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Sô_la_mviê_cNa_y" defaultThemeVersion="124226"/>
  <bookViews>
    <workbookView xWindow="-120" yWindow="-120" windowWidth="20730" windowHeight="11760" tabRatio="867" firstSheet="31" activeTab="54"/>
  </bookViews>
  <sheets>
    <sheet name="PL tong hop" sheetId="74" state="hidden" r:id="rId1"/>
    <sheet name="shee fdjt1" sheetId="134" state="hidden" r:id="rId2"/>
    <sheet name="Sheet2" sheetId="133" state="hidden" r:id="rId3"/>
    <sheet name="shête 3" sheetId="137" state="hidden" r:id="rId4"/>
    <sheet name="dhhh4" sheetId="122" state="hidden" r:id="rId5"/>
    <sheet name="5.1x (2)" sheetId="139" state="hidden" r:id="rId6"/>
    <sheet name="shêt 5" sheetId="123" state="hidden" r:id="rId7"/>
    <sheet name="Tiền đất2020" sheetId="136" state="hidden" r:id="rId8"/>
    <sheet name="Biểu 01 năm 2021 bo" sheetId="135" state="hidden" r:id="rId9"/>
    <sheet name="Dự phòng cấp huyện 2020" sheetId="144" state="hidden" r:id="rId10"/>
    <sheet name="108" sheetId="149" state="hidden" r:id="rId11"/>
    <sheet name="Sheet3" sheetId="156" state="hidden" r:id="rId12"/>
    <sheet name="SGV_3" sheetId="185" state="veryHidden" r:id="rId13"/>
    <sheet name="SGV_4" sheetId="186" state="veryHidden" r:id="rId14"/>
    <sheet name="SGV_5" sheetId="187" state="veryHidden" r:id="rId15"/>
    <sheet name="SGV_6" sheetId="188" state="veryHidden" r:id="rId16"/>
    <sheet name="CCTL 2021chuẩn" sheetId="164" state="hidden" r:id="rId17"/>
    <sheet name="tăng thu so với 2017 (2)" sheetId="169" state="hidden" r:id="rId18"/>
    <sheet name="tăng thu so với 2017" sheetId="167" state="hidden" r:id="rId19"/>
    <sheet name="Sheet6" sheetId="166" state="hidden" r:id="rId20"/>
    <sheet name="CCTL 2021" sheetId="145" state="hidden" r:id="rId21"/>
    <sheet name="Qtoán nông thôn mới năm 2021" sheetId="160" state="hidden" r:id="rId22"/>
    <sheet name="135 2021" sheetId="155" state="hidden" r:id="rId23"/>
    <sheet name="tính tăng thu" sheetId="165" state="hidden" r:id="rId24"/>
    <sheet name="QT theo cơ cấu" sheetId="158" state="hidden" r:id="rId25"/>
    <sheet name="QT BỔ SUNG CÓ MT" sheetId="157" state="hidden" r:id="rId26"/>
    <sheet name="Nông thôn mới 2021" sheetId="154" state="hidden" r:id="rId27"/>
    <sheet name="ct1352020" sheetId="142" state="hidden" r:id="rId28"/>
    <sheet name="Biêu so 01 2020" sheetId="120" state="hidden" r:id="rId29"/>
    <sheet name="SGV" sheetId="183" state="hidden" r:id="rId30"/>
    <sheet name="SGV_2" sheetId="184" state="veryHidden" r:id="rId31"/>
    <sheet name="B48" sheetId="75" r:id="rId32"/>
    <sheet name="B49" sheetId="76" r:id="rId33"/>
    <sheet name="B50" sheetId="140" r:id="rId34"/>
    <sheet name="B51" sheetId="78" r:id="rId35"/>
    <sheet name="B52" sheetId="79" r:id="rId36"/>
    <sheet name="B53" sheetId="80" r:id="rId37"/>
    <sheet name="B54" sheetId="141" r:id="rId38"/>
    <sheet name="B55" sheetId="82" r:id="rId39"/>
    <sheet name="B56" sheetId="148" r:id="rId40"/>
    <sheet name="B57" sheetId="84" r:id="rId41"/>
    <sheet name="chi BS cho xã" sheetId="177" state="hidden" r:id="rId42"/>
    <sheet name="B58" sheetId="194" r:id="rId43"/>
    <sheet name="B61" sheetId="88" r:id="rId44"/>
    <sheet name="5.7" sheetId="81" state="hidden" r:id="rId45"/>
    <sheet name="lệnh chi" sheetId="151" state="hidden" r:id="rId46"/>
    <sheet name="dự toán (2)" sheetId="153" state="hidden" r:id="rId47"/>
    <sheet name="dự toán" sheetId="150" state="hidden" r:id="rId48"/>
    <sheet name="5.9" sheetId="83" state="hidden" r:id="rId49"/>
    <sheet name="5.15 bỏ" sheetId="89" state="hidden" r:id="rId50"/>
    <sheet name="5.18" sheetId="100" state="hidden" r:id="rId51"/>
    <sheet name="5.19" sheetId="101" state="hidden" r:id="rId52"/>
    <sheet name="B62" sheetId="138" r:id="rId53"/>
    <sheet name="B60-342" sheetId="58" r:id="rId54"/>
    <sheet name="B61-342" sheetId="59" r:id="rId55"/>
    <sheet name="B62-342" sheetId="60" r:id="rId56"/>
    <sheet name="B63-342" sheetId="176" r:id="rId57"/>
    <sheet name="B64-342" sheetId="193" r:id="rId58"/>
    <sheet name="5.23.2022" sheetId="162" state="hidden" r:id="rId59"/>
    <sheet name="5.23" sheetId="61" state="hidden" r:id="rId60"/>
    <sheet name="5.24 2022" sheetId="161" state="hidden" r:id="rId61"/>
    <sheet name="5.24" sheetId="62" state="hidden" r:id="rId62"/>
    <sheet name="B65-342" sheetId="163" r:id="rId63"/>
    <sheet name="5,25a" sheetId="118" state="hidden" r:id="rId64"/>
    <sheet name="5.30 .2022" sheetId="180" state="hidden" r:id="rId65"/>
    <sheet name="5.30" sheetId="68" state="hidden" r:id="rId66"/>
    <sheet name="Bổ sung MT tỉnh21" sheetId="146" state="hidden" r:id="rId67"/>
    <sheet name="CTnông thôn mới 2020" sheetId="143" state="hidden" r:id="rId68"/>
    <sheet name="Biêu so 01 2022" sheetId="159" state="hidden" r:id="rId69"/>
    <sheet name="Biểu chi nhiệm vụ" sheetId="131" state="hidden" r:id="rId70"/>
    <sheet name="Biểu QT các nhiẹm vụ 2018" sheetId="132" state="hidden" r:id="rId71"/>
    <sheet name="Biểu BSMT tinh huyen" sheetId="130" state="hidden" r:id="rId72"/>
    <sheet name="5.31 (2)" sheetId="129" state="hidden" r:id="rId73"/>
    <sheet name="5.6 (2)" sheetId="119" state="hidden" r:id="rId74"/>
    <sheet name="Biểu tách theo STC (2)" sheetId="127" state="hidden" r:id="rId75"/>
    <sheet name="Biểu tách theo STC" sheetId="126" state="hidden" r:id="rId76"/>
    <sheet name="5.25" sheetId="63" state="hidden" r:id="rId77"/>
    <sheet name="5.32" sheetId="93" state="hidden" r:id="rId78"/>
    <sheet name="5.33" sheetId="94" state="hidden" r:id="rId79"/>
    <sheet name="5.34" sheetId="95" state="hidden" r:id="rId80"/>
    <sheet name="5.35" sheetId="96" state="hidden" r:id="rId81"/>
    <sheet name="5.36" sheetId="97" state="hidden" r:id="rId82"/>
    <sheet name="5.37" sheetId="98" state="hidden" r:id="rId83"/>
    <sheet name="5.38" sheetId="102" state="hidden" r:id="rId84"/>
    <sheet name="5.39" sheetId="111" state="hidden" r:id="rId85"/>
    <sheet name="5.40" sheetId="112" state="hidden" r:id="rId86"/>
    <sheet name="5.41" sheetId="113" state="hidden" r:id="rId87"/>
    <sheet name="5.42" sheetId="114" state="hidden" r:id="rId88"/>
    <sheet name="5.43" sheetId="115" state="hidden" r:id="rId89"/>
    <sheet name="5.44" sheetId="116" state="hidden" r:id="rId90"/>
    <sheet name="Sheet1" sheetId="117" state="hidden" r:id="rId91"/>
    <sheet name="kết dư" sheetId="181" state="hidden" r:id="rId92"/>
    <sheet name="DTTS" sheetId="170" state="hidden" r:id="rId93"/>
    <sheet name="GN" sheetId="172" state="hidden" r:id="rId94"/>
    <sheet name="cải cách" sheetId="173" state="hidden" r:id="rId95"/>
    <sheet name="CCTL" sheetId="174" state="hidden" r:id="rId96"/>
  </sheets>
  <externalReferences>
    <externalReference r:id="rId97"/>
    <externalReference r:id="rId98"/>
    <externalReference r:id="rId99"/>
    <externalReference r:id="rId100"/>
  </externalReferences>
  <definedNames>
    <definedName name="_xlnm._FilterDatabase" localSheetId="36" hidden="1">'B53'!$A$54:$AE$58</definedName>
    <definedName name="_xlnm._FilterDatabase" localSheetId="40" hidden="1">'B57'!$A$7:$S$24</definedName>
    <definedName name="_xlnm._FilterDatabase" localSheetId="52" hidden="1">'B62'!$C$1:$C$29</definedName>
    <definedName name="_xlnm._FilterDatabase" localSheetId="0" hidden="1">'PL tong hop'!$A$4:$E$101</definedName>
    <definedName name="_xlnm._FilterDatabase" localSheetId="25" hidden="1">'QT BỔ SUNG CÓ MT'!$A$7:$P$88</definedName>
    <definedName name="aaaa" localSheetId="55">'B62-342'!$A$1:$H$60</definedName>
    <definedName name="abcd" localSheetId="40">'B57'!$A$1:$L$108</definedName>
    <definedName name="abcd" localSheetId="42">'B58'!$A$1:$L$104</definedName>
    <definedName name="abcd" localSheetId="53">'B60-342'!$A$1:$H$33</definedName>
    <definedName name="abcd" localSheetId="54">'B61-342'!$A$1:$M$131</definedName>
    <definedName name="chuong_phuluc_10" localSheetId="79">'5.34'!#REF!</definedName>
    <definedName name="chuong_phuluc_10_name" localSheetId="79">'5.34'!$A$2</definedName>
    <definedName name="chuong_phuluc_11" localSheetId="80">'5.35'!#REF!</definedName>
    <definedName name="chuong_phuluc_11_name" localSheetId="80">'5.35'!$A$2</definedName>
    <definedName name="chuong_phuluc_12" localSheetId="81">'5.36'!#REF!</definedName>
    <definedName name="chuong_phuluc_12_name" localSheetId="81">'5.36'!$A$2</definedName>
    <definedName name="chuong_phuluc_13" localSheetId="82">'5.37'!#REF!</definedName>
    <definedName name="chuong_phuluc_13_name" localSheetId="82">'5.37'!$A$2</definedName>
    <definedName name="chuong_phuluc_8" localSheetId="77">'5.32'!#REF!</definedName>
    <definedName name="chuong_phuluc_8_name" localSheetId="77">'5.32'!$A$2</definedName>
    <definedName name="chuong_phuluc_9" localSheetId="78">'5.33'!#REF!</definedName>
    <definedName name="chuong_phuluc_9_name" localSheetId="78">'5.33'!$A$2</definedName>
    <definedName name="fg" localSheetId="62">'B65-342'!$A$1:$G$383</definedName>
    <definedName name="fgg" localSheetId="55">'B62-342'!$A$1:$I$57</definedName>
    <definedName name="fgg" localSheetId="56">'B63-342'!$A$1:$I$443</definedName>
    <definedName name="ggu" localSheetId="55">'B62-342'!$A$1:$I$57</definedName>
    <definedName name="gjghj" localSheetId="43">'B61'!$A$1:$AR$58</definedName>
    <definedName name="gugu" localSheetId="64">'5.30 .2022'!$A$1:$I$168</definedName>
    <definedName name="hhidfdf" localSheetId="39">'B56'!$A$1:$S$35</definedName>
    <definedName name="_xlnm.Print_Area" localSheetId="50">'5.18'!$A$1:$L$26</definedName>
    <definedName name="_xlnm.Print_Area" localSheetId="51">'5.19'!$A$1:$P$30</definedName>
    <definedName name="_xlnm.Print_Area" localSheetId="65">'5.30'!$A$1:$H$76</definedName>
    <definedName name="_xlnm.Print_Area" localSheetId="64">'5.30 .2022'!$A$1:$I$170</definedName>
    <definedName name="_xlnm.Print_Area" localSheetId="31">'B48'!$A$1:$H$67</definedName>
    <definedName name="_xlnm.Print_Area" localSheetId="32">'B49'!$A$1:$E$39</definedName>
    <definedName name="_xlnm.Print_Area" localSheetId="37">'B54'!$A$1:$U$54</definedName>
    <definedName name="_xlnm.Print_Area" localSheetId="39">'B56'!$A$1:$U$42</definedName>
    <definedName name="_xlnm.Print_Area" localSheetId="40">'B57'!$A$1:$L$24</definedName>
    <definedName name="_xlnm.Print_Area" localSheetId="43">'B61'!$A$1:$AQ$132</definedName>
    <definedName name="_xlnm.Print_Area" localSheetId="54">'B61-342'!$A$1:$M$131</definedName>
    <definedName name="_xlnm.Print_Area" localSheetId="52">'B62'!$A$1:$AI$52</definedName>
    <definedName name="_xlnm.Print_Area" localSheetId="55">'B62-342'!$A$1:$H$57</definedName>
    <definedName name="_xlnm.Print_Area" localSheetId="92">DTTS!$A$1:$S$144</definedName>
    <definedName name="_xlnm.Print_Area" localSheetId="47">'dự toán'!$A$1:$L$209</definedName>
    <definedName name="_xlnm.Print_Area" localSheetId="46">'dự toán (2)'!$A$1:$L$70</definedName>
    <definedName name="_xlnm.Print_Area" localSheetId="45">'lệnh chi'!$A$1:$L$27</definedName>
    <definedName name="_xlnm.Print_Titles" localSheetId="49">'5.15 bỏ'!$3:$7</definedName>
    <definedName name="_xlnm.Print_Titles" localSheetId="5">'5.1x (2)'!$6:$8</definedName>
    <definedName name="_xlnm.Print_Titles" localSheetId="59">'5.23'!$6:$6</definedName>
    <definedName name="_xlnm.Print_Titles" localSheetId="58">'5.23.2022'!$7:$7</definedName>
    <definedName name="_xlnm.Print_Titles" localSheetId="61">'5.24'!$5:$5</definedName>
    <definedName name="_xlnm.Print_Titles" localSheetId="60">'5.24 2022'!$6:$6</definedName>
    <definedName name="_xlnm.Print_Titles" localSheetId="65">'5.30'!$5:$7</definedName>
    <definedName name="_xlnm.Print_Titles" localSheetId="64">'5.30 .2022'!$5:$7</definedName>
    <definedName name="_xlnm.Print_Titles" localSheetId="79">'5.34'!$5:$7</definedName>
    <definedName name="_xlnm.Print_Titles" localSheetId="84">'5.39'!$7:$9</definedName>
    <definedName name="_xlnm.Print_Titles" localSheetId="86">'5.41'!$11:$13</definedName>
    <definedName name="_xlnm.Print_Titles" localSheetId="87">'5.42'!$8:$9</definedName>
    <definedName name="_xlnm.Print_Titles" localSheetId="48">'5.9'!$6:$7</definedName>
    <definedName name="_xlnm.Print_Titles" localSheetId="31">'B48'!$7:$9</definedName>
    <definedName name="_xlnm.Print_Titles" localSheetId="34">'B51'!$7:$8</definedName>
    <definedName name="_xlnm.Print_Titles" localSheetId="35">'B52'!$7:$8</definedName>
    <definedName name="_xlnm.Print_Titles" localSheetId="36">'B53'!$5:$7</definedName>
    <definedName name="_xlnm.Print_Titles" localSheetId="37">'B54'!$6:$9</definedName>
    <definedName name="_xlnm.Print_Titles" localSheetId="38">'B55'!$7:$8</definedName>
    <definedName name="_xlnm.Print_Titles" localSheetId="39">'B56'!$6:$7</definedName>
    <definedName name="_xlnm.Print_Titles" localSheetId="40">'B57'!$6:$7</definedName>
    <definedName name="_xlnm.Print_Titles" localSheetId="42">'B58'!$7:$10</definedName>
    <definedName name="_xlnm.Print_Titles" localSheetId="43">'B61'!$2:$3</definedName>
    <definedName name="_xlnm.Print_Titles" localSheetId="54">'B61-342'!$7:$9</definedName>
    <definedName name="_xlnm.Print_Titles" localSheetId="52">'B62'!$5:$9</definedName>
    <definedName name="_xlnm.Print_Titles" localSheetId="55">'B62-342'!$6:$8</definedName>
    <definedName name="_xlnm.Print_Titles" localSheetId="56">'B63-342'!$9:$10</definedName>
    <definedName name="_xlnm.Print_Titles" localSheetId="57">'B64-342'!$8:$8</definedName>
    <definedName name="_xlnm.Print_Titles" localSheetId="62">'B65-342'!$5:$5</definedName>
    <definedName name="_xlnm.Print_Titles" localSheetId="8">'Biểu 01 năm 2021 bo'!$5:$10</definedName>
    <definedName name="_xlnm.Print_Titles" localSheetId="28">'Biêu so 01 2020'!$5:$10</definedName>
    <definedName name="_xlnm.Print_Titles" localSheetId="68">'Biêu so 01 2022'!$5:$10</definedName>
    <definedName name="_xlnm.Print_Titles" localSheetId="75">'Biểu tách theo STC'!$5:$9</definedName>
    <definedName name="_xlnm.Print_Titles" localSheetId="74">'Biểu tách theo STC (2)'!$5:$9</definedName>
    <definedName name="_xlnm.Print_Titles" localSheetId="47">'dự toán'!$5:$6</definedName>
    <definedName name="_xlnm.Print_Titles" localSheetId="46">'dự toán (2)'!$5:$6</definedName>
    <definedName name="_xlnm.Print_Titles" localSheetId="45">'lệnh chi'!$5:$6</definedName>
    <definedName name="_xlnm.Print_Titles" localSheetId="0">'PL tong hop'!$4:$4</definedName>
    <definedName name="_xlnm.Print_Titles" localSheetId="24">'QT theo cơ cấu'!$1:$2</definedName>
    <definedName name="_xlnm.Print_Titles">#N/A</definedName>
  </definedNames>
  <calcPr calcId="144525"/>
</workbook>
</file>

<file path=xl/calcChain.xml><?xml version="1.0" encoding="utf-8"?>
<calcChain xmlns="http://schemas.openxmlformats.org/spreadsheetml/2006/main">
  <c r="E23" i="58" l="1"/>
  <c r="C23" i="58"/>
  <c r="B1" i="60"/>
  <c r="AM32" i="138"/>
  <c r="AM29" i="138" s="1"/>
  <c r="AL32" i="138"/>
  <c r="AK32" i="138"/>
  <c r="AK29" i="138" s="1"/>
  <c r="AI32" i="138"/>
  <c r="AH32" i="138"/>
  <c r="AG32" i="138"/>
  <c r="AF32" i="138"/>
  <c r="AE32" i="138"/>
  <c r="AB32" i="138"/>
  <c r="X32" i="138"/>
  <c r="T32" i="138"/>
  <c r="R32" i="138" s="1"/>
  <c r="L32" i="138"/>
  <c r="AH31" i="138"/>
  <c r="AB31" i="138"/>
  <c r="X31" i="138"/>
  <c r="T31" i="138"/>
  <c r="R31" i="138" s="1"/>
  <c r="L31" i="138"/>
  <c r="G31" i="138"/>
  <c r="AH30" i="138"/>
  <c r="AB30" i="138"/>
  <c r="X30" i="138"/>
  <c r="T30" i="138"/>
  <c r="R30" i="138"/>
  <c r="L30" i="138"/>
  <c r="F30" i="138"/>
  <c r="F29" i="138" s="1"/>
  <c r="AL29" i="138"/>
  <c r="AJ29" i="138"/>
  <c r="AI29" i="138"/>
  <c r="AG29" i="138"/>
  <c r="AF29" i="138"/>
  <c r="AE29" i="138"/>
  <c r="AD29" i="138"/>
  <c r="AC29" i="138"/>
  <c r="AB29" i="138"/>
  <c r="AA29" i="138"/>
  <c r="Z29" i="138"/>
  <c r="Y29" i="138"/>
  <c r="X29" i="138"/>
  <c r="W29" i="138"/>
  <c r="V29" i="138"/>
  <c r="U29" i="138"/>
  <c r="T29" i="138"/>
  <c r="S29" i="138"/>
  <c r="Q29" i="138"/>
  <c r="P29" i="138"/>
  <c r="O29" i="138"/>
  <c r="N29" i="138"/>
  <c r="M29" i="138"/>
  <c r="L29" i="138"/>
  <c r="K29" i="138"/>
  <c r="J29" i="138"/>
  <c r="I29" i="138"/>
  <c r="H29" i="138"/>
  <c r="G29" i="138"/>
  <c r="E29" i="138"/>
  <c r="AH28" i="138"/>
  <c r="AB28" i="138"/>
  <c r="X28" i="138"/>
  <c r="X24" i="138" s="1"/>
  <c r="T28" i="138"/>
  <c r="R28" i="138"/>
  <c r="L28" i="138"/>
  <c r="AH27" i="138"/>
  <c r="X27" i="138"/>
  <c r="R27" i="138"/>
  <c r="L27" i="138"/>
  <c r="AH26" i="138"/>
  <c r="X26" i="138"/>
  <c r="R26" i="138"/>
  <c r="L26" i="138"/>
  <c r="AH25" i="138"/>
  <c r="AH24" i="138" s="1"/>
  <c r="X25" i="138"/>
  <c r="T25" i="138"/>
  <c r="R25" i="138" s="1"/>
  <c r="R24" i="138" s="1"/>
  <c r="L25" i="138"/>
  <c r="L24" i="138" s="1"/>
  <c r="AL24" i="138"/>
  <c r="AK24" i="138"/>
  <c r="AJ24" i="138"/>
  <c r="AI24" i="138"/>
  <c r="AG24" i="138"/>
  <c r="AF24" i="138"/>
  <c r="AE24" i="138"/>
  <c r="AD24" i="138"/>
  <c r="AC24" i="138"/>
  <c r="AB24" i="138"/>
  <c r="AA24" i="138"/>
  <c r="Z24" i="138"/>
  <c r="Y24" i="138"/>
  <c r="W24" i="138"/>
  <c r="V24" i="138"/>
  <c r="U24" i="138"/>
  <c r="S24" i="138"/>
  <c r="Q24" i="138"/>
  <c r="P24" i="138"/>
  <c r="O24" i="138"/>
  <c r="N24" i="138"/>
  <c r="M24" i="138"/>
  <c r="K24" i="138"/>
  <c r="J24" i="138"/>
  <c r="I24" i="138"/>
  <c r="H24" i="138"/>
  <c r="G24" i="138"/>
  <c r="F24" i="138"/>
  <c r="E24" i="138"/>
  <c r="AH23" i="138"/>
  <c r="AB23" i="138"/>
  <c r="R23" i="138"/>
  <c r="L23" i="138"/>
  <c r="AH22" i="138"/>
  <c r="AB22" i="138"/>
  <c r="R22" i="138"/>
  <c r="L22" i="138"/>
  <c r="AH21" i="138"/>
  <c r="AB21" i="138"/>
  <c r="R21" i="138"/>
  <c r="L21" i="138"/>
  <c r="G21" i="138"/>
  <c r="AH20" i="138"/>
  <c r="AB20" i="138"/>
  <c r="X20" i="138"/>
  <c r="X18" i="138" s="1"/>
  <c r="S20" i="138"/>
  <c r="R20" i="138"/>
  <c r="L20" i="138"/>
  <c r="AH19" i="138"/>
  <c r="AC19" i="138"/>
  <c r="AB19" i="138"/>
  <c r="X19" i="138"/>
  <c r="S19" i="138"/>
  <c r="R19" i="138" s="1"/>
  <c r="R18" i="138" s="1"/>
  <c r="L19" i="138"/>
  <c r="L18" i="138" s="1"/>
  <c r="AM18" i="138"/>
  <c r="AL18" i="138"/>
  <c r="AL15" i="138" s="1"/>
  <c r="AL12" i="138" s="1"/>
  <c r="AL11" i="138" s="1"/>
  <c r="AK18" i="138"/>
  <c r="AJ18" i="138"/>
  <c r="AJ15" i="138" s="1"/>
  <c r="AI18" i="138"/>
  <c r="AG18" i="138"/>
  <c r="AF18" i="138"/>
  <c r="AF15" i="138" s="1"/>
  <c r="AF12" i="138" s="1"/>
  <c r="AF11" i="138" s="1"/>
  <c r="AE18" i="138"/>
  <c r="AD18" i="138"/>
  <c r="AC18" i="138"/>
  <c r="AB18" i="138"/>
  <c r="AA18" i="138"/>
  <c r="Y18" i="138"/>
  <c r="W18" i="138"/>
  <c r="V18" i="138"/>
  <c r="U18" i="138"/>
  <c r="T18" i="138"/>
  <c r="Q18" i="138"/>
  <c r="P18" i="138"/>
  <c r="O18" i="138"/>
  <c r="N18" i="138"/>
  <c r="M18" i="138"/>
  <c r="K18" i="138"/>
  <c r="J18" i="138"/>
  <c r="I18" i="138"/>
  <c r="H18" i="138"/>
  <c r="G18" i="138"/>
  <c r="F18" i="138"/>
  <c r="E18" i="138"/>
  <c r="AH17" i="138"/>
  <c r="AD17" i="138"/>
  <c r="AB17" i="138" s="1"/>
  <c r="AB16" i="138" s="1"/>
  <c r="AB15" i="138" s="1"/>
  <c r="AB12" i="138" s="1"/>
  <c r="AB11" i="138" s="1"/>
  <c r="X17" i="138"/>
  <c r="X16" i="138" s="1"/>
  <c r="X15" i="138" s="1"/>
  <c r="X12" i="138" s="1"/>
  <c r="X11" i="138" s="1"/>
  <c r="T17" i="138"/>
  <c r="R17" i="138"/>
  <c r="L17" i="138"/>
  <c r="AM16" i="138"/>
  <c r="AM15" i="138" s="1"/>
  <c r="AM12" i="138" s="1"/>
  <c r="AM11" i="138" s="1"/>
  <c r="AL16" i="138"/>
  <c r="AK16" i="138"/>
  <c r="AJ16" i="138"/>
  <c r="AI16" i="138"/>
  <c r="AH16" i="138"/>
  <c r="AG16" i="138"/>
  <c r="AF16" i="138"/>
  <c r="AE16" i="138"/>
  <c r="AE15" i="138" s="1"/>
  <c r="AE12" i="138" s="1"/>
  <c r="AE11" i="138" s="1"/>
  <c r="AC16" i="138"/>
  <c r="AA16" i="138"/>
  <c r="AA15" i="138" s="1"/>
  <c r="AA12" i="138" s="1"/>
  <c r="AA11" i="138" s="1"/>
  <c r="Y16" i="138"/>
  <c r="W16" i="138"/>
  <c r="V16" i="138"/>
  <c r="V15" i="138" s="1"/>
  <c r="V12" i="138" s="1"/>
  <c r="V11" i="138" s="1"/>
  <c r="U16" i="138"/>
  <c r="T16" i="138"/>
  <c r="S16" i="138"/>
  <c r="R16" i="138"/>
  <c r="Q16" i="138"/>
  <c r="P16" i="138"/>
  <c r="P15" i="138" s="1"/>
  <c r="P12" i="138" s="1"/>
  <c r="P11" i="138" s="1"/>
  <c r="O16" i="138"/>
  <c r="N16" i="138"/>
  <c r="N15" i="138" s="1"/>
  <c r="N12" i="138" s="1"/>
  <c r="N11" i="138" s="1"/>
  <c r="M16" i="138"/>
  <c r="L16" i="138"/>
  <c r="L15" i="138" s="1"/>
  <c r="L12" i="138" s="1"/>
  <c r="L11" i="138" s="1"/>
  <c r="K16" i="138"/>
  <c r="J16" i="138"/>
  <c r="J15" i="138" s="1"/>
  <c r="J12" i="138" s="1"/>
  <c r="J11" i="138" s="1"/>
  <c r="I16" i="138"/>
  <c r="H16" i="138"/>
  <c r="H15" i="138" s="1"/>
  <c r="H12" i="138" s="1"/>
  <c r="H11" i="138" s="1"/>
  <c r="G16" i="138"/>
  <c r="F16" i="138"/>
  <c r="F15" i="138" s="1"/>
  <c r="F12" i="138" s="1"/>
  <c r="F11" i="138" s="1"/>
  <c r="E16" i="138"/>
  <c r="AK15" i="138"/>
  <c r="AK12" i="138" s="1"/>
  <c r="AK11" i="138" s="1"/>
  <c r="AG15" i="138"/>
  <c r="AG12" i="138" s="1"/>
  <c r="AG11" i="138" s="1"/>
  <c r="AC15" i="138"/>
  <c r="AC12" i="138" s="1"/>
  <c r="AC11" i="138" s="1"/>
  <c r="Z15" i="138"/>
  <c r="Y15" i="138"/>
  <c r="Y12" i="138" s="1"/>
  <c r="Y11" i="138" s="1"/>
  <c r="W15" i="138"/>
  <c r="W12" i="138" s="1"/>
  <c r="W11" i="138" s="1"/>
  <c r="U15" i="138"/>
  <c r="U12" i="138" s="1"/>
  <c r="U11" i="138" s="1"/>
  <c r="Q15" i="138"/>
  <c r="Q12" i="138" s="1"/>
  <c r="Q11" i="138" s="1"/>
  <c r="O15" i="138"/>
  <c r="O12" i="138" s="1"/>
  <c r="O11" i="138" s="1"/>
  <c r="M15" i="138"/>
  <c r="M12" i="138" s="1"/>
  <c r="M11" i="138" s="1"/>
  <c r="K15" i="138"/>
  <c r="K12" i="138" s="1"/>
  <c r="K11" i="138" s="1"/>
  <c r="I15" i="138"/>
  <c r="I12" i="138" s="1"/>
  <c r="I11" i="138" s="1"/>
  <c r="G15" i="138"/>
  <c r="G12" i="138" s="1"/>
  <c r="G11" i="138" s="1"/>
  <c r="E15" i="138"/>
  <c r="E12" i="138" s="1"/>
  <c r="E11" i="138" s="1"/>
  <c r="Z12" i="138"/>
  <c r="Z11" i="138" s="1"/>
  <c r="AH18" i="138" l="1"/>
  <c r="AH15" i="138" s="1"/>
  <c r="AI15" i="138"/>
  <c r="AI12" i="138" s="1"/>
  <c r="AI11" i="138" s="1"/>
  <c r="AH29" i="138"/>
  <c r="AH12" i="138" s="1"/>
  <c r="AH11" i="138" s="1"/>
  <c r="AJ12" i="138"/>
  <c r="AJ11" i="138" s="1"/>
  <c r="R29" i="138"/>
  <c r="R15" i="138"/>
  <c r="R12" i="138" s="1"/>
  <c r="R11" i="138" s="1"/>
  <c r="S18" i="138"/>
  <c r="S15" i="138" s="1"/>
  <c r="S12" i="138" s="1"/>
  <c r="S11" i="138" s="1"/>
  <c r="AD16" i="138"/>
  <c r="AD15" i="138" s="1"/>
  <c r="AD12" i="138" s="1"/>
  <c r="AD11" i="138" s="1"/>
  <c r="T24" i="138"/>
  <c r="T15" i="138" s="1"/>
  <c r="T12" i="138" s="1"/>
  <c r="T11" i="138" s="1"/>
  <c r="R27" i="194" l="1"/>
  <c r="F44" i="60"/>
  <c r="F43" i="60"/>
  <c r="M139" i="59"/>
  <c r="L139" i="59"/>
  <c r="M138" i="59"/>
  <c r="L138" i="59"/>
  <c r="M137" i="59"/>
  <c r="L137" i="59"/>
  <c r="M136" i="59"/>
  <c r="L136" i="59"/>
  <c r="M135" i="59"/>
  <c r="L135" i="59"/>
  <c r="M78" i="59"/>
  <c r="L78" i="59"/>
  <c r="M61" i="59"/>
  <c r="L61" i="59"/>
  <c r="M56" i="59"/>
  <c r="L56" i="59"/>
  <c r="M53" i="59"/>
  <c r="L53" i="59"/>
  <c r="M51" i="59"/>
  <c r="L51" i="59"/>
  <c r="M50" i="59"/>
  <c r="L50" i="59"/>
  <c r="M48" i="59"/>
  <c r="L48" i="59"/>
  <c r="M47" i="59"/>
  <c r="L47" i="59"/>
  <c r="M46" i="59"/>
  <c r="L46" i="59"/>
  <c r="M44" i="59"/>
  <c r="L44" i="59"/>
  <c r="M43" i="59"/>
  <c r="L43" i="59"/>
  <c r="M42" i="59"/>
  <c r="L42" i="59"/>
  <c r="M23" i="59"/>
  <c r="L23" i="59"/>
  <c r="M13" i="59"/>
  <c r="L13" i="59"/>
  <c r="M12" i="59"/>
  <c r="L12" i="59"/>
  <c r="M11" i="59"/>
  <c r="L11" i="59"/>
  <c r="G11" i="59"/>
  <c r="F11" i="59"/>
  <c r="E11" i="59"/>
  <c r="A4" i="76" l="1"/>
  <c r="A4" i="140" s="1"/>
  <c r="A4" i="78" s="1"/>
  <c r="A4" i="79" s="1"/>
  <c r="A4" i="80" s="1"/>
  <c r="A4" i="148" s="1"/>
  <c r="A1" i="76"/>
  <c r="A1" i="140" s="1"/>
  <c r="A1" i="78" s="1"/>
  <c r="A1" i="79" s="1"/>
  <c r="A1" i="80" s="1"/>
  <c r="A1" i="141" s="1"/>
  <c r="A1" i="82" s="1"/>
  <c r="A1" i="148" s="1"/>
  <c r="A1" i="84" s="1"/>
  <c r="D22" i="88"/>
  <c r="C22" i="88"/>
  <c r="D21" i="88"/>
  <c r="C21" i="88"/>
  <c r="J20" i="88"/>
  <c r="C20" i="88" s="1"/>
  <c r="D20" i="88"/>
  <c r="J19" i="88"/>
  <c r="D19" i="88"/>
  <c r="C19" i="88"/>
  <c r="K18" i="88"/>
  <c r="J18" i="88" s="1"/>
  <c r="C18" i="88" s="1"/>
  <c r="D18" i="88"/>
  <c r="D17" i="88"/>
  <c r="C17" i="88"/>
  <c r="D16" i="88"/>
  <c r="C16" i="88"/>
  <c r="D15" i="88"/>
  <c r="C15" i="88"/>
  <c r="T14" i="88"/>
  <c r="D14" i="88"/>
  <c r="C14" i="88"/>
  <c r="D13" i="88"/>
  <c r="C13" i="88"/>
  <c r="D12" i="88"/>
  <c r="C12" i="88"/>
  <c r="D11" i="88"/>
  <c r="C11" i="88"/>
  <c r="M10" i="88"/>
  <c r="K10" i="88"/>
  <c r="J10" i="88" s="1"/>
  <c r="C10" i="88" s="1"/>
  <c r="C9" i="88" s="1"/>
  <c r="E10" i="88"/>
  <c r="D10" i="88"/>
  <c r="D9" i="88" s="1"/>
  <c r="M9" i="88"/>
  <c r="K9" i="88"/>
  <c r="J9" i="88"/>
  <c r="E9" i="88"/>
  <c r="H35" i="194"/>
  <c r="D35" i="194"/>
  <c r="H34" i="194"/>
  <c r="D34" i="194"/>
  <c r="F33" i="194"/>
  <c r="D33" i="194"/>
  <c r="H30" i="194"/>
  <c r="D30" i="194"/>
  <c r="H29" i="194"/>
  <c r="D29" i="194"/>
  <c r="H28" i="194"/>
  <c r="D28" i="194"/>
  <c r="D27" i="194"/>
  <c r="H26" i="194"/>
  <c r="R25" i="194"/>
  <c r="Z23" i="194"/>
  <c r="I23" i="194"/>
  <c r="T12" i="194"/>
  <c r="S12" i="194"/>
  <c r="I12" i="194"/>
  <c r="H12" i="194"/>
  <c r="G12" i="194"/>
  <c r="F12" i="194"/>
  <c r="D12" i="194" s="1"/>
  <c r="C24" i="84"/>
  <c r="C23" i="84" s="1"/>
  <c r="C9" i="84" s="1"/>
  <c r="M23" i="84"/>
  <c r="L23" i="84"/>
  <c r="K23" i="84"/>
  <c r="J23" i="84"/>
  <c r="I23" i="84"/>
  <c r="H23" i="84"/>
  <c r="G23" i="84"/>
  <c r="F23" i="84"/>
  <c r="E23" i="84"/>
  <c r="D23" i="84"/>
  <c r="L22" i="84"/>
  <c r="J22" i="84"/>
  <c r="L21" i="84"/>
  <c r="L20" i="84"/>
  <c r="I20" i="84"/>
  <c r="H20" i="84"/>
  <c r="G20" i="84"/>
  <c r="D20" i="84"/>
  <c r="C20" i="84"/>
  <c r="L19" i="84"/>
  <c r="L18" i="84"/>
  <c r="L17" i="84"/>
  <c r="M16" i="84"/>
  <c r="L16" i="84"/>
  <c r="L15" i="84"/>
  <c r="L14" i="84"/>
  <c r="L13" i="84"/>
  <c r="M12" i="84"/>
  <c r="L12" i="84"/>
  <c r="L11" i="84"/>
  <c r="L10" i="84"/>
  <c r="L9" i="84" s="1"/>
  <c r="K10" i="84"/>
  <c r="J10" i="84"/>
  <c r="J9" i="84" s="1"/>
  <c r="I10" i="84"/>
  <c r="H10" i="84"/>
  <c r="H9" i="84" s="1"/>
  <c r="G10" i="84"/>
  <c r="F10" i="84"/>
  <c r="F9" i="84" s="1"/>
  <c r="E10" i="84"/>
  <c r="D10" i="84"/>
  <c r="D9" i="84" s="1"/>
  <c r="C10" i="84"/>
  <c r="M9" i="84"/>
  <c r="K9" i="84"/>
  <c r="I9" i="84"/>
  <c r="G9" i="84"/>
  <c r="E9" i="84"/>
  <c r="D24" i="148"/>
  <c r="D23" i="148" s="1"/>
  <c r="D9" i="148" s="1"/>
  <c r="R23" i="148"/>
  <c r="C23" i="148"/>
  <c r="V22" i="148"/>
  <c r="S22" i="148"/>
  <c r="B22" i="148"/>
  <c r="S21" i="148"/>
  <c r="P21" i="148"/>
  <c r="P20" i="148" s="1"/>
  <c r="P9" i="148" s="1"/>
  <c r="B21" i="148"/>
  <c r="R20" i="148"/>
  <c r="Q20" i="148"/>
  <c r="Q9" i="148" s="1"/>
  <c r="O20" i="148"/>
  <c r="N20" i="148"/>
  <c r="M20" i="148"/>
  <c r="M9" i="148" s="1"/>
  <c r="L20" i="148"/>
  <c r="K20" i="148"/>
  <c r="J20" i="148"/>
  <c r="I20" i="148"/>
  <c r="I9" i="148" s="1"/>
  <c r="H20" i="148"/>
  <c r="G20" i="148"/>
  <c r="F20" i="148"/>
  <c r="D20" i="148"/>
  <c r="S20" i="148" s="1"/>
  <c r="C20" i="148"/>
  <c r="S19" i="148"/>
  <c r="S18" i="148"/>
  <c r="S17" i="148"/>
  <c r="S16" i="148"/>
  <c r="S15" i="148"/>
  <c r="S14" i="148"/>
  <c r="S13" i="148"/>
  <c r="S12" i="148"/>
  <c r="S11" i="148"/>
  <c r="S10" i="148" s="1"/>
  <c r="U10" i="148"/>
  <c r="T10" i="148"/>
  <c r="T9" i="148" s="1"/>
  <c r="R10" i="148"/>
  <c r="Q10" i="148"/>
  <c r="P10" i="148"/>
  <c r="O10" i="148"/>
  <c r="O9" i="148" s="1"/>
  <c r="N10" i="148"/>
  <c r="M10" i="148"/>
  <c r="L10" i="148"/>
  <c r="K10" i="148"/>
  <c r="K9" i="148" s="1"/>
  <c r="J10" i="148"/>
  <c r="I10" i="148"/>
  <c r="H10" i="148"/>
  <c r="G10" i="148"/>
  <c r="G9" i="148" s="1"/>
  <c r="F10" i="148"/>
  <c r="E10" i="148"/>
  <c r="D10" i="148"/>
  <c r="C10" i="148"/>
  <c r="C9" i="148" s="1"/>
  <c r="U9" i="148"/>
  <c r="R9" i="148"/>
  <c r="N9" i="148"/>
  <c r="L9" i="148"/>
  <c r="J9" i="148"/>
  <c r="H9" i="148"/>
  <c r="F9" i="148"/>
  <c r="E9" i="148"/>
  <c r="AM32" i="82"/>
  <c r="AM30" i="82"/>
  <c r="AM26" i="82"/>
  <c r="C23" i="82"/>
  <c r="C22" i="82"/>
  <c r="C21" i="82"/>
  <c r="Y19" i="82"/>
  <c r="C18" i="82"/>
  <c r="Y18" i="82" s="1"/>
  <c r="C17" i="82"/>
  <c r="Y17" i="82" s="1"/>
  <c r="C16" i="82"/>
  <c r="Y15" i="82"/>
  <c r="Y14" i="82"/>
  <c r="X11" i="82"/>
  <c r="W11" i="82"/>
  <c r="V11" i="82"/>
  <c r="U11" i="82"/>
  <c r="T11" i="82"/>
  <c r="S11" i="82"/>
  <c r="R11" i="82"/>
  <c r="Q11" i="82"/>
  <c r="P11" i="82"/>
  <c r="O11" i="82"/>
  <c r="N11" i="82"/>
  <c r="M11" i="82"/>
  <c r="L11" i="82"/>
  <c r="K11" i="82"/>
  <c r="J11" i="82"/>
  <c r="I11" i="82"/>
  <c r="H11" i="82"/>
  <c r="G11" i="82"/>
  <c r="F11" i="82"/>
  <c r="E11" i="82"/>
  <c r="D11" i="82"/>
  <c r="C11" i="82"/>
  <c r="X10" i="82"/>
  <c r="W10" i="82"/>
  <c r="W9" i="82" s="1"/>
  <c r="V10" i="82"/>
  <c r="U10" i="82"/>
  <c r="U9" i="82" s="1"/>
  <c r="T10" i="82"/>
  <c r="S10" i="82"/>
  <c r="S9" i="82" s="1"/>
  <c r="R10" i="82"/>
  <c r="Q10" i="82"/>
  <c r="Q9" i="82" s="1"/>
  <c r="P10" i="82"/>
  <c r="O10" i="82"/>
  <c r="O9" i="82" s="1"/>
  <c r="N10" i="82"/>
  <c r="M10" i="82"/>
  <c r="M9" i="82" s="1"/>
  <c r="L10" i="82"/>
  <c r="K10" i="82"/>
  <c r="K9" i="82" s="1"/>
  <c r="J10" i="82"/>
  <c r="I10" i="82"/>
  <c r="I9" i="82" s="1"/>
  <c r="H10" i="82"/>
  <c r="G10" i="82"/>
  <c r="G9" i="82" s="1"/>
  <c r="F10" i="82"/>
  <c r="E10" i="82"/>
  <c r="E9" i="82" s="1"/>
  <c r="D10" i="82"/>
  <c r="C10" i="82"/>
  <c r="Y10" i="82" s="1"/>
  <c r="X9" i="82"/>
  <c r="V9" i="82"/>
  <c r="T9" i="82"/>
  <c r="R9" i="82"/>
  <c r="P9" i="82"/>
  <c r="N9" i="82"/>
  <c r="L9" i="82"/>
  <c r="J9" i="82"/>
  <c r="H9" i="82"/>
  <c r="F9" i="82"/>
  <c r="D9" i="82"/>
  <c r="L42" i="141"/>
  <c r="I42" i="141" s="1"/>
  <c r="C42" i="141"/>
  <c r="F41" i="141"/>
  <c r="C41" i="141" s="1"/>
  <c r="C39" i="141" s="1"/>
  <c r="C10" i="141" s="1"/>
  <c r="F40" i="141"/>
  <c r="C40" i="141"/>
  <c r="U39" i="141"/>
  <c r="T39" i="141"/>
  <c r="S39" i="141"/>
  <c r="R39" i="141"/>
  <c r="Q39" i="141"/>
  <c r="P39" i="141"/>
  <c r="O39" i="141"/>
  <c r="N39" i="141"/>
  <c r="M39" i="141"/>
  <c r="L39" i="141"/>
  <c r="K39" i="141"/>
  <c r="J39" i="141"/>
  <c r="I39" i="141"/>
  <c r="H39" i="141"/>
  <c r="G39" i="141"/>
  <c r="F39" i="141"/>
  <c r="E39" i="141"/>
  <c r="D39" i="141"/>
  <c r="I38" i="141"/>
  <c r="R37" i="141"/>
  <c r="P37" i="141"/>
  <c r="O37" i="141"/>
  <c r="N37" i="141"/>
  <c r="M37" i="141"/>
  <c r="M36" i="141" s="1"/>
  <c r="M10" i="141" s="1"/>
  <c r="L37" i="141"/>
  <c r="L36" i="141" s="1"/>
  <c r="G37" i="141"/>
  <c r="D37" i="141"/>
  <c r="O36" i="141"/>
  <c r="N36" i="141"/>
  <c r="K36" i="141"/>
  <c r="J36" i="141"/>
  <c r="I36" i="141"/>
  <c r="H36" i="141"/>
  <c r="G36" i="141"/>
  <c r="F36" i="141"/>
  <c r="E36" i="141"/>
  <c r="D36" i="141"/>
  <c r="C36" i="141"/>
  <c r="R35" i="141"/>
  <c r="L35" i="141"/>
  <c r="S35" i="141" s="1"/>
  <c r="F35" i="141"/>
  <c r="R34" i="141"/>
  <c r="L34" i="141"/>
  <c r="I34" i="141" s="1"/>
  <c r="G34" i="141"/>
  <c r="F34" i="141" s="1"/>
  <c r="C34" i="141"/>
  <c r="L33" i="141"/>
  <c r="I33" i="141" s="1"/>
  <c r="W33" i="141" s="1"/>
  <c r="G33" i="141"/>
  <c r="C33" i="141"/>
  <c r="R32" i="141"/>
  <c r="I32" i="141"/>
  <c r="W32" i="141" s="1"/>
  <c r="F32" i="141"/>
  <c r="D32" i="141"/>
  <c r="C32" i="141"/>
  <c r="P32" i="141" s="1"/>
  <c r="R31" i="141"/>
  <c r="I31" i="141"/>
  <c r="P31" i="141" s="1"/>
  <c r="F31" i="141"/>
  <c r="R30" i="141"/>
  <c r="P30" i="141"/>
  <c r="I30" i="141"/>
  <c r="W30" i="141" s="1"/>
  <c r="F30" i="141"/>
  <c r="R29" i="141"/>
  <c r="L29" i="141"/>
  <c r="I29" i="141"/>
  <c r="W29" i="141" s="1"/>
  <c r="G29" i="141"/>
  <c r="F29" i="141" s="1"/>
  <c r="C29" i="141"/>
  <c r="R28" i="141"/>
  <c r="L28" i="141"/>
  <c r="I28" i="141"/>
  <c r="W28" i="141" s="1"/>
  <c r="G28" i="141"/>
  <c r="F28" i="141" s="1"/>
  <c r="C28" i="141"/>
  <c r="R27" i="141"/>
  <c r="L27" i="141"/>
  <c r="I27" i="141"/>
  <c r="W27" i="141" s="1"/>
  <c r="G27" i="141"/>
  <c r="F27" i="141" s="1"/>
  <c r="C27" i="141"/>
  <c r="R26" i="141"/>
  <c r="L26" i="141"/>
  <c r="S26" i="141" s="1"/>
  <c r="I26" i="141"/>
  <c r="P26" i="141" s="1"/>
  <c r="F26" i="141"/>
  <c r="R25" i="141"/>
  <c r="L25" i="141"/>
  <c r="I25" i="141" s="1"/>
  <c r="F25" i="141"/>
  <c r="R24" i="141"/>
  <c r="L24" i="141"/>
  <c r="S24" i="141" s="1"/>
  <c r="F24" i="141"/>
  <c r="R23" i="141"/>
  <c r="L23" i="141"/>
  <c r="I23" i="141"/>
  <c r="W23" i="141" s="1"/>
  <c r="F23" i="141"/>
  <c r="R22" i="141"/>
  <c r="I22" i="141"/>
  <c r="P22" i="141" s="1"/>
  <c r="U21" i="141"/>
  <c r="R21" i="141"/>
  <c r="L21" i="141"/>
  <c r="S21" i="141" s="1"/>
  <c r="F21" i="141"/>
  <c r="R20" i="141"/>
  <c r="L20" i="141"/>
  <c r="I20" i="141" s="1"/>
  <c r="F20" i="141"/>
  <c r="R19" i="141"/>
  <c r="L19" i="141"/>
  <c r="I19" i="141" s="1"/>
  <c r="F19" i="141"/>
  <c r="U18" i="141"/>
  <c r="R18" i="141"/>
  <c r="L18" i="141"/>
  <c r="S18" i="141" s="1"/>
  <c r="F18" i="141"/>
  <c r="R17" i="141"/>
  <c r="L17" i="141"/>
  <c r="I17" i="141" s="1"/>
  <c r="F17" i="141"/>
  <c r="R16" i="141"/>
  <c r="L16" i="141"/>
  <c r="I16" i="141" s="1"/>
  <c r="F16" i="141"/>
  <c r="R15" i="141"/>
  <c r="L15" i="141"/>
  <c r="I15" i="141" s="1"/>
  <c r="F15" i="141"/>
  <c r="R14" i="141"/>
  <c r="L14" i="141"/>
  <c r="I14" i="141" s="1"/>
  <c r="F14" i="141"/>
  <c r="R13" i="141"/>
  <c r="L13" i="141"/>
  <c r="I13" i="141" s="1"/>
  <c r="F13" i="141"/>
  <c r="R12" i="141"/>
  <c r="L12" i="141"/>
  <c r="I12" i="141" s="1"/>
  <c r="F12" i="141"/>
  <c r="F11" i="141" s="1"/>
  <c r="F10" i="141" s="1"/>
  <c r="O11" i="141"/>
  <c r="N11" i="141"/>
  <c r="U11" i="141" s="1"/>
  <c r="U10" i="141" s="1"/>
  <c r="M11" i="141"/>
  <c r="K11" i="141"/>
  <c r="J11" i="141"/>
  <c r="H11" i="141"/>
  <c r="G11" i="141"/>
  <c r="E11" i="141"/>
  <c r="R11" i="141" s="1"/>
  <c r="R10" i="141" s="1"/>
  <c r="D11" i="141"/>
  <c r="C11" i="141"/>
  <c r="V10" i="141"/>
  <c r="T10" i="141"/>
  <c r="Q10" i="141"/>
  <c r="O10" i="141"/>
  <c r="N10" i="141"/>
  <c r="K10" i="141"/>
  <c r="L5" i="141" s="1"/>
  <c r="J10" i="141"/>
  <c r="H10" i="141"/>
  <c r="G10" i="141"/>
  <c r="E10" i="141"/>
  <c r="D10" i="141"/>
  <c r="W7" i="141"/>
  <c r="W6" i="141"/>
  <c r="F58" i="80"/>
  <c r="H57" i="80"/>
  <c r="K57" i="80" s="1"/>
  <c r="C57" i="80"/>
  <c r="I57" i="80" s="1"/>
  <c r="H56" i="80"/>
  <c r="K56" i="80" s="1"/>
  <c r="C56" i="80"/>
  <c r="I56" i="80" s="1"/>
  <c r="H55" i="80"/>
  <c r="H54" i="80" s="1"/>
  <c r="K54" i="80" s="1"/>
  <c r="C55" i="80"/>
  <c r="I55" i="80" s="1"/>
  <c r="N54" i="80"/>
  <c r="I54" i="80"/>
  <c r="G54" i="80"/>
  <c r="F54" i="80"/>
  <c r="E54" i="80"/>
  <c r="C54" i="80"/>
  <c r="N53" i="80"/>
  <c r="E53" i="80"/>
  <c r="K53" i="80" s="1"/>
  <c r="E52" i="80"/>
  <c r="K52" i="80" s="1"/>
  <c r="C52" i="80"/>
  <c r="G51" i="80"/>
  <c r="F51" i="80"/>
  <c r="H51" i="80" s="1"/>
  <c r="K51" i="80" s="1"/>
  <c r="E51" i="80"/>
  <c r="U50" i="80"/>
  <c r="T50" i="80"/>
  <c r="E50" i="80"/>
  <c r="C50" i="80" s="1"/>
  <c r="I50" i="80" s="1"/>
  <c r="U49" i="80"/>
  <c r="T49" i="80"/>
  <c r="E49" i="80"/>
  <c r="C49" i="80" s="1"/>
  <c r="G48" i="80"/>
  <c r="F48" i="80"/>
  <c r="G47" i="80"/>
  <c r="J46" i="80"/>
  <c r="F46" i="80"/>
  <c r="E46" i="80"/>
  <c r="C46" i="80" s="1"/>
  <c r="J45" i="80"/>
  <c r="F45" i="80"/>
  <c r="E45" i="80"/>
  <c r="E44" i="80" s="1"/>
  <c r="G44" i="80"/>
  <c r="F44" i="80"/>
  <c r="H44" i="80" s="1"/>
  <c r="J43" i="80"/>
  <c r="H43" i="80"/>
  <c r="K43" i="80" s="1"/>
  <c r="E43" i="80"/>
  <c r="C43" i="80"/>
  <c r="I43" i="80" s="1"/>
  <c r="J42" i="80"/>
  <c r="H42" i="80"/>
  <c r="K42" i="80" s="1"/>
  <c r="E42" i="80"/>
  <c r="E41" i="80" s="1"/>
  <c r="C42" i="80"/>
  <c r="I42" i="80" s="1"/>
  <c r="F41" i="80"/>
  <c r="H41" i="80" s="1"/>
  <c r="G40" i="80"/>
  <c r="E39" i="80"/>
  <c r="K39" i="80" s="1"/>
  <c r="E38" i="80"/>
  <c r="K38" i="80" s="1"/>
  <c r="C38" i="80"/>
  <c r="G37" i="80"/>
  <c r="F37" i="80"/>
  <c r="H37" i="80" s="1"/>
  <c r="F36" i="80"/>
  <c r="F34" i="80" s="1"/>
  <c r="F33" i="80" s="1"/>
  <c r="F35" i="80"/>
  <c r="H34" i="80"/>
  <c r="G34" i="80"/>
  <c r="G33" i="80" s="1"/>
  <c r="G32" i="80" s="1"/>
  <c r="G31" i="80" s="1"/>
  <c r="E34" i="80"/>
  <c r="C34" i="80"/>
  <c r="D32" i="80"/>
  <c r="D31" i="80"/>
  <c r="K30" i="80"/>
  <c r="J30" i="80"/>
  <c r="F30" i="80"/>
  <c r="I30" i="80" s="1"/>
  <c r="F29" i="80"/>
  <c r="F28" i="80"/>
  <c r="S27" i="80"/>
  <c r="F27" i="80"/>
  <c r="C27" i="80"/>
  <c r="K26" i="80"/>
  <c r="J26" i="80"/>
  <c r="I26" i="80"/>
  <c r="F26" i="80"/>
  <c r="K25" i="80"/>
  <c r="J25" i="80"/>
  <c r="I25" i="80"/>
  <c r="F25" i="80"/>
  <c r="F24" i="80"/>
  <c r="W23" i="80"/>
  <c r="S23" i="80"/>
  <c r="F23" i="80"/>
  <c r="I23" i="80" s="1"/>
  <c r="C23" i="80"/>
  <c r="T22" i="80"/>
  <c r="T23" i="80" s="1"/>
  <c r="H22" i="80"/>
  <c r="K22" i="80" s="1"/>
  <c r="F22" i="80"/>
  <c r="I22" i="80" s="1"/>
  <c r="C22" i="80"/>
  <c r="W21" i="80"/>
  <c r="T21" i="80"/>
  <c r="F21" i="80"/>
  <c r="F20" i="80"/>
  <c r="F19" i="80"/>
  <c r="F18" i="80"/>
  <c r="I18" i="80" s="1"/>
  <c r="C18" i="80"/>
  <c r="F17" i="80"/>
  <c r="C17" i="80"/>
  <c r="F16" i="80"/>
  <c r="F15" i="80"/>
  <c r="F14" i="80"/>
  <c r="C14" i="80"/>
  <c r="I14" i="80" s="1"/>
  <c r="G12" i="80"/>
  <c r="F12" i="80" s="1"/>
  <c r="I12" i="80" s="1"/>
  <c r="E12" i="80"/>
  <c r="D12" i="80"/>
  <c r="C12" i="80"/>
  <c r="H11" i="80"/>
  <c r="G11" i="80"/>
  <c r="W11" i="80" s="1"/>
  <c r="E11" i="80"/>
  <c r="C11" i="80" s="1"/>
  <c r="C10" i="80" s="1"/>
  <c r="D11" i="80"/>
  <c r="T10" i="80"/>
  <c r="N10" i="80"/>
  <c r="H10" i="80"/>
  <c r="D10" i="80"/>
  <c r="W9" i="80"/>
  <c r="U9" i="80"/>
  <c r="N3" i="80"/>
  <c r="N4" i="80" s="1"/>
  <c r="E60" i="79"/>
  <c r="P59" i="79"/>
  <c r="F59" i="79"/>
  <c r="E59" i="79"/>
  <c r="F58" i="79"/>
  <c r="E58" i="79"/>
  <c r="F57" i="79"/>
  <c r="E57" i="79"/>
  <c r="F56" i="79"/>
  <c r="D56" i="79"/>
  <c r="E56" i="79" s="1"/>
  <c r="C56" i="79"/>
  <c r="C55" i="79"/>
  <c r="E55" i="79" s="1"/>
  <c r="C54" i="79"/>
  <c r="F54" i="79" s="1"/>
  <c r="D53" i="79"/>
  <c r="D46" i="79" s="1"/>
  <c r="F52" i="79"/>
  <c r="E52" i="79"/>
  <c r="E51" i="79"/>
  <c r="D50" i="79"/>
  <c r="C50" i="79"/>
  <c r="F50" i="79" s="1"/>
  <c r="C49" i="79"/>
  <c r="E49" i="79" s="1"/>
  <c r="F48" i="79"/>
  <c r="E48" i="79"/>
  <c r="P47" i="79"/>
  <c r="D47" i="79"/>
  <c r="C47" i="79"/>
  <c r="E47" i="79" s="1"/>
  <c r="E44" i="79"/>
  <c r="F43" i="79"/>
  <c r="E43" i="79"/>
  <c r="F42" i="79"/>
  <c r="E42" i="79"/>
  <c r="F41" i="79"/>
  <c r="E41" i="79"/>
  <c r="G40" i="79"/>
  <c r="F40" i="79"/>
  <c r="E40" i="79"/>
  <c r="E39" i="79"/>
  <c r="F38" i="79"/>
  <c r="E38" i="79"/>
  <c r="F37" i="79"/>
  <c r="E37" i="79"/>
  <c r="F36" i="79"/>
  <c r="D36" i="79"/>
  <c r="E36" i="79" s="1"/>
  <c r="F35" i="79"/>
  <c r="E35" i="79"/>
  <c r="D35" i="79"/>
  <c r="F34" i="79"/>
  <c r="E34" i="79"/>
  <c r="F33" i="79"/>
  <c r="E33" i="79"/>
  <c r="D32" i="79"/>
  <c r="E32" i="79" s="1"/>
  <c r="E27" i="79" s="1"/>
  <c r="E31" i="79"/>
  <c r="F30" i="79"/>
  <c r="E30" i="79"/>
  <c r="F29" i="79"/>
  <c r="E29" i="79"/>
  <c r="F28" i="79"/>
  <c r="E28" i="79"/>
  <c r="P27" i="79"/>
  <c r="G27" i="79"/>
  <c r="C27" i="79"/>
  <c r="O28" i="79" s="1"/>
  <c r="E26" i="79"/>
  <c r="E25" i="79"/>
  <c r="E24" i="79"/>
  <c r="F23" i="79"/>
  <c r="E23" i="79"/>
  <c r="E22" i="79"/>
  <c r="E21" i="79"/>
  <c r="E20" i="79"/>
  <c r="E19" i="79"/>
  <c r="G18" i="79"/>
  <c r="E18" i="79"/>
  <c r="E17" i="79"/>
  <c r="D16" i="79"/>
  <c r="E16" i="79" s="1"/>
  <c r="E14" i="79" s="1"/>
  <c r="P15" i="79"/>
  <c r="E15" i="79"/>
  <c r="G14" i="79"/>
  <c r="D14" i="79"/>
  <c r="F14" i="79" s="1"/>
  <c r="C14" i="79"/>
  <c r="C13" i="79"/>
  <c r="O12" i="79" s="1"/>
  <c r="C11" i="79"/>
  <c r="D54" i="78"/>
  <c r="D53" i="78"/>
  <c r="C53" i="78"/>
  <c r="D52" i="78"/>
  <c r="C52" i="78"/>
  <c r="D51" i="78"/>
  <c r="C51" i="78"/>
  <c r="D50" i="78"/>
  <c r="D49" i="78"/>
  <c r="C49" i="78"/>
  <c r="D48" i="78"/>
  <c r="C48" i="78"/>
  <c r="D47" i="78"/>
  <c r="D43" i="78" s="1"/>
  <c r="D46" i="78"/>
  <c r="C46" i="78"/>
  <c r="D45" i="78"/>
  <c r="C45" i="78"/>
  <c r="D44" i="78"/>
  <c r="D42" i="78"/>
  <c r="C42" i="78"/>
  <c r="D41" i="78"/>
  <c r="C41" i="78"/>
  <c r="D40" i="78"/>
  <c r="D39" i="78"/>
  <c r="C39" i="78"/>
  <c r="D38" i="78"/>
  <c r="C38" i="78"/>
  <c r="C37" i="78" s="1"/>
  <c r="D37" i="78"/>
  <c r="D35" i="78"/>
  <c r="E35" i="78" s="1"/>
  <c r="C35" i="78"/>
  <c r="D34" i="78"/>
  <c r="C34" i="78"/>
  <c r="D33" i="78"/>
  <c r="D29" i="78" s="1"/>
  <c r="C32" i="78"/>
  <c r="C31" i="78"/>
  <c r="D26" i="78"/>
  <c r="C24" i="78"/>
  <c r="E24" i="78" s="1"/>
  <c r="E23" i="78"/>
  <c r="D22" i="78"/>
  <c r="C22" i="78"/>
  <c r="D21" i="78"/>
  <c r="F21" i="78" s="1"/>
  <c r="D19" i="78"/>
  <c r="D17" i="78"/>
  <c r="E16" i="78"/>
  <c r="D15" i="78"/>
  <c r="C15" i="78"/>
  <c r="C14" i="78"/>
  <c r="E14" i="78" s="1"/>
  <c r="D12" i="78"/>
  <c r="C12" i="78"/>
  <c r="D11" i="78"/>
  <c r="C11" i="78"/>
  <c r="D10" i="78"/>
  <c r="C10" i="78"/>
  <c r="C9" i="78" s="1"/>
  <c r="F8" i="78"/>
  <c r="G42" i="140"/>
  <c r="G41" i="140"/>
  <c r="G39" i="140"/>
  <c r="C39" i="140"/>
  <c r="G37" i="140"/>
  <c r="G36" i="140"/>
  <c r="G35" i="140"/>
  <c r="G34" i="140"/>
  <c r="F33" i="140"/>
  <c r="G32" i="140"/>
  <c r="F31" i="140"/>
  <c r="G30" i="140"/>
  <c r="G29" i="140"/>
  <c r="G28" i="140"/>
  <c r="G27" i="140"/>
  <c r="E26" i="140"/>
  <c r="G26" i="140" s="1"/>
  <c r="D26" i="140"/>
  <c r="C26" i="140"/>
  <c r="D24" i="140"/>
  <c r="F23" i="140"/>
  <c r="E23" i="140"/>
  <c r="D23" i="140"/>
  <c r="C23" i="140"/>
  <c r="G22" i="140"/>
  <c r="G21" i="140"/>
  <c r="G20" i="140"/>
  <c r="G19" i="140"/>
  <c r="G18" i="140"/>
  <c r="E17" i="140"/>
  <c r="G17" i="140" s="1"/>
  <c r="D17" i="140"/>
  <c r="C17" i="140"/>
  <c r="G14" i="140"/>
  <c r="D13" i="140"/>
  <c r="D11" i="140" s="1"/>
  <c r="D10" i="140" s="1"/>
  <c r="D9" i="140" s="1"/>
  <c r="F11" i="140"/>
  <c r="C11" i="140"/>
  <c r="G11" i="140" s="1"/>
  <c r="F10" i="140"/>
  <c r="F9" i="140" s="1"/>
  <c r="G25" i="76"/>
  <c r="H24" i="76"/>
  <c r="D21" i="76"/>
  <c r="D19" i="76"/>
  <c r="D18" i="76"/>
  <c r="D17" i="76"/>
  <c r="D16" i="76"/>
  <c r="E16" i="76" s="1"/>
  <c r="C16" i="76"/>
  <c r="D15" i="76"/>
  <c r="C15" i="76"/>
  <c r="C14" i="76" s="1"/>
  <c r="C13" i="76"/>
  <c r="G57" i="75"/>
  <c r="F55" i="75"/>
  <c r="E55" i="75"/>
  <c r="F54" i="75"/>
  <c r="E54" i="75"/>
  <c r="F53" i="75"/>
  <c r="E53" i="75"/>
  <c r="E52" i="75"/>
  <c r="D52" i="75"/>
  <c r="F52" i="75" s="1"/>
  <c r="C52" i="75"/>
  <c r="F51" i="75"/>
  <c r="E51" i="75"/>
  <c r="F50" i="75"/>
  <c r="E50" i="75"/>
  <c r="E49" i="75"/>
  <c r="C49" i="75"/>
  <c r="F49" i="75" s="1"/>
  <c r="F48" i="75"/>
  <c r="E48" i="75"/>
  <c r="F47" i="75"/>
  <c r="E47" i="75"/>
  <c r="D46" i="75"/>
  <c r="E46" i="75" s="1"/>
  <c r="C46" i="75"/>
  <c r="D45" i="75"/>
  <c r="E45" i="75" s="1"/>
  <c r="C45" i="75"/>
  <c r="F44" i="75"/>
  <c r="E44" i="75"/>
  <c r="F43" i="75"/>
  <c r="E43" i="75"/>
  <c r="C42" i="75"/>
  <c r="E42" i="75" s="1"/>
  <c r="F41" i="75"/>
  <c r="E41" i="75"/>
  <c r="F40" i="75"/>
  <c r="E40" i="75"/>
  <c r="E39" i="75"/>
  <c r="C39" i="75"/>
  <c r="F39" i="75" s="1"/>
  <c r="D38" i="75"/>
  <c r="D30" i="75" s="1"/>
  <c r="F37" i="75"/>
  <c r="E37" i="75"/>
  <c r="F36" i="75"/>
  <c r="E36" i="75"/>
  <c r="F35" i="75"/>
  <c r="C35" i="75"/>
  <c r="E35" i="75" s="1"/>
  <c r="F34" i="75"/>
  <c r="E34" i="75"/>
  <c r="F33" i="75"/>
  <c r="E33" i="75"/>
  <c r="C32" i="75"/>
  <c r="E32" i="75" s="1"/>
  <c r="D31" i="75"/>
  <c r="F31" i="75" s="1"/>
  <c r="C31" i="75"/>
  <c r="E31" i="75" s="1"/>
  <c r="H28" i="75"/>
  <c r="E28" i="75"/>
  <c r="G27" i="75"/>
  <c r="F27" i="75"/>
  <c r="E27" i="75"/>
  <c r="H26" i="75"/>
  <c r="F26" i="75"/>
  <c r="E26" i="75"/>
  <c r="G25" i="75"/>
  <c r="F25" i="75"/>
  <c r="E25" i="75"/>
  <c r="D24" i="75"/>
  <c r="F24" i="75" s="1"/>
  <c r="F23" i="75"/>
  <c r="E23" i="75"/>
  <c r="C22" i="75"/>
  <c r="H21" i="75"/>
  <c r="G20" i="75"/>
  <c r="E20" i="75"/>
  <c r="H19" i="75"/>
  <c r="E19" i="75"/>
  <c r="E18" i="75"/>
  <c r="E17" i="75"/>
  <c r="G16" i="75"/>
  <c r="F16" i="75"/>
  <c r="E16" i="75"/>
  <c r="D16" i="75"/>
  <c r="H15" i="75"/>
  <c r="F15" i="75"/>
  <c r="E15" i="75"/>
  <c r="E14" i="75" s="1"/>
  <c r="E10" i="75" s="1"/>
  <c r="C15" i="75"/>
  <c r="D14" i="75"/>
  <c r="F14" i="75" s="1"/>
  <c r="C14" i="75"/>
  <c r="G12" i="75"/>
  <c r="C11" i="75"/>
  <c r="C10" i="75"/>
  <c r="F49" i="79" l="1"/>
  <c r="C39" i="80"/>
  <c r="I39" i="80" s="1"/>
  <c r="F47" i="80"/>
  <c r="C51" i="80"/>
  <c r="I51" i="80" s="1"/>
  <c r="E37" i="80"/>
  <c r="E33" i="80" s="1"/>
  <c r="E22" i="78"/>
  <c r="C33" i="78"/>
  <c r="E38" i="78"/>
  <c r="C40" i="78"/>
  <c r="E40" i="78" s="1"/>
  <c r="C50" i="78"/>
  <c r="E50" i="78" s="1"/>
  <c r="D9" i="80"/>
  <c r="N34" i="80"/>
  <c r="I38" i="80"/>
  <c r="Q39" i="80"/>
  <c r="E40" i="80"/>
  <c r="K49" i="80"/>
  <c r="C53" i="80"/>
  <c r="I53" i="80" s="1"/>
  <c r="F47" i="79"/>
  <c r="E54" i="79"/>
  <c r="D13" i="79"/>
  <c r="E12" i="78"/>
  <c r="C30" i="78"/>
  <c r="C29" i="78" s="1"/>
  <c r="E34" i="78"/>
  <c r="C36" i="78"/>
  <c r="E41" i="78"/>
  <c r="E46" i="78"/>
  <c r="E10" i="78"/>
  <c r="E39" i="78"/>
  <c r="C44" i="78"/>
  <c r="E49" i="78"/>
  <c r="E51" i="78"/>
  <c r="E53" i="78"/>
  <c r="E37" i="78"/>
  <c r="E11" i="78"/>
  <c r="E33" i="78"/>
  <c r="E42" i="78"/>
  <c r="E45" i="78"/>
  <c r="E48" i="78"/>
  <c r="E52" i="78"/>
  <c r="D14" i="76"/>
  <c r="D12" i="76" s="1"/>
  <c r="D26" i="76" s="1"/>
  <c r="E15" i="76"/>
  <c r="A1" i="194"/>
  <c r="A1" i="138" s="1"/>
  <c r="A1" i="88"/>
  <c r="E14" i="76"/>
  <c r="I46" i="80"/>
  <c r="C12" i="76"/>
  <c r="A4" i="84"/>
  <c r="A4" i="194" s="1"/>
  <c r="A4" i="138" s="1"/>
  <c r="A4" i="141"/>
  <c r="A4" i="82"/>
  <c r="R12" i="194"/>
  <c r="C9" i="82"/>
  <c r="Y9" i="82" s="1"/>
  <c r="P13" i="141"/>
  <c r="W13" i="141"/>
  <c r="P17" i="141"/>
  <c r="W17" i="141"/>
  <c r="P34" i="141"/>
  <c r="W34" i="141"/>
  <c r="W12" i="141"/>
  <c r="P12" i="141"/>
  <c r="W16" i="141"/>
  <c r="P16" i="141"/>
  <c r="P15" i="141"/>
  <c r="W15" i="141"/>
  <c r="P20" i="141"/>
  <c r="W20" i="141"/>
  <c r="W25" i="141"/>
  <c r="P25" i="141"/>
  <c r="W14" i="141"/>
  <c r="P14" i="141"/>
  <c r="W19" i="141"/>
  <c r="P19" i="141"/>
  <c r="P23" i="141"/>
  <c r="I24" i="141"/>
  <c r="P27" i="141"/>
  <c r="P28" i="141"/>
  <c r="P29" i="141"/>
  <c r="W31" i="141"/>
  <c r="L11" i="141"/>
  <c r="W26" i="141"/>
  <c r="I35" i="141"/>
  <c r="I18" i="141"/>
  <c r="I21" i="141"/>
  <c r="K37" i="80"/>
  <c r="H33" i="80"/>
  <c r="K44" i="80"/>
  <c r="K41" i="80"/>
  <c r="H40" i="80"/>
  <c r="K40" i="80" s="1"/>
  <c r="I49" i="80"/>
  <c r="C48" i="80"/>
  <c r="C47" i="80" s="1"/>
  <c r="I47" i="80" s="1"/>
  <c r="C41" i="80"/>
  <c r="I41" i="80" s="1"/>
  <c r="K46" i="80"/>
  <c r="H48" i="80"/>
  <c r="K50" i="80"/>
  <c r="I52" i="80"/>
  <c r="E10" i="80"/>
  <c r="F11" i="80"/>
  <c r="T11" i="80"/>
  <c r="C45" i="80"/>
  <c r="E48" i="80"/>
  <c r="E47" i="80" s="1"/>
  <c r="I48" i="80"/>
  <c r="U11" i="80"/>
  <c r="T12" i="80"/>
  <c r="T14" i="80" s="1"/>
  <c r="K45" i="80"/>
  <c r="K55" i="80"/>
  <c r="G10" i="80"/>
  <c r="G9" i="80" s="1"/>
  <c r="F40" i="80"/>
  <c r="D45" i="79"/>
  <c r="F32" i="79"/>
  <c r="F55" i="79"/>
  <c r="E11" i="79"/>
  <c r="P13" i="79"/>
  <c r="D27" i="79"/>
  <c r="E13" i="79"/>
  <c r="E50" i="79"/>
  <c r="C12" i="79"/>
  <c r="C53" i="79"/>
  <c r="C46" i="79" s="1"/>
  <c r="C45" i="79" s="1"/>
  <c r="E29" i="78"/>
  <c r="E44" i="78"/>
  <c r="D36" i="78"/>
  <c r="C47" i="78"/>
  <c r="C43" i="78" s="1"/>
  <c r="C10" i="140"/>
  <c r="C9" i="140" s="1"/>
  <c r="E10" i="140"/>
  <c r="G12" i="76"/>
  <c r="C22" i="76"/>
  <c r="D29" i="75"/>
  <c r="D22" i="75"/>
  <c r="D10" i="75"/>
  <c r="E24" i="75"/>
  <c r="F42" i="75"/>
  <c r="F45" i="75"/>
  <c r="F46" i="75"/>
  <c r="C38" i="75"/>
  <c r="C10" i="79" l="1"/>
  <c r="E32" i="80"/>
  <c r="E31" i="80" s="1"/>
  <c r="C37" i="80"/>
  <c r="E46" i="79"/>
  <c r="F13" i="79"/>
  <c r="O13" i="79"/>
  <c r="O14" i="79" s="1"/>
  <c r="E36" i="78"/>
  <c r="E12" i="76"/>
  <c r="G22" i="76"/>
  <c r="A4" i="58"/>
  <c r="A4" i="59"/>
  <c r="A4" i="60" s="1"/>
  <c r="A7" i="176" s="1"/>
  <c r="W21" i="141"/>
  <c r="P21" i="141"/>
  <c r="S11" i="141"/>
  <c r="S10" i="141" s="1"/>
  <c r="L10" i="141"/>
  <c r="W18" i="141"/>
  <c r="P18" i="141"/>
  <c r="W24" i="141"/>
  <c r="P24" i="141"/>
  <c r="W35" i="141"/>
  <c r="P35" i="141"/>
  <c r="I11" i="141"/>
  <c r="U12" i="80"/>
  <c r="U14" i="80" s="1"/>
  <c r="F10" i="80"/>
  <c r="I11" i="80"/>
  <c r="K48" i="80"/>
  <c r="H47" i="80"/>
  <c r="K47" i="80" s="1"/>
  <c r="E9" i="80"/>
  <c r="K10" i="80"/>
  <c r="C44" i="80"/>
  <c r="I44" i="80" s="1"/>
  <c r="I45" i="80"/>
  <c r="H32" i="80"/>
  <c r="K33" i="80"/>
  <c r="N23" i="80"/>
  <c r="N16" i="80"/>
  <c r="T8" i="80"/>
  <c r="F32" i="80"/>
  <c r="O10" i="79"/>
  <c r="D6" i="79"/>
  <c r="G16" i="79"/>
  <c r="F46" i="79"/>
  <c r="E53" i="79"/>
  <c r="F45" i="79"/>
  <c r="E45" i="79"/>
  <c r="F53" i="79"/>
  <c r="D12" i="79"/>
  <c r="F27" i="79"/>
  <c r="P28" i="79"/>
  <c r="G29" i="79"/>
  <c r="I29" i="79" s="1"/>
  <c r="G28" i="79"/>
  <c r="P14" i="79"/>
  <c r="P16" i="79" s="1"/>
  <c r="C28" i="78"/>
  <c r="C27" i="78" s="1"/>
  <c r="E43" i="78"/>
  <c r="D28" i="78"/>
  <c r="E47" i="78"/>
  <c r="G10" i="140"/>
  <c r="E9" i="140"/>
  <c r="G9" i="140" s="1"/>
  <c r="C21" i="76"/>
  <c r="E22" i="76"/>
  <c r="F38" i="75"/>
  <c r="C30" i="75"/>
  <c r="E38" i="75"/>
  <c r="F10" i="75"/>
  <c r="F22" i="75"/>
  <c r="D21" i="75"/>
  <c r="D57" i="75" s="1"/>
  <c r="E57" i="75" s="1"/>
  <c r="E22" i="75"/>
  <c r="I37" i="80" l="1"/>
  <c r="C33" i="80"/>
  <c r="I33" i="80" s="1"/>
  <c r="P11" i="141"/>
  <c r="P10" i="141" s="1"/>
  <c r="I10" i="141"/>
  <c r="H31" i="80"/>
  <c r="K32" i="80"/>
  <c r="F31" i="80"/>
  <c r="F9" i="80" s="1"/>
  <c r="I10" i="80"/>
  <c r="C40" i="80"/>
  <c r="F12" i="79"/>
  <c r="E12" i="79"/>
  <c r="D10" i="79"/>
  <c r="E28" i="78"/>
  <c r="D27" i="78"/>
  <c r="H21" i="76"/>
  <c r="F22" i="76"/>
  <c r="G14" i="76"/>
  <c r="H23" i="76"/>
  <c r="E21" i="76"/>
  <c r="G21" i="76"/>
  <c r="I28" i="75"/>
  <c r="G21" i="75"/>
  <c r="C29" i="75"/>
  <c r="F30" i="75"/>
  <c r="E30" i="75"/>
  <c r="W9" i="141" l="1"/>
  <c r="W11" i="141"/>
  <c r="M5" i="141"/>
  <c r="I40" i="80"/>
  <c r="C32" i="80"/>
  <c r="H9" i="80"/>
  <c r="K31" i="80"/>
  <c r="G19" i="79"/>
  <c r="P11" i="79"/>
  <c r="F10" i="79"/>
  <c r="E10" i="79"/>
  <c r="E27" i="78"/>
  <c r="D9" i="78"/>
  <c r="G15" i="76"/>
  <c r="C21" i="75"/>
  <c r="E29" i="75"/>
  <c r="F29" i="75"/>
  <c r="C31" i="80" l="1"/>
  <c r="I32" i="80"/>
  <c r="N14" i="80"/>
  <c r="U10" i="80"/>
  <c r="K9" i="80"/>
  <c r="E9" i="78"/>
  <c r="G7" i="78"/>
  <c r="F9" i="78"/>
  <c r="F21" i="75"/>
  <c r="E21" i="75"/>
  <c r="C9" i="80" l="1"/>
  <c r="I9" i="80" s="1"/>
  <c r="I31" i="80"/>
  <c r="C45" i="60" l="1"/>
  <c r="D45" i="60"/>
  <c r="E34" i="60"/>
  <c r="F33" i="60"/>
  <c r="E33" i="60" s="1"/>
  <c r="F32" i="60"/>
  <c r="F31" i="60"/>
  <c r="F30" i="60"/>
  <c r="F29" i="60"/>
  <c r="F28" i="60"/>
  <c r="F26" i="60"/>
  <c r="F25" i="60"/>
  <c r="F24" i="60"/>
  <c r="F18" i="60"/>
  <c r="F14" i="60"/>
  <c r="S266" i="163"/>
  <c r="S155" i="163"/>
  <c r="S73" i="163"/>
  <c r="S30" i="163"/>
  <c r="V30" i="163" s="1"/>
  <c r="S11" i="163"/>
  <c r="F39" i="60" l="1"/>
  <c r="E39" i="60" s="1"/>
  <c r="D39" i="60"/>
  <c r="D24" i="60"/>
  <c r="D25" i="60"/>
  <c r="D26" i="60"/>
  <c r="D27" i="60"/>
  <c r="D28" i="60"/>
  <c r="D29" i="60"/>
  <c r="D30" i="60"/>
  <c r="D31" i="60"/>
  <c r="D32" i="60"/>
  <c r="D33" i="60"/>
  <c r="D34" i="60"/>
  <c r="D38" i="60"/>
  <c r="A5" i="193" l="1"/>
  <c r="A5" i="163" s="1"/>
  <c r="F15" i="174" l="1"/>
  <c r="E15" i="174"/>
  <c r="E14" i="174"/>
  <c r="D14" i="174"/>
  <c r="E13" i="174"/>
  <c r="F12" i="174"/>
  <c r="E12" i="174"/>
  <c r="D12" i="174"/>
  <c r="F10" i="174"/>
  <c r="E10" i="174"/>
  <c r="D10" i="174"/>
  <c r="F9" i="174"/>
  <c r="E9" i="174"/>
  <c r="F8" i="174"/>
  <c r="E8" i="174"/>
  <c r="D8" i="174"/>
  <c r="E6" i="174"/>
  <c r="F5" i="174"/>
  <c r="E5" i="174"/>
  <c r="D5" i="174"/>
  <c r="E27" i="173"/>
  <c r="E26" i="173"/>
  <c r="F25" i="173"/>
  <c r="E25" i="173"/>
  <c r="E24" i="173"/>
  <c r="D24" i="173"/>
  <c r="E23" i="173"/>
  <c r="F22" i="173"/>
  <c r="E22" i="173"/>
  <c r="D22" i="173"/>
  <c r="F20" i="173"/>
  <c r="E20" i="173"/>
  <c r="D20" i="173"/>
  <c r="F18" i="173"/>
  <c r="E18" i="173"/>
  <c r="F17" i="173"/>
  <c r="E17" i="173"/>
  <c r="D17" i="173"/>
  <c r="E16" i="173"/>
  <c r="E15" i="173"/>
  <c r="E14" i="173"/>
  <c r="E13" i="173"/>
  <c r="E12" i="173"/>
  <c r="E11" i="173"/>
  <c r="D11" i="173"/>
  <c r="F10" i="173"/>
  <c r="E10" i="173"/>
  <c r="F9" i="173"/>
  <c r="E9" i="173"/>
  <c r="D9" i="173"/>
  <c r="E7" i="173"/>
  <c r="E6" i="173"/>
  <c r="F5" i="173"/>
  <c r="E5" i="173"/>
  <c r="D5" i="173"/>
  <c r="B70" i="172"/>
  <c r="F51" i="172"/>
  <c r="F50" i="172"/>
  <c r="F49" i="172"/>
  <c r="Q47" i="172"/>
  <c r="P47" i="172"/>
  <c r="O47" i="172"/>
  <c r="N47" i="172"/>
  <c r="M47" i="172"/>
  <c r="L47" i="172"/>
  <c r="K47" i="172"/>
  <c r="J47" i="172"/>
  <c r="I47" i="172"/>
  <c r="H47" i="172"/>
  <c r="G47" i="172"/>
  <c r="F47" i="172"/>
  <c r="E47" i="172"/>
  <c r="M43" i="172"/>
  <c r="L43" i="172"/>
  <c r="J43" i="172"/>
  <c r="I43" i="172"/>
  <c r="E43" i="172"/>
  <c r="M42" i="172"/>
  <c r="L42" i="172"/>
  <c r="J42" i="172"/>
  <c r="I42" i="172"/>
  <c r="E42" i="172"/>
  <c r="M41" i="172"/>
  <c r="L41" i="172"/>
  <c r="K41" i="172"/>
  <c r="J41" i="172"/>
  <c r="I41" i="172"/>
  <c r="G41" i="172"/>
  <c r="F41" i="172"/>
  <c r="E41" i="172"/>
  <c r="Q40" i="172"/>
  <c r="O40" i="172"/>
  <c r="M40" i="172"/>
  <c r="L40" i="172"/>
  <c r="J40" i="172"/>
  <c r="I40" i="172"/>
  <c r="H40" i="172"/>
  <c r="E40" i="172"/>
  <c r="M39" i="172"/>
  <c r="L39" i="172"/>
  <c r="J39" i="172"/>
  <c r="I39" i="172"/>
  <c r="E39" i="172"/>
  <c r="Q38" i="172"/>
  <c r="P38" i="172"/>
  <c r="O38" i="172"/>
  <c r="M38" i="172"/>
  <c r="L38" i="172"/>
  <c r="K38" i="172"/>
  <c r="J38" i="172"/>
  <c r="I38" i="172"/>
  <c r="H38" i="172"/>
  <c r="G38" i="172"/>
  <c r="F38" i="172"/>
  <c r="E38" i="172"/>
  <c r="M37" i="172"/>
  <c r="L37" i="172"/>
  <c r="I37" i="172"/>
  <c r="E37" i="172"/>
  <c r="Q36" i="172"/>
  <c r="O36" i="172"/>
  <c r="M36" i="172"/>
  <c r="L36" i="172"/>
  <c r="K36" i="172"/>
  <c r="J36" i="172"/>
  <c r="I36" i="172"/>
  <c r="G36" i="172"/>
  <c r="F36" i="172"/>
  <c r="E36" i="172"/>
  <c r="M35" i="172"/>
  <c r="L35" i="172"/>
  <c r="I35" i="172"/>
  <c r="E35" i="172"/>
  <c r="M34" i="172"/>
  <c r="L34" i="172"/>
  <c r="I34" i="172"/>
  <c r="E34" i="172"/>
  <c r="M33" i="172"/>
  <c r="L33" i="172"/>
  <c r="K33" i="172"/>
  <c r="J33" i="172"/>
  <c r="I33" i="172"/>
  <c r="G33" i="172"/>
  <c r="F33" i="172"/>
  <c r="E33" i="172"/>
  <c r="K32" i="172"/>
  <c r="I32" i="172"/>
  <c r="E32" i="172"/>
  <c r="M31" i="172"/>
  <c r="L31" i="172"/>
  <c r="J31" i="172"/>
  <c r="I31" i="172"/>
  <c r="G31" i="172"/>
  <c r="F31" i="172"/>
  <c r="E31" i="172"/>
  <c r="Q30" i="172"/>
  <c r="P30" i="172"/>
  <c r="O30" i="172"/>
  <c r="M30" i="172"/>
  <c r="L30" i="172"/>
  <c r="K30" i="172"/>
  <c r="J30" i="172"/>
  <c r="I30" i="172"/>
  <c r="G30" i="172"/>
  <c r="F30" i="172"/>
  <c r="E30" i="172"/>
  <c r="N29" i="172"/>
  <c r="M29" i="172"/>
  <c r="L29" i="172"/>
  <c r="E29" i="172"/>
  <c r="N28" i="172"/>
  <c r="M28" i="172"/>
  <c r="L28" i="172"/>
  <c r="E28" i="172"/>
  <c r="N27" i="172"/>
  <c r="M27" i="172"/>
  <c r="L27" i="172"/>
  <c r="E27" i="172"/>
  <c r="N26" i="172"/>
  <c r="M26" i="172"/>
  <c r="L26" i="172"/>
  <c r="G26" i="172"/>
  <c r="F26" i="172"/>
  <c r="E26" i="172"/>
  <c r="Q25" i="172"/>
  <c r="O25" i="172"/>
  <c r="M25" i="172"/>
  <c r="L25" i="172"/>
  <c r="E25" i="172"/>
  <c r="Q24" i="172"/>
  <c r="O24" i="172"/>
  <c r="M24" i="172"/>
  <c r="L24" i="172"/>
  <c r="J24" i="172"/>
  <c r="I24" i="172"/>
  <c r="E24" i="172"/>
  <c r="Q23" i="172"/>
  <c r="O23" i="172"/>
  <c r="M23" i="172"/>
  <c r="L23" i="172"/>
  <c r="H23" i="172"/>
  <c r="E23" i="172"/>
  <c r="Q22" i="172"/>
  <c r="O22" i="172"/>
  <c r="M22" i="172"/>
  <c r="L22" i="172"/>
  <c r="H22" i="172"/>
  <c r="E22" i="172"/>
  <c r="Q21" i="172"/>
  <c r="O21" i="172"/>
  <c r="M21" i="172"/>
  <c r="L21" i="172"/>
  <c r="H21" i="172"/>
  <c r="E21" i="172"/>
  <c r="Q20" i="172"/>
  <c r="P20" i="172"/>
  <c r="O20" i="172"/>
  <c r="M20" i="172"/>
  <c r="L20" i="172"/>
  <c r="K20" i="172"/>
  <c r="J20" i="172"/>
  <c r="I20" i="172"/>
  <c r="H20" i="172"/>
  <c r="G20" i="172"/>
  <c r="F20" i="172"/>
  <c r="E20" i="172"/>
  <c r="M19" i="172"/>
  <c r="E19" i="172"/>
  <c r="J18" i="172"/>
  <c r="I18" i="172"/>
  <c r="E18" i="172"/>
  <c r="K17" i="172"/>
  <c r="J17" i="172"/>
  <c r="I17" i="172"/>
  <c r="E17" i="172"/>
  <c r="M16" i="172"/>
  <c r="L16" i="172"/>
  <c r="K16" i="172"/>
  <c r="J16" i="172"/>
  <c r="I16" i="172"/>
  <c r="E16" i="172"/>
  <c r="K15" i="172"/>
  <c r="J15" i="172"/>
  <c r="I15" i="172"/>
  <c r="E15" i="172"/>
  <c r="K14" i="172"/>
  <c r="J14" i="172"/>
  <c r="I14" i="172"/>
  <c r="E14" i="172"/>
  <c r="K13" i="172"/>
  <c r="J13" i="172"/>
  <c r="I13" i="172"/>
  <c r="E13" i="172"/>
  <c r="K12" i="172"/>
  <c r="J12" i="172"/>
  <c r="I12" i="172"/>
  <c r="E12" i="172"/>
  <c r="K11" i="172"/>
  <c r="J11" i="172"/>
  <c r="I11" i="172"/>
  <c r="E11" i="172"/>
  <c r="K10" i="172"/>
  <c r="I10" i="172"/>
  <c r="E10" i="172"/>
  <c r="K9" i="172"/>
  <c r="J9" i="172"/>
  <c r="I9" i="172"/>
  <c r="E9" i="172"/>
  <c r="K8" i="172"/>
  <c r="J8" i="172"/>
  <c r="I8" i="172"/>
  <c r="E8" i="172"/>
  <c r="M7" i="172"/>
  <c r="L7" i="172"/>
  <c r="K7" i="172"/>
  <c r="J7" i="172"/>
  <c r="I7" i="172"/>
  <c r="G7" i="172"/>
  <c r="F7" i="172"/>
  <c r="E7" i="172"/>
  <c r="Q6" i="172"/>
  <c r="P6" i="172"/>
  <c r="O6" i="172"/>
  <c r="N6" i="172"/>
  <c r="M6" i="172"/>
  <c r="L6" i="172"/>
  <c r="K6" i="172"/>
  <c r="J6" i="172"/>
  <c r="I6" i="172"/>
  <c r="G6" i="172"/>
  <c r="F6" i="172"/>
  <c r="E6" i="172"/>
  <c r="S5" i="172"/>
  <c r="Q5" i="172"/>
  <c r="O5" i="172"/>
  <c r="N5" i="172"/>
  <c r="M5" i="172"/>
  <c r="L5" i="172"/>
  <c r="K5" i="172"/>
  <c r="J5" i="172"/>
  <c r="I5" i="172"/>
  <c r="H5" i="172"/>
  <c r="G5" i="172"/>
  <c r="F5" i="172"/>
  <c r="E5" i="172"/>
  <c r="F2" i="172"/>
  <c r="Q144" i="170"/>
  <c r="H144" i="170"/>
  <c r="E144" i="170"/>
  <c r="Q143" i="170"/>
  <c r="H143" i="170"/>
  <c r="F143" i="170"/>
  <c r="E143" i="170"/>
  <c r="Q142" i="170"/>
  <c r="H142" i="170"/>
  <c r="E142" i="170"/>
  <c r="Q141" i="170"/>
  <c r="H141" i="170"/>
  <c r="F141" i="170"/>
  <c r="E141" i="170"/>
  <c r="Q140" i="170"/>
  <c r="H140" i="170"/>
  <c r="E140" i="170"/>
  <c r="Q139" i="170"/>
  <c r="H139" i="170"/>
  <c r="G139" i="170"/>
  <c r="F139" i="170"/>
  <c r="E139" i="170"/>
  <c r="Q138" i="170"/>
  <c r="H138" i="170"/>
  <c r="E138" i="170"/>
  <c r="Q137" i="170"/>
  <c r="H137" i="170"/>
  <c r="F137" i="170"/>
  <c r="E137" i="170"/>
  <c r="Q136" i="170"/>
  <c r="O136" i="170"/>
  <c r="N136" i="170"/>
  <c r="K136" i="170"/>
  <c r="H136" i="170"/>
  <c r="G136" i="170"/>
  <c r="F136" i="170"/>
  <c r="E136" i="170"/>
  <c r="Q135" i="170"/>
  <c r="O135" i="170"/>
  <c r="N135" i="170"/>
  <c r="K135" i="170"/>
  <c r="H135" i="170"/>
  <c r="E135" i="170"/>
  <c r="Q134" i="170"/>
  <c r="O134" i="170"/>
  <c r="N134" i="170"/>
  <c r="K134" i="170"/>
  <c r="H134" i="170"/>
  <c r="E134" i="170"/>
  <c r="Q133" i="170"/>
  <c r="N133" i="170"/>
  <c r="K133" i="170"/>
  <c r="H133" i="170"/>
  <c r="E133" i="170"/>
  <c r="Q132" i="170"/>
  <c r="N132" i="170"/>
  <c r="K132" i="170"/>
  <c r="H132" i="170"/>
  <c r="E132" i="170"/>
  <c r="Q131" i="170"/>
  <c r="O131" i="170"/>
  <c r="N131" i="170"/>
  <c r="K131" i="170"/>
  <c r="H131" i="170"/>
  <c r="E131" i="170"/>
  <c r="Q130" i="170"/>
  <c r="N130" i="170"/>
  <c r="K130" i="170"/>
  <c r="H130" i="170"/>
  <c r="E130" i="170"/>
  <c r="Q129" i="170"/>
  <c r="O129" i="170"/>
  <c r="N129" i="170"/>
  <c r="K129" i="170"/>
  <c r="H129" i="170"/>
  <c r="E129" i="170"/>
  <c r="R128" i="170"/>
  <c r="Q128" i="170"/>
  <c r="O128" i="170"/>
  <c r="N128" i="170"/>
  <c r="M128" i="170"/>
  <c r="L128" i="170"/>
  <c r="K128" i="170"/>
  <c r="H128" i="170"/>
  <c r="G128" i="170"/>
  <c r="F128" i="170"/>
  <c r="E128" i="170"/>
  <c r="Q127" i="170"/>
  <c r="P127" i="170"/>
  <c r="O127" i="170"/>
  <c r="N127" i="170"/>
  <c r="M127" i="170"/>
  <c r="L127" i="170"/>
  <c r="K127" i="170"/>
  <c r="H127" i="170"/>
  <c r="G127" i="170"/>
  <c r="F127" i="170"/>
  <c r="E127" i="170"/>
  <c r="Q126" i="170"/>
  <c r="H126" i="170"/>
  <c r="E126" i="170"/>
  <c r="Q125" i="170"/>
  <c r="J125" i="170"/>
  <c r="I125" i="170"/>
  <c r="H125" i="170"/>
  <c r="G125" i="170"/>
  <c r="F125" i="170"/>
  <c r="E125" i="170"/>
  <c r="Q124" i="170"/>
  <c r="H124" i="170"/>
  <c r="E124" i="170"/>
  <c r="Q123" i="170"/>
  <c r="H123" i="170"/>
  <c r="E123" i="170"/>
  <c r="Q122" i="170"/>
  <c r="H122" i="170"/>
  <c r="E122" i="170"/>
  <c r="Q121" i="170"/>
  <c r="H121" i="170"/>
  <c r="F121" i="170"/>
  <c r="E121" i="170"/>
  <c r="Q120" i="170"/>
  <c r="O120" i="170"/>
  <c r="N120" i="170"/>
  <c r="K120" i="170"/>
  <c r="J120" i="170"/>
  <c r="I120" i="170"/>
  <c r="H120" i="170"/>
  <c r="G120" i="170"/>
  <c r="F120" i="170"/>
  <c r="E120" i="170"/>
  <c r="Q119" i="170"/>
  <c r="O119" i="170"/>
  <c r="N119" i="170"/>
  <c r="L119" i="170"/>
  <c r="K119" i="170"/>
  <c r="H119" i="170"/>
  <c r="G119" i="170"/>
  <c r="F119" i="170"/>
  <c r="E119" i="170"/>
  <c r="Q118" i="170"/>
  <c r="O118" i="170"/>
  <c r="N118" i="170"/>
  <c r="H118" i="170"/>
  <c r="E118" i="170"/>
  <c r="Q117" i="170"/>
  <c r="O117" i="170"/>
  <c r="K117" i="170"/>
  <c r="H117" i="170"/>
  <c r="E117" i="170"/>
  <c r="Q116" i="170"/>
  <c r="O116" i="170"/>
  <c r="N116" i="170"/>
  <c r="K116" i="170"/>
  <c r="H116" i="170"/>
  <c r="E116" i="170"/>
  <c r="Q115" i="170"/>
  <c r="O115" i="170"/>
  <c r="N115" i="170"/>
  <c r="K115" i="170"/>
  <c r="H115" i="170"/>
  <c r="E115" i="170"/>
  <c r="Q114" i="170"/>
  <c r="O114" i="170"/>
  <c r="N114" i="170"/>
  <c r="K114" i="170"/>
  <c r="H114" i="170"/>
  <c r="E114" i="170"/>
  <c r="Q113" i="170"/>
  <c r="O113" i="170"/>
  <c r="N113" i="170"/>
  <c r="M113" i="170"/>
  <c r="L113" i="170"/>
  <c r="K113" i="170"/>
  <c r="H113" i="170"/>
  <c r="F113" i="170"/>
  <c r="E113" i="170"/>
  <c r="Q112" i="170"/>
  <c r="H112" i="170"/>
  <c r="E112" i="170"/>
  <c r="Q111" i="170"/>
  <c r="L111" i="170"/>
  <c r="H111" i="170"/>
  <c r="F111" i="170"/>
  <c r="E111" i="170"/>
  <c r="R110" i="170"/>
  <c r="Q110" i="170"/>
  <c r="O110" i="170"/>
  <c r="N110" i="170"/>
  <c r="M110" i="170"/>
  <c r="L110" i="170"/>
  <c r="K110" i="170"/>
  <c r="H110" i="170"/>
  <c r="G110" i="170"/>
  <c r="F110" i="170"/>
  <c r="E110" i="170"/>
  <c r="Q109" i="170"/>
  <c r="H109" i="170"/>
  <c r="E109" i="170"/>
  <c r="Q108" i="170"/>
  <c r="H108" i="170"/>
  <c r="E108" i="170"/>
  <c r="Q107" i="170"/>
  <c r="K107" i="170"/>
  <c r="H107" i="170"/>
  <c r="E107" i="170"/>
  <c r="Q106" i="170"/>
  <c r="K106" i="170"/>
  <c r="H106" i="170"/>
  <c r="E106" i="170"/>
  <c r="Q105" i="170"/>
  <c r="H105" i="170"/>
  <c r="F105" i="170"/>
  <c r="E105" i="170"/>
  <c r="Q104" i="170"/>
  <c r="O104" i="170"/>
  <c r="N104" i="170"/>
  <c r="K104" i="170"/>
  <c r="H104" i="170"/>
  <c r="F104" i="170"/>
  <c r="E104" i="170"/>
  <c r="Q103" i="170"/>
  <c r="H103" i="170"/>
  <c r="E103" i="170"/>
  <c r="Q102" i="170"/>
  <c r="H102" i="170"/>
  <c r="E102" i="170"/>
  <c r="Q101" i="170"/>
  <c r="H101" i="170"/>
  <c r="E101" i="170"/>
  <c r="Q100" i="170"/>
  <c r="H100" i="170"/>
  <c r="E100" i="170"/>
  <c r="Q99" i="170"/>
  <c r="H99" i="170"/>
  <c r="E99" i="170"/>
  <c r="Q98" i="170"/>
  <c r="H98" i="170"/>
  <c r="E98" i="170"/>
  <c r="Q97" i="170"/>
  <c r="H97" i="170"/>
  <c r="E97" i="170"/>
  <c r="Q96" i="170"/>
  <c r="O96" i="170"/>
  <c r="N96" i="170"/>
  <c r="K96" i="170"/>
  <c r="H96" i="170"/>
  <c r="G96" i="170"/>
  <c r="F96" i="170"/>
  <c r="E96" i="170"/>
  <c r="Q95" i="170"/>
  <c r="P95" i="170"/>
  <c r="O95" i="170"/>
  <c r="N95" i="170"/>
  <c r="M95" i="170"/>
  <c r="L95" i="170"/>
  <c r="K95" i="170"/>
  <c r="H95" i="170"/>
  <c r="G95" i="170"/>
  <c r="F95" i="170"/>
  <c r="E95" i="170"/>
  <c r="Q94" i="170"/>
  <c r="H94" i="170"/>
  <c r="E94" i="170"/>
  <c r="Q93" i="170"/>
  <c r="O93" i="170"/>
  <c r="N93" i="170"/>
  <c r="H93" i="170"/>
  <c r="F93" i="170"/>
  <c r="E93" i="170"/>
  <c r="Q92" i="170"/>
  <c r="H92" i="170"/>
  <c r="E92" i="170"/>
  <c r="Q91" i="170"/>
  <c r="H91" i="170"/>
  <c r="E91" i="170"/>
  <c r="Q90" i="170"/>
  <c r="O90" i="170"/>
  <c r="N90" i="170"/>
  <c r="K90" i="170"/>
  <c r="H90" i="170"/>
  <c r="G90" i="170"/>
  <c r="F90" i="170"/>
  <c r="E90" i="170"/>
  <c r="Q89" i="170"/>
  <c r="H89" i="170"/>
  <c r="E89" i="170"/>
  <c r="Q88" i="170"/>
  <c r="H88" i="170"/>
  <c r="E88" i="170"/>
  <c r="Q87" i="170"/>
  <c r="H87" i="170"/>
  <c r="E87" i="170"/>
  <c r="Q86" i="170"/>
  <c r="H86" i="170"/>
  <c r="E86" i="170"/>
  <c r="Q85" i="170"/>
  <c r="K85" i="170"/>
  <c r="H85" i="170"/>
  <c r="G85" i="170"/>
  <c r="F85" i="170"/>
  <c r="E85" i="170"/>
  <c r="Q84" i="170"/>
  <c r="M84" i="170"/>
  <c r="L84" i="170"/>
  <c r="K84" i="170"/>
  <c r="H84" i="170"/>
  <c r="G84" i="170"/>
  <c r="F84" i="170"/>
  <c r="E84" i="170"/>
  <c r="R83" i="170"/>
  <c r="Q83" i="170"/>
  <c r="P83" i="170"/>
  <c r="O83" i="170"/>
  <c r="N83" i="170"/>
  <c r="M83" i="170"/>
  <c r="L83" i="170"/>
  <c r="K83" i="170"/>
  <c r="H83" i="170"/>
  <c r="G83" i="170"/>
  <c r="F83" i="170"/>
  <c r="E83" i="170"/>
  <c r="Q82" i="170"/>
  <c r="P82" i="170"/>
  <c r="O82" i="170"/>
  <c r="N82" i="170"/>
  <c r="H82" i="170"/>
  <c r="E82" i="170"/>
  <c r="Q81" i="170"/>
  <c r="P81" i="170"/>
  <c r="O81" i="170"/>
  <c r="N81" i="170"/>
  <c r="H81" i="170"/>
  <c r="E81" i="170"/>
  <c r="Q80" i="170"/>
  <c r="P80" i="170"/>
  <c r="O80" i="170"/>
  <c r="N80" i="170"/>
  <c r="H80" i="170"/>
  <c r="E80" i="170"/>
  <c r="Q79" i="170"/>
  <c r="P79" i="170"/>
  <c r="O79" i="170"/>
  <c r="N79" i="170"/>
  <c r="H79" i="170"/>
  <c r="E79" i="170"/>
  <c r="Q78" i="170"/>
  <c r="P78" i="170"/>
  <c r="O78" i="170"/>
  <c r="N78" i="170"/>
  <c r="H78" i="170"/>
  <c r="E78" i="170"/>
  <c r="Q77" i="170"/>
  <c r="P77" i="170"/>
  <c r="O77" i="170"/>
  <c r="N77" i="170"/>
  <c r="H77" i="170"/>
  <c r="E77" i="170"/>
  <c r="Q76" i="170"/>
  <c r="P76" i="170"/>
  <c r="O76" i="170"/>
  <c r="N76" i="170"/>
  <c r="H76" i="170"/>
  <c r="E76" i="170"/>
  <c r="Q75" i="170"/>
  <c r="P75" i="170"/>
  <c r="O75" i="170"/>
  <c r="N75" i="170"/>
  <c r="H75" i="170"/>
  <c r="E75" i="170"/>
  <c r="Q74" i="170"/>
  <c r="P74" i="170"/>
  <c r="O74" i="170"/>
  <c r="N74" i="170"/>
  <c r="H74" i="170"/>
  <c r="E74" i="170"/>
  <c r="Q73" i="170"/>
  <c r="P73" i="170"/>
  <c r="O73" i="170"/>
  <c r="N73" i="170"/>
  <c r="H73" i="170"/>
  <c r="E73" i="170"/>
  <c r="Q72" i="170"/>
  <c r="P72" i="170"/>
  <c r="O72" i="170"/>
  <c r="N72" i="170"/>
  <c r="H72" i="170"/>
  <c r="E72" i="170"/>
  <c r="Q71" i="170"/>
  <c r="P71" i="170"/>
  <c r="O71" i="170"/>
  <c r="N71" i="170"/>
  <c r="H71" i="170"/>
  <c r="E71" i="170"/>
  <c r="Q70" i="170"/>
  <c r="P70" i="170"/>
  <c r="O70" i="170"/>
  <c r="N70" i="170"/>
  <c r="H70" i="170"/>
  <c r="E70" i="170"/>
  <c r="Q69" i="170"/>
  <c r="P69" i="170"/>
  <c r="O69" i="170"/>
  <c r="N69" i="170"/>
  <c r="H69" i="170"/>
  <c r="E69" i="170"/>
  <c r="Q68" i="170"/>
  <c r="P68" i="170"/>
  <c r="O68" i="170"/>
  <c r="N68" i="170"/>
  <c r="H68" i="170"/>
  <c r="E68" i="170"/>
  <c r="Q67" i="170"/>
  <c r="P67" i="170"/>
  <c r="O67" i="170"/>
  <c r="N67" i="170"/>
  <c r="H67" i="170"/>
  <c r="E67" i="170"/>
  <c r="Q66" i="170"/>
  <c r="P66" i="170"/>
  <c r="O66" i="170"/>
  <c r="N66" i="170"/>
  <c r="H66" i="170"/>
  <c r="G66" i="170"/>
  <c r="F66" i="170"/>
  <c r="E66" i="170"/>
  <c r="Q65" i="170"/>
  <c r="O65" i="170"/>
  <c r="N65" i="170"/>
  <c r="H65" i="170"/>
  <c r="E65" i="170"/>
  <c r="Q64" i="170"/>
  <c r="O64" i="170"/>
  <c r="N64" i="170"/>
  <c r="H64" i="170"/>
  <c r="E64" i="170"/>
  <c r="Q63" i="170"/>
  <c r="O63" i="170"/>
  <c r="N63" i="170"/>
  <c r="H63" i="170"/>
  <c r="G63" i="170"/>
  <c r="F63" i="170"/>
  <c r="E63" i="170"/>
  <c r="Q62" i="170"/>
  <c r="H62" i="170"/>
  <c r="E62" i="170"/>
  <c r="Q61" i="170"/>
  <c r="H61" i="170"/>
  <c r="E61" i="170"/>
  <c r="Q60" i="170"/>
  <c r="H60" i="170"/>
  <c r="E60" i="170"/>
  <c r="Q59" i="170"/>
  <c r="O59" i="170"/>
  <c r="N59" i="170"/>
  <c r="K59" i="170"/>
  <c r="H59" i="170"/>
  <c r="G59" i="170"/>
  <c r="F59" i="170"/>
  <c r="E59" i="170"/>
  <c r="Q58" i="170"/>
  <c r="O58" i="170"/>
  <c r="N58" i="170"/>
  <c r="H58" i="170"/>
  <c r="E58" i="170"/>
  <c r="Q57" i="170"/>
  <c r="O57" i="170"/>
  <c r="N57" i="170"/>
  <c r="H57" i="170"/>
  <c r="E57" i="170"/>
  <c r="Q56" i="170"/>
  <c r="O56" i="170"/>
  <c r="N56" i="170"/>
  <c r="H56" i="170"/>
  <c r="E56" i="170"/>
  <c r="Q55" i="170"/>
  <c r="O55" i="170"/>
  <c r="N55" i="170"/>
  <c r="H55" i="170"/>
  <c r="F55" i="170"/>
  <c r="E55" i="170"/>
  <c r="Q54" i="170"/>
  <c r="O54" i="170"/>
  <c r="N54" i="170"/>
  <c r="H54" i="170"/>
  <c r="E54" i="170"/>
  <c r="Q53" i="170"/>
  <c r="O53" i="170"/>
  <c r="N53" i="170"/>
  <c r="H53" i="170"/>
  <c r="E53" i="170"/>
  <c r="Q52" i="170"/>
  <c r="O52" i="170"/>
  <c r="N52" i="170"/>
  <c r="H52" i="170"/>
  <c r="E52" i="170"/>
  <c r="Q51" i="170"/>
  <c r="O51" i="170"/>
  <c r="N51" i="170"/>
  <c r="H51" i="170"/>
  <c r="G51" i="170"/>
  <c r="F51" i="170"/>
  <c r="E51" i="170"/>
  <c r="Q50" i="170"/>
  <c r="K50" i="170"/>
  <c r="H50" i="170"/>
  <c r="E50" i="170"/>
  <c r="Q49" i="170"/>
  <c r="O49" i="170"/>
  <c r="K49" i="170"/>
  <c r="H49" i="170"/>
  <c r="E49" i="170"/>
  <c r="Q48" i="170"/>
  <c r="O48" i="170"/>
  <c r="K48" i="170"/>
  <c r="H48" i="170"/>
  <c r="E48" i="170"/>
  <c r="Q47" i="170"/>
  <c r="O47" i="170"/>
  <c r="K47" i="170"/>
  <c r="H47" i="170"/>
  <c r="E47" i="170"/>
  <c r="Q46" i="170"/>
  <c r="O46" i="170"/>
  <c r="K46" i="170"/>
  <c r="H46" i="170"/>
  <c r="E46" i="170"/>
  <c r="Q45" i="170"/>
  <c r="O45" i="170"/>
  <c r="K45" i="170"/>
  <c r="H45" i="170"/>
  <c r="E45" i="170"/>
  <c r="Q44" i="170"/>
  <c r="O44" i="170"/>
  <c r="K44" i="170"/>
  <c r="H44" i="170"/>
  <c r="E44" i="170"/>
  <c r="Q43" i="170"/>
  <c r="O43" i="170"/>
  <c r="K43" i="170"/>
  <c r="H43" i="170"/>
  <c r="E43" i="170"/>
  <c r="Q42" i="170"/>
  <c r="O42" i="170"/>
  <c r="K42" i="170"/>
  <c r="H42" i="170"/>
  <c r="E42" i="170"/>
  <c r="Q41" i="170"/>
  <c r="O41" i="170"/>
  <c r="K41" i="170"/>
  <c r="H41" i="170"/>
  <c r="E41" i="170"/>
  <c r="Q40" i="170"/>
  <c r="O40" i="170"/>
  <c r="K40" i="170"/>
  <c r="H40" i="170"/>
  <c r="E40" i="170"/>
  <c r="Q39" i="170"/>
  <c r="O39" i="170"/>
  <c r="K39" i="170"/>
  <c r="H39" i="170"/>
  <c r="E39" i="170"/>
  <c r="Q38" i="170"/>
  <c r="O38" i="170"/>
  <c r="N38" i="170"/>
  <c r="K38" i="170"/>
  <c r="H38" i="170"/>
  <c r="E38" i="170"/>
  <c r="Q37" i="170"/>
  <c r="O37" i="170"/>
  <c r="N37" i="170"/>
  <c r="K37" i="170"/>
  <c r="H37" i="170"/>
  <c r="E37" i="170"/>
  <c r="Q36" i="170"/>
  <c r="O36" i="170"/>
  <c r="N36" i="170"/>
  <c r="K36" i="170"/>
  <c r="H36" i="170"/>
  <c r="E36" i="170"/>
  <c r="Q35" i="170"/>
  <c r="O35" i="170"/>
  <c r="N35" i="170"/>
  <c r="K35" i="170"/>
  <c r="H35" i="170"/>
  <c r="E35" i="170"/>
  <c r="Q34" i="170"/>
  <c r="O34" i="170"/>
  <c r="N34" i="170"/>
  <c r="K34" i="170"/>
  <c r="H34" i="170"/>
  <c r="E34" i="170"/>
  <c r="R33" i="170"/>
  <c r="Q33" i="170"/>
  <c r="P33" i="170"/>
  <c r="O33" i="170"/>
  <c r="N33" i="170"/>
  <c r="M33" i="170"/>
  <c r="L33" i="170"/>
  <c r="K33" i="170"/>
  <c r="H33" i="170"/>
  <c r="G33" i="170"/>
  <c r="F33" i="170"/>
  <c r="E33" i="170"/>
  <c r="Q32" i="170"/>
  <c r="O32" i="170"/>
  <c r="N32" i="170"/>
  <c r="K32" i="170"/>
  <c r="H32" i="170"/>
  <c r="E32" i="170"/>
  <c r="Q31" i="170"/>
  <c r="O31" i="170"/>
  <c r="N31" i="170"/>
  <c r="K31" i="170"/>
  <c r="H31" i="170"/>
  <c r="E31" i="170"/>
  <c r="Q30" i="170"/>
  <c r="O30" i="170"/>
  <c r="N30" i="170"/>
  <c r="K30" i="170"/>
  <c r="H30" i="170"/>
  <c r="E30" i="170"/>
  <c r="Q29" i="170"/>
  <c r="O29" i="170"/>
  <c r="N29" i="170"/>
  <c r="K29" i="170"/>
  <c r="H29" i="170"/>
  <c r="E29" i="170"/>
  <c r="Q28" i="170"/>
  <c r="O28" i="170"/>
  <c r="N28" i="170"/>
  <c r="K28" i="170"/>
  <c r="H28" i="170"/>
  <c r="E28" i="170"/>
  <c r="Q27" i="170"/>
  <c r="O27" i="170"/>
  <c r="N27" i="170"/>
  <c r="K27" i="170"/>
  <c r="H27" i="170"/>
  <c r="E27" i="170"/>
  <c r="Q26" i="170"/>
  <c r="O26" i="170"/>
  <c r="N26" i="170"/>
  <c r="K26" i="170"/>
  <c r="H26" i="170"/>
  <c r="E26" i="170"/>
  <c r="Q25" i="170"/>
  <c r="O25" i="170"/>
  <c r="N25" i="170"/>
  <c r="K25" i="170"/>
  <c r="H25" i="170"/>
  <c r="E25" i="170"/>
  <c r="Q24" i="170"/>
  <c r="O24" i="170"/>
  <c r="N24" i="170"/>
  <c r="K24" i="170"/>
  <c r="H24" i="170"/>
  <c r="E24" i="170"/>
  <c r="Q23" i="170"/>
  <c r="O23" i="170"/>
  <c r="N23" i="170"/>
  <c r="M23" i="170"/>
  <c r="L23" i="170"/>
  <c r="K23" i="170"/>
  <c r="H23" i="170"/>
  <c r="F23" i="170"/>
  <c r="E23" i="170"/>
  <c r="R22" i="170"/>
  <c r="Q22" i="170"/>
  <c r="N22" i="170"/>
  <c r="K22" i="170"/>
  <c r="H22" i="170"/>
  <c r="E22" i="170"/>
  <c r="R21" i="170"/>
  <c r="Q21" i="170"/>
  <c r="O21" i="170"/>
  <c r="N21" i="170"/>
  <c r="K21" i="170"/>
  <c r="H21" i="170"/>
  <c r="E21" i="170"/>
  <c r="R20" i="170"/>
  <c r="Q20" i="170"/>
  <c r="N20" i="170"/>
  <c r="K20" i="170"/>
  <c r="H20" i="170"/>
  <c r="G20" i="170"/>
  <c r="E20" i="170"/>
  <c r="R19" i="170"/>
  <c r="Q19" i="170"/>
  <c r="N19" i="170"/>
  <c r="K19" i="170"/>
  <c r="H19" i="170"/>
  <c r="E19" i="170"/>
  <c r="R18" i="170"/>
  <c r="Q18" i="170"/>
  <c r="N18" i="170"/>
  <c r="K18" i="170"/>
  <c r="H18" i="170"/>
  <c r="E18" i="170"/>
  <c r="R17" i="170"/>
  <c r="Q17" i="170"/>
  <c r="N17" i="170"/>
  <c r="K17" i="170"/>
  <c r="H17" i="170"/>
  <c r="E17" i="170"/>
  <c r="R16" i="170"/>
  <c r="Q16" i="170"/>
  <c r="N16" i="170"/>
  <c r="K16" i="170"/>
  <c r="H16" i="170"/>
  <c r="E16" i="170"/>
  <c r="R15" i="170"/>
  <c r="Q15" i="170"/>
  <c r="N15" i="170"/>
  <c r="K15" i="170"/>
  <c r="H15" i="170"/>
  <c r="E15" i="170"/>
  <c r="R14" i="170"/>
  <c r="Q14" i="170"/>
  <c r="N14" i="170"/>
  <c r="K14" i="170"/>
  <c r="H14" i="170"/>
  <c r="E14" i="170"/>
  <c r="R13" i="170"/>
  <c r="Q13" i="170"/>
  <c r="N13" i="170"/>
  <c r="K13" i="170"/>
  <c r="H13" i="170"/>
  <c r="E13" i="170"/>
  <c r="R12" i="170"/>
  <c r="Q12" i="170"/>
  <c r="N12" i="170"/>
  <c r="K12" i="170"/>
  <c r="H12" i="170"/>
  <c r="E12" i="170"/>
  <c r="R11" i="170"/>
  <c r="Q11" i="170"/>
  <c r="N11" i="170"/>
  <c r="K11" i="170"/>
  <c r="H11" i="170"/>
  <c r="E11" i="170"/>
  <c r="R10" i="170"/>
  <c r="Q10" i="170"/>
  <c r="N10" i="170"/>
  <c r="K10" i="170"/>
  <c r="H10" i="170"/>
  <c r="E10" i="170"/>
  <c r="R9" i="170"/>
  <c r="Q9" i="170"/>
  <c r="N9" i="170"/>
  <c r="K9" i="170"/>
  <c r="H9" i="170"/>
  <c r="E9" i="170"/>
  <c r="T8" i="170"/>
  <c r="T9" i="170" s="1"/>
  <c r="T10" i="170" s="1"/>
  <c r="R8" i="170"/>
  <c r="Q8" i="170"/>
  <c r="N8" i="170"/>
  <c r="K8" i="170"/>
  <c r="H8" i="170"/>
  <c r="E8" i="170"/>
  <c r="T7" i="170"/>
  <c r="R7" i="170"/>
  <c r="Q7" i="170"/>
  <c r="P7" i="170"/>
  <c r="O7" i="170"/>
  <c r="N7" i="170"/>
  <c r="M7" i="170"/>
  <c r="L7" i="170"/>
  <c r="K7" i="170"/>
  <c r="H7" i="170"/>
  <c r="G7" i="170"/>
  <c r="F7" i="170"/>
  <c r="E7" i="170"/>
  <c r="R6" i="170"/>
  <c r="Q6" i="170"/>
  <c r="P6" i="170"/>
  <c r="O6" i="170"/>
  <c r="N6" i="170"/>
  <c r="M6" i="170"/>
  <c r="L6" i="170"/>
  <c r="K6" i="170"/>
  <c r="H6" i="170"/>
  <c r="G6" i="170"/>
  <c r="F6" i="170"/>
  <c r="E6" i="170"/>
  <c r="R5" i="170"/>
  <c r="Q5" i="170"/>
  <c r="P5" i="170"/>
  <c r="O5" i="170"/>
  <c r="N5" i="170"/>
  <c r="M5" i="170"/>
  <c r="L5" i="170"/>
  <c r="K5" i="170"/>
  <c r="J5" i="170"/>
  <c r="I5" i="170"/>
  <c r="H5" i="170"/>
  <c r="G5" i="170"/>
  <c r="F5" i="170"/>
  <c r="E5" i="170"/>
  <c r="P2" i="170"/>
  <c r="R2" i="170" s="1"/>
  <c r="O2" i="170"/>
  <c r="Q2" i="170" s="1"/>
  <c r="F2" i="170"/>
  <c r="L408" i="181"/>
  <c r="K408" i="181"/>
  <c r="J408" i="181"/>
  <c r="I408" i="181"/>
  <c r="H408" i="181"/>
  <c r="G408" i="181"/>
  <c r="F408" i="181"/>
  <c r="W363" i="181"/>
  <c r="M363" i="181"/>
  <c r="I363" i="181"/>
  <c r="F363" i="181"/>
  <c r="W362" i="181"/>
  <c r="M362" i="181"/>
  <c r="I362" i="181"/>
  <c r="F362" i="181"/>
  <c r="W361" i="181"/>
  <c r="M361" i="181"/>
  <c r="I361" i="181"/>
  <c r="F361" i="181"/>
  <c r="W360" i="181"/>
  <c r="M360" i="181"/>
  <c r="I360" i="181"/>
  <c r="F360" i="181"/>
  <c r="W359" i="181"/>
  <c r="I359" i="181"/>
  <c r="F359" i="181"/>
  <c r="W358" i="181"/>
  <c r="M358" i="181"/>
  <c r="I358" i="181"/>
  <c r="H358" i="181"/>
  <c r="F358" i="181"/>
  <c r="W357" i="181"/>
  <c r="V357" i="181"/>
  <c r="U357" i="181"/>
  <c r="T357" i="181"/>
  <c r="S357" i="181"/>
  <c r="R357" i="181"/>
  <c r="Q357" i="181"/>
  <c r="P357" i="181"/>
  <c r="O357" i="181"/>
  <c r="N357" i="181"/>
  <c r="M357" i="181"/>
  <c r="L357" i="181"/>
  <c r="K357" i="181"/>
  <c r="J357" i="181"/>
  <c r="I357" i="181"/>
  <c r="H357" i="181"/>
  <c r="G357" i="181"/>
  <c r="F357" i="181"/>
  <c r="W356" i="181"/>
  <c r="M356" i="181"/>
  <c r="I356" i="181"/>
  <c r="F356" i="181"/>
  <c r="W355" i="181"/>
  <c r="M355" i="181"/>
  <c r="I355" i="181"/>
  <c r="F355" i="181"/>
  <c r="W354" i="181"/>
  <c r="V354" i="181"/>
  <c r="U354" i="181"/>
  <c r="T354" i="181"/>
  <c r="S354" i="181"/>
  <c r="R354" i="181"/>
  <c r="Q354" i="181"/>
  <c r="P354" i="181"/>
  <c r="O354" i="181"/>
  <c r="N354" i="181"/>
  <c r="M354" i="181"/>
  <c r="L354" i="181"/>
  <c r="J354" i="181"/>
  <c r="I354" i="181"/>
  <c r="G354" i="181"/>
  <c r="F354" i="181"/>
  <c r="W353" i="181"/>
  <c r="M353" i="181"/>
  <c r="I353" i="181"/>
  <c r="F353" i="181"/>
  <c r="W352" i="181"/>
  <c r="M352" i="181"/>
  <c r="I352" i="181"/>
  <c r="F352" i="181"/>
  <c r="W351" i="181"/>
  <c r="M351" i="181"/>
  <c r="I351" i="181"/>
  <c r="F351" i="181"/>
  <c r="W350" i="181"/>
  <c r="M350" i="181"/>
  <c r="I350" i="181"/>
  <c r="H350" i="181"/>
  <c r="F350" i="181"/>
  <c r="W349" i="181"/>
  <c r="V349" i="181"/>
  <c r="U349" i="181"/>
  <c r="T349" i="181"/>
  <c r="S349" i="181"/>
  <c r="R349" i="181"/>
  <c r="Q349" i="181"/>
  <c r="P349" i="181"/>
  <c r="O349" i="181"/>
  <c r="N349" i="181"/>
  <c r="M349" i="181"/>
  <c r="L349" i="181"/>
  <c r="K349" i="181"/>
  <c r="J349" i="181"/>
  <c r="I349" i="181"/>
  <c r="H349" i="181"/>
  <c r="G349" i="181"/>
  <c r="F349" i="181"/>
  <c r="W348" i="181"/>
  <c r="M348" i="181"/>
  <c r="I348" i="181"/>
  <c r="F348" i="181"/>
  <c r="W347" i="181"/>
  <c r="M347" i="181"/>
  <c r="I347" i="181"/>
  <c r="H347" i="181"/>
  <c r="F347" i="181"/>
  <c r="W346" i="181"/>
  <c r="M346" i="181"/>
  <c r="I346" i="181"/>
  <c r="F346" i="181"/>
  <c r="W345" i="181"/>
  <c r="M345" i="181"/>
  <c r="I345" i="181"/>
  <c r="F345" i="181"/>
  <c r="W344" i="181"/>
  <c r="M344" i="181"/>
  <c r="I344" i="181"/>
  <c r="F344" i="181"/>
  <c r="W343" i="181"/>
  <c r="K343" i="181"/>
  <c r="I343" i="181"/>
  <c r="H343" i="181"/>
  <c r="F343" i="181"/>
  <c r="W342" i="181"/>
  <c r="V342" i="181"/>
  <c r="U342" i="181"/>
  <c r="T342" i="181"/>
  <c r="S342" i="181"/>
  <c r="R342" i="181"/>
  <c r="Q342" i="181"/>
  <c r="P342" i="181"/>
  <c r="O342" i="181"/>
  <c r="N342" i="181"/>
  <c r="M342" i="181"/>
  <c r="L342" i="181"/>
  <c r="K342" i="181"/>
  <c r="J342" i="181"/>
  <c r="I342" i="181"/>
  <c r="H342" i="181"/>
  <c r="G342" i="181"/>
  <c r="F342" i="181"/>
  <c r="M341" i="181"/>
  <c r="I341" i="181"/>
  <c r="F341" i="181"/>
  <c r="M340" i="181"/>
  <c r="I340" i="181"/>
  <c r="F340" i="181"/>
  <c r="M339" i="181"/>
  <c r="I339" i="181"/>
  <c r="F339" i="181"/>
  <c r="M338" i="181"/>
  <c r="I338" i="181"/>
  <c r="F338" i="181"/>
  <c r="W337" i="181"/>
  <c r="V337" i="181"/>
  <c r="U337" i="181"/>
  <c r="T337" i="181"/>
  <c r="S337" i="181"/>
  <c r="R337" i="181"/>
  <c r="Q337" i="181"/>
  <c r="P337" i="181"/>
  <c r="O337" i="181"/>
  <c r="N337" i="181"/>
  <c r="M337" i="181"/>
  <c r="L337" i="181"/>
  <c r="K337" i="181"/>
  <c r="J337" i="181"/>
  <c r="I337" i="181"/>
  <c r="H337" i="181"/>
  <c r="G337" i="181"/>
  <c r="F337" i="181"/>
  <c r="W336" i="181"/>
  <c r="M336" i="181"/>
  <c r="I336" i="181"/>
  <c r="F336" i="181"/>
  <c r="W335" i="181"/>
  <c r="M335" i="181"/>
  <c r="I335" i="181"/>
  <c r="F335" i="181"/>
  <c r="W334" i="181"/>
  <c r="M334" i="181"/>
  <c r="I334" i="181"/>
  <c r="F334" i="181"/>
  <c r="T333" i="181"/>
  <c r="I333" i="181"/>
  <c r="F333" i="181"/>
  <c r="W332" i="181"/>
  <c r="I332" i="181"/>
  <c r="F332" i="181"/>
  <c r="W331" i="181"/>
  <c r="I331" i="181"/>
  <c r="F331" i="181"/>
  <c r="W330" i="181"/>
  <c r="M330" i="181"/>
  <c r="I330" i="181"/>
  <c r="F330" i="181"/>
  <c r="W329" i="181"/>
  <c r="V329" i="181"/>
  <c r="U329" i="181"/>
  <c r="T329" i="181"/>
  <c r="S329" i="181"/>
  <c r="R329" i="181"/>
  <c r="Q329" i="181"/>
  <c r="P329" i="181"/>
  <c r="O329" i="181"/>
  <c r="N329" i="181"/>
  <c r="M329" i="181"/>
  <c r="L329" i="181"/>
  <c r="K329" i="181"/>
  <c r="J329" i="181"/>
  <c r="I329" i="181"/>
  <c r="H329" i="181"/>
  <c r="G329" i="181"/>
  <c r="F329" i="181"/>
  <c r="M328" i="181"/>
  <c r="L328" i="181"/>
  <c r="I328" i="181"/>
  <c r="F328" i="181"/>
  <c r="M327" i="181"/>
  <c r="I327" i="181"/>
  <c r="F327" i="181"/>
  <c r="M326" i="181"/>
  <c r="L326" i="181"/>
  <c r="I326" i="181"/>
  <c r="F326" i="181"/>
  <c r="M325" i="181"/>
  <c r="I325" i="181"/>
  <c r="F325" i="181"/>
  <c r="W324" i="181"/>
  <c r="I324" i="181"/>
  <c r="F324" i="181"/>
  <c r="M323" i="181"/>
  <c r="L323" i="181"/>
  <c r="I323" i="181"/>
  <c r="F323" i="181"/>
  <c r="W322" i="181"/>
  <c r="V322" i="181"/>
  <c r="U322" i="181"/>
  <c r="T322" i="181"/>
  <c r="S322" i="181"/>
  <c r="R322" i="181"/>
  <c r="Q322" i="181"/>
  <c r="P322" i="181"/>
  <c r="O322" i="181"/>
  <c r="N322" i="181"/>
  <c r="M322" i="181"/>
  <c r="L322" i="181"/>
  <c r="K322" i="181"/>
  <c r="J322" i="181"/>
  <c r="I322" i="181"/>
  <c r="H322" i="181"/>
  <c r="G322" i="181"/>
  <c r="F322" i="181"/>
  <c r="W321" i="181"/>
  <c r="M321" i="181"/>
  <c r="I321" i="181"/>
  <c r="F321" i="181"/>
  <c r="W320" i="181"/>
  <c r="M320" i="181"/>
  <c r="I320" i="181"/>
  <c r="F320" i="181"/>
  <c r="W319" i="181"/>
  <c r="M319" i="181"/>
  <c r="I319" i="181"/>
  <c r="F319" i="181"/>
  <c r="W318" i="181"/>
  <c r="I318" i="181"/>
  <c r="F318" i="181"/>
  <c r="W317" i="181"/>
  <c r="M317" i="181"/>
  <c r="I317" i="181"/>
  <c r="F317" i="181"/>
  <c r="W316" i="181"/>
  <c r="M316" i="181"/>
  <c r="I316" i="181"/>
  <c r="F316" i="181"/>
  <c r="W315" i="181"/>
  <c r="M315" i="181"/>
  <c r="I315" i="181"/>
  <c r="F315" i="181"/>
  <c r="W314" i="181"/>
  <c r="V314" i="181"/>
  <c r="U314" i="181"/>
  <c r="T314" i="181"/>
  <c r="S314" i="181"/>
  <c r="R314" i="181"/>
  <c r="Q314" i="181"/>
  <c r="P314" i="181"/>
  <c r="O314" i="181"/>
  <c r="N314" i="181"/>
  <c r="M314" i="181"/>
  <c r="L314" i="181"/>
  <c r="K314" i="181"/>
  <c r="J314" i="181"/>
  <c r="I314" i="181"/>
  <c r="H314" i="181"/>
  <c r="G314" i="181"/>
  <c r="F314" i="181"/>
  <c r="M313" i="181"/>
  <c r="I313" i="181"/>
  <c r="F313" i="181"/>
  <c r="M312" i="181"/>
  <c r="I312" i="181"/>
  <c r="F312" i="181"/>
  <c r="M311" i="181"/>
  <c r="I311" i="181"/>
  <c r="F311" i="181"/>
  <c r="M310" i="181"/>
  <c r="I310" i="181"/>
  <c r="F310" i="181"/>
  <c r="M309" i="181"/>
  <c r="I309" i="181"/>
  <c r="F309" i="181"/>
  <c r="M308" i="181"/>
  <c r="I308" i="181"/>
  <c r="F308" i="181"/>
  <c r="W307" i="181"/>
  <c r="I307" i="181"/>
  <c r="F307" i="181"/>
  <c r="W306" i="181"/>
  <c r="I306" i="181"/>
  <c r="F306" i="181"/>
  <c r="M305" i="181"/>
  <c r="I305" i="181"/>
  <c r="H305" i="181"/>
  <c r="F305" i="181"/>
  <c r="W304" i="181"/>
  <c r="V304" i="181"/>
  <c r="U304" i="181"/>
  <c r="T304" i="181"/>
  <c r="S304" i="181"/>
  <c r="R304" i="181"/>
  <c r="Q304" i="181"/>
  <c r="P304" i="181"/>
  <c r="O304" i="181"/>
  <c r="N304" i="181"/>
  <c r="M304" i="181"/>
  <c r="L304" i="181"/>
  <c r="K304" i="181"/>
  <c r="J304" i="181"/>
  <c r="I304" i="181"/>
  <c r="H304" i="181"/>
  <c r="G304" i="181"/>
  <c r="F304" i="181"/>
  <c r="M303" i="181"/>
  <c r="I303" i="181"/>
  <c r="F303" i="181"/>
  <c r="W302" i="181"/>
  <c r="I302" i="181"/>
  <c r="F302" i="181"/>
  <c r="M301" i="181"/>
  <c r="I301" i="181"/>
  <c r="F301" i="181"/>
  <c r="M300" i="181"/>
  <c r="I300" i="181"/>
  <c r="F300" i="181"/>
  <c r="M299" i="181"/>
  <c r="I299" i="181"/>
  <c r="F299" i="181"/>
  <c r="M298" i="181"/>
  <c r="I298" i="181"/>
  <c r="F298" i="181"/>
  <c r="W297" i="181"/>
  <c r="I297" i="181"/>
  <c r="F297" i="181"/>
  <c r="W296" i="181"/>
  <c r="V296" i="181"/>
  <c r="U296" i="181"/>
  <c r="T296" i="181"/>
  <c r="S296" i="181"/>
  <c r="R296" i="181"/>
  <c r="Q296" i="181"/>
  <c r="P296" i="181"/>
  <c r="O296" i="181"/>
  <c r="N296" i="181"/>
  <c r="M296" i="181"/>
  <c r="L296" i="181"/>
  <c r="K296" i="181"/>
  <c r="J296" i="181"/>
  <c r="I296" i="181"/>
  <c r="H296" i="181"/>
  <c r="G296" i="181"/>
  <c r="F296" i="181"/>
  <c r="W295" i="181"/>
  <c r="M295" i="181"/>
  <c r="I295" i="181"/>
  <c r="F295" i="181"/>
  <c r="W294" i="181"/>
  <c r="M294" i="181"/>
  <c r="I294" i="181"/>
  <c r="F294" i="181"/>
  <c r="W293" i="181"/>
  <c r="M293" i="181"/>
  <c r="I293" i="181"/>
  <c r="F293" i="181"/>
  <c r="W292" i="181"/>
  <c r="M292" i="181"/>
  <c r="I292" i="181"/>
  <c r="F292" i="181"/>
  <c r="W291" i="181"/>
  <c r="M291" i="181"/>
  <c r="I291" i="181"/>
  <c r="H291" i="181"/>
  <c r="F291" i="181"/>
  <c r="W290" i="181"/>
  <c r="I290" i="181"/>
  <c r="F290" i="181"/>
  <c r="W289" i="181"/>
  <c r="V289" i="181"/>
  <c r="U289" i="181"/>
  <c r="T289" i="181"/>
  <c r="S289" i="181"/>
  <c r="R289" i="181"/>
  <c r="Q289" i="181"/>
  <c r="P289" i="181"/>
  <c r="O289" i="181"/>
  <c r="N289" i="181"/>
  <c r="M289" i="181"/>
  <c r="L289" i="181"/>
  <c r="K289" i="181"/>
  <c r="J289" i="181"/>
  <c r="I289" i="181"/>
  <c r="H289" i="181"/>
  <c r="G289" i="181"/>
  <c r="F289" i="181"/>
  <c r="W288" i="181"/>
  <c r="M288" i="181"/>
  <c r="I287" i="181"/>
  <c r="F287" i="181"/>
  <c r="W286" i="181"/>
  <c r="M286" i="181"/>
  <c r="I286" i="181"/>
  <c r="F286" i="181"/>
  <c r="W285" i="181"/>
  <c r="M285" i="181"/>
  <c r="I285" i="181"/>
  <c r="F285" i="181"/>
  <c r="W284" i="181"/>
  <c r="M284" i="181"/>
  <c r="I284" i="181"/>
  <c r="F284" i="181"/>
  <c r="W283" i="181"/>
  <c r="V283" i="181"/>
  <c r="U283" i="181"/>
  <c r="T283" i="181"/>
  <c r="S283" i="181"/>
  <c r="R283" i="181"/>
  <c r="Q283" i="181"/>
  <c r="P283" i="181"/>
  <c r="O283" i="181"/>
  <c r="N283" i="181"/>
  <c r="M283" i="181"/>
  <c r="L283" i="181"/>
  <c r="K283" i="181"/>
  <c r="J283" i="181"/>
  <c r="I283" i="181"/>
  <c r="H283" i="181"/>
  <c r="G283" i="181"/>
  <c r="F283" i="181"/>
  <c r="W282" i="181"/>
  <c r="M282" i="181"/>
  <c r="I282" i="181"/>
  <c r="F282" i="181"/>
  <c r="W281" i="181"/>
  <c r="M281" i="181"/>
  <c r="I281" i="181"/>
  <c r="F281" i="181"/>
  <c r="W280" i="181"/>
  <c r="M280" i="181"/>
  <c r="I280" i="181"/>
  <c r="F280" i="181"/>
  <c r="W279" i="181"/>
  <c r="M279" i="181"/>
  <c r="I279" i="181"/>
  <c r="F279" i="181"/>
  <c r="W278" i="181"/>
  <c r="I278" i="181"/>
  <c r="F278" i="181"/>
  <c r="W277" i="181"/>
  <c r="M277" i="181"/>
  <c r="I277" i="181"/>
  <c r="F277" i="181"/>
  <c r="W276" i="181"/>
  <c r="M276" i="181"/>
  <c r="I276" i="181"/>
  <c r="F276" i="181"/>
  <c r="W275" i="181"/>
  <c r="M275" i="181"/>
  <c r="I275" i="181"/>
  <c r="H275" i="181"/>
  <c r="F275" i="181"/>
  <c r="W274" i="181"/>
  <c r="V274" i="181"/>
  <c r="U274" i="181"/>
  <c r="T274" i="181"/>
  <c r="S274" i="181"/>
  <c r="R274" i="181"/>
  <c r="Q274" i="181"/>
  <c r="P274" i="181"/>
  <c r="O274" i="181"/>
  <c r="N274" i="181"/>
  <c r="M274" i="181"/>
  <c r="L274" i="181"/>
  <c r="K274" i="181"/>
  <c r="J274" i="181"/>
  <c r="I274" i="181"/>
  <c r="H274" i="181"/>
  <c r="G274" i="181"/>
  <c r="F274" i="181"/>
  <c r="W273" i="181"/>
  <c r="I273" i="181"/>
  <c r="F273" i="181"/>
  <c r="W272" i="181"/>
  <c r="M272" i="181"/>
  <c r="I272" i="181"/>
  <c r="F272" i="181"/>
  <c r="W271" i="181"/>
  <c r="M271" i="181"/>
  <c r="I271" i="181"/>
  <c r="F271" i="181"/>
  <c r="W270" i="181"/>
  <c r="I270" i="181"/>
  <c r="F270" i="181"/>
  <c r="W269" i="181"/>
  <c r="I269" i="181"/>
  <c r="W268" i="181"/>
  <c r="M268" i="181"/>
  <c r="I268" i="181"/>
  <c r="F268" i="181"/>
  <c r="W267" i="181"/>
  <c r="V267" i="181"/>
  <c r="U267" i="181"/>
  <c r="T267" i="181"/>
  <c r="S267" i="181"/>
  <c r="R267" i="181"/>
  <c r="Q267" i="181"/>
  <c r="P267" i="181"/>
  <c r="O267" i="181"/>
  <c r="N267" i="181"/>
  <c r="M267" i="181"/>
  <c r="L267" i="181"/>
  <c r="K267" i="181"/>
  <c r="J267" i="181"/>
  <c r="I267" i="181"/>
  <c r="H267" i="181"/>
  <c r="G267" i="181"/>
  <c r="F267" i="181"/>
  <c r="W266" i="181"/>
  <c r="M266" i="181"/>
  <c r="I266" i="181"/>
  <c r="F266" i="181"/>
  <c r="W265" i="181"/>
  <c r="I265" i="181"/>
  <c r="F265" i="181"/>
  <c r="W264" i="181"/>
  <c r="M264" i="181"/>
  <c r="I264" i="181"/>
  <c r="F264" i="181"/>
  <c r="W263" i="181"/>
  <c r="M263" i="181"/>
  <c r="I263" i="181"/>
  <c r="F263" i="181"/>
  <c r="W262" i="181"/>
  <c r="M262" i="181"/>
  <c r="I262" i="181"/>
  <c r="F262" i="181"/>
  <c r="W261" i="181"/>
  <c r="M261" i="181"/>
  <c r="I261" i="181"/>
  <c r="F261" i="181"/>
  <c r="W260" i="181"/>
  <c r="V260" i="181"/>
  <c r="U260" i="181"/>
  <c r="T260" i="181"/>
  <c r="S260" i="181"/>
  <c r="R260" i="181"/>
  <c r="Q260" i="181"/>
  <c r="P260" i="181"/>
  <c r="O260" i="181"/>
  <c r="N260" i="181"/>
  <c r="M260" i="181"/>
  <c r="L260" i="181"/>
  <c r="K260" i="181"/>
  <c r="J260" i="181"/>
  <c r="I260" i="181"/>
  <c r="H260" i="181"/>
  <c r="G260" i="181"/>
  <c r="F260" i="181"/>
  <c r="W259" i="181"/>
  <c r="M259" i="181"/>
  <c r="I259" i="181"/>
  <c r="F259" i="181"/>
  <c r="W258" i="181"/>
  <c r="M258" i="181"/>
  <c r="I258" i="181"/>
  <c r="F258" i="181"/>
  <c r="W257" i="181"/>
  <c r="M257" i="181"/>
  <c r="I257" i="181"/>
  <c r="F257" i="181"/>
  <c r="W256" i="181"/>
  <c r="M256" i="181"/>
  <c r="I256" i="181"/>
  <c r="F256" i="181"/>
  <c r="W255" i="181"/>
  <c r="M255" i="181"/>
  <c r="I255" i="181"/>
  <c r="F255" i="181"/>
  <c r="W254" i="181"/>
  <c r="M254" i="181"/>
  <c r="I254" i="181"/>
  <c r="F254" i="181"/>
  <c r="W253" i="181"/>
  <c r="V253" i="181"/>
  <c r="U253" i="181"/>
  <c r="T253" i="181"/>
  <c r="S253" i="181"/>
  <c r="R253" i="181"/>
  <c r="Q253" i="181"/>
  <c r="P253" i="181"/>
  <c r="O253" i="181"/>
  <c r="N253" i="181"/>
  <c r="M253" i="181"/>
  <c r="L253" i="181"/>
  <c r="K253" i="181"/>
  <c r="J253" i="181"/>
  <c r="I253" i="181"/>
  <c r="H253" i="181"/>
  <c r="G253" i="181"/>
  <c r="F253" i="181"/>
  <c r="W252" i="181"/>
  <c r="T252" i="181"/>
  <c r="I252" i="181"/>
  <c r="F252" i="181"/>
  <c r="W251" i="181"/>
  <c r="M251" i="181"/>
  <c r="I251" i="181"/>
  <c r="F251" i="181"/>
  <c r="W250" i="181"/>
  <c r="I250" i="181"/>
  <c r="F250" i="181"/>
  <c r="W249" i="181"/>
  <c r="M249" i="181"/>
  <c r="I249" i="181"/>
  <c r="F249" i="181"/>
  <c r="W248" i="181"/>
  <c r="M248" i="181"/>
  <c r="I248" i="181"/>
  <c r="F248" i="181"/>
  <c r="W247" i="181"/>
  <c r="I247" i="181"/>
  <c r="F247" i="181"/>
  <c r="W246" i="181"/>
  <c r="V246" i="181"/>
  <c r="U246" i="181"/>
  <c r="T246" i="181"/>
  <c r="S246" i="181"/>
  <c r="R246" i="181"/>
  <c r="Q246" i="181"/>
  <c r="P246" i="181"/>
  <c r="O246" i="181"/>
  <c r="N246" i="181"/>
  <c r="M246" i="181"/>
  <c r="L246" i="181"/>
  <c r="K246" i="181"/>
  <c r="J246" i="181"/>
  <c r="I246" i="181"/>
  <c r="H246" i="181"/>
  <c r="G246" i="181"/>
  <c r="F246" i="181"/>
  <c r="W245" i="181"/>
  <c r="M245" i="181"/>
  <c r="I245" i="181"/>
  <c r="F245" i="181"/>
  <c r="W244" i="181"/>
  <c r="M244" i="181"/>
  <c r="I244" i="181"/>
  <c r="F244" i="181"/>
  <c r="W243" i="181"/>
  <c r="M243" i="181"/>
  <c r="I243" i="181"/>
  <c r="F243" i="181"/>
  <c r="W242" i="181"/>
  <c r="M242" i="181"/>
  <c r="I242" i="181"/>
  <c r="F242" i="181"/>
  <c r="W241" i="181"/>
  <c r="M241" i="181"/>
  <c r="I241" i="181"/>
  <c r="F241" i="181"/>
  <c r="W240" i="181"/>
  <c r="M240" i="181"/>
  <c r="I240" i="181"/>
  <c r="F240" i="181"/>
  <c r="W239" i="181"/>
  <c r="M239" i="181"/>
  <c r="I239" i="181"/>
  <c r="F239" i="181"/>
  <c r="W238" i="181"/>
  <c r="V238" i="181"/>
  <c r="U238" i="181"/>
  <c r="T238" i="181"/>
  <c r="S238" i="181"/>
  <c r="R238" i="181"/>
  <c r="Q238" i="181"/>
  <c r="P238" i="181"/>
  <c r="O238" i="181"/>
  <c r="N238" i="181"/>
  <c r="M238" i="181"/>
  <c r="L238" i="181"/>
  <c r="K238" i="181"/>
  <c r="J238" i="181"/>
  <c r="I238" i="181"/>
  <c r="H238" i="181"/>
  <c r="G238" i="181"/>
  <c r="F238" i="181"/>
  <c r="W237" i="181"/>
  <c r="I237" i="181"/>
  <c r="F237" i="181"/>
  <c r="W236" i="181"/>
  <c r="I236" i="181"/>
  <c r="F236" i="181"/>
  <c r="W235" i="181"/>
  <c r="I235" i="181"/>
  <c r="F235" i="181"/>
  <c r="W234" i="181"/>
  <c r="I234" i="181"/>
  <c r="F234" i="181"/>
  <c r="W233" i="181"/>
  <c r="F233" i="181"/>
  <c r="W232" i="181"/>
  <c r="I232" i="181"/>
  <c r="F232" i="181"/>
  <c r="W231" i="181"/>
  <c r="I231" i="181"/>
  <c r="F231" i="181"/>
  <c r="W230" i="181"/>
  <c r="V230" i="181"/>
  <c r="U230" i="181"/>
  <c r="T230" i="181"/>
  <c r="S230" i="181"/>
  <c r="R230" i="181"/>
  <c r="Q230" i="181"/>
  <c r="P230" i="181"/>
  <c r="O230" i="181"/>
  <c r="N230" i="181"/>
  <c r="M230" i="181"/>
  <c r="L230" i="181"/>
  <c r="K230" i="181"/>
  <c r="J230" i="181"/>
  <c r="I230" i="181"/>
  <c r="H230" i="181"/>
  <c r="G230" i="181"/>
  <c r="F230" i="181"/>
  <c r="W229" i="181"/>
  <c r="M229" i="181"/>
  <c r="K229" i="181"/>
  <c r="I229" i="181"/>
  <c r="F229" i="181"/>
  <c r="W228" i="181"/>
  <c r="M228" i="181"/>
  <c r="K228" i="181"/>
  <c r="I228" i="181"/>
  <c r="F228" i="181"/>
  <c r="W227" i="181"/>
  <c r="M227" i="181"/>
  <c r="K227" i="181"/>
  <c r="I227" i="181"/>
  <c r="F227" i="181"/>
  <c r="W226" i="181"/>
  <c r="M226" i="181"/>
  <c r="K226" i="181"/>
  <c r="I226" i="181"/>
  <c r="F226" i="181"/>
  <c r="W225" i="181"/>
  <c r="M225" i="181"/>
  <c r="K225" i="181"/>
  <c r="I225" i="181"/>
  <c r="F225" i="181"/>
  <c r="W224" i="181"/>
  <c r="M224" i="181"/>
  <c r="K224" i="181"/>
  <c r="I224" i="181"/>
  <c r="F224" i="181"/>
  <c r="W223" i="181"/>
  <c r="V223" i="181"/>
  <c r="U223" i="181"/>
  <c r="T223" i="181"/>
  <c r="S223" i="181"/>
  <c r="R223" i="181"/>
  <c r="Q223" i="181"/>
  <c r="P223" i="181"/>
  <c r="O223" i="181"/>
  <c r="N223" i="181"/>
  <c r="M223" i="181"/>
  <c r="L223" i="181"/>
  <c r="K223" i="181"/>
  <c r="J223" i="181"/>
  <c r="I223" i="181"/>
  <c r="H223" i="181"/>
  <c r="G223" i="181"/>
  <c r="F223" i="181"/>
  <c r="W222" i="181"/>
  <c r="M222" i="181"/>
  <c r="I222" i="181"/>
  <c r="W221" i="181"/>
  <c r="M221" i="181"/>
  <c r="I221" i="181"/>
  <c r="F221" i="181"/>
  <c r="W220" i="181"/>
  <c r="M220" i="181"/>
  <c r="I220" i="181"/>
  <c r="F220" i="181"/>
  <c r="W219" i="181"/>
  <c r="M219" i="181"/>
  <c r="I219" i="181"/>
  <c r="F219" i="181"/>
  <c r="X218" i="181"/>
  <c r="W218" i="181"/>
  <c r="M218" i="181"/>
  <c r="I218" i="181"/>
  <c r="H218" i="181"/>
  <c r="F218" i="181"/>
  <c r="X217" i="181"/>
  <c r="W217" i="181"/>
  <c r="I217" i="181"/>
  <c r="F217" i="181"/>
  <c r="W216" i="181"/>
  <c r="V216" i="181"/>
  <c r="U216" i="181"/>
  <c r="T216" i="181"/>
  <c r="S216" i="181"/>
  <c r="R216" i="181"/>
  <c r="Q216" i="181"/>
  <c r="P216" i="181"/>
  <c r="O216" i="181"/>
  <c r="N216" i="181"/>
  <c r="M216" i="181"/>
  <c r="L216" i="181"/>
  <c r="K216" i="181"/>
  <c r="J216" i="181"/>
  <c r="I216" i="181"/>
  <c r="H216" i="181"/>
  <c r="G216" i="181"/>
  <c r="F216" i="181"/>
  <c r="X215" i="181"/>
  <c r="W215" i="181"/>
  <c r="V215" i="181"/>
  <c r="U215" i="181"/>
  <c r="T215" i="181"/>
  <c r="S215" i="181"/>
  <c r="R215" i="181"/>
  <c r="Q215" i="181"/>
  <c r="P215" i="181"/>
  <c r="O215" i="181"/>
  <c r="N215" i="181"/>
  <c r="M215" i="181"/>
  <c r="L215" i="181"/>
  <c r="K215" i="181"/>
  <c r="J215" i="181"/>
  <c r="I215" i="181"/>
  <c r="H215" i="181"/>
  <c r="G215" i="181"/>
  <c r="F215" i="181"/>
  <c r="E215" i="181"/>
  <c r="D215" i="181"/>
  <c r="C215" i="181"/>
  <c r="X214" i="181"/>
  <c r="W214" i="181"/>
  <c r="I214" i="181"/>
  <c r="F214" i="181"/>
  <c r="W213" i="181"/>
  <c r="I213" i="181"/>
  <c r="F213" i="181"/>
  <c r="W212" i="181"/>
  <c r="M212" i="181"/>
  <c r="I212" i="181"/>
  <c r="F212" i="181"/>
  <c r="W211" i="181"/>
  <c r="M211" i="181"/>
  <c r="I211" i="181"/>
  <c r="F211" i="181"/>
  <c r="W210" i="181"/>
  <c r="I210" i="181"/>
  <c r="F210" i="181"/>
  <c r="W209" i="181"/>
  <c r="I209" i="181"/>
  <c r="F209" i="181"/>
  <c r="W208" i="181"/>
  <c r="I208" i="181"/>
  <c r="F208" i="181"/>
  <c r="W207" i="181"/>
  <c r="M207" i="181"/>
  <c r="I207" i="181"/>
  <c r="F207" i="181"/>
  <c r="W206" i="181"/>
  <c r="I206" i="181"/>
  <c r="F206" i="181"/>
  <c r="W205" i="181"/>
  <c r="I205" i="181"/>
  <c r="F205" i="181"/>
  <c r="W204" i="181"/>
  <c r="M204" i="181"/>
  <c r="I204" i="181"/>
  <c r="F204" i="181"/>
  <c r="W203" i="181"/>
  <c r="M203" i="181"/>
  <c r="I203" i="181"/>
  <c r="F203" i="181"/>
  <c r="W202" i="181"/>
  <c r="M202" i="181"/>
  <c r="I202" i="181"/>
  <c r="F202" i="181"/>
  <c r="W201" i="181"/>
  <c r="I201" i="181"/>
  <c r="F201" i="181"/>
  <c r="W200" i="181"/>
  <c r="I200" i="181"/>
  <c r="F200" i="181"/>
  <c r="W199" i="181"/>
  <c r="I199" i="181"/>
  <c r="F199" i="181"/>
  <c r="W198" i="181"/>
  <c r="M198" i="181"/>
  <c r="I198" i="181"/>
  <c r="F198" i="181"/>
  <c r="W197" i="181"/>
  <c r="M197" i="181"/>
  <c r="I197" i="181"/>
  <c r="F197" i="181"/>
  <c r="W196" i="181"/>
  <c r="M196" i="181"/>
  <c r="I196" i="181"/>
  <c r="F196" i="181"/>
  <c r="W195" i="181"/>
  <c r="M195" i="181"/>
  <c r="I195" i="181"/>
  <c r="F195" i="181"/>
  <c r="W194" i="181"/>
  <c r="V194" i="181"/>
  <c r="U194" i="181"/>
  <c r="T194" i="181"/>
  <c r="S194" i="181"/>
  <c r="R194" i="181"/>
  <c r="Q194" i="181"/>
  <c r="P194" i="181"/>
  <c r="O194" i="181"/>
  <c r="N194" i="181"/>
  <c r="M194" i="181"/>
  <c r="L194" i="181"/>
  <c r="K194" i="181"/>
  <c r="J194" i="181"/>
  <c r="I194" i="181"/>
  <c r="H194" i="181"/>
  <c r="G194" i="181"/>
  <c r="F194" i="181"/>
  <c r="W193" i="181"/>
  <c r="M193" i="181"/>
  <c r="I193" i="181"/>
  <c r="F193" i="181"/>
  <c r="W192" i="181"/>
  <c r="I192" i="181"/>
  <c r="F192" i="181"/>
  <c r="W191" i="181"/>
  <c r="M191" i="181"/>
  <c r="I191" i="181"/>
  <c r="F191" i="181"/>
  <c r="W190" i="181"/>
  <c r="V190" i="181"/>
  <c r="U190" i="181"/>
  <c r="T190" i="181"/>
  <c r="S190" i="181"/>
  <c r="R190" i="181"/>
  <c r="Q190" i="181"/>
  <c r="P190" i="181"/>
  <c r="O190" i="181"/>
  <c r="N190" i="181"/>
  <c r="M190" i="181"/>
  <c r="L190" i="181"/>
  <c r="K190" i="181"/>
  <c r="J190" i="181"/>
  <c r="I190" i="181"/>
  <c r="H190" i="181"/>
  <c r="G190" i="181"/>
  <c r="F190" i="181"/>
  <c r="E190" i="181"/>
  <c r="D190" i="181"/>
  <c r="C190" i="181"/>
  <c r="W189" i="181"/>
  <c r="I189" i="181"/>
  <c r="F189" i="181"/>
  <c r="W188" i="181"/>
  <c r="I188" i="181"/>
  <c r="F188" i="181"/>
  <c r="W187" i="181"/>
  <c r="M187" i="181"/>
  <c r="I187" i="181"/>
  <c r="F187" i="181"/>
  <c r="W186" i="181"/>
  <c r="M186" i="181"/>
  <c r="I186" i="181"/>
  <c r="F186" i="181"/>
  <c r="W185" i="181"/>
  <c r="I185" i="181"/>
  <c r="F185" i="181"/>
  <c r="W184" i="181"/>
  <c r="M184" i="181"/>
  <c r="I184" i="181"/>
  <c r="F184" i="181"/>
  <c r="W183" i="181"/>
  <c r="M183" i="181"/>
  <c r="I183" i="181"/>
  <c r="F183" i="181"/>
  <c r="W182" i="181"/>
  <c r="I182" i="181"/>
  <c r="F182" i="181"/>
  <c r="W181" i="181"/>
  <c r="I181" i="181"/>
  <c r="F181" i="181"/>
  <c r="W180" i="181"/>
  <c r="I180" i="181"/>
  <c r="F180" i="181"/>
  <c r="W179" i="181"/>
  <c r="M179" i="181"/>
  <c r="I179" i="181"/>
  <c r="F179" i="181"/>
  <c r="W178" i="181"/>
  <c r="I178" i="181"/>
  <c r="F178" i="181"/>
  <c r="W177" i="181"/>
  <c r="I177" i="181"/>
  <c r="F177" i="181"/>
  <c r="W176" i="181"/>
  <c r="I176" i="181"/>
  <c r="F176" i="181"/>
  <c r="W175" i="181"/>
  <c r="I175" i="181"/>
  <c r="F175" i="181"/>
  <c r="W174" i="181"/>
  <c r="I174" i="181"/>
  <c r="F174" i="181"/>
  <c r="W173" i="181"/>
  <c r="M173" i="181"/>
  <c r="I173" i="181"/>
  <c r="F173" i="181"/>
  <c r="W172" i="181"/>
  <c r="M172" i="181"/>
  <c r="I172" i="181"/>
  <c r="F172" i="181"/>
  <c r="W171" i="181"/>
  <c r="M171" i="181"/>
  <c r="I171" i="181"/>
  <c r="F171" i="181"/>
  <c r="W170" i="181"/>
  <c r="M170" i="181"/>
  <c r="I170" i="181"/>
  <c r="F170" i="181"/>
  <c r="W169" i="181"/>
  <c r="V169" i="181"/>
  <c r="U169" i="181"/>
  <c r="T169" i="181"/>
  <c r="S169" i="181"/>
  <c r="R169" i="181"/>
  <c r="Q169" i="181"/>
  <c r="P169" i="181"/>
  <c r="O169" i="181"/>
  <c r="N169" i="181"/>
  <c r="M169" i="181"/>
  <c r="L169" i="181"/>
  <c r="K169" i="181"/>
  <c r="J169" i="181"/>
  <c r="I169" i="181"/>
  <c r="H169" i="181"/>
  <c r="G169" i="181"/>
  <c r="F169" i="181"/>
  <c r="W168" i="181"/>
  <c r="M168" i="181"/>
  <c r="I168" i="181"/>
  <c r="F168" i="181"/>
  <c r="W167" i="181"/>
  <c r="I167" i="181"/>
  <c r="F167" i="181"/>
  <c r="W166" i="181"/>
  <c r="M166" i="181"/>
  <c r="I166" i="181"/>
  <c r="F166" i="181"/>
  <c r="W165" i="181"/>
  <c r="M165" i="181"/>
  <c r="I165" i="181"/>
  <c r="F165" i="181"/>
  <c r="W164" i="181"/>
  <c r="M164" i="181"/>
  <c r="I164" i="181"/>
  <c r="F164" i="181"/>
  <c r="W163" i="181"/>
  <c r="M163" i="181"/>
  <c r="I163" i="181"/>
  <c r="F163" i="181"/>
  <c r="W162" i="181"/>
  <c r="M162" i="181"/>
  <c r="I162" i="181"/>
  <c r="F162" i="181"/>
  <c r="W161" i="181"/>
  <c r="M161" i="181"/>
  <c r="I161" i="181"/>
  <c r="F161" i="181"/>
  <c r="W160" i="181"/>
  <c r="M160" i="181"/>
  <c r="I160" i="181"/>
  <c r="F160" i="181"/>
  <c r="W159" i="181"/>
  <c r="I159" i="181"/>
  <c r="F159" i="181"/>
  <c r="W158" i="181"/>
  <c r="M158" i="181"/>
  <c r="I158" i="181"/>
  <c r="F158" i="181"/>
  <c r="W157" i="181"/>
  <c r="M157" i="181"/>
  <c r="I157" i="181"/>
  <c r="F157" i="181"/>
  <c r="W156" i="181"/>
  <c r="M156" i="181"/>
  <c r="I156" i="181"/>
  <c r="F156" i="181"/>
  <c r="W155" i="181"/>
  <c r="M155" i="181"/>
  <c r="I155" i="181"/>
  <c r="F155" i="181"/>
  <c r="W154" i="181"/>
  <c r="I154" i="181"/>
  <c r="F154" i="181"/>
  <c r="W153" i="181"/>
  <c r="M153" i="181"/>
  <c r="I153" i="181"/>
  <c r="F153" i="181"/>
  <c r="W152" i="181"/>
  <c r="M152" i="181"/>
  <c r="I152" i="181"/>
  <c r="F152" i="181"/>
  <c r="W151" i="181"/>
  <c r="M151" i="181"/>
  <c r="I151" i="181"/>
  <c r="F151" i="181"/>
  <c r="W150" i="181"/>
  <c r="I150" i="181"/>
  <c r="F150" i="181"/>
  <c r="W149" i="181"/>
  <c r="I149" i="181"/>
  <c r="F149" i="181"/>
  <c r="W148" i="181"/>
  <c r="V148" i="181"/>
  <c r="U148" i="181"/>
  <c r="T148" i="181"/>
  <c r="S148" i="181"/>
  <c r="R148" i="181"/>
  <c r="Q148" i="181"/>
  <c r="P148" i="181"/>
  <c r="O148" i="181"/>
  <c r="N148" i="181"/>
  <c r="M148" i="181"/>
  <c r="L148" i="181"/>
  <c r="K148" i="181"/>
  <c r="J148" i="181"/>
  <c r="I148" i="181"/>
  <c r="H148" i="181"/>
  <c r="G148" i="181"/>
  <c r="F148" i="181"/>
  <c r="W147" i="181"/>
  <c r="I147" i="181"/>
  <c r="F147" i="181"/>
  <c r="W146" i="181"/>
  <c r="I146" i="181"/>
  <c r="F146" i="181"/>
  <c r="W145" i="181"/>
  <c r="I145" i="181"/>
  <c r="F145" i="181"/>
  <c r="W144" i="181"/>
  <c r="M144" i="181"/>
  <c r="I144" i="181"/>
  <c r="F144" i="181"/>
  <c r="W143" i="181"/>
  <c r="I143" i="181"/>
  <c r="F143" i="181"/>
  <c r="W142" i="181"/>
  <c r="M142" i="181"/>
  <c r="I142" i="181"/>
  <c r="F142" i="181"/>
  <c r="W141" i="181"/>
  <c r="I141" i="181"/>
  <c r="F141" i="181"/>
  <c r="W140" i="181"/>
  <c r="M140" i="181"/>
  <c r="I140" i="181"/>
  <c r="F140" i="181"/>
  <c r="W139" i="181"/>
  <c r="I139" i="181"/>
  <c r="F139" i="181"/>
  <c r="W138" i="181"/>
  <c r="I138" i="181"/>
  <c r="F138" i="181"/>
  <c r="W137" i="181"/>
  <c r="I137" i="181"/>
  <c r="F137" i="181"/>
  <c r="W136" i="181"/>
  <c r="M136" i="181"/>
  <c r="I136" i="181"/>
  <c r="F136" i="181"/>
  <c r="W135" i="181"/>
  <c r="I135" i="181"/>
  <c r="F135" i="181"/>
  <c r="W134" i="181"/>
  <c r="I134" i="181"/>
  <c r="F134" i="181"/>
  <c r="W133" i="181"/>
  <c r="M133" i="181"/>
  <c r="I133" i="181"/>
  <c r="F133" i="181"/>
  <c r="W132" i="181"/>
  <c r="I132" i="181"/>
  <c r="F132" i="181"/>
  <c r="W131" i="181"/>
  <c r="I131" i="181"/>
  <c r="F131" i="181"/>
  <c r="W130" i="181"/>
  <c r="I130" i="181"/>
  <c r="F130" i="181"/>
  <c r="W129" i="181"/>
  <c r="I129" i="181"/>
  <c r="F129" i="181"/>
  <c r="W128" i="181"/>
  <c r="I128" i="181"/>
  <c r="F128" i="181"/>
  <c r="W127" i="181"/>
  <c r="V127" i="181"/>
  <c r="U127" i="181"/>
  <c r="T127" i="181"/>
  <c r="S127" i="181"/>
  <c r="R127" i="181"/>
  <c r="Q127" i="181"/>
  <c r="P127" i="181"/>
  <c r="O127" i="181"/>
  <c r="N127" i="181"/>
  <c r="M127" i="181"/>
  <c r="L127" i="181"/>
  <c r="K127" i="181"/>
  <c r="J127" i="181"/>
  <c r="I127" i="181"/>
  <c r="H127" i="181"/>
  <c r="G127" i="181"/>
  <c r="F127" i="181"/>
  <c r="X126" i="181"/>
  <c r="W126" i="181"/>
  <c r="V126" i="181"/>
  <c r="U126" i="181"/>
  <c r="T126" i="181"/>
  <c r="S126" i="181"/>
  <c r="R126" i="181"/>
  <c r="Q126" i="181"/>
  <c r="P126" i="181"/>
  <c r="O126" i="181"/>
  <c r="N126" i="181"/>
  <c r="M126" i="181"/>
  <c r="L126" i="181"/>
  <c r="K126" i="181"/>
  <c r="J126" i="181"/>
  <c r="I126" i="181"/>
  <c r="H126" i="181"/>
  <c r="G126" i="181"/>
  <c r="F126" i="181"/>
  <c r="E126" i="181"/>
  <c r="D126" i="181"/>
  <c r="C126" i="181"/>
  <c r="W125" i="181"/>
  <c r="I125" i="181"/>
  <c r="F125" i="181"/>
  <c r="W124" i="181"/>
  <c r="V124" i="181"/>
  <c r="U124" i="181"/>
  <c r="T124" i="181"/>
  <c r="S124" i="181"/>
  <c r="R124" i="181"/>
  <c r="Q124" i="181"/>
  <c r="P124" i="181"/>
  <c r="O124" i="181"/>
  <c r="N124" i="181"/>
  <c r="M124" i="181"/>
  <c r="L124" i="181"/>
  <c r="K124" i="181"/>
  <c r="J124" i="181"/>
  <c r="I124" i="181"/>
  <c r="H124" i="181"/>
  <c r="G124" i="181"/>
  <c r="F124" i="181"/>
  <c r="E124" i="181"/>
  <c r="D124" i="181"/>
  <c r="C124" i="181"/>
  <c r="W123" i="181"/>
  <c r="I123" i="181"/>
  <c r="F123" i="181"/>
  <c r="E123" i="181"/>
  <c r="W122" i="181"/>
  <c r="M122" i="181"/>
  <c r="I122" i="181"/>
  <c r="F122" i="181"/>
  <c r="E122" i="181"/>
  <c r="W121" i="181"/>
  <c r="M121" i="181"/>
  <c r="I121" i="181"/>
  <c r="F121" i="181"/>
  <c r="E121" i="181"/>
  <c r="W120" i="181"/>
  <c r="M120" i="181"/>
  <c r="I120" i="181"/>
  <c r="F120" i="181"/>
  <c r="E120" i="181"/>
  <c r="W119" i="181"/>
  <c r="I119" i="181"/>
  <c r="F119" i="181"/>
  <c r="E119" i="181"/>
  <c r="W118" i="181"/>
  <c r="M118" i="181"/>
  <c r="I118" i="181"/>
  <c r="F118" i="181"/>
  <c r="E118" i="181"/>
  <c r="W117" i="181"/>
  <c r="M117" i="181"/>
  <c r="I117" i="181"/>
  <c r="F117" i="181"/>
  <c r="E117" i="181"/>
  <c r="W116" i="181"/>
  <c r="M116" i="181"/>
  <c r="I116" i="181"/>
  <c r="F116" i="181"/>
  <c r="E116" i="181"/>
  <c r="W115" i="181"/>
  <c r="I115" i="181"/>
  <c r="F115" i="181"/>
  <c r="E115" i="181"/>
  <c r="W114" i="181"/>
  <c r="M114" i="181"/>
  <c r="I114" i="181"/>
  <c r="F114" i="181"/>
  <c r="E114" i="181"/>
  <c r="T113" i="181"/>
  <c r="N113" i="181"/>
  <c r="I113" i="181"/>
  <c r="F113" i="181"/>
  <c r="E113" i="181"/>
  <c r="W112" i="181"/>
  <c r="M112" i="181"/>
  <c r="I112" i="181"/>
  <c r="F112" i="181"/>
  <c r="E112" i="181"/>
  <c r="W111" i="181"/>
  <c r="M111" i="181"/>
  <c r="I111" i="181"/>
  <c r="F111" i="181"/>
  <c r="E111" i="181"/>
  <c r="W110" i="181"/>
  <c r="M110" i="181"/>
  <c r="I110" i="181"/>
  <c r="F110" i="181"/>
  <c r="E110" i="181"/>
  <c r="W109" i="181"/>
  <c r="M109" i="181"/>
  <c r="I109" i="181"/>
  <c r="F109" i="181"/>
  <c r="E109" i="181"/>
  <c r="W108" i="181"/>
  <c r="I108" i="181"/>
  <c r="F108" i="181"/>
  <c r="E108" i="181"/>
  <c r="W107" i="181"/>
  <c r="M107" i="181"/>
  <c r="I107" i="181"/>
  <c r="F107" i="181"/>
  <c r="E107" i="181"/>
  <c r="W106" i="181"/>
  <c r="M106" i="181"/>
  <c r="I106" i="181"/>
  <c r="F106" i="181"/>
  <c r="E106" i="181"/>
  <c r="W105" i="181"/>
  <c r="M105" i="181"/>
  <c r="I105" i="181"/>
  <c r="F105" i="181"/>
  <c r="E105" i="181"/>
  <c r="W104" i="181"/>
  <c r="M104" i="181"/>
  <c r="I104" i="181"/>
  <c r="F104" i="181"/>
  <c r="E104" i="181"/>
  <c r="W103" i="181"/>
  <c r="V103" i="181"/>
  <c r="U103" i="181"/>
  <c r="T103" i="181"/>
  <c r="S103" i="181"/>
  <c r="R103" i="181"/>
  <c r="Q103" i="181"/>
  <c r="P103" i="181"/>
  <c r="O103" i="181"/>
  <c r="N103" i="181"/>
  <c r="M103" i="181"/>
  <c r="L103" i="181"/>
  <c r="K103" i="181"/>
  <c r="J103" i="181"/>
  <c r="I103" i="181"/>
  <c r="H103" i="181"/>
  <c r="G103" i="181"/>
  <c r="F103" i="181"/>
  <c r="W102" i="181"/>
  <c r="U102" i="181"/>
  <c r="I102" i="181"/>
  <c r="F102" i="181"/>
  <c r="W101" i="181"/>
  <c r="V101" i="181"/>
  <c r="U101" i="181"/>
  <c r="T101" i="181"/>
  <c r="S101" i="181"/>
  <c r="R101" i="181"/>
  <c r="Q101" i="181"/>
  <c r="P101" i="181"/>
  <c r="O101" i="181"/>
  <c r="N101" i="181"/>
  <c r="M101" i="181"/>
  <c r="L101" i="181"/>
  <c r="K101" i="181"/>
  <c r="J101" i="181"/>
  <c r="I101" i="181"/>
  <c r="H101" i="181"/>
  <c r="G101" i="181"/>
  <c r="F101" i="181"/>
  <c r="E101" i="181"/>
  <c r="D101" i="181"/>
  <c r="C101" i="181"/>
  <c r="L100" i="181"/>
  <c r="L99" i="181"/>
  <c r="I99" i="181"/>
  <c r="F99" i="181"/>
  <c r="L98" i="181"/>
  <c r="I98" i="181"/>
  <c r="F98" i="181"/>
  <c r="L97" i="181"/>
  <c r="I97" i="181"/>
  <c r="F97" i="181"/>
  <c r="L96" i="181"/>
  <c r="K95" i="181"/>
  <c r="I95" i="181"/>
  <c r="F95" i="181"/>
  <c r="W94" i="181"/>
  <c r="I94" i="181"/>
  <c r="F94" i="181"/>
  <c r="K93" i="181"/>
  <c r="I93" i="181"/>
  <c r="F93" i="181"/>
  <c r="W92" i="181"/>
  <c r="V92" i="181"/>
  <c r="U92" i="181"/>
  <c r="T92" i="181"/>
  <c r="S92" i="181"/>
  <c r="R92" i="181"/>
  <c r="Q92" i="181"/>
  <c r="P92" i="181"/>
  <c r="O92" i="181"/>
  <c r="N92" i="181"/>
  <c r="M92" i="181"/>
  <c r="L92" i="181"/>
  <c r="K92" i="181"/>
  <c r="J92" i="181"/>
  <c r="I92" i="181"/>
  <c r="H92" i="181"/>
  <c r="G92" i="181"/>
  <c r="F92" i="181"/>
  <c r="I91" i="181"/>
  <c r="F91" i="181"/>
  <c r="W90" i="181"/>
  <c r="V90" i="181"/>
  <c r="U90" i="181"/>
  <c r="T90" i="181"/>
  <c r="S90" i="181"/>
  <c r="R90" i="181"/>
  <c r="Q90" i="181"/>
  <c r="P90" i="181"/>
  <c r="O90" i="181"/>
  <c r="N90" i="181"/>
  <c r="M90" i="181"/>
  <c r="L90" i="181"/>
  <c r="K90" i="181"/>
  <c r="J90" i="181"/>
  <c r="I90" i="181"/>
  <c r="H90" i="181"/>
  <c r="G90" i="181"/>
  <c r="F90" i="181"/>
  <c r="D90" i="181"/>
  <c r="C90" i="181"/>
  <c r="I89" i="181"/>
  <c r="F89" i="181"/>
  <c r="I88" i="181"/>
  <c r="F88" i="181"/>
  <c r="I87" i="181"/>
  <c r="F87" i="181"/>
  <c r="I86" i="181"/>
  <c r="F86" i="181"/>
  <c r="W85" i="181"/>
  <c r="V85" i="181"/>
  <c r="U85" i="181"/>
  <c r="T85" i="181"/>
  <c r="S85" i="181"/>
  <c r="R85" i="181"/>
  <c r="Q85" i="181"/>
  <c r="P85" i="181"/>
  <c r="O85" i="181"/>
  <c r="N85" i="181"/>
  <c r="M85" i="181"/>
  <c r="L85" i="181"/>
  <c r="K85" i="181"/>
  <c r="J85" i="181"/>
  <c r="I85" i="181"/>
  <c r="H85" i="181"/>
  <c r="G85" i="181"/>
  <c r="F85" i="181"/>
  <c r="E85" i="181"/>
  <c r="D85" i="181"/>
  <c r="C85" i="181"/>
  <c r="I84" i="181"/>
  <c r="F84" i="181"/>
  <c r="L83" i="181"/>
  <c r="I83" i="181"/>
  <c r="F83" i="181"/>
  <c r="W82" i="181"/>
  <c r="I82" i="181"/>
  <c r="F82" i="181"/>
  <c r="L81" i="181"/>
  <c r="I81" i="181"/>
  <c r="F81" i="181"/>
  <c r="L80" i="181"/>
  <c r="I80" i="181"/>
  <c r="F80" i="181"/>
  <c r="K79" i="181"/>
  <c r="I79" i="181"/>
  <c r="H79" i="181"/>
  <c r="F79" i="181"/>
  <c r="I78" i="181"/>
  <c r="H78" i="181"/>
  <c r="F78" i="181"/>
  <c r="W77" i="181"/>
  <c r="V77" i="181"/>
  <c r="U77" i="181"/>
  <c r="T77" i="181"/>
  <c r="S77" i="181"/>
  <c r="R77" i="181"/>
  <c r="Q77" i="181"/>
  <c r="P77" i="181"/>
  <c r="O77" i="181"/>
  <c r="N77" i="181"/>
  <c r="M77" i="181"/>
  <c r="L77" i="181"/>
  <c r="K77" i="181"/>
  <c r="J77" i="181"/>
  <c r="I77" i="181"/>
  <c r="H77" i="181"/>
  <c r="F77" i="181"/>
  <c r="C77" i="181"/>
  <c r="W74" i="181"/>
  <c r="V74" i="181"/>
  <c r="U74" i="181"/>
  <c r="T74" i="181"/>
  <c r="S74" i="181"/>
  <c r="R74" i="181"/>
  <c r="Q74" i="181"/>
  <c r="P74" i="181"/>
  <c r="O74" i="181"/>
  <c r="N74" i="181"/>
  <c r="M74" i="181"/>
  <c r="L74" i="181"/>
  <c r="K74" i="181"/>
  <c r="J74" i="181"/>
  <c r="I74" i="181"/>
  <c r="H74" i="181"/>
  <c r="G74" i="181"/>
  <c r="F74" i="181"/>
  <c r="E74" i="181"/>
  <c r="D74" i="181"/>
  <c r="C74" i="181"/>
  <c r="W73" i="181"/>
  <c r="V73" i="181"/>
  <c r="U73" i="181"/>
  <c r="T73" i="181"/>
  <c r="S73" i="181"/>
  <c r="R73" i="181"/>
  <c r="Q73" i="181"/>
  <c r="P73" i="181"/>
  <c r="O73" i="181"/>
  <c r="N73" i="181"/>
  <c r="M73" i="181"/>
  <c r="L73" i="181"/>
  <c r="K73" i="181"/>
  <c r="J73" i="181"/>
  <c r="I73" i="181"/>
  <c r="H73" i="181"/>
  <c r="G73" i="181"/>
  <c r="F73" i="181"/>
  <c r="E73" i="181"/>
  <c r="D73" i="181"/>
  <c r="C73" i="181"/>
  <c r="W72" i="181"/>
  <c r="V72" i="181"/>
  <c r="U72" i="181"/>
  <c r="T72" i="181"/>
  <c r="S72" i="181"/>
  <c r="R72" i="181"/>
  <c r="Q72" i="181"/>
  <c r="P72" i="181"/>
  <c r="O72" i="181"/>
  <c r="N72" i="181"/>
  <c r="M72" i="181"/>
  <c r="L72" i="181"/>
  <c r="K72" i="181"/>
  <c r="J72" i="181"/>
  <c r="I72" i="181"/>
  <c r="H72" i="181"/>
  <c r="G72" i="181"/>
  <c r="F72" i="181"/>
  <c r="E72" i="181"/>
  <c r="D72" i="181"/>
  <c r="C72" i="181"/>
  <c r="W70" i="181"/>
  <c r="V70" i="181"/>
  <c r="U70" i="181"/>
  <c r="T70" i="181"/>
  <c r="S70" i="181"/>
  <c r="R70" i="181"/>
  <c r="Q70" i="181"/>
  <c r="P70" i="181"/>
  <c r="O70" i="181"/>
  <c r="N70" i="181"/>
  <c r="M70" i="181"/>
  <c r="L70" i="181"/>
  <c r="K70" i="181"/>
  <c r="J70" i="181"/>
  <c r="I70" i="181"/>
  <c r="H70" i="181"/>
  <c r="G70" i="181"/>
  <c r="F70" i="181"/>
  <c r="E70" i="181"/>
  <c r="D70" i="181"/>
  <c r="C70" i="181"/>
  <c r="V69" i="181"/>
  <c r="U69" i="181"/>
  <c r="I69" i="181"/>
  <c r="F69" i="181"/>
  <c r="V68" i="181"/>
  <c r="U68" i="181"/>
  <c r="I68" i="181"/>
  <c r="F68" i="181"/>
  <c r="V67" i="181"/>
  <c r="U67" i="181"/>
  <c r="I67" i="181"/>
  <c r="F67" i="181"/>
  <c r="V66" i="181"/>
  <c r="U66" i="181"/>
  <c r="I66" i="181"/>
  <c r="F66" i="181"/>
  <c r="V65" i="181"/>
  <c r="U65" i="181"/>
  <c r="I65" i="181"/>
  <c r="F65" i="181"/>
  <c r="V64" i="181"/>
  <c r="U64" i="181"/>
  <c r="I64" i="181"/>
  <c r="F64" i="181"/>
  <c r="V63" i="181"/>
  <c r="U63" i="181"/>
  <c r="I63" i="181"/>
  <c r="F63" i="181"/>
  <c r="V62" i="181"/>
  <c r="I62" i="181"/>
  <c r="F62" i="181"/>
  <c r="V61" i="181"/>
  <c r="I61" i="181"/>
  <c r="F61" i="181"/>
  <c r="V60" i="181"/>
  <c r="I60" i="181"/>
  <c r="F60" i="181"/>
  <c r="V59" i="181"/>
  <c r="K59" i="181"/>
  <c r="I59" i="181"/>
  <c r="F59" i="181"/>
  <c r="V58" i="181"/>
  <c r="K58" i="181"/>
  <c r="I58" i="181"/>
  <c r="F58" i="181"/>
  <c r="V57" i="181"/>
  <c r="I57" i="181"/>
  <c r="F57" i="181"/>
  <c r="I56" i="181"/>
  <c r="F56" i="181"/>
  <c r="V55" i="181"/>
  <c r="U55" i="181"/>
  <c r="I55" i="181"/>
  <c r="F55" i="181"/>
  <c r="C55" i="181"/>
  <c r="V54" i="181"/>
  <c r="U54" i="181"/>
  <c r="I54" i="181"/>
  <c r="F54" i="181"/>
  <c r="V53" i="181"/>
  <c r="U53" i="181"/>
  <c r="I53" i="181"/>
  <c r="F53" i="181"/>
  <c r="V52" i="181"/>
  <c r="U52" i="181"/>
  <c r="I52" i="181"/>
  <c r="F52" i="181"/>
  <c r="C52" i="181"/>
  <c r="V51" i="181"/>
  <c r="U51" i="181"/>
  <c r="I51" i="181"/>
  <c r="F51" i="181"/>
  <c r="U50" i="181"/>
  <c r="I50" i="181"/>
  <c r="V49" i="181"/>
  <c r="U49" i="181"/>
  <c r="I49" i="181"/>
  <c r="F49" i="181"/>
  <c r="I48" i="181"/>
  <c r="F48" i="181"/>
  <c r="V47" i="181"/>
  <c r="U47" i="181"/>
  <c r="I47" i="181"/>
  <c r="F47" i="181"/>
  <c r="V46" i="181"/>
  <c r="U46" i="181"/>
  <c r="I46" i="181"/>
  <c r="F46" i="181"/>
  <c r="V45" i="181"/>
  <c r="U45" i="181"/>
  <c r="I45" i="181"/>
  <c r="F45" i="181"/>
  <c r="V44" i="181"/>
  <c r="U44" i="181"/>
  <c r="I44" i="181"/>
  <c r="F44" i="181"/>
  <c r="V43" i="181"/>
  <c r="U43" i="181"/>
  <c r="I43" i="181"/>
  <c r="F43" i="181"/>
  <c r="V42" i="181"/>
  <c r="U42" i="181"/>
  <c r="I42" i="181"/>
  <c r="F42" i="181"/>
  <c r="V41" i="181"/>
  <c r="U41" i="181"/>
  <c r="I41" i="181"/>
  <c r="F41" i="181"/>
  <c r="V40" i="181"/>
  <c r="U40" i="181"/>
  <c r="I40" i="181"/>
  <c r="F40" i="181"/>
  <c r="V39" i="181"/>
  <c r="U39" i="181"/>
  <c r="I39" i="181"/>
  <c r="F39" i="181"/>
  <c r="V38" i="181"/>
  <c r="U38" i="181"/>
  <c r="I38" i="181"/>
  <c r="H38" i="181"/>
  <c r="F38" i="181"/>
  <c r="V37" i="181"/>
  <c r="U37" i="181"/>
  <c r="I37" i="181"/>
  <c r="F37" i="181"/>
  <c r="V36" i="181"/>
  <c r="U36" i="181"/>
  <c r="I36" i="181"/>
  <c r="H36" i="181"/>
  <c r="F36" i="181"/>
  <c r="V35" i="181"/>
  <c r="U35" i="181"/>
  <c r="I35" i="181"/>
  <c r="F35" i="181"/>
  <c r="V34" i="181"/>
  <c r="U34" i="181"/>
  <c r="I34" i="181"/>
  <c r="H34" i="181"/>
  <c r="F34" i="181"/>
  <c r="I33" i="181"/>
  <c r="F33" i="181"/>
  <c r="U32" i="181"/>
  <c r="V31" i="181"/>
  <c r="U31" i="181"/>
  <c r="L31" i="181"/>
  <c r="I31" i="181"/>
  <c r="F31" i="181"/>
  <c r="V30" i="181"/>
  <c r="U30" i="181"/>
  <c r="I30" i="181"/>
  <c r="F30" i="181"/>
  <c r="W29" i="181"/>
  <c r="V29" i="181"/>
  <c r="U29" i="181"/>
  <c r="T29" i="181"/>
  <c r="S29" i="181"/>
  <c r="R29" i="181"/>
  <c r="Q29" i="181"/>
  <c r="P29" i="181"/>
  <c r="O29" i="181"/>
  <c r="N29" i="181"/>
  <c r="M29" i="181"/>
  <c r="L29" i="181"/>
  <c r="K29" i="181"/>
  <c r="J29" i="181"/>
  <c r="I29" i="181"/>
  <c r="H29" i="181"/>
  <c r="G29" i="181"/>
  <c r="F29" i="181"/>
  <c r="E29" i="181"/>
  <c r="D29" i="181"/>
  <c r="C29" i="181"/>
  <c r="K28" i="181"/>
  <c r="F28" i="181"/>
  <c r="V26" i="181"/>
  <c r="U26" i="181"/>
  <c r="I26" i="181"/>
  <c r="F26" i="181"/>
  <c r="W25" i="181"/>
  <c r="V25" i="181"/>
  <c r="U25" i="181"/>
  <c r="T25" i="181"/>
  <c r="S25" i="181"/>
  <c r="R25" i="181"/>
  <c r="Q25" i="181"/>
  <c r="P25" i="181"/>
  <c r="O25" i="181"/>
  <c r="N25" i="181"/>
  <c r="M25" i="181"/>
  <c r="L25" i="181"/>
  <c r="K25" i="181"/>
  <c r="J25" i="181"/>
  <c r="I25" i="181"/>
  <c r="H25" i="181"/>
  <c r="G25" i="181"/>
  <c r="F25" i="181"/>
  <c r="E25" i="181"/>
  <c r="D25" i="181"/>
  <c r="C25" i="181"/>
  <c r="R24" i="181"/>
  <c r="N24" i="181"/>
  <c r="I24" i="181"/>
  <c r="C24" i="181"/>
  <c r="R23" i="181"/>
  <c r="N23" i="181"/>
  <c r="I23" i="181"/>
  <c r="C23" i="181"/>
  <c r="W22" i="181"/>
  <c r="V22" i="181"/>
  <c r="U22" i="181"/>
  <c r="T22" i="181"/>
  <c r="S22" i="181"/>
  <c r="R22" i="181"/>
  <c r="Q22" i="181"/>
  <c r="P22" i="181"/>
  <c r="O22" i="181"/>
  <c r="N22" i="181"/>
  <c r="M22" i="181"/>
  <c r="L22" i="181"/>
  <c r="K22" i="181"/>
  <c r="J22" i="181"/>
  <c r="I22" i="181"/>
  <c r="H22" i="181"/>
  <c r="G22" i="181"/>
  <c r="F22" i="181"/>
  <c r="E22" i="181"/>
  <c r="D22" i="181"/>
  <c r="C22" i="181"/>
  <c r="W21" i="181"/>
  <c r="V21" i="181"/>
  <c r="U21" i="181"/>
  <c r="T21" i="181"/>
  <c r="S21" i="181"/>
  <c r="R21" i="181"/>
  <c r="Q21" i="181"/>
  <c r="P21" i="181"/>
  <c r="O21" i="181"/>
  <c r="N21" i="181"/>
  <c r="M21" i="181"/>
  <c r="L21" i="181"/>
  <c r="K21" i="181"/>
  <c r="J21" i="181"/>
  <c r="I21" i="181"/>
  <c r="H21" i="181"/>
  <c r="G21" i="181"/>
  <c r="F21" i="181"/>
  <c r="E21" i="181"/>
  <c r="D21" i="181"/>
  <c r="C21" i="181"/>
  <c r="W20" i="181"/>
  <c r="V20" i="181"/>
  <c r="U20" i="181"/>
  <c r="T20" i="181"/>
  <c r="S20" i="181"/>
  <c r="R20" i="181"/>
  <c r="Q20" i="181"/>
  <c r="P20" i="181"/>
  <c r="O20" i="181"/>
  <c r="N20" i="181"/>
  <c r="M20" i="181"/>
  <c r="L20" i="181"/>
  <c r="K20" i="181"/>
  <c r="J20" i="181"/>
  <c r="I20" i="181"/>
  <c r="H20" i="181"/>
  <c r="G20" i="181"/>
  <c r="F20" i="181"/>
  <c r="E20" i="181"/>
  <c r="D20" i="181"/>
  <c r="C20" i="181"/>
  <c r="F18" i="181"/>
  <c r="C18" i="181"/>
  <c r="W15" i="181"/>
  <c r="V15" i="181"/>
  <c r="U15" i="181"/>
  <c r="T15" i="181"/>
  <c r="S15" i="181"/>
  <c r="R15" i="181"/>
  <c r="Q15" i="181"/>
  <c r="P15" i="181"/>
  <c r="O15" i="181"/>
  <c r="N15" i="181"/>
  <c r="M15" i="181"/>
  <c r="L15" i="181"/>
  <c r="K15" i="181"/>
  <c r="J15" i="181"/>
  <c r="I15" i="181"/>
  <c r="H15" i="181"/>
  <c r="G15" i="181"/>
  <c r="F15" i="181"/>
  <c r="E15" i="181"/>
  <c r="D15" i="181"/>
  <c r="C15" i="181"/>
  <c r="W14" i="181"/>
  <c r="V14" i="181"/>
  <c r="U14" i="181"/>
  <c r="T14" i="181"/>
  <c r="S14" i="181"/>
  <c r="R14" i="181"/>
  <c r="Q14" i="181"/>
  <c r="P14" i="181"/>
  <c r="O14" i="181"/>
  <c r="N14" i="181"/>
  <c r="M14" i="181"/>
  <c r="L14" i="181"/>
  <c r="K14" i="181"/>
  <c r="J14" i="181"/>
  <c r="I14" i="181"/>
  <c r="H14" i="181"/>
  <c r="G14" i="181"/>
  <c r="F14" i="181"/>
  <c r="E14" i="181"/>
  <c r="D14" i="181"/>
  <c r="C14" i="181"/>
  <c r="W13" i="181"/>
  <c r="V13" i="181"/>
  <c r="U13" i="181"/>
  <c r="T13" i="181"/>
  <c r="S13" i="181"/>
  <c r="R13" i="181"/>
  <c r="Q13" i="181"/>
  <c r="P13" i="181"/>
  <c r="O13" i="181"/>
  <c r="N13" i="181"/>
  <c r="M13" i="181"/>
  <c r="L13" i="181"/>
  <c r="K13" i="181"/>
  <c r="J13" i="181"/>
  <c r="I13" i="181"/>
  <c r="H13" i="181"/>
  <c r="G13" i="181"/>
  <c r="F13" i="181"/>
  <c r="E13" i="181"/>
  <c r="D13" i="181"/>
  <c r="C13" i="181"/>
  <c r="W12" i="181"/>
  <c r="V12" i="181"/>
  <c r="U12" i="181"/>
  <c r="T12" i="181"/>
  <c r="S12" i="181"/>
  <c r="R12" i="181"/>
  <c r="Q12" i="181"/>
  <c r="P12" i="181"/>
  <c r="O12" i="181"/>
  <c r="N12" i="181"/>
  <c r="M12" i="181"/>
  <c r="L12" i="181"/>
  <c r="K12" i="181"/>
  <c r="J12" i="181"/>
  <c r="I12" i="181"/>
  <c r="H12" i="181"/>
  <c r="G12" i="181"/>
  <c r="F12" i="181"/>
  <c r="E12" i="181"/>
  <c r="D12" i="181"/>
  <c r="C12" i="181"/>
  <c r="W11" i="181"/>
  <c r="V11" i="181"/>
  <c r="U11" i="181"/>
  <c r="T11" i="181"/>
  <c r="S11" i="181"/>
  <c r="R11" i="181"/>
  <c r="Q11" i="181"/>
  <c r="P11" i="181"/>
  <c r="O11" i="181"/>
  <c r="N11" i="181"/>
  <c r="M11" i="181"/>
  <c r="L11" i="181"/>
  <c r="K11" i="181"/>
  <c r="J11" i="181"/>
  <c r="I11" i="181"/>
  <c r="H11" i="181"/>
  <c r="G11" i="181"/>
  <c r="F11" i="181"/>
  <c r="E11" i="181"/>
  <c r="H4" i="181"/>
  <c r="A3" i="181"/>
  <c r="C21" i="117"/>
  <c r="B21" i="117"/>
  <c r="B20" i="117"/>
  <c r="F12" i="102"/>
  <c r="G6" i="102"/>
  <c r="F6" i="102"/>
  <c r="I154" i="63"/>
  <c r="G153" i="63"/>
  <c r="G149" i="63"/>
  <c r="G145" i="63"/>
  <c r="G136" i="63"/>
  <c r="G131" i="63"/>
  <c r="G127" i="63"/>
  <c r="G124" i="63"/>
  <c r="G118" i="63"/>
  <c r="G109" i="63"/>
  <c r="G108" i="63"/>
  <c r="G102" i="63"/>
  <c r="G98" i="63"/>
  <c r="G94" i="63"/>
  <c r="G89" i="63"/>
  <c r="G84" i="63"/>
  <c r="G77" i="63"/>
  <c r="G62" i="63"/>
  <c r="G60" i="63"/>
  <c r="G57" i="63"/>
  <c r="G54" i="63"/>
  <c r="G50" i="63"/>
  <c r="G46" i="63"/>
  <c r="G42" i="63"/>
  <c r="G38" i="63"/>
  <c r="G27" i="63"/>
  <c r="G24" i="63"/>
  <c r="G23" i="63"/>
  <c r="G8" i="63"/>
  <c r="G7" i="63"/>
  <c r="AE231" i="126"/>
  <c r="H231" i="126"/>
  <c r="G231" i="126"/>
  <c r="C231" i="126"/>
  <c r="AL230" i="126"/>
  <c r="AI230" i="126"/>
  <c r="AE230" i="126"/>
  <c r="I230" i="126"/>
  <c r="H230" i="126"/>
  <c r="G230" i="126"/>
  <c r="C230" i="126"/>
  <c r="AL229" i="126"/>
  <c r="AI229" i="126"/>
  <c r="AE229" i="126"/>
  <c r="I229" i="126"/>
  <c r="H229" i="126"/>
  <c r="G229" i="126"/>
  <c r="C229" i="126"/>
  <c r="AK228" i="126"/>
  <c r="AJ228" i="126"/>
  <c r="AI228" i="126"/>
  <c r="AH228" i="126"/>
  <c r="AG228" i="126"/>
  <c r="AF228" i="126"/>
  <c r="AE228" i="126"/>
  <c r="AD228" i="126"/>
  <c r="AC228" i="126"/>
  <c r="AB228" i="126"/>
  <c r="AA228" i="126"/>
  <c r="Z228" i="126"/>
  <c r="Y228" i="126"/>
  <c r="X228" i="126"/>
  <c r="W228" i="126"/>
  <c r="V228" i="126"/>
  <c r="U228" i="126"/>
  <c r="T228" i="126"/>
  <c r="S228" i="126"/>
  <c r="R228" i="126"/>
  <c r="Q228" i="126"/>
  <c r="P228" i="126"/>
  <c r="O228" i="126"/>
  <c r="N228" i="126"/>
  <c r="M228" i="126"/>
  <c r="L228" i="126"/>
  <c r="K228" i="126"/>
  <c r="J228" i="126"/>
  <c r="I228" i="126"/>
  <c r="H228" i="126"/>
  <c r="G228" i="126"/>
  <c r="F228" i="126"/>
  <c r="E228" i="126"/>
  <c r="D228" i="126"/>
  <c r="C228" i="126"/>
  <c r="AN227" i="126"/>
  <c r="AL227" i="126"/>
  <c r="AI227" i="126"/>
  <c r="AF227" i="126"/>
  <c r="AE227" i="126"/>
  <c r="AB227" i="126"/>
  <c r="U227" i="126"/>
  <c r="R227" i="126"/>
  <c r="Q227" i="126"/>
  <c r="K227" i="126"/>
  <c r="J227" i="126"/>
  <c r="I227" i="126"/>
  <c r="H227" i="126"/>
  <c r="G227" i="126"/>
  <c r="C227" i="126"/>
  <c r="AN226" i="126"/>
  <c r="AL226" i="126"/>
  <c r="AI226" i="126"/>
  <c r="AF226" i="126"/>
  <c r="AE226" i="126"/>
  <c r="AB226" i="126"/>
  <c r="U226" i="126"/>
  <c r="R226" i="126"/>
  <c r="Q226" i="126"/>
  <c r="K226" i="126"/>
  <c r="J226" i="126"/>
  <c r="I226" i="126"/>
  <c r="H226" i="126"/>
  <c r="G226" i="126"/>
  <c r="C226" i="126"/>
  <c r="AN225" i="126"/>
  <c r="AL225" i="126"/>
  <c r="AI225" i="126"/>
  <c r="AF225" i="126"/>
  <c r="AE225" i="126"/>
  <c r="AB225" i="126"/>
  <c r="U225" i="126"/>
  <c r="R225" i="126"/>
  <c r="Q225" i="126"/>
  <c r="K225" i="126"/>
  <c r="J225" i="126"/>
  <c r="I225" i="126"/>
  <c r="H225" i="126"/>
  <c r="G225" i="126"/>
  <c r="C225" i="126"/>
  <c r="AN224" i="126"/>
  <c r="AL224" i="126"/>
  <c r="AI224" i="126"/>
  <c r="AF224" i="126"/>
  <c r="AE224" i="126"/>
  <c r="AB224" i="126"/>
  <c r="U224" i="126"/>
  <c r="R224" i="126"/>
  <c r="Q224" i="126"/>
  <c r="K224" i="126"/>
  <c r="J224" i="126"/>
  <c r="I224" i="126"/>
  <c r="H224" i="126"/>
  <c r="G224" i="126"/>
  <c r="C224" i="126"/>
  <c r="AK223" i="126"/>
  <c r="AJ223" i="126"/>
  <c r="AI223" i="126"/>
  <c r="AH223" i="126"/>
  <c r="AG223" i="126"/>
  <c r="AF223" i="126"/>
  <c r="AE223" i="126"/>
  <c r="AD223" i="126"/>
  <c r="AC223" i="126"/>
  <c r="AB223" i="126"/>
  <c r="AA223" i="126"/>
  <c r="Z223" i="126"/>
  <c r="Y223" i="126"/>
  <c r="X223" i="126"/>
  <c r="W223" i="126"/>
  <c r="V223" i="126"/>
  <c r="U223" i="126"/>
  <c r="T223" i="126"/>
  <c r="S223" i="126"/>
  <c r="R223" i="126"/>
  <c r="Q223" i="126"/>
  <c r="P223" i="126"/>
  <c r="O223" i="126"/>
  <c r="N223" i="126"/>
  <c r="M223" i="126"/>
  <c r="L223" i="126"/>
  <c r="K223" i="126"/>
  <c r="J223" i="126"/>
  <c r="I223" i="126"/>
  <c r="H223" i="126"/>
  <c r="G223" i="126"/>
  <c r="F223" i="126"/>
  <c r="E223" i="126"/>
  <c r="D223" i="126"/>
  <c r="C223" i="126"/>
  <c r="AN222" i="126"/>
  <c r="AL222" i="126"/>
  <c r="AK222" i="126"/>
  <c r="AJ222" i="126"/>
  <c r="AI222" i="126"/>
  <c r="AH222" i="126"/>
  <c r="AG222" i="126"/>
  <c r="AF222" i="126"/>
  <c r="AE222" i="126"/>
  <c r="AD222" i="126"/>
  <c r="AC222" i="126"/>
  <c r="AB222" i="126"/>
  <c r="AA222" i="126"/>
  <c r="Z222" i="126"/>
  <c r="Y222" i="126"/>
  <c r="X222" i="126"/>
  <c r="W222" i="126"/>
  <c r="V222" i="126"/>
  <c r="U222" i="126"/>
  <c r="T222" i="126"/>
  <c r="S222" i="126"/>
  <c r="R222" i="126"/>
  <c r="Q222" i="126"/>
  <c r="P222" i="126"/>
  <c r="O222" i="126"/>
  <c r="N222" i="126"/>
  <c r="M222" i="126"/>
  <c r="L222" i="126"/>
  <c r="K222" i="126"/>
  <c r="J222" i="126"/>
  <c r="I222" i="126"/>
  <c r="H222" i="126"/>
  <c r="G222" i="126"/>
  <c r="F222" i="126"/>
  <c r="E222" i="126"/>
  <c r="D222" i="126"/>
  <c r="C222" i="126"/>
  <c r="AN221" i="126"/>
  <c r="AL221" i="126"/>
  <c r="AI221" i="126"/>
  <c r="AF221" i="126"/>
  <c r="AB221" i="126"/>
  <c r="U221" i="126"/>
  <c r="R221" i="126"/>
  <c r="Q221" i="126"/>
  <c r="K221" i="126"/>
  <c r="J221" i="126"/>
  <c r="I221" i="126"/>
  <c r="H221" i="126"/>
  <c r="G221" i="126"/>
  <c r="C221" i="126"/>
  <c r="AN220" i="126"/>
  <c r="AL220" i="126"/>
  <c r="AI220" i="126"/>
  <c r="AF220" i="126"/>
  <c r="AB220" i="126"/>
  <c r="U220" i="126"/>
  <c r="R220" i="126"/>
  <c r="Q220" i="126"/>
  <c r="K220" i="126"/>
  <c r="J220" i="126"/>
  <c r="I220" i="126"/>
  <c r="H220" i="126"/>
  <c r="G220" i="126"/>
  <c r="C220" i="126"/>
  <c r="AN219" i="126"/>
  <c r="AL219" i="126"/>
  <c r="AI219" i="126"/>
  <c r="AF219" i="126"/>
  <c r="AB219" i="126"/>
  <c r="U219" i="126"/>
  <c r="R219" i="126"/>
  <c r="Q219" i="126"/>
  <c r="K219" i="126"/>
  <c r="J219" i="126"/>
  <c r="I219" i="126"/>
  <c r="H219" i="126"/>
  <c r="G219" i="126"/>
  <c r="C219" i="126"/>
  <c r="AN218" i="126"/>
  <c r="AL218" i="126"/>
  <c r="AI218" i="126"/>
  <c r="AF218" i="126"/>
  <c r="AB218" i="126"/>
  <c r="U218" i="126"/>
  <c r="R218" i="126"/>
  <c r="Q218" i="126"/>
  <c r="K218" i="126"/>
  <c r="J218" i="126"/>
  <c r="I218" i="126"/>
  <c r="H218" i="126"/>
  <c r="G218" i="126"/>
  <c r="C218" i="126"/>
  <c r="AN217" i="126"/>
  <c r="AL217" i="126"/>
  <c r="AI217" i="126"/>
  <c r="AF217" i="126"/>
  <c r="AB217" i="126"/>
  <c r="U217" i="126"/>
  <c r="R217" i="126"/>
  <c r="Q217" i="126"/>
  <c r="K217" i="126"/>
  <c r="J217" i="126"/>
  <c r="I217" i="126"/>
  <c r="H217" i="126"/>
  <c r="G217" i="126"/>
  <c r="C217" i="126"/>
  <c r="AN216" i="126"/>
  <c r="AL216" i="126"/>
  <c r="AI216" i="126"/>
  <c r="AF216" i="126"/>
  <c r="AB216" i="126"/>
  <c r="U216" i="126"/>
  <c r="R216" i="126"/>
  <c r="Q216" i="126"/>
  <c r="K216" i="126"/>
  <c r="J216" i="126"/>
  <c r="I216" i="126"/>
  <c r="H216" i="126"/>
  <c r="G216" i="126"/>
  <c r="C216" i="126"/>
  <c r="AN215" i="126"/>
  <c r="AL215" i="126"/>
  <c r="AI215" i="126"/>
  <c r="AF215" i="126"/>
  <c r="AB215" i="126"/>
  <c r="U215" i="126"/>
  <c r="R215" i="126"/>
  <c r="Q215" i="126"/>
  <c r="K215" i="126"/>
  <c r="J215" i="126"/>
  <c r="I215" i="126"/>
  <c r="H215" i="126"/>
  <c r="G215" i="126"/>
  <c r="E215" i="126"/>
  <c r="C215" i="126"/>
  <c r="AN214" i="126"/>
  <c r="AL214" i="126"/>
  <c r="AI214" i="126"/>
  <c r="AF214" i="126"/>
  <c r="AB214" i="126"/>
  <c r="U214" i="126"/>
  <c r="R214" i="126"/>
  <c r="Q214" i="126"/>
  <c r="K214" i="126"/>
  <c r="J214" i="126"/>
  <c r="I214" i="126"/>
  <c r="H214" i="126"/>
  <c r="G214" i="126"/>
  <c r="C214" i="126"/>
  <c r="AN213" i="126"/>
  <c r="AL213" i="126"/>
  <c r="AI213" i="126"/>
  <c r="AF213" i="126"/>
  <c r="AB213" i="126"/>
  <c r="U213" i="126"/>
  <c r="R213" i="126"/>
  <c r="Q213" i="126"/>
  <c r="K213" i="126"/>
  <c r="J213" i="126"/>
  <c r="I213" i="126"/>
  <c r="H213" i="126"/>
  <c r="G213" i="126"/>
  <c r="C213" i="126"/>
  <c r="AN212" i="126"/>
  <c r="AL212" i="126"/>
  <c r="AI212" i="126"/>
  <c r="AF212" i="126"/>
  <c r="AB212" i="126"/>
  <c r="U212" i="126"/>
  <c r="R212" i="126"/>
  <c r="Q212" i="126"/>
  <c r="K212" i="126"/>
  <c r="J212" i="126"/>
  <c r="I212" i="126"/>
  <c r="H212" i="126"/>
  <c r="G212" i="126"/>
  <c r="C212" i="126"/>
  <c r="AN211" i="126"/>
  <c r="AL211" i="126"/>
  <c r="AI211" i="126"/>
  <c r="AF211" i="126"/>
  <c r="AB211" i="126"/>
  <c r="U211" i="126"/>
  <c r="R211" i="126"/>
  <c r="Q211" i="126"/>
  <c r="K211" i="126"/>
  <c r="J211" i="126"/>
  <c r="I211" i="126"/>
  <c r="H211" i="126"/>
  <c r="G211" i="126"/>
  <c r="C211" i="126"/>
  <c r="AN210" i="126"/>
  <c r="AL210" i="126"/>
  <c r="AI210" i="126"/>
  <c r="AF210" i="126"/>
  <c r="AB210" i="126"/>
  <c r="U210" i="126"/>
  <c r="R210" i="126"/>
  <c r="Q210" i="126"/>
  <c r="K210" i="126"/>
  <c r="J210" i="126"/>
  <c r="I210" i="126"/>
  <c r="H210" i="126"/>
  <c r="G210" i="126"/>
  <c r="C210" i="126"/>
  <c r="AN209" i="126"/>
  <c r="AL209" i="126"/>
  <c r="AI209" i="126"/>
  <c r="AF209" i="126"/>
  <c r="AB209" i="126"/>
  <c r="U209" i="126"/>
  <c r="R209" i="126"/>
  <c r="Q209" i="126"/>
  <c r="K209" i="126"/>
  <c r="J209" i="126"/>
  <c r="I209" i="126"/>
  <c r="H209" i="126"/>
  <c r="G209" i="126"/>
  <c r="C209" i="126"/>
  <c r="AN208" i="126"/>
  <c r="AL208" i="126"/>
  <c r="AI208" i="126"/>
  <c r="AF208" i="126"/>
  <c r="AB208" i="126"/>
  <c r="U208" i="126"/>
  <c r="R208" i="126"/>
  <c r="Q208" i="126"/>
  <c r="K208" i="126"/>
  <c r="J208" i="126"/>
  <c r="I208" i="126"/>
  <c r="H208" i="126"/>
  <c r="G208" i="126"/>
  <c r="C208" i="126"/>
  <c r="AN207" i="126"/>
  <c r="AL207" i="126"/>
  <c r="AI207" i="126"/>
  <c r="AF207" i="126"/>
  <c r="AB207" i="126"/>
  <c r="U207" i="126"/>
  <c r="R207" i="126"/>
  <c r="Q207" i="126"/>
  <c r="K207" i="126"/>
  <c r="J207" i="126"/>
  <c r="I207" i="126"/>
  <c r="H207" i="126"/>
  <c r="G207" i="126"/>
  <c r="C207" i="126"/>
  <c r="AN206" i="126"/>
  <c r="AL206" i="126"/>
  <c r="AI206" i="126"/>
  <c r="AF206" i="126"/>
  <c r="AB206" i="126"/>
  <c r="U206" i="126"/>
  <c r="R206" i="126"/>
  <c r="Q206" i="126"/>
  <c r="K206" i="126"/>
  <c r="J206" i="126"/>
  <c r="I206" i="126"/>
  <c r="H206" i="126"/>
  <c r="G206" i="126"/>
  <c r="C206" i="126"/>
  <c r="AN205" i="126"/>
  <c r="AL205" i="126"/>
  <c r="AI205" i="126"/>
  <c r="AF205" i="126"/>
  <c r="AD205" i="126"/>
  <c r="AC205" i="126"/>
  <c r="AB205" i="126"/>
  <c r="AA205" i="126"/>
  <c r="Z205" i="126"/>
  <c r="Y205" i="126"/>
  <c r="X205" i="126"/>
  <c r="W205" i="126"/>
  <c r="V205" i="126"/>
  <c r="U205" i="126"/>
  <c r="T205" i="126"/>
  <c r="S205" i="126"/>
  <c r="R205" i="126"/>
  <c r="Q205" i="126"/>
  <c r="P205" i="126"/>
  <c r="O205" i="126"/>
  <c r="N205" i="126"/>
  <c r="M205" i="126"/>
  <c r="L205" i="126"/>
  <c r="K205" i="126"/>
  <c r="J205" i="126"/>
  <c r="I205" i="126"/>
  <c r="H205" i="126"/>
  <c r="G205" i="126"/>
  <c r="F205" i="126"/>
  <c r="E205" i="126"/>
  <c r="C205" i="126"/>
  <c r="AN204" i="126"/>
  <c r="AL204" i="126"/>
  <c r="U204" i="126"/>
  <c r="Q204" i="126"/>
  <c r="I204" i="126"/>
  <c r="G204" i="126"/>
  <c r="C204" i="126"/>
  <c r="AN203" i="126"/>
  <c r="AL203" i="126"/>
  <c r="AI203" i="126"/>
  <c r="AF203" i="126"/>
  <c r="AB203" i="126"/>
  <c r="U203" i="126"/>
  <c r="R203" i="126"/>
  <c r="Q203" i="126"/>
  <c r="K203" i="126"/>
  <c r="J203" i="126"/>
  <c r="I203" i="126"/>
  <c r="H203" i="126"/>
  <c r="G203" i="126"/>
  <c r="C203" i="126"/>
  <c r="AN202" i="126"/>
  <c r="AL202" i="126"/>
  <c r="AI202" i="126"/>
  <c r="AF202" i="126"/>
  <c r="AB202" i="126"/>
  <c r="U202" i="126"/>
  <c r="R202" i="126"/>
  <c r="Q202" i="126"/>
  <c r="K202" i="126"/>
  <c r="J202" i="126"/>
  <c r="I202" i="126"/>
  <c r="H202" i="126"/>
  <c r="G202" i="126"/>
  <c r="C202" i="126"/>
  <c r="AN201" i="126"/>
  <c r="AL201" i="126"/>
  <c r="AI201" i="126"/>
  <c r="AF201" i="126"/>
  <c r="AB201" i="126"/>
  <c r="U201" i="126"/>
  <c r="R201" i="126"/>
  <c r="Q201" i="126"/>
  <c r="K201" i="126"/>
  <c r="J201" i="126"/>
  <c r="I201" i="126"/>
  <c r="H201" i="126"/>
  <c r="G201" i="126"/>
  <c r="C201" i="126"/>
  <c r="AN200" i="126"/>
  <c r="AL200" i="126"/>
  <c r="AI200" i="126"/>
  <c r="AF200" i="126"/>
  <c r="AB200" i="126"/>
  <c r="U200" i="126"/>
  <c r="R200" i="126"/>
  <c r="Q200" i="126"/>
  <c r="K200" i="126"/>
  <c r="J200" i="126"/>
  <c r="I200" i="126"/>
  <c r="H200" i="126"/>
  <c r="G200" i="126"/>
  <c r="C200" i="126"/>
  <c r="AN199" i="126"/>
  <c r="AL199" i="126"/>
  <c r="AI199" i="126"/>
  <c r="AF199" i="126"/>
  <c r="AB199" i="126"/>
  <c r="U199" i="126"/>
  <c r="R199" i="126"/>
  <c r="Q199" i="126"/>
  <c r="K199" i="126"/>
  <c r="J199" i="126"/>
  <c r="I199" i="126"/>
  <c r="H199" i="126"/>
  <c r="G199" i="126"/>
  <c r="C199" i="126"/>
  <c r="AN198" i="126"/>
  <c r="AL198" i="126"/>
  <c r="AI198" i="126"/>
  <c r="AF198" i="126"/>
  <c r="AB198" i="126"/>
  <c r="U198" i="126"/>
  <c r="R198" i="126"/>
  <c r="Q198" i="126"/>
  <c r="K198" i="126"/>
  <c r="J198" i="126"/>
  <c r="I198" i="126"/>
  <c r="H198" i="126"/>
  <c r="G198" i="126"/>
  <c r="C198" i="126"/>
  <c r="AN197" i="126"/>
  <c r="AL197" i="126"/>
  <c r="AI197" i="126"/>
  <c r="AF197" i="126"/>
  <c r="AB197" i="126"/>
  <c r="U197" i="126"/>
  <c r="R197" i="126"/>
  <c r="Q197" i="126"/>
  <c r="K197" i="126"/>
  <c r="J197" i="126"/>
  <c r="I197" i="126"/>
  <c r="H197" i="126"/>
  <c r="G197" i="126"/>
  <c r="C197" i="126"/>
  <c r="AN196" i="126"/>
  <c r="AL196" i="126"/>
  <c r="AI196" i="126"/>
  <c r="AF196" i="126"/>
  <c r="AB196" i="126"/>
  <c r="U196" i="126"/>
  <c r="R196" i="126"/>
  <c r="Q196" i="126"/>
  <c r="K196" i="126"/>
  <c r="J196" i="126"/>
  <c r="I196" i="126"/>
  <c r="H196" i="126"/>
  <c r="G196" i="126"/>
  <c r="C196" i="126"/>
  <c r="AN195" i="126"/>
  <c r="AL195" i="126"/>
  <c r="AI195" i="126"/>
  <c r="AF195" i="126"/>
  <c r="AB195" i="126"/>
  <c r="U195" i="126"/>
  <c r="R195" i="126"/>
  <c r="Q195" i="126"/>
  <c r="K195" i="126"/>
  <c r="J195" i="126"/>
  <c r="I195" i="126"/>
  <c r="H195" i="126"/>
  <c r="G195" i="126"/>
  <c r="C195" i="126"/>
  <c r="AN194" i="126"/>
  <c r="AL194" i="126"/>
  <c r="AI194" i="126"/>
  <c r="AF194" i="126"/>
  <c r="AB194" i="126"/>
  <c r="U194" i="126"/>
  <c r="R194" i="126"/>
  <c r="Q194" i="126"/>
  <c r="K194" i="126"/>
  <c r="J194" i="126"/>
  <c r="I194" i="126"/>
  <c r="H194" i="126"/>
  <c r="G194" i="126"/>
  <c r="C194" i="126"/>
  <c r="AN193" i="126"/>
  <c r="AL193" i="126"/>
  <c r="AI193" i="126"/>
  <c r="AF193" i="126"/>
  <c r="AB193" i="126"/>
  <c r="U193" i="126"/>
  <c r="R193" i="126"/>
  <c r="Q193" i="126"/>
  <c r="K193" i="126"/>
  <c r="J193" i="126"/>
  <c r="I193" i="126"/>
  <c r="H193" i="126"/>
  <c r="G193" i="126"/>
  <c r="C193" i="126"/>
  <c r="AN192" i="126"/>
  <c r="AL192" i="126"/>
  <c r="AI192" i="126"/>
  <c r="AF192" i="126"/>
  <c r="AB192" i="126"/>
  <c r="U192" i="126"/>
  <c r="R192" i="126"/>
  <c r="Q192" i="126"/>
  <c r="K192" i="126"/>
  <c r="J192" i="126"/>
  <c r="I192" i="126"/>
  <c r="H192" i="126"/>
  <c r="G192" i="126"/>
  <c r="C192" i="126"/>
  <c r="AN191" i="126"/>
  <c r="AL191" i="126"/>
  <c r="AI191" i="126"/>
  <c r="AF191" i="126"/>
  <c r="AB191" i="126"/>
  <c r="U191" i="126"/>
  <c r="R191" i="126"/>
  <c r="Q191" i="126"/>
  <c r="K191" i="126"/>
  <c r="J191" i="126"/>
  <c r="I191" i="126"/>
  <c r="H191" i="126"/>
  <c r="G191" i="126"/>
  <c r="C191" i="126"/>
  <c r="AN190" i="126"/>
  <c r="AL190" i="126"/>
  <c r="AI190" i="126"/>
  <c r="AF190" i="126"/>
  <c r="AB190" i="126"/>
  <c r="U190" i="126"/>
  <c r="R190" i="126"/>
  <c r="Q190" i="126"/>
  <c r="K190" i="126"/>
  <c r="J190" i="126"/>
  <c r="I190" i="126"/>
  <c r="H190" i="126"/>
  <c r="G190" i="126"/>
  <c r="C190" i="126"/>
  <c r="AN189" i="126"/>
  <c r="AL189" i="126"/>
  <c r="AI189" i="126"/>
  <c r="AF189" i="126"/>
  <c r="AB189" i="126"/>
  <c r="U189" i="126"/>
  <c r="R189" i="126"/>
  <c r="Q189" i="126"/>
  <c r="K189" i="126"/>
  <c r="J189" i="126"/>
  <c r="I189" i="126"/>
  <c r="H189" i="126"/>
  <c r="G189" i="126"/>
  <c r="C189" i="126"/>
  <c r="AN188" i="126"/>
  <c r="AL188" i="126"/>
  <c r="AI188" i="126"/>
  <c r="AF188" i="126"/>
  <c r="AB188" i="126"/>
  <c r="U188" i="126"/>
  <c r="R188" i="126"/>
  <c r="Q188" i="126"/>
  <c r="K188" i="126"/>
  <c r="J188" i="126"/>
  <c r="I188" i="126"/>
  <c r="H188" i="126"/>
  <c r="G188" i="126"/>
  <c r="C188" i="126"/>
  <c r="AN187" i="126"/>
  <c r="AL187" i="126"/>
  <c r="AI187" i="126"/>
  <c r="AF187" i="126"/>
  <c r="AB187" i="126"/>
  <c r="W187" i="126"/>
  <c r="V187" i="126"/>
  <c r="U187" i="126"/>
  <c r="T187" i="126"/>
  <c r="S187" i="126"/>
  <c r="R187" i="126"/>
  <c r="Q187" i="126"/>
  <c r="P187" i="126"/>
  <c r="O187" i="126"/>
  <c r="N187" i="126"/>
  <c r="M187" i="126"/>
  <c r="L187" i="126"/>
  <c r="K187" i="126"/>
  <c r="J187" i="126"/>
  <c r="I187" i="126"/>
  <c r="H187" i="126"/>
  <c r="G187" i="126"/>
  <c r="F187" i="126"/>
  <c r="E187" i="126"/>
  <c r="C187" i="126"/>
  <c r="AO186" i="126"/>
  <c r="AN186" i="126"/>
  <c r="AL186" i="126"/>
  <c r="AK186" i="126"/>
  <c r="AJ186" i="126"/>
  <c r="AI186" i="126"/>
  <c r="AH186" i="126"/>
  <c r="AG186" i="126"/>
  <c r="AF186" i="126"/>
  <c r="AE186" i="126"/>
  <c r="AD186" i="126"/>
  <c r="AC186" i="126"/>
  <c r="AB186" i="126"/>
  <c r="AA186" i="126"/>
  <c r="Z186" i="126"/>
  <c r="Y186" i="126"/>
  <c r="X186" i="126"/>
  <c r="W186" i="126"/>
  <c r="V186" i="126"/>
  <c r="U186" i="126"/>
  <c r="T186" i="126"/>
  <c r="S186" i="126"/>
  <c r="R186" i="126"/>
  <c r="Q186" i="126"/>
  <c r="P186" i="126"/>
  <c r="O186" i="126"/>
  <c r="N186" i="126"/>
  <c r="M186" i="126"/>
  <c r="L186" i="126"/>
  <c r="K186" i="126"/>
  <c r="J186" i="126"/>
  <c r="I186" i="126"/>
  <c r="H186" i="126"/>
  <c r="G186" i="126"/>
  <c r="F186" i="126"/>
  <c r="E186" i="126"/>
  <c r="D186" i="126"/>
  <c r="C186" i="126"/>
  <c r="AN185" i="126"/>
  <c r="AL185" i="126"/>
  <c r="AI185" i="126"/>
  <c r="AF185" i="126"/>
  <c r="AB185" i="126"/>
  <c r="U185" i="126"/>
  <c r="R185" i="126"/>
  <c r="Q185" i="126"/>
  <c r="N185" i="126"/>
  <c r="K185" i="126"/>
  <c r="J185" i="126"/>
  <c r="I185" i="126"/>
  <c r="H185" i="126"/>
  <c r="G185" i="126"/>
  <c r="C185" i="126"/>
  <c r="AN184" i="126"/>
  <c r="AL184" i="126"/>
  <c r="AI184" i="126"/>
  <c r="AF184" i="126"/>
  <c r="AB184" i="126"/>
  <c r="U184" i="126"/>
  <c r="R184" i="126"/>
  <c r="Q184" i="126"/>
  <c r="N184" i="126"/>
  <c r="K184" i="126"/>
  <c r="J184" i="126"/>
  <c r="I184" i="126"/>
  <c r="H184" i="126"/>
  <c r="G184" i="126"/>
  <c r="C184" i="126"/>
  <c r="AN183" i="126"/>
  <c r="AL183" i="126"/>
  <c r="AI183" i="126"/>
  <c r="AF183" i="126"/>
  <c r="AB183" i="126"/>
  <c r="U183" i="126"/>
  <c r="R183" i="126"/>
  <c r="Q183" i="126"/>
  <c r="N183" i="126"/>
  <c r="K183" i="126"/>
  <c r="J183" i="126"/>
  <c r="I183" i="126"/>
  <c r="H183" i="126"/>
  <c r="G183" i="126"/>
  <c r="C183" i="126"/>
  <c r="AN182" i="126"/>
  <c r="AL182" i="126"/>
  <c r="AI182" i="126"/>
  <c r="AF182" i="126"/>
  <c r="AB182" i="126"/>
  <c r="U182" i="126"/>
  <c r="R182" i="126"/>
  <c r="Q182" i="126"/>
  <c r="N182" i="126"/>
  <c r="K182" i="126"/>
  <c r="J182" i="126"/>
  <c r="I182" i="126"/>
  <c r="H182" i="126"/>
  <c r="G182" i="126"/>
  <c r="C182" i="126"/>
  <c r="AN181" i="126"/>
  <c r="AL181" i="126"/>
  <c r="AI181" i="126"/>
  <c r="AF181" i="126"/>
  <c r="AB181" i="126"/>
  <c r="U181" i="126"/>
  <c r="R181" i="126"/>
  <c r="Q181" i="126"/>
  <c r="N181" i="126"/>
  <c r="K181" i="126"/>
  <c r="J181" i="126"/>
  <c r="I181" i="126"/>
  <c r="H181" i="126"/>
  <c r="G181" i="126"/>
  <c r="C181" i="126"/>
  <c r="AN180" i="126"/>
  <c r="AL180" i="126"/>
  <c r="AI180" i="126"/>
  <c r="AF180" i="126"/>
  <c r="AB180" i="126"/>
  <c r="U180" i="126"/>
  <c r="R180" i="126"/>
  <c r="Q180" i="126"/>
  <c r="N180" i="126"/>
  <c r="K180" i="126"/>
  <c r="J180" i="126"/>
  <c r="I180" i="126"/>
  <c r="H180" i="126"/>
  <c r="G180" i="126"/>
  <c r="C180" i="126"/>
  <c r="AN179" i="126"/>
  <c r="AL179" i="126"/>
  <c r="AI179" i="126"/>
  <c r="AF179" i="126"/>
  <c r="AB179" i="126"/>
  <c r="U179" i="126"/>
  <c r="R179" i="126"/>
  <c r="Q179" i="126"/>
  <c r="N179" i="126"/>
  <c r="K179" i="126"/>
  <c r="J179" i="126"/>
  <c r="I179" i="126"/>
  <c r="H179" i="126"/>
  <c r="G179" i="126"/>
  <c r="C179" i="126"/>
  <c r="AN178" i="126"/>
  <c r="AL178" i="126"/>
  <c r="AI178" i="126"/>
  <c r="AF178" i="126"/>
  <c r="AB178" i="126"/>
  <c r="U178" i="126"/>
  <c r="R178" i="126"/>
  <c r="Q178" i="126"/>
  <c r="N178" i="126"/>
  <c r="K178" i="126"/>
  <c r="J178" i="126"/>
  <c r="I178" i="126"/>
  <c r="H178" i="126"/>
  <c r="G178" i="126"/>
  <c r="C178" i="126"/>
  <c r="AN177" i="126"/>
  <c r="AL177" i="126"/>
  <c r="AI177" i="126"/>
  <c r="AF177" i="126"/>
  <c r="AB177" i="126"/>
  <c r="U177" i="126"/>
  <c r="R177" i="126"/>
  <c r="Q177" i="126"/>
  <c r="N177" i="126"/>
  <c r="K177" i="126"/>
  <c r="J177" i="126"/>
  <c r="I177" i="126"/>
  <c r="H177" i="126"/>
  <c r="G177" i="126"/>
  <c r="C177" i="126"/>
  <c r="AN176" i="126"/>
  <c r="AL176" i="126"/>
  <c r="AI176" i="126"/>
  <c r="AF176" i="126"/>
  <c r="AB176" i="126"/>
  <c r="U176" i="126"/>
  <c r="R176" i="126"/>
  <c r="Q176" i="126"/>
  <c r="N176" i="126"/>
  <c r="K176" i="126"/>
  <c r="J176" i="126"/>
  <c r="I176" i="126"/>
  <c r="H176" i="126"/>
  <c r="G176" i="126"/>
  <c r="C176" i="126"/>
  <c r="AN175" i="126"/>
  <c r="AL175" i="126"/>
  <c r="AI175" i="126"/>
  <c r="AF175" i="126"/>
  <c r="AB175" i="126"/>
  <c r="U175" i="126"/>
  <c r="R175" i="126"/>
  <c r="Q175" i="126"/>
  <c r="N175" i="126"/>
  <c r="K175" i="126"/>
  <c r="J175" i="126"/>
  <c r="I175" i="126"/>
  <c r="H175" i="126"/>
  <c r="G175" i="126"/>
  <c r="C175" i="126"/>
  <c r="AN174" i="126"/>
  <c r="AL174" i="126"/>
  <c r="AI174" i="126"/>
  <c r="AF174" i="126"/>
  <c r="AB174" i="126"/>
  <c r="U174" i="126"/>
  <c r="R174" i="126"/>
  <c r="Q174" i="126"/>
  <c r="N174" i="126"/>
  <c r="K174" i="126"/>
  <c r="J174" i="126"/>
  <c r="I174" i="126"/>
  <c r="H174" i="126"/>
  <c r="G174" i="126"/>
  <c r="C174" i="126"/>
  <c r="AN173" i="126"/>
  <c r="AL173" i="126"/>
  <c r="AI173" i="126"/>
  <c r="AF173" i="126"/>
  <c r="AB173" i="126"/>
  <c r="U173" i="126"/>
  <c r="R173" i="126"/>
  <c r="Q173" i="126"/>
  <c r="N173" i="126"/>
  <c r="K173" i="126"/>
  <c r="J173" i="126"/>
  <c r="I173" i="126"/>
  <c r="H173" i="126"/>
  <c r="G173" i="126"/>
  <c r="C173" i="126"/>
  <c r="AN172" i="126"/>
  <c r="AL172" i="126"/>
  <c r="AI172" i="126"/>
  <c r="AF172" i="126"/>
  <c r="AB172" i="126"/>
  <c r="U172" i="126"/>
  <c r="R172" i="126"/>
  <c r="Q172" i="126"/>
  <c r="N172" i="126"/>
  <c r="K172" i="126"/>
  <c r="J172" i="126"/>
  <c r="I172" i="126"/>
  <c r="H172" i="126"/>
  <c r="G172" i="126"/>
  <c r="C172" i="126"/>
  <c r="AN171" i="126"/>
  <c r="AL171" i="126"/>
  <c r="AI171" i="126"/>
  <c r="AF171" i="126"/>
  <c r="AB171" i="126"/>
  <c r="U171" i="126"/>
  <c r="R171" i="126"/>
  <c r="Q171" i="126"/>
  <c r="N171" i="126"/>
  <c r="K171" i="126"/>
  <c r="J171" i="126"/>
  <c r="I171" i="126"/>
  <c r="H171" i="126"/>
  <c r="G171" i="126"/>
  <c r="C171" i="126"/>
  <c r="AN170" i="126"/>
  <c r="AL170" i="126"/>
  <c r="AI170" i="126"/>
  <c r="AF170" i="126"/>
  <c r="AB170" i="126"/>
  <c r="U170" i="126"/>
  <c r="R170" i="126"/>
  <c r="Q170" i="126"/>
  <c r="N170" i="126"/>
  <c r="K170" i="126"/>
  <c r="J170" i="126"/>
  <c r="I170" i="126"/>
  <c r="H170" i="126"/>
  <c r="G170" i="126"/>
  <c r="C170" i="126"/>
  <c r="AN169" i="126"/>
  <c r="AL169" i="126"/>
  <c r="AI169" i="126"/>
  <c r="AF169" i="126"/>
  <c r="AB169" i="126"/>
  <c r="U169" i="126"/>
  <c r="R169" i="126"/>
  <c r="Q169" i="126"/>
  <c r="N169" i="126"/>
  <c r="K169" i="126"/>
  <c r="J169" i="126"/>
  <c r="I169" i="126"/>
  <c r="H169" i="126"/>
  <c r="G169" i="126"/>
  <c r="C169" i="126"/>
  <c r="AN168" i="126"/>
  <c r="AL168" i="126"/>
  <c r="AI168" i="126"/>
  <c r="AF168" i="126"/>
  <c r="AB168" i="126"/>
  <c r="U168" i="126"/>
  <c r="R168" i="126"/>
  <c r="Q168" i="126"/>
  <c r="N168" i="126"/>
  <c r="K168" i="126"/>
  <c r="J168" i="126"/>
  <c r="I168" i="126"/>
  <c r="H168" i="126"/>
  <c r="G168" i="126"/>
  <c r="C168" i="126"/>
  <c r="AN167" i="126"/>
  <c r="AL167" i="126"/>
  <c r="AI167" i="126"/>
  <c r="AF167" i="126"/>
  <c r="AB167" i="126"/>
  <c r="U167" i="126"/>
  <c r="R167" i="126"/>
  <c r="Q167" i="126"/>
  <c r="N167" i="126"/>
  <c r="K167" i="126"/>
  <c r="J167" i="126"/>
  <c r="I167" i="126"/>
  <c r="H167" i="126"/>
  <c r="G167" i="126"/>
  <c r="C167" i="126"/>
  <c r="AN166" i="126"/>
  <c r="AL166" i="126"/>
  <c r="AI166" i="126"/>
  <c r="AF166" i="126"/>
  <c r="AB166" i="126"/>
  <c r="U166" i="126"/>
  <c r="R166" i="126"/>
  <c r="Q166" i="126"/>
  <c r="N166" i="126"/>
  <c r="K166" i="126"/>
  <c r="J166" i="126"/>
  <c r="I166" i="126"/>
  <c r="H166" i="126"/>
  <c r="G166" i="126"/>
  <c r="C166" i="126"/>
  <c r="AN165" i="126"/>
  <c r="AL165" i="126"/>
  <c r="AI165" i="126"/>
  <c r="AF165" i="126"/>
  <c r="AB165" i="126"/>
  <c r="U165" i="126"/>
  <c r="R165" i="126"/>
  <c r="Q165" i="126"/>
  <c r="N165" i="126"/>
  <c r="K165" i="126"/>
  <c r="J165" i="126"/>
  <c r="I165" i="126"/>
  <c r="H165" i="126"/>
  <c r="G165" i="126"/>
  <c r="C165" i="126"/>
  <c r="AP164" i="126"/>
  <c r="AN164" i="126"/>
  <c r="AL164" i="126"/>
  <c r="AI164" i="126"/>
  <c r="AF164" i="126"/>
  <c r="AD164" i="126"/>
  <c r="AC164" i="126"/>
  <c r="AB164" i="126"/>
  <c r="AA164" i="126"/>
  <c r="Z164" i="126"/>
  <c r="Y164" i="126"/>
  <c r="X164" i="126"/>
  <c r="W164" i="126"/>
  <c r="V164" i="126"/>
  <c r="U164" i="126"/>
  <c r="T164" i="126"/>
  <c r="S164" i="126"/>
  <c r="R164" i="126"/>
  <c r="Q164" i="126"/>
  <c r="P164" i="126"/>
  <c r="O164" i="126"/>
  <c r="N164" i="126"/>
  <c r="M164" i="126"/>
  <c r="L164" i="126"/>
  <c r="K164" i="126"/>
  <c r="J164" i="126"/>
  <c r="I164" i="126"/>
  <c r="H164" i="126"/>
  <c r="G164" i="126"/>
  <c r="F164" i="126"/>
  <c r="E164" i="126"/>
  <c r="C164" i="126"/>
  <c r="AN163" i="126"/>
  <c r="AL163" i="126"/>
  <c r="AI163" i="126"/>
  <c r="AF163" i="126"/>
  <c r="AB163" i="126"/>
  <c r="U163" i="126"/>
  <c r="R163" i="126"/>
  <c r="Q163" i="126"/>
  <c r="N163" i="126"/>
  <c r="K163" i="126"/>
  <c r="J163" i="126"/>
  <c r="I163" i="126"/>
  <c r="H163" i="126"/>
  <c r="G163" i="126"/>
  <c r="C163" i="126"/>
  <c r="AN162" i="126"/>
  <c r="AL162" i="126"/>
  <c r="AI162" i="126"/>
  <c r="AF162" i="126"/>
  <c r="AB162" i="126"/>
  <c r="U162" i="126"/>
  <c r="R162" i="126"/>
  <c r="Q162" i="126"/>
  <c r="N162" i="126"/>
  <c r="K162" i="126"/>
  <c r="J162" i="126"/>
  <c r="I162" i="126"/>
  <c r="H162" i="126"/>
  <c r="G162" i="126"/>
  <c r="C162" i="126"/>
  <c r="AN161" i="126"/>
  <c r="AL161" i="126"/>
  <c r="AI161" i="126"/>
  <c r="AF161" i="126"/>
  <c r="AB161" i="126"/>
  <c r="U161" i="126"/>
  <c r="R161" i="126"/>
  <c r="Q161" i="126"/>
  <c r="P161" i="126"/>
  <c r="O161" i="126"/>
  <c r="N161" i="126"/>
  <c r="M161" i="126"/>
  <c r="L161" i="126"/>
  <c r="K161" i="126"/>
  <c r="J161" i="126"/>
  <c r="I161" i="126"/>
  <c r="H161" i="126"/>
  <c r="G161" i="126"/>
  <c r="F161" i="126"/>
  <c r="E161" i="126"/>
  <c r="C161" i="126"/>
  <c r="N160" i="126"/>
  <c r="J160" i="126"/>
  <c r="I160" i="126"/>
  <c r="G160" i="126"/>
  <c r="C160" i="126"/>
  <c r="AN159" i="126"/>
  <c r="AL159" i="126"/>
  <c r="AI159" i="126"/>
  <c r="AF159" i="126"/>
  <c r="AB159" i="126"/>
  <c r="U159" i="126"/>
  <c r="R159" i="126"/>
  <c r="Q159" i="126"/>
  <c r="N159" i="126"/>
  <c r="K159" i="126"/>
  <c r="J159" i="126"/>
  <c r="I159" i="126"/>
  <c r="H159" i="126"/>
  <c r="G159" i="126"/>
  <c r="C159" i="126"/>
  <c r="AN158" i="126"/>
  <c r="AL158" i="126"/>
  <c r="AI158" i="126"/>
  <c r="AF158" i="126"/>
  <c r="AB158" i="126"/>
  <c r="U158" i="126"/>
  <c r="R158" i="126"/>
  <c r="Q158" i="126"/>
  <c r="N158" i="126"/>
  <c r="K158" i="126"/>
  <c r="J158" i="126"/>
  <c r="I158" i="126"/>
  <c r="H158" i="126"/>
  <c r="G158" i="126"/>
  <c r="C158" i="126"/>
  <c r="AN157" i="126"/>
  <c r="AL157" i="126"/>
  <c r="AI157" i="126"/>
  <c r="AF157" i="126"/>
  <c r="AB157" i="126"/>
  <c r="U157" i="126"/>
  <c r="R157" i="126"/>
  <c r="Q157" i="126"/>
  <c r="N157" i="126"/>
  <c r="K157" i="126"/>
  <c r="J157" i="126"/>
  <c r="I157" i="126"/>
  <c r="H157" i="126"/>
  <c r="G157" i="126"/>
  <c r="C157" i="126"/>
  <c r="AO156" i="126"/>
  <c r="AN156" i="126"/>
  <c r="AL156" i="126"/>
  <c r="AK156" i="126"/>
  <c r="AJ156" i="126"/>
  <c r="AI156" i="126"/>
  <c r="AH156" i="126"/>
  <c r="AG156" i="126"/>
  <c r="AF156" i="126"/>
  <c r="AE156" i="126"/>
  <c r="AD156" i="126"/>
  <c r="AC156" i="126"/>
  <c r="AB156" i="126"/>
  <c r="AA156" i="126"/>
  <c r="Z156" i="126"/>
  <c r="Y156" i="126"/>
  <c r="X156" i="126"/>
  <c r="W156" i="126"/>
  <c r="V156" i="126"/>
  <c r="U156" i="126"/>
  <c r="T156" i="126"/>
  <c r="S156" i="126"/>
  <c r="R156" i="126"/>
  <c r="Q156" i="126"/>
  <c r="P156" i="126"/>
  <c r="O156" i="126"/>
  <c r="N156" i="126"/>
  <c r="M156" i="126"/>
  <c r="L156" i="126"/>
  <c r="K156" i="126"/>
  <c r="J156" i="126"/>
  <c r="I156" i="126"/>
  <c r="H156" i="126"/>
  <c r="G156" i="126"/>
  <c r="F156" i="126"/>
  <c r="E156" i="126"/>
  <c r="C156" i="126"/>
  <c r="AM155" i="126"/>
  <c r="AL155" i="126"/>
  <c r="AI155" i="126"/>
  <c r="AF155" i="126"/>
  <c r="AB155" i="126"/>
  <c r="U155" i="126"/>
  <c r="R155" i="126"/>
  <c r="Q155" i="126"/>
  <c r="K155" i="126"/>
  <c r="J155" i="126"/>
  <c r="I155" i="126"/>
  <c r="H155" i="126"/>
  <c r="G155" i="126"/>
  <c r="C155" i="126"/>
  <c r="AM154" i="126"/>
  <c r="AL154" i="126"/>
  <c r="AI154" i="126"/>
  <c r="AF154" i="126"/>
  <c r="AB154" i="126"/>
  <c r="U154" i="126"/>
  <c r="R154" i="126"/>
  <c r="Q154" i="126"/>
  <c r="K154" i="126"/>
  <c r="J154" i="126"/>
  <c r="I154" i="126"/>
  <c r="H154" i="126"/>
  <c r="G154" i="126"/>
  <c r="C154" i="126"/>
  <c r="AM153" i="126"/>
  <c r="AL153" i="126"/>
  <c r="AI153" i="126"/>
  <c r="AF153" i="126"/>
  <c r="AB153" i="126"/>
  <c r="U153" i="126"/>
  <c r="R153" i="126"/>
  <c r="Q153" i="126"/>
  <c r="K153" i="126"/>
  <c r="J153" i="126"/>
  <c r="I153" i="126"/>
  <c r="H153" i="126"/>
  <c r="G153" i="126"/>
  <c r="C153" i="126"/>
  <c r="AM152" i="126"/>
  <c r="AL152" i="126"/>
  <c r="AI152" i="126"/>
  <c r="AF152" i="126"/>
  <c r="AB152" i="126"/>
  <c r="U152" i="126"/>
  <c r="R152" i="126"/>
  <c r="Q152" i="126"/>
  <c r="K152" i="126"/>
  <c r="J152" i="126"/>
  <c r="I152" i="126"/>
  <c r="H152" i="126"/>
  <c r="G152" i="126"/>
  <c r="C152" i="126"/>
  <c r="AM151" i="126"/>
  <c r="AL151" i="126"/>
  <c r="AI151" i="126"/>
  <c r="AF151" i="126"/>
  <c r="AB151" i="126"/>
  <c r="U151" i="126"/>
  <c r="R151" i="126"/>
  <c r="Q151" i="126"/>
  <c r="K151" i="126"/>
  <c r="J151" i="126"/>
  <c r="I151" i="126"/>
  <c r="H151" i="126"/>
  <c r="G151" i="126"/>
  <c r="C151" i="126"/>
  <c r="AM150" i="126"/>
  <c r="AL150" i="126"/>
  <c r="AI150" i="126"/>
  <c r="AF150" i="126"/>
  <c r="AB150" i="126"/>
  <c r="U150" i="126"/>
  <c r="R150" i="126"/>
  <c r="Q150" i="126"/>
  <c r="K150" i="126"/>
  <c r="J150" i="126"/>
  <c r="I150" i="126"/>
  <c r="H150" i="126"/>
  <c r="G150" i="126"/>
  <c r="C150" i="126"/>
  <c r="AM149" i="126"/>
  <c r="AL149" i="126"/>
  <c r="AI149" i="126"/>
  <c r="AF149" i="126"/>
  <c r="AB149" i="126"/>
  <c r="U149" i="126"/>
  <c r="R149" i="126"/>
  <c r="Q149" i="126"/>
  <c r="K149" i="126"/>
  <c r="J149" i="126"/>
  <c r="I149" i="126"/>
  <c r="H149" i="126"/>
  <c r="G149" i="126"/>
  <c r="C149" i="126"/>
  <c r="AM148" i="126"/>
  <c r="AL148" i="126"/>
  <c r="AI148" i="126"/>
  <c r="AF148" i="126"/>
  <c r="AB148" i="126"/>
  <c r="U148" i="126"/>
  <c r="R148" i="126"/>
  <c r="Q148" i="126"/>
  <c r="K148" i="126"/>
  <c r="J148" i="126"/>
  <c r="I148" i="126"/>
  <c r="H148" i="126"/>
  <c r="G148" i="126"/>
  <c r="C148" i="126"/>
  <c r="AM147" i="126"/>
  <c r="AL147" i="126"/>
  <c r="AI147" i="126"/>
  <c r="AF147" i="126"/>
  <c r="AB147" i="126"/>
  <c r="U147" i="126"/>
  <c r="R147" i="126"/>
  <c r="Q147" i="126"/>
  <c r="K147" i="126"/>
  <c r="J147" i="126"/>
  <c r="I147" i="126"/>
  <c r="H147" i="126"/>
  <c r="G147" i="126"/>
  <c r="C147" i="126"/>
  <c r="AM146" i="126"/>
  <c r="AL146" i="126"/>
  <c r="AI146" i="126"/>
  <c r="AF146" i="126"/>
  <c r="AB146" i="126"/>
  <c r="U146" i="126"/>
  <c r="R146" i="126"/>
  <c r="Q146" i="126"/>
  <c r="K146" i="126"/>
  <c r="J146" i="126"/>
  <c r="I146" i="126"/>
  <c r="H146" i="126"/>
  <c r="G146" i="126"/>
  <c r="C146" i="126"/>
  <c r="AM145" i="126"/>
  <c r="AL145" i="126"/>
  <c r="AI145" i="126"/>
  <c r="AF145" i="126"/>
  <c r="AB145" i="126"/>
  <c r="U145" i="126"/>
  <c r="R145" i="126"/>
  <c r="Q145" i="126"/>
  <c r="K145" i="126"/>
  <c r="J145" i="126"/>
  <c r="I145" i="126"/>
  <c r="H145" i="126"/>
  <c r="G145" i="126"/>
  <c r="C145" i="126"/>
  <c r="AM144" i="126"/>
  <c r="AL144" i="126"/>
  <c r="AI144" i="126"/>
  <c r="AF144" i="126"/>
  <c r="AB144" i="126"/>
  <c r="U144" i="126"/>
  <c r="R144" i="126"/>
  <c r="Q144" i="126"/>
  <c r="K144" i="126"/>
  <c r="J144" i="126"/>
  <c r="I144" i="126"/>
  <c r="H144" i="126"/>
  <c r="G144" i="126"/>
  <c r="C144" i="126"/>
  <c r="AM143" i="126"/>
  <c r="AL143" i="126"/>
  <c r="AI143" i="126"/>
  <c r="AF143" i="126"/>
  <c r="AB143" i="126"/>
  <c r="U143" i="126"/>
  <c r="R143" i="126"/>
  <c r="Q143" i="126"/>
  <c r="K143" i="126"/>
  <c r="J143" i="126"/>
  <c r="I143" i="126"/>
  <c r="H143" i="126"/>
  <c r="G143" i="126"/>
  <c r="C143" i="126"/>
  <c r="AM142" i="126"/>
  <c r="AL142" i="126"/>
  <c r="AI142" i="126"/>
  <c r="AF142" i="126"/>
  <c r="AB142" i="126"/>
  <c r="U142" i="126"/>
  <c r="R142" i="126"/>
  <c r="Q142" i="126"/>
  <c r="K142" i="126"/>
  <c r="J142" i="126"/>
  <c r="I142" i="126"/>
  <c r="H142" i="126"/>
  <c r="G142" i="126"/>
  <c r="C142" i="126"/>
  <c r="AM141" i="126"/>
  <c r="AL141" i="126"/>
  <c r="AI141" i="126"/>
  <c r="AF141" i="126"/>
  <c r="AB141" i="126"/>
  <c r="U141" i="126"/>
  <c r="R141" i="126"/>
  <c r="Q141" i="126"/>
  <c r="K141" i="126"/>
  <c r="J141" i="126"/>
  <c r="I141" i="126"/>
  <c r="H141" i="126"/>
  <c r="G141" i="126"/>
  <c r="C141" i="126"/>
  <c r="AM140" i="126"/>
  <c r="AL140" i="126"/>
  <c r="AI140" i="126"/>
  <c r="AF140" i="126"/>
  <c r="AB140" i="126"/>
  <c r="U140" i="126"/>
  <c r="R140" i="126"/>
  <c r="Q140" i="126"/>
  <c r="K140" i="126"/>
  <c r="J140" i="126"/>
  <c r="I140" i="126"/>
  <c r="H140" i="126"/>
  <c r="G140" i="126"/>
  <c r="C140" i="126"/>
  <c r="AM139" i="126"/>
  <c r="AL139" i="126"/>
  <c r="AI139" i="126"/>
  <c r="AF139" i="126"/>
  <c r="AB139" i="126"/>
  <c r="U139" i="126"/>
  <c r="R139" i="126"/>
  <c r="Q139" i="126"/>
  <c r="K139" i="126"/>
  <c r="J139" i="126"/>
  <c r="I139" i="126"/>
  <c r="H139" i="126"/>
  <c r="G139" i="126"/>
  <c r="C139" i="126"/>
  <c r="AM138" i="126"/>
  <c r="AL138" i="126"/>
  <c r="AI138" i="126"/>
  <c r="AF138" i="126"/>
  <c r="AB138" i="126"/>
  <c r="U138" i="126"/>
  <c r="R138" i="126"/>
  <c r="Q138" i="126"/>
  <c r="K138" i="126"/>
  <c r="J138" i="126"/>
  <c r="I138" i="126"/>
  <c r="H138" i="126"/>
  <c r="G138" i="126"/>
  <c r="C138" i="126"/>
  <c r="AM137" i="126"/>
  <c r="AL137" i="126"/>
  <c r="AI137" i="126"/>
  <c r="AF137" i="126"/>
  <c r="AB137" i="126"/>
  <c r="U137" i="126"/>
  <c r="R137" i="126"/>
  <c r="Q137" i="126"/>
  <c r="K137" i="126"/>
  <c r="J137" i="126"/>
  <c r="I137" i="126"/>
  <c r="H137" i="126"/>
  <c r="G137" i="126"/>
  <c r="C137" i="126"/>
  <c r="AM136" i="126"/>
  <c r="AL136" i="126"/>
  <c r="AI136" i="126"/>
  <c r="AF136" i="126"/>
  <c r="AB136" i="126"/>
  <c r="U136" i="126"/>
  <c r="R136" i="126"/>
  <c r="Q136" i="126"/>
  <c r="K136" i="126"/>
  <c r="J136" i="126"/>
  <c r="I136" i="126"/>
  <c r="H136" i="126"/>
  <c r="G136" i="126"/>
  <c r="C136" i="126"/>
  <c r="AM135" i="126"/>
  <c r="AL135" i="126"/>
  <c r="AI135" i="126"/>
  <c r="AF135" i="126"/>
  <c r="AB135" i="126"/>
  <c r="U135" i="126"/>
  <c r="R135" i="126"/>
  <c r="Q135" i="126"/>
  <c r="K135" i="126"/>
  <c r="J135" i="126"/>
  <c r="I135" i="126"/>
  <c r="H135" i="126"/>
  <c r="G135" i="126"/>
  <c r="C135" i="126"/>
  <c r="AM134" i="126"/>
  <c r="AL134" i="126"/>
  <c r="AI134" i="126"/>
  <c r="AF134" i="126"/>
  <c r="AB134" i="126"/>
  <c r="U134" i="126"/>
  <c r="R134" i="126"/>
  <c r="Q134" i="126"/>
  <c r="K134" i="126"/>
  <c r="J134" i="126"/>
  <c r="I134" i="126"/>
  <c r="H134" i="126"/>
  <c r="G134" i="126"/>
  <c r="C134" i="126"/>
  <c r="AM133" i="126"/>
  <c r="AL133" i="126"/>
  <c r="AI133" i="126"/>
  <c r="AF133" i="126"/>
  <c r="AB133" i="126"/>
  <c r="U133" i="126"/>
  <c r="R133" i="126"/>
  <c r="Q133" i="126"/>
  <c r="K133" i="126"/>
  <c r="J133" i="126"/>
  <c r="I133" i="126"/>
  <c r="H133" i="126"/>
  <c r="G133" i="126"/>
  <c r="C133" i="126"/>
  <c r="AM132" i="126"/>
  <c r="AL132" i="126"/>
  <c r="AI132" i="126"/>
  <c r="AF132" i="126"/>
  <c r="AB132" i="126"/>
  <c r="U132" i="126"/>
  <c r="R132" i="126"/>
  <c r="Q132" i="126"/>
  <c r="K132" i="126"/>
  <c r="J132" i="126"/>
  <c r="I132" i="126"/>
  <c r="H132" i="126"/>
  <c r="G132" i="126"/>
  <c r="C132" i="126"/>
  <c r="AM131" i="126"/>
  <c r="AL131" i="126"/>
  <c r="AI131" i="126"/>
  <c r="AF131" i="126"/>
  <c r="AB131" i="126"/>
  <c r="U131" i="126"/>
  <c r="R131" i="126"/>
  <c r="Q131" i="126"/>
  <c r="K131" i="126"/>
  <c r="J131" i="126"/>
  <c r="I131" i="126"/>
  <c r="H131" i="126"/>
  <c r="G131" i="126"/>
  <c r="C131" i="126"/>
  <c r="AM130" i="126"/>
  <c r="AL130" i="126"/>
  <c r="AI130" i="126"/>
  <c r="AF130" i="126"/>
  <c r="AB130" i="126"/>
  <c r="U130" i="126"/>
  <c r="R130" i="126"/>
  <c r="Q130" i="126"/>
  <c r="K130" i="126"/>
  <c r="J130" i="126"/>
  <c r="I130" i="126"/>
  <c r="H130" i="126"/>
  <c r="G130" i="126"/>
  <c r="C130" i="126"/>
  <c r="AM129" i="126"/>
  <c r="AL129" i="126"/>
  <c r="AI129" i="126"/>
  <c r="AF129" i="126"/>
  <c r="AB129" i="126"/>
  <c r="U129" i="126"/>
  <c r="R129" i="126"/>
  <c r="Q129" i="126"/>
  <c r="K129" i="126"/>
  <c r="J129" i="126"/>
  <c r="I129" i="126"/>
  <c r="H129" i="126"/>
  <c r="G129" i="126"/>
  <c r="C129" i="126"/>
  <c r="AM128" i="126"/>
  <c r="AL128" i="126"/>
  <c r="AI128" i="126"/>
  <c r="AF128" i="126"/>
  <c r="AB128" i="126"/>
  <c r="U128" i="126"/>
  <c r="R128" i="126"/>
  <c r="Q128" i="126"/>
  <c r="K128" i="126"/>
  <c r="J128" i="126"/>
  <c r="I128" i="126"/>
  <c r="H128" i="126"/>
  <c r="G128" i="126"/>
  <c r="C128" i="126"/>
  <c r="AM127" i="126"/>
  <c r="AL127" i="126"/>
  <c r="AI127" i="126"/>
  <c r="AF127" i="126"/>
  <c r="AB127" i="126"/>
  <c r="U127" i="126"/>
  <c r="R127" i="126"/>
  <c r="Q127" i="126"/>
  <c r="K127" i="126"/>
  <c r="J127" i="126"/>
  <c r="I127" i="126"/>
  <c r="H127" i="126"/>
  <c r="G127" i="126"/>
  <c r="C127" i="126"/>
  <c r="AM126" i="126"/>
  <c r="AL126" i="126"/>
  <c r="AI126" i="126"/>
  <c r="AF126" i="126"/>
  <c r="AB126" i="126"/>
  <c r="U126" i="126"/>
  <c r="R126" i="126"/>
  <c r="Q126" i="126"/>
  <c r="K126" i="126"/>
  <c r="J126" i="126"/>
  <c r="I126" i="126"/>
  <c r="H126" i="126"/>
  <c r="G126" i="126"/>
  <c r="C126" i="126"/>
  <c r="AM125" i="126"/>
  <c r="AL125" i="126"/>
  <c r="AI125" i="126"/>
  <c r="AF125" i="126"/>
  <c r="AB125" i="126"/>
  <c r="U125" i="126"/>
  <c r="R125" i="126"/>
  <c r="Q125" i="126"/>
  <c r="K125" i="126"/>
  <c r="J125" i="126"/>
  <c r="I125" i="126"/>
  <c r="H125" i="126"/>
  <c r="G125" i="126"/>
  <c r="C125" i="126"/>
  <c r="AM124" i="126"/>
  <c r="AL124" i="126"/>
  <c r="AI124" i="126"/>
  <c r="AF124" i="126"/>
  <c r="AB124" i="126"/>
  <c r="U124" i="126"/>
  <c r="R124" i="126"/>
  <c r="Q124" i="126"/>
  <c r="K124" i="126"/>
  <c r="J124" i="126"/>
  <c r="I124" i="126"/>
  <c r="H124" i="126"/>
  <c r="G124" i="126"/>
  <c r="C124" i="126"/>
  <c r="AM123" i="126"/>
  <c r="AL123" i="126"/>
  <c r="AI123" i="126"/>
  <c r="AF123" i="126"/>
  <c r="AB123" i="126"/>
  <c r="U123" i="126"/>
  <c r="R123" i="126"/>
  <c r="Q123" i="126"/>
  <c r="K123" i="126"/>
  <c r="J123" i="126"/>
  <c r="I123" i="126"/>
  <c r="H123" i="126"/>
  <c r="G123" i="126"/>
  <c r="C123" i="126"/>
  <c r="AM122" i="126"/>
  <c r="AL122" i="126"/>
  <c r="AI122" i="126"/>
  <c r="AF122" i="126"/>
  <c r="AB122" i="126"/>
  <c r="U122" i="126"/>
  <c r="R122" i="126"/>
  <c r="Q122" i="126"/>
  <c r="K122" i="126"/>
  <c r="J122" i="126"/>
  <c r="I122" i="126"/>
  <c r="H122" i="126"/>
  <c r="G122" i="126"/>
  <c r="C122" i="126"/>
  <c r="AM121" i="126"/>
  <c r="AL121" i="126"/>
  <c r="AI121" i="126"/>
  <c r="AF121" i="126"/>
  <c r="AB121" i="126"/>
  <c r="U121" i="126"/>
  <c r="R121" i="126"/>
  <c r="Q121" i="126"/>
  <c r="K121" i="126"/>
  <c r="J121" i="126"/>
  <c r="I121" i="126"/>
  <c r="H121" i="126"/>
  <c r="G121" i="126"/>
  <c r="C121" i="126"/>
  <c r="AM120" i="126"/>
  <c r="AL120" i="126"/>
  <c r="AI120" i="126"/>
  <c r="AF120" i="126"/>
  <c r="AB120" i="126"/>
  <c r="U120" i="126"/>
  <c r="R120" i="126"/>
  <c r="Q120" i="126"/>
  <c r="K120" i="126"/>
  <c r="J120" i="126"/>
  <c r="I120" i="126"/>
  <c r="H120" i="126"/>
  <c r="G120" i="126"/>
  <c r="C120" i="126"/>
  <c r="AM119" i="126"/>
  <c r="AL119" i="126"/>
  <c r="AI119" i="126"/>
  <c r="AF119" i="126"/>
  <c r="AB119" i="126"/>
  <c r="U119" i="126"/>
  <c r="R119" i="126"/>
  <c r="Q119" i="126"/>
  <c r="K119" i="126"/>
  <c r="J119" i="126"/>
  <c r="I119" i="126"/>
  <c r="H119" i="126"/>
  <c r="G119" i="126"/>
  <c r="C119" i="126"/>
  <c r="AM118" i="126"/>
  <c r="AL118" i="126"/>
  <c r="AI118" i="126"/>
  <c r="AF118" i="126"/>
  <c r="AB118" i="126"/>
  <c r="U118" i="126"/>
  <c r="R118" i="126"/>
  <c r="Q118" i="126"/>
  <c r="K118" i="126"/>
  <c r="J118" i="126"/>
  <c r="I118" i="126"/>
  <c r="H118" i="126"/>
  <c r="G118" i="126"/>
  <c r="C118" i="126"/>
  <c r="AM117" i="126"/>
  <c r="AL117" i="126"/>
  <c r="AI117" i="126"/>
  <c r="AF117" i="126"/>
  <c r="AB117" i="126"/>
  <c r="U117" i="126"/>
  <c r="R117" i="126"/>
  <c r="Q117" i="126"/>
  <c r="K117" i="126"/>
  <c r="J117" i="126"/>
  <c r="I117" i="126"/>
  <c r="H117" i="126"/>
  <c r="G117" i="126"/>
  <c r="C117" i="126"/>
  <c r="AM116" i="126"/>
  <c r="AL116" i="126"/>
  <c r="AI116" i="126"/>
  <c r="AF116" i="126"/>
  <c r="AB116" i="126"/>
  <c r="U116" i="126"/>
  <c r="R116" i="126"/>
  <c r="Q116" i="126"/>
  <c r="K116" i="126"/>
  <c r="J116" i="126"/>
  <c r="I116" i="126"/>
  <c r="H116" i="126"/>
  <c r="G116" i="126"/>
  <c r="C116" i="126"/>
  <c r="AM115" i="126"/>
  <c r="AL115" i="126"/>
  <c r="AI115" i="126"/>
  <c r="AF115" i="126"/>
  <c r="AB115" i="126"/>
  <c r="U115" i="126"/>
  <c r="R115" i="126"/>
  <c r="Q115" i="126"/>
  <c r="K115" i="126"/>
  <c r="J115" i="126"/>
  <c r="I115" i="126"/>
  <c r="H115" i="126"/>
  <c r="G115" i="126"/>
  <c r="C115" i="126"/>
  <c r="AM114" i="126"/>
  <c r="AL114" i="126"/>
  <c r="AI114" i="126"/>
  <c r="AF114" i="126"/>
  <c r="AB114" i="126"/>
  <c r="U114" i="126"/>
  <c r="R114" i="126"/>
  <c r="Q114" i="126"/>
  <c r="K114" i="126"/>
  <c r="J114" i="126"/>
  <c r="I114" i="126"/>
  <c r="H114" i="126"/>
  <c r="G114" i="126"/>
  <c r="C114" i="126"/>
  <c r="AM113" i="126"/>
  <c r="AL113" i="126"/>
  <c r="AI113" i="126"/>
  <c r="AF113" i="126"/>
  <c r="AB113" i="126"/>
  <c r="U113" i="126"/>
  <c r="R113" i="126"/>
  <c r="Q113" i="126"/>
  <c r="K113" i="126"/>
  <c r="J113" i="126"/>
  <c r="I113" i="126"/>
  <c r="H113" i="126"/>
  <c r="G113" i="126"/>
  <c r="C113" i="126"/>
  <c r="AM112" i="126"/>
  <c r="AL112" i="126"/>
  <c r="AI112" i="126"/>
  <c r="AF112" i="126"/>
  <c r="AB112" i="126"/>
  <c r="U112" i="126"/>
  <c r="R112" i="126"/>
  <c r="Q112" i="126"/>
  <c r="K112" i="126"/>
  <c r="J112" i="126"/>
  <c r="I112" i="126"/>
  <c r="H112" i="126"/>
  <c r="G112" i="126"/>
  <c r="C112" i="126"/>
  <c r="AM111" i="126"/>
  <c r="AL111" i="126"/>
  <c r="AI111" i="126"/>
  <c r="AF111" i="126"/>
  <c r="AB111" i="126"/>
  <c r="U111" i="126"/>
  <c r="R111" i="126"/>
  <c r="Q111" i="126"/>
  <c r="K111" i="126"/>
  <c r="J111" i="126"/>
  <c r="I111" i="126"/>
  <c r="H111" i="126"/>
  <c r="G111" i="126"/>
  <c r="C111" i="126"/>
  <c r="AM110" i="126"/>
  <c r="AL110" i="126"/>
  <c r="AI110" i="126"/>
  <c r="AF110" i="126"/>
  <c r="AB110" i="126"/>
  <c r="U110" i="126"/>
  <c r="R110" i="126"/>
  <c r="Q110" i="126"/>
  <c r="K110" i="126"/>
  <c r="J110" i="126"/>
  <c r="I110" i="126"/>
  <c r="H110" i="126"/>
  <c r="G110" i="126"/>
  <c r="C110" i="126"/>
  <c r="AM109" i="126"/>
  <c r="AL109" i="126"/>
  <c r="AI109" i="126"/>
  <c r="AF109" i="126"/>
  <c r="AB109" i="126"/>
  <c r="U109" i="126"/>
  <c r="R109" i="126"/>
  <c r="Q109" i="126"/>
  <c r="K109" i="126"/>
  <c r="J109" i="126"/>
  <c r="I109" i="126"/>
  <c r="H109" i="126"/>
  <c r="G109" i="126"/>
  <c r="C109" i="126"/>
  <c r="AM108" i="126"/>
  <c r="AL108" i="126"/>
  <c r="AI108" i="126"/>
  <c r="AF108" i="126"/>
  <c r="AB108" i="126"/>
  <c r="U108" i="126"/>
  <c r="R108" i="126"/>
  <c r="Q108" i="126"/>
  <c r="K108" i="126"/>
  <c r="J108" i="126"/>
  <c r="I108" i="126"/>
  <c r="H108" i="126"/>
  <c r="G108" i="126"/>
  <c r="C108" i="126"/>
  <c r="AM107" i="126"/>
  <c r="AL107" i="126"/>
  <c r="AI107" i="126"/>
  <c r="AF107" i="126"/>
  <c r="AB107" i="126"/>
  <c r="U107" i="126"/>
  <c r="R107" i="126"/>
  <c r="Q107" i="126"/>
  <c r="K107" i="126"/>
  <c r="J107" i="126"/>
  <c r="I107" i="126"/>
  <c r="H107" i="126"/>
  <c r="G107" i="126"/>
  <c r="C107" i="126"/>
  <c r="AM106" i="126"/>
  <c r="AL106" i="126"/>
  <c r="AI106" i="126"/>
  <c r="AF106" i="126"/>
  <c r="AB106" i="126"/>
  <c r="U106" i="126"/>
  <c r="R106" i="126"/>
  <c r="Q106" i="126"/>
  <c r="K106" i="126"/>
  <c r="J106" i="126"/>
  <c r="I106" i="126"/>
  <c r="H106" i="126"/>
  <c r="G106" i="126"/>
  <c r="C106" i="126"/>
  <c r="AM105" i="126"/>
  <c r="AL105" i="126"/>
  <c r="AI105" i="126"/>
  <c r="AF105" i="126"/>
  <c r="AB105" i="126"/>
  <c r="U105" i="126"/>
  <c r="R105" i="126"/>
  <c r="Q105" i="126"/>
  <c r="K105" i="126"/>
  <c r="J105" i="126"/>
  <c r="I105" i="126"/>
  <c r="H105" i="126"/>
  <c r="G105" i="126"/>
  <c r="C105" i="126"/>
  <c r="AM104" i="126"/>
  <c r="AL104" i="126"/>
  <c r="AI104" i="126"/>
  <c r="AF104" i="126"/>
  <c r="AB104" i="126"/>
  <c r="U104" i="126"/>
  <c r="R104" i="126"/>
  <c r="Q104" i="126"/>
  <c r="K104" i="126"/>
  <c r="J104" i="126"/>
  <c r="I104" i="126"/>
  <c r="H104" i="126"/>
  <c r="G104" i="126"/>
  <c r="C104" i="126"/>
  <c r="AM103" i="126"/>
  <c r="AL103" i="126"/>
  <c r="AI103" i="126"/>
  <c r="AF103" i="126"/>
  <c r="AB103" i="126"/>
  <c r="U103" i="126"/>
  <c r="R103" i="126"/>
  <c r="Q103" i="126"/>
  <c r="K103" i="126"/>
  <c r="J103" i="126"/>
  <c r="I103" i="126"/>
  <c r="H103" i="126"/>
  <c r="G103" i="126"/>
  <c r="C103" i="126"/>
  <c r="AM102" i="126"/>
  <c r="AL102" i="126"/>
  <c r="AI102" i="126"/>
  <c r="AF102" i="126"/>
  <c r="AB102" i="126"/>
  <c r="U102" i="126"/>
  <c r="R102" i="126"/>
  <c r="Q102" i="126"/>
  <c r="K102" i="126"/>
  <c r="J102" i="126"/>
  <c r="I102" i="126"/>
  <c r="H102" i="126"/>
  <c r="G102" i="126"/>
  <c r="C102" i="126"/>
  <c r="AM101" i="126"/>
  <c r="AL101" i="126"/>
  <c r="AI101" i="126"/>
  <c r="AF101" i="126"/>
  <c r="AB101" i="126"/>
  <c r="U101" i="126"/>
  <c r="R101" i="126"/>
  <c r="Q101" i="126"/>
  <c r="K101" i="126"/>
  <c r="J101" i="126"/>
  <c r="I101" i="126"/>
  <c r="H101" i="126"/>
  <c r="G101" i="126"/>
  <c r="C101" i="126"/>
  <c r="AM100" i="126"/>
  <c r="AL100" i="126"/>
  <c r="AI100" i="126"/>
  <c r="AF100" i="126"/>
  <c r="AB100" i="126"/>
  <c r="U100" i="126"/>
  <c r="R100" i="126"/>
  <c r="Q100" i="126"/>
  <c r="K100" i="126"/>
  <c r="J100" i="126"/>
  <c r="I100" i="126"/>
  <c r="H100" i="126"/>
  <c r="G100" i="126"/>
  <c r="C100" i="126"/>
  <c r="AM99" i="126"/>
  <c r="AL99" i="126"/>
  <c r="AI99" i="126"/>
  <c r="AF99" i="126"/>
  <c r="AB99" i="126"/>
  <c r="U99" i="126"/>
  <c r="R99" i="126"/>
  <c r="Q99" i="126"/>
  <c r="K99" i="126"/>
  <c r="J99" i="126"/>
  <c r="I99" i="126"/>
  <c r="H99" i="126"/>
  <c r="G99" i="126"/>
  <c r="C99" i="126"/>
  <c r="AM98" i="126"/>
  <c r="AL98" i="126"/>
  <c r="AI98" i="126"/>
  <c r="AF98" i="126"/>
  <c r="AB98" i="126"/>
  <c r="U98" i="126"/>
  <c r="R98" i="126"/>
  <c r="Q98" i="126"/>
  <c r="L98" i="126"/>
  <c r="K98" i="126"/>
  <c r="J98" i="126"/>
  <c r="I98" i="126"/>
  <c r="H98" i="126"/>
  <c r="G98" i="126"/>
  <c r="F98" i="126"/>
  <c r="E98" i="126"/>
  <c r="D98" i="126"/>
  <c r="C98" i="126"/>
  <c r="AM97" i="126"/>
  <c r="AL97" i="126"/>
  <c r="AI97" i="126"/>
  <c r="AF97" i="126"/>
  <c r="AB97" i="126"/>
  <c r="U97" i="126"/>
  <c r="R97" i="126"/>
  <c r="Q97" i="126"/>
  <c r="K97" i="126"/>
  <c r="J97" i="126"/>
  <c r="I97" i="126"/>
  <c r="H97" i="126"/>
  <c r="G97" i="126"/>
  <c r="C97" i="126"/>
  <c r="AM96" i="126"/>
  <c r="AL96" i="126"/>
  <c r="AI96" i="126"/>
  <c r="AF96" i="126"/>
  <c r="AB96" i="126"/>
  <c r="U96" i="126"/>
  <c r="R96" i="126"/>
  <c r="Q96" i="126"/>
  <c r="K96" i="126"/>
  <c r="J96" i="126"/>
  <c r="I96" i="126"/>
  <c r="H96" i="126"/>
  <c r="G96" i="126"/>
  <c r="C96" i="126"/>
  <c r="AM95" i="126"/>
  <c r="AL95" i="126"/>
  <c r="AI95" i="126"/>
  <c r="AF95" i="126"/>
  <c r="AB95" i="126"/>
  <c r="U95" i="126"/>
  <c r="R95" i="126"/>
  <c r="Q95" i="126"/>
  <c r="K95" i="126"/>
  <c r="J95" i="126"/>
  <c r="I95" i="126"/>
  <c r="H95" i="126"/>
  <c r="G95" i="126"/>
  <c r="C95" i="126"/>
  <c r="AM94" i="126"/>
  <c r="AL94" i="126"/>
  <c r="AI94" i="126"/>
  <c r="AF94" i="126"/>
  <c r="AB94" i="126"/>
  <c r="U94" i="126"/>
  <c r="R94" i="126"/>
  <c r="Q94" i="126"/>
  <c r="K94" i="126"/>
  <c r="J94" i="126"/>
  <c r="I94" i="126"/>
  <c r="H94" i="126"/>
  <c r="G94" i="126"/>
  <c r="C94" i="126"/>
  <c r="AM93" i="126"/>
  <c r="AL93" i="126"/>
  <c r="AI93" i="126"/>
  <c r="AF93" i="126"/>
  <c r="AB93" i="126"/>
  <c r="U93" i="126"/>
  <c r="R93" i="126"/>
  <c r="Q93" i="126"/>
  <c r="K93" i="126"/>
  <c r="J93" i="126"/>
  <c r="I93" i="126"/>
  <c r="H93" i="126"/>
  <c r="G93" i="126"/>
  <c r="C93" i="126"/>
  <c r="AM92" i="126"/>
  <c r="AL92" i="126"/>
  <c r="AI92" i="126"/>
  <c r="AF92" i="126"/>
  <c r="AB92" i="126"/>
  <c r="U92" i="126"/>
  <c r="R92" i="126"/>
  <c r="Q92" i="126"/>
  <c r="K92" i="126"/>
  <c r="J92" i="126"/>
  <c r="I92" i="126"/>
  <c r="H92" i="126"/>
  <c r="G92" i="126"/>
  <c r="C92" i="126"/>
  <c r="AM91" i="126"/>
  <c r="AL91" i="126"/>
  <c r="AI91" i="126"/>
  <c r="AF91" i="126"/>
  <c r="AB91" i="126"/>
  <c r="U91" i="126"/>
  <c r="R91" i="126"/>
  <c r="Q91" i="126"/>
  <c r="K91" i="126"/>
  <c r="J91" i="126"/>
  <c r="I91" i="126"/>
  <c r="H91" i="126"/>
  <c r="G91" i="126"/>
  <c r="C91" i="126"/>
  <c r="AM90" i="126"/>
  <c r="AL90" i="126"/>
  <c r="AI90" i="126"/>
  <c r="AF90" i="126"/>
  <c r="AB90" i="126"/>
  <c r="U90" i="126"/>
  <c r="R90" i="126"/>
  <c r="Q90" i="126"/>
  <c r="K90" i="126"/>
  <c r="J90" i="126"/>
  <c r="I90" i="126"/>
  <c r="H90" i="126"/>
  <c r="G90" i="126"/>
  <c r="C90" i="126"/>
  <c r="AM89" i="126"/>
  <c r="AL89" i="126"/>
  <c r="AI89" i="126"/>
  <c r="AF89" i="126"/>
  <c r="AB89" i="126"/>
  <c r="U89" i="126"/>
  <c r="R89" i="126"/>
  <c r="Q89" i="126"/>
  <c r="K89" i="126"/>
  <c r="J89" i="126"/>
  <c r="I89" i="126"/>
  <c r="H89" i="126"/>
  <c r="G89" i="126"/>
  <c r="C89" i="126"/>
  <c r="AM88" i="126"/>
  <c r="AL88" i="126"/>
  <c r="AI88" i="126"/>
  <c r="AF88" i="126"/>
  <c r="AB88" i="126"/>
  <c r="U88" i="126"/>
  <c r="R88" i="126"/>
  <c r="Q88" i="126"/>
  <c r="K88" i="126"/>
  <c r="J88" i="126"/>
  <c r="I88" i="126"/>
  <c r="H88" i="126"/>
  <c r="G88" i="126"/>
  <c r="C88" i="126"/>
  <c r="AM87" i="126"/>
  <c r="AL87" i="126"/>
  <c r="AI87" i="126"/>
  <c r="AF87" i="126"/>
  <c r="AB87" i="126"/>
  <c r="U87" i="126"/>
  <c r="R87" i="126"/>
  <c r="Q87" i="126"/>
  <c r="K87" i="126"/>
  <c r="J87" i="126"/>
  <c r="I87" i="126"/>
  <c r="H87" i="126"/>
  <c r="G87" i="126"/>
  <c r="C87" i="126"/>
  <c r="AM86" i="126"/>
  <c r="AL86" i="126"/>
  <c r="AI86" i="126"/>
  <c r="AF86" i="126"/>
  <c r="AB86" i="126"/>
  <c r="U86" i="126"/>
  <c r="R86" i="126"/>
  <c r="Q86" i="126"/>
  <c r="K86" i="126"/>
  <c r="J86" i="126"/>
  <c r="I86" i="126"/>
  <c r="H86" i="126"/>
  <c r="G86" i="126"/>
  <c r="C86" i="126"/>
  <c r="AM85" i="126"/>
  <c r="AL85" i="126"/>
  <c r="AI85" i="126"/>
  <c r="AF85" i="126"/>
  <c r="AB85" i="126"/>
  <c r="U85" i="126"/>
  <c r="R85" i="126"/>
  <c r="Q85" i="126"/>
  <c r="K85" i="126"/>
  <c r="J85" i="126"/>
  <c r="I85" i="126"/>
  <c r="H85" i="126"/>
  <c r="G85" i="126"/>
  <c r="C85" i="126"/>
  <c r="AM84" i="126"/>
  <c r="AL84" i="126"/>
  <c r="AI84" i="126"/>
  <c r="AF84" i="126"/>
  <c r="AB84" i="126"/>
  <c r="U84" i="126"/>
  <c r="R84" i="126"/>
  <c r="Q84" i="126"/>
  <c r="K84" i="126"/>
  <c r="J84" i="126"/>
  <c r="I84" i="126"/>
  <c r="H84" i="126"/>
  <c r="G84" i="126"/>
  <c r="C84" i="126"/>
  <c r="AM83" i="126"/>
  <c r="AL83" i="126"/>
  <c r="AI83" i="126"/>
  <c r="AF83" i="126"/>
  <c r="AB83" i="126"/>
  <c r="U83" i="126"/>
  <c r="R83" i="126"/>
  <c r="Q83" i="126"/>
  <c r="K83" i="126"/>
  <c r="J83" i="126"/>
  <c r="I83" i="126"/>
  <c r="H83" i="126"/>
  <c r="G83" i="126"/>
  <c r="C83" i="126"/>
  <c r="AM82" i="126"/>
  <c r="AL82" i="126"/>
  <c r="AI82" i="126"/>
  <c r="AF82" i="126"/>
  <c r="AB82" i="126"/>
  <c r="U82" i="126"/>
  <c r="R82" i="126"/>
  <c r="Q82" i="126"/>
  <c r="K82" i="126"/>
  <c r="J82" i="126"/>
  <c r="I82" i="126"/>
  <c r="H82" i="126"/>
  <c r="G82" i="126"/>
  <c r="C82" i="126"/>
  <c r="AM81" i="126"/>
  <c r="AL81" i="126"/>
  <c r="AI81" i="126"/>
  <c r="AF81" i="126"/>
  <c r="AB81" i="126"/>
  <c r="U81" i="126"/>
  <c r="R81" i="126"/>
  <c r="Q81" i="126"/>
  <c r="K81" i="126"/>
  <c r="J81" i="126"/>
  <c r="I81" i="126"/>
  <c r="H81" i="126"/>
  <c r="G81" i="126"/>
  <c r="C81" i="126"/>
  <c r="AM80" i="126"/>
  <c r="AL80" i="126"/>
  <c r="AI80" i="126"/>
  <c r="AF80" i="126"/>
  <c r="AB80" i="126"/>
  <c r="U80" i="126"/>
  <c r="R80" i="126"/>
  <c r="Q80" i="126"/>
  <c r="K80" i="126"/>
  <c r="J80" i="126"/>
  <c r="I80" i="126"/>
  <c r="H80" i="126"/>
  <c r="G80" i="126"/>
  <c r="C80" i="126"/>
  <c r="AM79" i="126"/>
  <c r="AL79" i="126"/>
  <c r="AI79" i="126"/>
  <c r="AF79" i="126"/>
  <c r="AB79" i="126"/>
  <c r="U79" i="126"/>
  <c r="R79" i="126"/>
  <c r="Q79" i="126"/>
  <c r="K79" i="126"/>
  <c r="J79" i="126"/>
  <c r="I79" i="126"/>
  <c r="H79" i="126"/>
  <c r="G79" i="126"/>
  <c r="C79" i="126"/>
  <c r="AM78" i="126"/>
  <c r="AL78" i="126"/>
  <c r="AI78" i="126"/>
  <c r="AF78" i="126"/>
  <c r="AB78" i="126"/>
  <c r="U78" i="126"/>
  <c r="R78" i="126"/>
  <c r="Q78" i="126"/>
  <c r="K78" i="126"/>
  <c r="J78" i="126"/>
  <c r="I78" i="126"/>
  <c r="H78" i="126"/>
  <c r="G78" i="126"/>
  <c r="C78" i="126"/>
  <c r="AM77" i="126"/>
  <c r="AL77" i="126"/>
  <c r="AK77" i="126"/>
  <c r="AJ77" i="126"/>
  <c r="AI77" i="126"/>
  <c r="AH77" i="126"/>
  <c r="AG77" i="126"/>
  <c r="AF77" i="126"/>
  <c r="AE77" i="126"/>
  <c r="AD77" i="126"/>
  <c r="AC77" i="126"/>
  <c r="AB77" i="126"/>
  <c r="AA77" i="126"/>
  <c r="Z77" i="126"/>
  <c r="Y77" i="126"/>
  <c r="X77" i="126"/>
  <c r="W77" i="126"/>
  <c r="V77" i="126"/>
  <c r="U77" i="126"/>
  <c r="T77" i="126"/>
  <c r="S77" i="126"/>
  <c r="R77" i="126"/>
  <c r="Q77" i="126"/>
  <c r="P77" i="126"/>
  <c r="O77" i="126"/>
  <c r="N77" i="126"/>
  <c r="M77" i="126"/>
  <c r="L77" i="126"/>
  <c r="K77" i="126"/>
  <c r="J77" i="126"/>
  <c r="I77" i="126"/>
  <c r="H77" i="126"/>
  <c r="G77" i="126"/>
  <c r="F77" i="126"/>
  <c r="E77" i="126"/>
  <c r="D77" i="126"/>
  <c r="C77" i="126"/>
  <c r="AO76" i="126"/>
  <c r="AN76" i="126"/>
  <c r="AM76" i="126"/>
  <c r="AL76" i="126"/>
  <c r="AK76" i="126"/>
  <c r="AJ76" i="126"/>
  <c r="AI76" i="126"/>
  <c r="AH76" i="126"/>
  <c r="AG76" i="126"/>
  <c r="AF76" i="126"/>
  <c r="AE76" i="126"/>
  <c r="AD76" i="126"/>
  <c r="AC76" i="126"/>
  <c r="AB76" i="126"/>
  <c r="AA76" i="126"/>
  <c r="Z76" i="126"/>
  <c r="Y76" i="126"/>
  <c r="X76" i="126"/>
  <c r="W76" i="126"/>
  <c r="V76" i="126"/>
  <c r="U76" i="126"/>
  <c r="T76" i="126"/>
  <c r="S76" i="126"/>
  <c r="R76" i="126"/>
  <c r="Q76" i="126"/>
  <c r="P76" i="126"/>
  <c r="O76" i="126"/>
  <c r="N76" i="126"/>
  <c r="M76" i="126"/>
  <c r="L76" i="126"/>
  <c r="K76" i="126"/>
  <c r="J76" i="126"/>
  <c r="I76" i="126"/>
  <c r="H76" i="126"/>
  <c r="G76" i="126"/>
  <c r="F76" i="126"/>
  <c r="E76" i="126"/>
  <c r="D76" i="126"/>
  <c r="C76" i="126"/>
  <c r="AM75" i="126"/>
  <c r="AL75" i="126"/>
  <c r="AI75" i="126"/>
  <c r="AF75" i="126"/>
  <c r="AB75" i="126"/>
  <c r="U75" i="126"/>
  <c r="R75" i="126"/>
  <c r="Q75" i="126"/>
  <c r="K75" i="126"/>
  <c r="J75" i="126"/>
  <c r="I75" i="126"/>
  <c r="H75" i="126"/>
  <c r="G75" i="126"/>
  <c r="C75" i="126"/>
  <c r="AM74" i="126"/>
  <c r="AL74" i="126"/>
  <c r="AI74" i="126"/>
  <c r="AF74" i="126"/>
  <c r="AB74" i="126"/>
  <c r="U74" i="126"/>
  <c r="R74" i="126"/>
  <c r="Q74" i="126"/>
  <c r="K74" i="126"/>
  <c r="J74" i="126"/>
  <c r="I74" i="126"/>
  <c r="H74" i="126"/>
  <c r="G74" i="126"/>
  <c r="C74" i="126"/>
  <c r="AM73" i="126"/>
  <c r="AL73" i="126"/>
  <c r="AI73" i="126"/>
  <c r="AF73" i="126"/>
  <c r="AB73" i="126"/>
  <c r="U73" i="126"/>
  <c r="R73" i="126"/>
  <c r="Q73" i="126"/>
  <c r="K73" i="126"/>
  <c r="J73" i="126"/>
  <c r="I73" i="126"/>
  <c r="H73" i="126"/>
  <c r="G73" i="126"/>
  <c r="C73" i="126"/>
  <c r="AM72" i="126"/>
  <c r="AL72" i="126"/>
  <c r="AI72" i="126"/>
  <c r="AF72" i="126"/>
  <c r="AB72" i="126"/>
  <c r="U72" i="126"/>
  <c r="R72" i="126"/>
  <c r="Q72" i="126"/>
  <c r="K72" i="126"/>
  <c r="J72" i="126"/>
  <c r="I72" i="126"/>
  <c r="H72" i="126"/>
  <c r="G72" i="126"/>
  <c r="C72" i="126"/>
  <c r="AM71" i="126"/>
  <c r="AL71" i="126"/>
  <c r="AI71" i="126"/>
  <c r="AF71" i="126"/>
  <c r="AB71" i="126"/>
  <c r="U71" i="126"/>
  <c r="R71" i="126"/>
  <c r="Q71" i="126"/>
  <c r="K71" i="126"/>
  <c r="J71" i="126"/>
  <c r="I71" i="126"/>
  <c r="H71" i="126"/>
  <c r="G71" i="126"/>
  <c r="C71" i="126"/>
  <c r="AM70" i="126"/>
  <c r="AL70" i="126"/>
  <c r="AI70" i="126"/>
  <c r="AF70" i="126"/>
  <c r="AB70" i="126"/>
  <c r="U70" i="126"/>
  <c r="R70" i="126"/>
  <c r="Q70" i="126"/>
  <c r="K70" i="126"/>
  <c r="J70" i="126"/>
  <c r="I70" i="126"/>
  <c r="H70" i="126"/>
  <c r="G70" i="126"/>
  <c r="C70" i="126"/>
  <c r="AM69" i="126"/>
  <c r="AL69" i="126"/>
  <c r="AI69" i="126"/>
  <c r="AF69" i="126"/>
  <c r="AB69" i="126"/>
  <c r="U69" i="126"/>
  <c r="R69" i="126"/>
  <c r="Q69" i="126"/>
  <c r="K69" i="126"/>
  <c r="J69" i="126"/>
  <c r="I69" i="126"/>
  <c r="H69" i="126"/>
  <c r="G69" i="126"/>
  <c r="C69" i="126"/>
  <c r="AM68" i="126"/>
  <c r="AL68" i="126"/>
  <c r="AI68" i="126"/>
  <c r="AF68" i="126"/>
  <c r="AB68" i="126"/>
  <c r="U68" i="126"/>
  <c r="R68" i="126"/>
  <c r="Q68" i="126"/>
  <c r="K68" i="126"/>
  <c r="J68" i="126"/>
  <c r="I68" i="126"/>
  <c r="H68" i="126"/>
  <c r="G68" i="126"/>
  <c r="C68" i="126"/>
  <c r="AM67" i="126"/>
  <c r="AL67" i="126"/>
  <c r="AI67" i="126"/>
  <c r="AF67" i="126"/>
  <c r="AB67" i="126"/>
  <c r="U67" i="126"/>
  <c r="R67" i="126"/>
  <c r="Q67" i="126"/>
  <c r="K67" i="126"/>
  <c r="J67" i="126"/>
  <c r="I67" i="126"/>
  <c r="H67" i="126"/>
  <c r="G67" i="126"/>
  <c r="C67" i="126"/>
  <c r="AM66" i="126"/>
  <c r="AL66" i="126"/>
  <c r="AI66" i="126"/>
  <c r="AF66" i="126"/>
  <c r="AB66" i="126"/>
  <c r="U66" i="126"/>
  <c r="R66" i="126"/>
  <c r="Q66" i="126"/>
  <c r="K66" i="126"/>
  <c r="J66" i="126"/>
  <c r="I66" i="126"/>
  <c r="H66" i="126"/>
  <c r="G66" i="126"/>
  <c r="C66" i="126"/>
  <c r="AM65" i="126"/>
  <c r="AL65" i="126"/>
  <c r="AI65" i="126"/>
  <c r="AF65" i="126"/>
  <c r="AB65" i="126"/>
  <c r="U65" i="126"/>
  <c r="R65" i="126"/>
  <c r="Q65" i="126"/>
  <c r="K65" i="126"/>
  <c r="J65" i="126"/>
  <c r="I65" i="126"/>
  <c r="H65" i="126"/>
  <c r="G65" i="126"/>
  <c r="C65" i="126"/>
  <c r="AM64" i="126"/>
  <c r="AL64" i="126"/>
  <c r="AI64" i="126"/>
  <c r="AF64" i="126"/>
  <c r="AB64" i="126"/>
  <c r="U64" i="126"/>
  <c r="R64" i="126"/>
  <c r="Q64" i="126"/>
  <c r="K64" i="126"/>
  <c r="J64" i="126"/>
  <c r="I64" i="126"/>
  <c r="H64" i="126"/>
  <c r="G64" i="126"/>
  <c r="C64" i="126"/>
  <c r="AM63" i="126"/>
  <c r="AL63" i="126"/>
  <c r="AI63" i="126"/>
  <c r="AF63" i="126"/>
  <c r="AB63" i="126"/>
  <c r="U63" i="126"/>
  <c r="R63" i="126"/>
  <c r="Q63" i="126"/>
  <c r="K63" i="126"/>
  <c r="J63" i="126"/>
  <c r="I63" i="126"/>
  <c r="H63" i="126"/>
  <c r="G63" i="126"/>
  <c r="C63" i="126"/>
  <c r="AM62" i="126"/>
  <c r="AL62" i="126"/>
  <c r="AI62" i="126"/>
  <c r="AF62" i="126"/>
  <c r="AB62" i="126"/>
  <c r="U62" i="126"/>
  <c r="R62" i="126"/>
  <c r="Q62" i="126"/>
  <c r="K62" i="126"/>
  <c r="J62" i="126"/>
  <c r="I62" i="126"/>
  <c r="H62" i="126"/>
  <c r="G62" i="126"/>
  <c r="C62" i="126"/>
  <c r="AM61" i="126"/>
  <c r="AL61" i="126"/>
  <c r="AI61" i="126"/>
  <c r="AF61" i="126"/>
  <c r="AB61" i="126"/>
  <c r="U61" i="126"/>
  <c r="R61" i="126"/>
  <c r="Q61" i="126"/>
  <c r="K61" i="126"/>
  <c r="J61" i="126"/>
  <c r="I61" i="126"/>
  <c r="H61" i="126"/>
  <c r="G61" i="126"/>
  <c r="C61" i="126"/>
  <c r="AM60" i="126"/>
  <c r="AL60" i="126"/>
  <c r="AI60" i="126"/>
  <c r="AF60" i="126"/>
  <c r="AB60" i="126"/>
  <c r="U60" i="126"/>
  <c r="R60" i="126"/>
  <c r="Q60" i="126"/>
  <c r="K60" i="126"/>
  <c r="J60" i="126"/>
  <c r="I60" i="126"/>
  <c r="H60" i="126"/>
  <c r="G60" i="126"/>
  <c r="C60" i="126"/>
  <c r="AM59" i="126"/>
  <c r="AL59" i="126"/>
  <c r="AI59" i="126"/>
  <c r="AF59" i="126"/>
  <c r="AB59" i="126"/>
  <c r="U59" i="126"/>
  <c r="R59" i="126"/>
  <c r="Q59" i="126"/>
  <c r="K59" i="126"/>
  <c r="J59" i="126"/>
  <c r="I59" i="126"/>
  <c r="H59" i="126"/>
  <c r="G59" i="126"/>
  <c r="C59" i="126"/>
  <c r="AO58" i="126"/>
  <c r="AM58" i="126"/>
  <c r="AL58" i="126"/>
  <c r="AK58" i="126"/>
  <c r="AJ58" i="126"/>
  <c r="AI58" i="126"/>
  <c r="AH58" i="126"/>
  <c r="AG58" i="126"/>
  <c r="AF58" i="126"/>
  <c r="AE58" i="126"/>
  <c r="AD58" i="126"/>
  <c r="AC58" i="126"/>
  <c r="AB58" i="126"/>
  <c r="AA58" i="126"/>
  <c r="Z58" i="126"/>
  <c r="Y58" i="126"/>
  <c r="X58" i="126"/>
  <c r="W58" i="126"/>
  <c r="V58" i="126"/>
  <c r="U58" i="126"/>
  <c r="T58" i="126"/>
  <c r="S58" i="126"/>
  <c r="R58" i="126"/>
  <c r="Q58" i="126"/>
  <c r="P58" i="126"/>
  <c r="O58" i="126"/>
  <c r="N58" i="126"/>
  <c r="M58" i="126"/>
  <c r="L58" i="126"/>
  <c r="K58" i="126"/>
  <c r="J58" i="126"/>
  <c r="I58" i="126"/>
  <c r="H58" i="126"/>
  <c r="G58" i="126"/>
  <c r="F58" i="126"/>
  <c r="E58" i="126"/>
  <c r="D58" i="126"/>
  <c r="C58" i="126"/>
  <c r="AM57" i="126"/>
  <c r="AL57" i="126"/>
  <c r="AI57" i="126"/>
  <c r="AF57" i="126"/>
  <c r="AB57" i="126"/>
  <c r="U57" i="126"/>
  <c r="R57" i="126"/>
  <c r="Q57" i="126"/>
  <c r="K57" i="126"/>
  <c r="J57" i="126"/>
  <c r="I57" i="126"/>
  <c r="H57" i="126"/>
  <c r="G57" i="126"/>
  <c r="C57" i="126"/>
  <c r="AM56" i="126"/>
  <c r="AL56" i="126"/>
  <c r="AI56" i="126"/>
  <c r="AF56" i="126"/>
  <c r="AB56" i="126"/>
  <c r="U56" i="126"/>
  <c r="R56" i="126"/>
  <c r="Q56" i="126"/>
  <c r="K56" i="126"/>
  <c r="J56" i="126"/>
  <c r="I56" i="126"/>
  <c r="H56" i="126"/>
  <c r="G56" i="126"/>
  <c r="C56" i="126"/>
  <c r="AM55" i="126"/>
  <c r="AL55" i="126"/>
  <c r="AI55" i="126"/>
  <c r="AF55" i="126"/>
  <c r="AB55" i="126"/>
  <c r="U55" i="126"/>
  <c r="R55" i="126"/>
  <c r="Q55" i="126"/>
  <c r="K55" i="126"/>
  <c r="J55" i="126"/>
  <c r="I55" i="126"/>
  <c r="H55" i="126"/>
  <c r="G55" i="126"/>
  <c r="C55" i="126"/>
  <c r="AM54" i="126"/>
  <c r="AL54" i="126"/>
  <c r="AI54" i="126"/>
  <c r="AF54" i="126"/>
  <c r="AB54" i="126"/>
  <c r="U54" i="126"/>
  <c r="R54" i="126"/>
  <c r="Q54" i="126"/>
  <c r="K54" i="126"/>
  <c r="J54" i="126"/>
  <c r="I54" i="126"/>
  <c r="H54" i="126"/>
  <c r="G54" i="126"/>
  <c r="C54" i="126"/>
  <c r="AM53" i="126"/>
  <c r="AL53" i="126"/>
  <c r="AI53" i="126"/>
  <c r="AF53" i="126"/>
  <c r="AB53" i="126"/>
  <c r="U53" i="126"/>
  <c r="R53" i="126"/>
  <c r="Q53" i="126"/>
  <c r="K53" i="126"/>
  <c r="J53" i="126"/>
  <c r="I53" i="126"/>
  <c r="H53" i="126"/>
  <c r="G53" i="126"/>
  <c r="C53" i="126"/>
  <c r="AM52" i="126"/>
  <c r="AL52" i="126"/>
  <c r="AI52" i="126"/>
  <c r="AF52" i="126"/>
  <c r="AB52" i="126"/>
  <c r="U52" i="126"/>
  <c r="R52" i="126"/>
  <c r="Q52" i="126"/>
  <c r="K52" i="126"/>
  <c r="J52" i="126"/>
  <c r="I52" i="126"/>
  <c r="H52" i="126"/>
  <c r="G52" i="126"/>
  <c r="C52" i="126"/>
  <c r="AM51" i="126"/>
  <c r="AL51" i="126"/>
  <c r="AI51" i="126"/>
  <c r="AF51" i="126"/>
  <c r="AB51" i="126"/>
  <c r="U51" i="126"/>
  <c r="R51" i="126"/>
  <c r="Q51" i="126"/>
  <c r="K51" i="126"/>
  <c r="J51" i="126"/>
  <c r="I51" i="126"/>
  <c r="H51" i="126"/>
  <c r="G51" i="126"/>
  <c r="C51" i="126"/>
  <c r="AM50" i="126"/>
  <c r="AL50" i="126"/>
  <c r="AI50" i="126"/>
  <c r="AF50" i="126"/>
  <c r="AB50" i="126"/>
  <c r="U50" i="126"/>
  <c r="R50" i="126"/>
  <c r="Q50" i="126"/>
  <c r="K50" i="126"/>
  <c r="J50" i="126"/>
  <c r="I50" i="126"/>
  <c r="H50" i="126"/>
  <c r="G50" i="126"/>
  <c r="C50" i="126"/>
  <c r="AM49" i="126"/>
  <c r="AL49" i="126"/>
  <c r="AI49" i="126"/>
  <c r="AF49" i="126"/>
  <c r="AB49" i="126"/>
  <c r="U49" i="126"/>
  <c r="R49" i="126"/>
  <c r="Q49" i="126"/>
  <c r="K49" i="126"/>
  <c r="J49" i="126"/>
  <c r="I49" i="126"/>
  <c r="H49" i="126"/>
  <c r="G49" i="126"/>
  <c r="C49" i="126"/>
  <c r="AM48" i="126"/>
  <c r="AL48" i="126"/>
  <c r="AI48" i="126"/>
  <c r="AF48" i="126"/>
  <c r="AB48" i="126"/>
  <c r="U48" i="126"/>
  <c r="R48" i="126"/>
  <c r="Q48" i="126"/>
  <c r="K48" i="126"/>
  <c r="J48" i="126"/>
  <c r="I48" i="126"/>
  <c r="H48" i="126"/>
  <c r="G48" i="126"/>
  <c r="C48" i="126"/>
  <c r="AM47" i="126"/>
  <c r="AL47" i="126"/>
  <c r="AI47" i="126"/>
  <c r="AF47" i="126"/>
  <c r="AB47" i="126"/>
  <c r="U47" i="126"/>
  <c r="S47" i="126"/>
  <c r="R47" i="126"/>
  <c r="Q47" i="126"/>
  <c r="K47" i="126"/>
  <c r="J47" i="126"/>
  <c r="I47" i="126"/>
  <c r="H47" i="126"/>
  <c r="G47" i="126"/>
  <c r="C47" i="126"/>
  <c r="AM46" i="126"/>
  <c r="AL46" i="126"/>
  <c r="AI46" i="126"/>
  <c r="AF46" i="126"/>
  <c r="AB46" i="126"/>
  <c r="U46" i="126"/>
  <c r="R46" i="126"/>
  <c r="Q46" i="126"/>
  <c r="K46" i="126"/>
  <c r="J46" i="126"/>
  <c r="I46" i="126"/>
  <c r="H46" i="126"/>
  <c r="G46" i="126"/>
  <c r="C46" i="126"/>
  <c r="AM45" i="126"/>
  <c r="AL45" i="126"/>
  <c r="AI45" i="126"/>
  <c r="AF45" i="126"/>
  <c r="AB45" i="126"/>
  <c r="U45" i="126"/>
  <c r="S45" i="126"/>
  <c r="R45" i="126"/>
  <c r="Q45" i="126"/>
  <c r="K45" i="126"/>
  <c r="J45" i="126"/>
  <c r="I45" i="126"/>
  <c r="H45" i="126"/>
  <c r="G45" i="126"/>
  <c r="D45" i="126"/>
  <c r="C45" i="126"/>
  <c r="AM44" i="126"/>
  <c r="AL44" i="126"/>
  <c r="AI44" i="126"/>
  <c r="AF44" i="126"/>
  <c r="AB44" i="126"/>
  <c r="U44" i="126"/>
  <c r="S44" i="126"/>
  <c r="R44" i="126"/>
  <c r="Q44" i="126"/>
  <c r="K44" i="126"/>
  <c r="J44" i="126"/>
  <c r="I44" i="126"/>
  <c r="H44" i="126"/>
  <c r="G44" i="126"/>
  <c r="D44" i="126"/>
  <c r="C44" i="126"/>
  <c r="AM43" i="126"/>
  <c r="AL43" i="126"/>
  <c r="AI43" i="126"/>
  <c r="AF43" i="126"/>
  <c r="AB43" i="126"/>
  <c r="U43" i="126"/>
  <c r="S43" i="126"/>
  <c r="R43" i="126"/>
  <c r="Q43" i="126"/>
  <c r="K43" i="126"/>
  <c r="J43" i="126"/>
  <c r="I43" i="126"/>
  <c r="H43" i="126"/>
  <c r="G43" i="126"/>
  <c r="D43" i="126"/>
  <c r="C43" i="126"/>
  <c r="AM42" i="126"/>
  <c r="AL42" i="126"/>
  <c r="AI42" i="126"/>
  <c r="AF42" i="126"/>
  <c r="AB42" i="126"/>
  <c r="U42" i="126"/>
  <c r="R42" i="126"/>
  <c r="Q42" i="126"/>
  <c r="K42" i="126"/>
  <c r="J42" i="126"/>
  <c r="I42" i="126"/>
  <c r="H42" i="126"/>
  <c r="G42" i="126"/>
  <c r="C42" i="126"/>
  <c r="AM41" i="126"/>
  <c r="AL41" i="126"/>
  <c r="AI41" i="126"/>
  <c r="AF41" i="126"/>
  <c r="AB41" i="126"/>
  <c r="U41" i="126"/>
  <c r="S41" i="126"/>
  <c r="R41" i="126"/>
  <c r="Q41" i="126"/>
  <c r="K41" i="126"/>
  <c r="J41" i="126"/>
  <c r="I41" i="126"/>
  <c r="H41" i="126"/>
  <c r="G41" i="126"/>
  <c r="D41" i="126"/>
  <c r="C41" i="126"/>
  <c r="AM40" i="126"/>
  <c r="AL40" i="126"/>
  <c r="AI40" i="126"/>
  <c r="AF40" i="126"/>
  <c r="AB40" i="126"/>
  <c r="U40" i="126"/>
  <c r="S40" i="126"/>
  <c r="R40" i="126"/>
  <c r="Q40" i="126"/>
  <c r="K40" i="126"/>
  <c r="J40" i="126"/>
  <c r="I40" i="126"/>
  <c r="H40" i="126"/>
  <c r="G40" i="126"/>
  <c r="D40" i="126"/>
  <c r="C40" i="126"/>
  <c r="AM39" i="126"/>
  <c r="AL39" i="126"/>
  <c r="AI39" i="126"/>
  <c r="AF39" i="126"/>
  <c r="AB39" i="126"/>
  <c r="U39" i="126"/>
  <c r="S39" i="126"/>
  <c r="R39" i="126"/>
  <c r="Q39" i="126"/>
  <c r="K39" i="126"/>
  <c r="J39" i="126"/>
  <c r="I39" i="126"/>
  <c r="H39" i="126"/>
  <c r="G39" i="126"/>
  <c r="D39" i="126"/>
  <c r="C39" i="126"/>
  <c r="AM38" i="126"/>
  <c r="AL38" i="126"/>
  <c r="AI38" i="126"/>
  <c r="AF38" i="126"/>
  <c r="AB38" i="126"/>
  <c r="U38" i="126"/>
  <c r="S38" i="126"/>
  <c r="R38" i="126"/>
  <c r="Q38" i="126"/>
  <c r="K38" i="126"/>
  <c r="J38" i="126"/>
  <c r="I38" i="126"/>
  <c r="H38" i="126"/>
  <c r="G38" i="126"/>
  <c r="D38" i="126"/>
  <c r="C38" i="126"/>
  <c r="AM37" i="126"/>
  <c r="AL37" i="126"/>
  <c r="AI37" i="126"/>
  <c r="AF37" i="126"/>
  <c r="AB37" i="126"/>
  <c r="U37" i="126"/>
  <c r="R37" i="126"/>
  <c r="Q37" i="126"/>
  <c r="K37" i="126"/>
  <c r="J37" i="126"/>
  <c r="I37" i="126"/>
  <c r="H37" i="126"/>
  <c r="G37" i="126"/>
  <c r="C37" i="126"/>
  <c r="AM36" i="126"/>
  <c r="AL36" i="126"/>
  <c r="AI36" i="126"/>
  <c r="AF36" i="126"/>
  <c r="AB36" i="126"/>
  <c r="U36" i="126"/>
  <c r="R36" i="126"/>
  <c r="Q36" i="126"/>
  <c r="K36" i="126"/>
  <c r="J36" i="126"/>
  <c r="I36" i="126"/>
  <c r="H36" i="126"/>
  <c r="G36" i="126"/>
  <c r="C36" i="126"/>
  <c r="AM35" i="126"/>
  <c r="AL35" i="126"/>
  <c r="AI35" i="126"/>
  <c r="AF35" i="126"/>
  <c r="AB35" i="126"/>
  <c r="U35" i="126"/>
  <c r="R35" i="126"/>
  <c r="Q35" i="126"/>
  <c r="K35" i="126"/>
  <c r="J35" i="126"/>
  <c r="I35" i="126"/>
  <c r="H35" i="126"/>
  <c r="G35" i="126"/>
  <c r="C35" i="126"/>
  <c r="AM34" i="126"/>
  <c r="AL34" i="126"/>
  <c r="AI34" i="126"/>
  <c r="AF34" i="126"/>
  <c r="AB34" i="126"/>
  <c r="U34" i="126"/>
  <c r="R34" i="126"/>
  <c r="Q34" i="126"/>
  <c r="K34" i="126"/>
  <c r="J34" i="126"/>
  <c r="I34" i="126"/>
  <c r="H34" i="126"/>
  <c r="G34" i="126"/>
  <c r="C34" i="126"/>
  <c r="AM33" i="126"/>
  <c r="AL33" i="126"/>
  <c r="AI33" i="126"/>
  <c r="AF33" i="126"/>
  <c r="AB33" i="126"/>
  <c r="U33" i="126"/>
  <c r="R33" i="126"/>
  <c r="Q33" i="126"/>
  <c r="K33" i="126"/>
  <c r="J33" i="126"/>
  <c r="I33" i="126"/>
  <c r="H33" i="126"/>
  <c r="G33" i="126"/>
  <c r="C33" i="126"/>
  <c r="AM32" i="126"/>
  <c r="AL32" i="126"/>
  <c r="AI32" i="126"/>
  <c r="AF32" i="126"/>
  <c r="AB32" i="126"/>
  <c r="U32" i="126"/>
  <c r="R32" i="126"/>
  <c r="Q32" i="126"/>
  <c r="K32" i="126"/>
  <c r="J32" i="126"/>
  <c r="I32" i="126"/>
  <c r="H32" i="126"/>
  <c r="G32" i="126"/>
  <c r="C32" i="126"/>
  <c r="AM31" i="126"/>
  <c r="AL31" i="126"/>
  <c r="AI31" i="126"/>
  <c r="AF31" i="126"/>
  <c r="AB31" i="126"/>
  <c r="U31" i="126"/>
  <c r="R31" i="126"/>
  <c r="Q31" i="126"/>
  <c r="K31" i="126"/>
  <c r="J31" i="126"/>
  <c r="I31" i="126"/>
  <c r="H31" i="126"/>
  <c r="G31" i="126"/>
  <c r="C31" i="126"/>
  <c r="AM30" i="126"/>
  <c r="AL30" i="126"/>
  <c r="AI30" i="126"/>
  <c r="AF30" i="126"/>
  <c r="AB30" i="126"/>
  <c r="U30" i="126"/>
  <c r="S30" i="126"/>
  <c r="R30" i="126"/>
  <c r="Q30" i="126"/>
  <c r="K30" i="126"/>
  <c r="J30" i="126"/>
  <c r="I30" i="126"/>
  <c r="H30" i="126"/>
  <c r="G30" i="126"/>
  <c r="D30" i="126"/>
  <c r="C30" i="126"/>
  <c r="AM29" i="126"/>
  <c r="AL29" i="126"/>
  <c r="AI29" i="126"/>
  <c r="AF29" i="126"/>
  <c r="AB29" i="126"/>
  <c r="U29" i="126"/>
  <c r="S29" i="126"/>
  <c r="R29" i="126"/>
  <c r="Q29" i="126"/>
  <c r="K29" i="126"/>
  <c r="J29" i="126"/>
  <c r="I29" i="126"/>
  <c r="H29" i="126"/>
  <c r="G29" i="126"/>
  <c r="D29" i="126"/>
  <c r="C29" i="126"/>
  <c r="AM28" i="126"/>
  <c r="AL28" i="126"/>
  <c r="AI28" i="126"/>
  <c r="AF28" i="126"/>
  <c r="AB28" i="126"/>
  <c r="U28" i="126"/>
  <c r="R28" i="126"/>
  <c r="Q28" i="126"/>
  <c r="K28" i="126"/>
  <c r="J28" i="126"/>
  <c r="I28" i="126"/>
  <c r="H28" i="126"/>
  <c r="G28" i="126"/>
  <c r="C28" i="126"/>
  <c r="AM27" i="126"/>
  <c r="AL27" i="126"/>
  <c r="AI27" i="126"/>
  <c r="AF27" i="126"/>
  <c r="AB27" i="126"/>
  <c r="U27" i="126"/>
  <c r="R27" i="126"/>
  <c r="Q27" i="126"/>
  <c r="K27" i="126"/>
  <c r="J27" i="126"/>
  <c r="I27" i="126"/>
  <c r="H27" i="126"/>
  <c r="G27" i="126"/>
  <c r="C27" i="126"/>
  <c r="AM26" i="126"/>
  <c r="AL26" i="126"/>
  <c r="AI26" i="126"/>
  <c r="AF26" i="126"/>
  <c r="AB26" i="126"/>
  <c r="U26" i="126"/>
  <c r="S26" i="126"/>
  <c r="R26" i="126"/>
  <c r="Q26" i="126"/>
  <c r="K26" i="126"/>
  <c r="J26" i="126"/>
  <c r="I26" i="126"/>
  <c r="H26" i="126"/>
  <c r="G26" i="126"/>
  <c r="D26" i="126"/>
  <c r="C26" i="126"/>
  <c r="AO25" i="126"/>
  <c r="AM25" i="126"/>
  <c r="AL25" i="126"/>
  <c r="AK25" i="126"/>
  <c r="AJ25" i="126"/>
  <c r="AI25" i="126"/>
  <c r="AH25" i="126"/>
  <c r="AG25" i="126"/>
  <c r="AF25" i="126"/>
  <c r="AE25" i="126"/>
  <c r="AD25" i="126"/>
  <c r="AC25" i="126"/>
  <c r="AB25" i="126"/>
  <c r="AA25" i="126"/>
  <c r="Z25" i="126"/>
  <c r="Y25" i="126"/>
  <c r="X25" i="126"/>
  <c r="W25" i="126"/>
  <c r="V25" i="126"/>
  <c r="U25" i="126"/>
  <c r="T25" i="126"/>
  <c r="S25" i="126"/>
  <c r="R25" i="126"/>
  <c r="Q25" i="126"/>
  <c r="P25" i="126"/>
  <c r="O25" i="126"/>
  <c r="N25" i="126"/>
  <c r="M25" i="126"/>
  <c r="L25" i="126"/>
  <c r="K25" i="126"/>
  <c r="J25" i="126"/>
  <c r="I25" i="126"/>
  <c r="H25" i="126"/>
  <c r="G25" i="126"/>
  <c r="F25" i="126"/>
  <c r="E25" i="126"/>
  <c r="D25" i="126"/>
  <c r="C25" i="126"/>
  <c r="R24" i="126"/>
  <c r="Q24" i="126"/>
  <c r="I24" i="126"/>
  <c r="H24" i="126"/>
  <c r="G24" i="126"/>
  <c r="AN23" i="126"/>
  <c r="AL23" i="126"/>
  <c r="AI23" i="126"/>
  <c r="AF23" i="126"/>
  <c r="AB23" i="126"/>
  <c r="V23" i="126"/>
  <c r="U23" i="126"/>
  <c r="S23" i="126"/>
  <c r="R23" i="126"/>
  <c r="Q23" i="126"/>
  <c r="K23" i="126"/>
  <c r="J23" i="126"/>
  <c r="I23" i="126"/>
  <c r="H23" i="126"/>
  <c r="G23" i="126"/>
  <c r="C23" i="126"/>
  <c r="AO22" i="126"/>
  <c r="AN22" i="126"/>
  <c r="AL22" i="126"/>
  <c r="AK22" i="126"/>
  <c r="AJ22" i="126"/>
  <c r="AI22" i="126"/>
  <c r="AH22" i="126"/>
  <c r="AG22" i="126"/>
  <c r="AF22" i="126"/>
  <c r="AE22" i="126"/>
  <c r="AD22" i="126"/>
  <c r="AC22" i="126"/>
  <c r="AB22" i="126"/>
  <c r="AA22" i="126"/>
  <c r="Z22" i="126"/>
  <c r="Y22" i="126"/>
  <c r="X22" i="126"/>
  <c r="W22" i="126"/>
  <c r="V22" i="126"/>
  <c r="U22" i="126"/>
  <c r="T22" i="126"/>
  <c r="S22" i="126"/>
  <c r="R22" i="126"/>
  <c r="Q22" i="126"/>
  <c r="P22" i="126"/>
  <c r="O22" i="126"/>
  <c r="N22" i="126"/>
  <c r="M22" i="126"/>
  <c r="L22" i="126"/>
  <c r="K22" i="126"/>
  <c r="J22" i="126"/>
  <c r="I22" i="126"/>
  <c r="H22" i="126"/>
  <c r="G22" i="126"/>
  <c r="F22" i="126"/>
  <c r="E22" i="126"/>
  <c r="D22" i="126"/>
  <c r="C22" i="126"/>
  <c r="AO21" i="126"/>
  <c r="AN21" i="126"/>
  <c r="AM21" i="126"/>
  <c r="AL21" i="126"/>
  <c r="AK21" i="126"/>
  <c r="AJ21" i="126"/>
  <c r="AI21" i="126"/>
  <c r="AH21" i="126"/>
  <c r="AG21" i="126"/>
  <c r="AF21" i="126"/>
  <c r="AE21" i="126"/>
  <c r="AD21" i="126"/>
  <c r="AC21" i="126"/>
  <c r="AB21" i="126"/>
  <c r="AA21" i="126"/>
  <c r="Z21" i="126"/>
  <c r="Y21" i="126"/>
  <c r="X21" i="126"/>
  <c r="W21" i="126"/>
  <c r="V21" i="126"/>
  <c r="U21" i="126"/>
  <c r="T21" i="126"/>
  <c r="S21" i="126"/>
  <c r="R21" i="126"/>
  <c r="Q21" i="126"/>
  <c r="P21" i="126"/>
  <c r="O21" i="126"/>
  <c r="N21" i="126"/>
  <c r="M21" i="126"/>
  <c r="L21" i="126"/>
  <c r="K21" i="126"/>
  <c r="J21" i="126"/>
  <c r="I21" i="126"/>
  <c r="H21" i="126"/>
  <c r="G21" i="126"/>
  <c r="F21" i="126"/>
  <c r="E21" i="126"/>
  <c r="D21" i="126"/>
  <c r="C21" i="126"/>
  <c r="AN20" i="126"/>
  <c r="AL20" i="126"/>
  <c r="AI20" i="126"/>
  <c r="AF20" i="126"/>
  <c r="AB20" i="126"/>
  <c r="U20" i="126"/>
  <c r="R20" i="126"/>
  <c r="Q20" i="126"/>
  <c r="N20" i="126"/>
  <c r="K20" i="126"/>
  <c r="J20" i="126"/>
  <c r="I20" i="126"/>
  <c r="H20" i="126"/>
  <c r="G20" i="126"/>
  <c r="C20" i="126"/>
  <c r="AN19" i="126"/>
  <c r="AL19" i="126"/>
  <c r="AI19" i="126"/>
  <c r="AF19" i="126"/>
  <c r="AB19" i="126"/>
  <c r="U19" i="126"/>
  <c r="R19" i="126"/>
  <c r="Q19" i="126"/>
  <c r="N19" i="126"/>
  <c r="K19" i="126"/>
  <c r="J19" i="126"/>
  <c r="I19" i="126"/>
  <c r="H19" i="126"/>
  <c r="G19" i="126"/>
  <c r="C19" i="126"/>
  <c r="AN18" i="126"/>
  <c r="AL18" i="126"/>
  <c r="AI18" i="126"/>
  <c r="AF18" i="126"/>
  <c r="AB18" i="126"/>
  <c r="U18" i="126"/>
  <c r="R18" i="126"/>
  <c r="Q18" i="126"/>
  <c r="K18" i="126"/>
  <c r="J18" i="126"/>
  <c r="I18" i="126"/>
  <c r="H18" i="126"/>
  <c r="G18" i="126"/>
  <c r="C18" i="126"/>
  <c r="AN17" i="126"/>
  <c r="AL17" i="126"/>
  <c r="AI17" i="126"/>
  <c r="AF17" i="126"/>
  <c r="AB17" i="126"/>
  <c r="U17" i="126"/>
  <c r="R17" i="126"/>
  <c r="Q17" i="126"/>
  <c r="K17" i="126"/>
  <c r="J17" i="126"/>
  <c r="I17" i="126"/>
  <c r="H17" i="126"/>
  <c r="G17" i="126"/>
  <c r="C17" i="126"/>
  <c r="AN16" i="126"/>
  <c r="AL16" i="126"/>
  <c r="AI16" i="126"/>
  <c r="AF16" i="126"/>
  <c r="AB16" i="126"/>
  <c r="U16" i="126"/>
  <c r="R16" i="126"/>
  <c r="Q16" i="126"/>
  <c r="K16" i="126"/>
  <c r="J16" i="126"/>
  <c r="I16" i="126"/>
  <c r="H16" i="126"/>
  <c r="G16" i="126"/>
  <c r="C16" i="126"/>
  <c r="AO15" i="126"/>
  <c r="AN15" i="126"/>
  <c r="AL15" i="126"/>
  <c r="AK15" i="126"/>
  <c r="AJ15" i="126"/>
  <c r="AI15" i="126"/>
  <c r="AH15" i="126"/>
  <c r="AG15" i="126"/>
  <c r="AF15" i="126"/>
  <c r="AE15" i="126"/>
  <c r="AD15" i="126"/>
  <c r="AC15" i="126"/>
  <c r="AB15" i="126"/>
  <c r="AA15" i="126"/>
  <c r="Z15" i="126"/>
  <c r="Y15" i="126"/>
  <c r="X15" i="126"/>
  <c r="W15" i="126"/>
  <c r="V15" i="126"/>
  <c r="U15" i="126"/>
  <c r="T15" i="126"/>
  <c r="S15" i="126"/>
  <c r="R15" i="126"/>
  <c r="Q15" i="126"/>
  <c r="P15" i="126"/>
  <c r="O15" i="126"/>
  <c r="N15" i="126"/>
  <c r="M15" i="126"/>
  <c r="L15" i="126"/>
  <c r="K15" i="126"/>
  <c r="J15" i="126"/>
  <c r="I15" i="126"/>
  <c r="H15" i="126"/>
  <c r="G15" i="126"/>
  <c r="F15" i="126"/>
  <c r="E15" i="126"/>
  <c r="D15" i="126"/>
  <c r="C15" i="126"/>
  <c r="AN14" i="126"/>
  <c r="AL14" i="126"/>
  <c r="AI14" i="126"/>
  <c r="AF14" i="126"/>
  <c r="AB14" i="126"/>
  <c r="U14" i="126"/>
  <c r="R14" i="126"/>
  <c r="Q14" i="126"/>
  <c r="K14" i="126"/>
  <c r="J14" i="126"/>
  <c r="I14" i="126"/>
  <c r="H14" i="126"/>
  <c r="G14" i="126"/>
  <c r="C14" i="126"/>
  <c r="AO13" i="126"/>
  <c r="AN13" i="126"/>
  <c r="AL13" i="126"/>
  <c r="AK13" i="126"/>
  <c r="AJ13" i="126"/>
  <c r="AI13" i="126"/>
  <c r="AH13" i="126"/>
  <c r="AG13" i="126"/>
  <c r="AF13" i="126"/>
  <c r="AE13" i="126"/>
  <c r="AD13" i="126"/>
  <c r="AC13" i="126"/>
  <c r="AB13" i="126"/>
  <c r="AA13" i="126"/>
  <c r="Z13" i="126"/>
  <c r="Y13" i="126"/>
  <c r="X13" i="126"/>
  <c r="W13" i="126"/>
  <c r="V13" i="126"/>
  <c r="U13" i="126"/>
  <c r="T13" i="126"/>
  <c r="S13" i="126"/>
  <c r="R13" i="126"/>
  <c r="Q13" i="126"/>
  <c r="P13" i="126"/>
  <c r="O13" i="126"/>
  <c r="N13" i="126"/>
  <c r="M13" i="126"/>
  <c r="L13" i="126"/>
  <c r="K13" i="126"/>
  <c r="J13" i="126"/>
  <c r="I13" i="126"/>
  <c r="H13" i="126"/>
  <c r="G13" i="126"/>
  <c r="F13" i="126"/>
  <c r="E13" i="126"/>
  <c r="D13" i="126"/>
  <c r="C13" i="126"/>
  <c r="AO12" i="126"/>
  <c r="AN12" i="126"/>
  <c r="AM12" i="126"/>
  <c r="AL12" i="126"/>
  <c r="AK12" i="126"/>
  <c r="AJ12" i="126"/>
  <c r="AI12" i="126"/>
  <c r="AH12" i="126"/>
  <c r="AG12" i="126"/>
  <c r="AF12" i="126"/>
  <c r="AE12" i="126"/>
  <c r="AD12" i="126"/>
  <c r="AC12" i="126"/>
  <c r="AB12" i="126"/>
  <c r="AA12" i="126"/>
  <c r="Z12" i="126"/>
  <c r="Y12" i="126"/>
  <c r="X12" i="126"/>
  <c r="W12" i="126"/>
  <c r="V12" i="126"/>
  <c r="U12" i="126"/>
  <c r="T12" i="126"/>
  <c r="S12" i="126"/>
  <c r="R12" i="126"/>
  <c r="Q12" i="126"/>
  <c r="P12" i="126"/>
  <c r="O12" i="126"/>
  <c r="N12" i="126"/>
  <c r="M12" i="126"/>
  <c r="L12" i="126"/>
  <c r="K12" i="126"/>
  <c r="J12" i="126"/>
  <c r="I12" i="126"/>
  <c r="H12" i="126"/>
  <c r="G12" i="126"/>
  <c r="F12" i="126"/>
  <c r="E12" i="126"/>
  <c r="D12" i="126"/>
  <c r="C12" i="126"/>
  <c r="AO11" i="126"/>
  <c r="AN11" i="126"/>
  <c r="AM11" i="126"/>
  <c r="AL11" i="126"/>
  <c r="AK11" i="126"/>
  <c r="AJ11" i="126"/>
  <c r="AI11" i="126"/>
  <c r="AH11" i="126"/>
  <c r="AG11" i="126"/>
  <c r="AF11" i="126"/>
  <c r="AE11" i="126"/>
  <c r="AD11" i="126"/>
  <c r="AC11" i="126"/>
  <c r="AB11" i="126"/>
  <c r="AA11" i="126"/>
  <c r="Z11" i="126"/>
  <c r="Y11" i="126"/>
  <c r="X11" i="126"/>
  <c r="W11" i="126"/>
  <c r="V11" i="126"/>
  <c r="U11" i="126"/>
  <c r="T11" i="126"/>
  <c r="S11" i="126"/>
  <c r="R11" i="126"/>
  <c r="Q11" i="126"/>
  <c r="P11" i="126"/>
  <c r="O11" i="126"/>
  <c r="N11" i="126"/>
  <c r="M11" i="126"/>
  <c r="L11" i="126"/>
  <c r="K11" i="126"/>
  <c r="J11" i="126"/>
  <c r="I11" i="126"/>
  <c r="H11" i="126"/>
  <c r="G11" i="126"/>
  <c r="F11" i="126"/>
  <c r="E11" i="126"/>
  <c r="D11" i="126"/>
  <c r="C11" i="126"/>
  <c r="AE231" i="127"/>
  <c r="H231" i="127"/>
  <c r="G231" i="127"/>
  <c r="C231" i="127"/>
  <c r="AL230" i="127"/>
  <c r="AI230" i="127"/>
  <c r="AE230" i="127"/>
  <c r="I230" i="127"/>
  <c r="H230" i="127"/>
  <c r="G230" i="127"/>
  <c r="C230" i="127"/>
  <c r="AL229" i="127"/>
  <c r="AI229" i="127"/>
  <c r="AE229" i="127"/>
  <c r="I229" i="127"/>
  <c r="H229" i="127"/>
  <c r="G229" i="127"/>
  <c r="C229" i="127"/>
  <c r="AK228" i="127"/>
  <c r="AJ228" i="127"/>
  <c r="AI228" i="127"/>
  <c r="AH228" i="127"/>
  <c r="AG228" i="127"/>
  <c r="AF228" i="127"/>
  <c r="AE228" i="127"/>
  <c r="AD228" i="127"/>
  <c r="AC228" i="127"/>
  <c r="AB228" i="127"/>
  <c r="AA228" i="127"/>
  <c r="Z228" i="127"/>
  <c r="Y228" i="127"/>
  <c r="X228" i="127"/>
  <c r="W228" i="127"/>
  <c r="V228" i="127"/>
  <c r="U228" i="127"/>
  <c r="T228" i="127"/>
  <c r="S228" i="127"/>
  <c r="R228" i="127"/>
  <c r="Q228" i="127"/>
  <c r="P228" i="127"/>
  <c r="O228" i="127"/>
  <c r="N228" i="127"/>
  <c r="M228" i="127"/>
  <c r="L228" i="127"/>
  <c r="K228" i="127"/>
  <c r="J228" i="127"/>
  <c r="I228" i="127"/>
  <c r="H228" i="127"/>
  <c r="G228" i="127"/>
  <c r="F228" i="127"/>
  <c r="E228" i="127"/>
  <c r="D228" i="127"/>
  <c r="C228" i="127"/>
  <c r="AN227" i="127"/>
  <c r="AL227" i="127"/>
  <c r="AI227" i="127"/>
  <c r="AF227" i="127"/>
  <c r="AE227" i="127"/>
  <c r="AB227" i="127"/>
  <c r="U227" i="127"/>
  <c r="R227" i="127"/>
  <c r="Q227" i="127"/>
  <c r="K227" i="127"/>
  <c r="J227" i="127"/>
  <c r="I227" i="127"/>
  <c r="H227" i="127"/>
  <c r="G227" i="127"/>
  <c r="C227" i="127"/>
  <c r="AN226" i="127"/>
  <c r="AL226" i="127"/>
  <c r="AI226" i="127"/>
  <c r="AF226" i="127"/>
  <c r="AE226" i="127"/>
  <c r="AB226" i="127"/>
  <c r="U226" i="127"/>
  <c r="R226" i="127"/>
  <c r="Q226" i="127"/>
  <c r="K226" i="127"/>
  <c r="J226" i="127"/>
  <c r="I226" i="127"/>
  <c r="H226" i="127"/>
  <c r="G226" i="127"/>
  <c r="C226" i="127"/>
  <c r="AN225" i="127"/>
  <c r="AL225" i="127"/>
  <c r="AI225" i="127"/>
  <c r="AF225" i="127"/>
  <c r="AE225" i="127"/>
  <c r="AB225" i="127"/>
  <c r="U225" i="127"/>
  <c r="R225" i="127"/>
  <c r="Q225" i="127"/>
  <c r="K225" i="127"/>
  <c r="J225" i="127"/>
  <c r="I225" i="127"/>
  <c r="H225" i="127"/>
  <c r="G225" i="127"/>
  <c r="C225" i="127"/>
  <c r="AN224" i="127"/>
  <c r="AL224" i="127"/>
  <c r="AI224" i="127"/>
  <c r="AF224" i="127"/>
  <c r="AE224" i="127"/>
  <c r="AB224" i="127"/>
  <c r="U224" i="127"/>
  <c r="R224" i="127"/>
  <c r="Q224" i="127"/>
  <c r="K224" i="127"/>
  <c r="J224" i="127"/>
  <c r="I224" i="127"/>
  <c r="H224" i="127"/>
  <c r="G224" i="127"/>
  <c r="C224" i="127"/>
  <c r="AK223" i="127"/>
  <c r="AJ223" i="127"/>
  <c r="AI223" i="127"/>
  <c r="AH223" i="127"/>
  <c r="AG223" i="127"/>
  <c r="AF223" i="127"/>
  <c r="AE223" i="127"/>
  <c r="AD223" i="127"/>
  <c r="AC223" i="127"/>
  <c r="AB223" i="127"/>
  <c r="AA223" i="127"/>
  <c r="Z223" i="127"/>
  <c r="Y223" i="127"/>
  <c r="X223" i="127"/>
  <c r="W223" i="127"/>
  <c r="V223" i="127"/>
  <c r="U223" i="127"/>
  <c r="T223" i="127"/>
  <c r="S223" i="127"/>
  <c r="R223" i="127"/>
  <c r="Q223" i="127"/>
  <c r="P223" i="127"/>
  <c r="O223" i="127"/>
  <c r="N223" i="127"/>
  <c r="M223" i="127"/>
  <c r="L223" i="127"/>
  <c r="K223" i="127"/>
  <c r="J223" i="127"/>
  <c r="I223" i="127"/>
  <c r="H223" i="127"/>
  <c r="G223" i="127"/>
  <c r="F223" i="127"/>
  <c r="E223" i="127"/>
  <c r="D223" i="127"/>
  <c r="C223" i="127"/>
  <c r="AN222" i="127"/>
  <c r="AL222" i="127"/>
  <c r="AK222" i="127"/>
  <c r="AJ222" i="127"/>
  <c r="AI222" i="127"/>
  <c r="AH222" i="127"/>
  <c r="AG222" i="127"/>
  <c r="AF222" i="127"/>
  <c r="AE222" i="127"/>
  <c r="AD222" i="127"/>
  <c r="AC222" i="127"/>
  <c r="AB222" i="127"/>
  <c r="AA222" i="127"/>
  <c r="Z222" i="127"/>
  <c r="Y222" i="127"/>
  <c r="X222" i="127"/>
  <c r="W222" i="127"/>
  <c r="V222" i="127"/>
  <c r="U222" i="127"/>
  <c r="T222" i="127"/>
  <c r="S222" i="127"/>
  <c r="R222" i="127"/>
  <c r="Q222" i="127"/>
  <c r="P222" i="127"/>
  <c r="O222" i="127"/>
  <c r="N222" i="127"/>
  <c r="M222" i="127"/>
  <c r="L222" i="127"/>
  <c r="K222" i="127"/>
  <c r="J222" i="127"/>
  <c r="I222" i="127"/>
  <c r="H222" i="127"/>
  <c r="G222" i="127"/>
  <c r="F222" i="127"/>
  <c r="E222" i="127"/>
  <c r="D222" i="127"/>
  <c r="C222" i="127"/>
  <c r="AN221" i="127"/>
  <c r="AL221" i="127"/>
  <c r="AI221" i="127"/>
  <c r="AF221" i="127"/>
  <c r="AB221" i="127"/>
  <c r="U221" i="127"/>
  <c r="R221" i="127"/>
  <c r="Q221" i="127"/>
  <c r="K221" i="127"/>
  <c r="J221" i="127"/>
  <c r="I221" i="127"/>
  <c r="H221" i="127"/>
  <c r="G221" i="127"/>
  <c r="C221" i="127"/>
  <c r="AN220" i="127"/>
  <c r="AL220" i="127"/>
  <c r="AI220" i="127"/>
  <c r="AF220" i="127"/>
  <c r="AB220" i="127"/>
  <c r="U220" i="127"/>
  <c r="R220" i="127"/>
  <c r="Q220" i="127"/>
  <c r="K220" i="127"/>
  <c r="J220" i="127"/>
  <c r="I220" i="127"/>
  <c r="H220" i="127"/>
  <c r="G220" i="127"/>
  <c r="C220" i="127"/>
  <c r="AN219" i="127"/>
  <c r="AL219" i="127"/>
  <c r="AI219" i="127"/>
  <c r="AF219" i="127"/>
  <c r="AB219" i="127"/>
  <c r="U219" i="127"/>
  <c r="R219" i="127"/>
  <c r="Q219" i="127"/>
  <c r="K219" i="127"/>
  <c r="J219" i="127"/>
  <c r="I219" i="127"/>
  <c r="H219" i="127"/>
  <c r="G219" i="127"/>
  <c r="C219" i="127"/>
  <c r="AN218" i="127"/>
  <c r="AL218" i="127"/>
  <c r="AI218" i="127"/>
  <c r="AF218" i="127"/>
  <c r="AB218" i="127"/>
  <c r="U218" i="127"/>
  <c r="R218" i="127"/>
  <c r="Q218" i="127"/>
  <c r="K218" i="127"/>
  <c r="J218" i="127"/>
  <c r="I218" i="127"/>
  <c r="H218" i="127"/>
  <c r="G218" i="127"/>
  <c r="C218" i="127"/>
  <c r="AN217" i="127"/>
  <c r="AL217" i="127"/>
  <c r="AI217" i="127"/>
  <c r="AF217" i="127"/>
  <c r="AB217" i="127"/>
  <c r="U217" i="127"/>
  <c r="R217" i="127"/>
  <c r="Q217" i="127"/>
  <c r="K217" i="127"/>
  <c r="J217" i="127"/>
  <c r="I217" i="127"/>
  <c r="H217" i="127"/>
  <c r="G217" i="127"/>
  <c r="C217" i="127"/>
  <c r="AN216" i="127"/>
  <c r="AL216" i="127"/>
  <c r="AI216" i="127"/>
  <c r="AF216" i="127"/>
  <c r="AB216" i="127"/>
  <c r="U216" i="127"/>
  <c r="R216" i="127"/>
  <c r="Q216" i="127"/>
  <c r="K216" i="127"/>
  <c r="J216" i="127"/>
  <c r="I216" i="127"/>
  <c r="H216" i="127"/>
  <c r="G216" i="127"/>
  <c r="C216" i="127"/>
  <c r="AN215" i="127"/>
  <c r="AL215" i="127"/>
  <c r="AI215" i="127"/>
  <c r="AF215" i="127"/>
  <c r="AB215" i="127"/>
  <c r="U215" i="127"/>
  <c r="R215" i="127"/>
  <c r="Q215" i="127"/>
  <c r="K215" i="127"/>
  <c r="J215" i="127"/>
  <c r="I215" i="127"/>
  <c r="H215" i="127"/>
  <c r="G215" i="127"/>
  <c r="E215" i="127"/>
  <c r="C215" i="127"/>
  <c r="AN214" i="127"/>
  <c r="AL214" i="127"/>
  <c r="AI214" i="127"/>
  <c r="AF214" i="127"/>
  <c r="AB214" i="127"/>
  <c r="U214" i="127"/>
  <c r="R214" i="127"/>
  <c r="Q214" i="127"/>
  <c r="K214" i="127"/>
  <c r="J214" i="127"/>
  <c r="I214" i="127"/>
  <c r="H214" i="127"/>
  <c r="G214" i="127"/>
  <c r="C214" i="127"/>
  <c r="AN213" i="127"/>
  <c r="AL213" i="127"/>
  <c r="AI213" i="127"/>
  <c r="AF213" i="127"/>
  <c r="AB213" i="127"/>
  <c r="U213" i="127"/>
  <c r="R213" i="127"/>
  <c r="Q213" i="127"/>
  <c r="K213" i="127"/>
  <c r="J213" i="127"/>
  <c r="I213" i="127"/>
  <c r="H213" i="127"/>
  <c r="G213" i="127"/>
  <c r="C213" i="127"/>
  <c r="AN212" i="127"/>
  <c r="AL212" i="127"/>
  <c r="AI212" i="127"/>
  <c r="AF212" i="127"/>
  <c r="AB212" i="127"/>
  <c r="U212" i="127"/>
  <c r="R212" i="127"/>
  <c r="Q212" i="127"/>
  <c r="K212" i="127"/>
  <c r="J212" i="127"/>
  <c r="I212" i="127"/>
  <c r="H212" i="127"/>
  <c r="G212" i="127"/>
  <c r="C212" i="127"/>
  <c r="AN211" i="127"/>
  <c r="AL211" i="127"/>
  <c r="AI211" i="127"/>
  <c r="AF211" i="127"/>
  <c r="AB211" i="127"/>
  <c r="U211" i="127"/>
  <c r="R211" i="127"/>
  <c r="Q211" i="127"/>
  <c r="K211" i="127"/>
  <c r="J211" i="127"/>
  <c r="I211" i="127"/>
  <c r="H211" i="127"/>
  <c r="G211" i="127"/>
  <c r="C211" i="127"/>
  <c r="AN210" i="127"/>
  <c r="AL210" i="127"/>
  <c r="AI210" i="127"/>
  <c r="AF210" i="127"/>
  <c r="AB210" i="127"/>
  <c r="U210" i="127"/>
  <c r="R210" i="127"/>
  <c r="Q210" i="127"/>
  <c r="K210" i="127"/>
  <c r="J210" i="127"/>
  <c r="I210" i="127"/>
  <c r="H210" i="127"/>
  <c r="G210" i="127"/>
  <c r="C210" i="127"/>
  <c r="AN209" i="127"/>
  <c r="AL209" i="127"/>
  <c r="AI209" i="127"/>
  <c r="AF209" i="127"/>
  <c r="AB209" i="127"/>
  <c r="U209" i="127"/>
  <c r="R209" i="127"/>
  <c r="Q209" i="127"/>
  <c r="K209" i="127"/>
  <c r="J209" i="127"/>
  <c r="I209" i="127"/>
  <c r="H209" i="127"/>
  <c r="G209" i="127"/>
  <c r="C209" i="127"/>
  <c r="AN208" i="127"/>
  <c r="AL208" i="127"/>
  <c r="AI208" i="127"/>
  <c r="AF208" i="127"/>
  <c r="AB208" i="127"/>
  <c r="U208" i="127"/>
  <c r="R208" i="127"/>
  <c r="Q208" i="127"/>
  <c r="K208" i="127"/>
  <c r="J208" i="127"/>
  <c r="I208" i="127"/>
  <c r="H208" i="127"/>
  <c r="G208" i="127"/>
  <c r="C208" i="127"/>
  <c r="AN207" i="127"/>
  <c r="AL207" i="127"/>
  <c r="AI207" i="127"/>
  <c r="AF207" i="127"/>
  <c r="AB207" i="127"/>
  <c r="U207" i="127"/>
  <c r="R207" i="127"/>
  <c r="Q207" i="127"/>
  <c r="K207" i="127"/>
  <c r="J207" i="127"/>
  <c r="I207" i="127"/>
  <c r="H207" i="127"/>
  <c r="G207" i="127"/>
  <c r="C207" i="127"/>
  <c r="AN206" i="127"/>
  <c r="AL206" i="127"/>
  <c r="AI206" i="127"/>
  <c r="AF206" i="127"/>
  <c r="AB206" i="127"/>
  <c r="U206" i="127"/>
  <c r="R206" i="127"/>
  <c r="Q206" i="127"/>
  <c r="K206" i="127"/>
  <c r="J206" i="127"/>
  <c r="I206" i="127"/>
  <c r="H206" i="127"/>
  <c r="G206" i="127"/>
  <c r="C206" i="127"/>
  <c r="AN205" i="127"/>
  <c r="AL205" i="127"/>
  <c r="AI205" i="127"/>
  <c r="AF205" i="127"/>
  <c r="AD205" i="127"/>
  <c r="AC205" i="127"/>
  <c r="AB205" i="127"/>
  <c r="AA205" i="127"/>
  <c r="Z205" i="127"/>
  <c r="Y205" i="127"/>
  <c r="X205" i="127"/>
  <c r="W205" i="127"/>
  <c r="V205" i="127"/>
  <c r="U205" i="127"/>
  <c r="T205" i="127"/>
  <c r="S205" i="127"/>
  <c r="R205" i="127"/>
  <c r="Q205" i="127"/>
  <c r="P205" i="127"/>
  <c r="O205" i="127"/>
  <c r="N205" i="127"/>
  <c r="M205" i="127"/>
  <c r="L205" i="127"/>
  <c r="K205" i="127"/>
  <c r="J205" i="127"/>
  <c r="I205" i="127"/>
  <c r="H205" i="127"/>
  <c r="G205" i="127"/>
  <c r="F205" i="127"/>
  <c r="E205" i="127"/>
  <c r="C205" i="127"/>
  <c r="AN204" i="127"/>
  <c r="AL204" i="127"/>
  <c r="U204" i="127"/>
  <c r="Q204" i="127"/>
  <c r="I204" i="127"/>
  <c r="G204" i="127"/>
  <c r="C204" i="127"/>
  <c r="AN203" i="127"/>
  <c r="AL203" i="127"/>
  <c r="AI203" i="127"/>
  <c r="AF203" i="127"/>
  <c r="AB203" i="127"/>
  <c r="U203" i="127"/>
  <c r="R203" i="127"/>
  <c r="Q203" i="127"/>
  <c r="K203" i="127"/>
  <c r="J203" i="127"/>
  <c r="I203" i="127"/>
  <c r="H203" i="127"/>
  <c r="G203" i="127"/>
  <c r="C203" i="127"/>
  <c r="AN202" i="127"/>
  <c r="AL202" i="127"/>
  <c r="AI202" i="127"/>
  <c r="AF202" i="127"/>
  <c r="AB202" i="127"/>
  <c r="U202" i="127"/>
  <c r="R202" i="127"/>
  <c r="Q202" i="127"/>
  <c r="K202" i="127"/>
  <c r="J202" i="127"/>
  <c r="I202" i="127"/>
  <c r="H202" i="127"/>
  <c r="G202" i="127"/>
  <c r="C202" i="127"/>
  <c r="AN201" i="127"/>
  <c r="AL201" i="127"/>
  <c r="AI201" i="127"/>
  <c r="AF201" i="127"/>
  <c r="AB201" i="127"/>
  <c r="U201" i="127"/>
  <c r="R201" i="127"/>
  <c r="Q201" i="127"/>
  <c r="K201" i="127"/>
  <c r="J201" i="127"/>
  <c r="I201" i="127"/>
  <c r="H201" i="127"/>
  <c r="G201" i="127"/>
  <c r="C201" i="127"/>
  <c r="AN200" i="127"/>
  <c r="AL200" i="127"/>
  <c r="AI200" i="127"/>
  <c r="AF200" i="127"/>
  <c r="AB200" i="127"/>
  <c r="U200" i="127"/>
  <c r="R200" i="127"/>
  <c r="Q200" i="127"/>
  <c r="K200" i="127"/>
  <c r="J200" i="127"/>
  <c r="I200" i="127"/>
  <c r="H200" i="127"/>
  <c r="G200" i="127"/>
  <c r="C200" i="127"/>
  <c r="AN199" i="127"/>
  <c r="AL199" i="127"/>
  <c r="AI199" i="127"/>
  <c r="AF199" i="127"/>
  <c r="AB199" i="127"/>
  <c r="U199" i="127"/>
  <c r="R199" i="127"/>
  <c r="Q199" i="127"/>
  <c r="K199" i="127"/>
  <c r="J199" i="127"/>
  <c r="I199" i="127"/>
  <c r="H199" i="127"/>
  <c r="G199" i="127"/>
  <c r="C199" i="127"/>
  <c r="AN198" i="127"/>
  <c r="AL198" i="127"/>
  <c r="AI198" i="127"/>
  <c r="AF198" i="127"/>
  <c r="AB198" i="127"/>
  <c r="U198" i="127"/>
  <c r="R198" i="127"/>
  <c r="Q198" i="127"/>
  <c r="K198" i="127"/>
  <c r="J198" i="127"/>
  <c r="I198" i="127"/>
  <c r="H198" i="127"/>
  <c r="G198" i="127"/>
  <c r="C198" i="127"/>
  <c r="AN197" i="127"/>
  <c r="AL197" i="127"/>
  <c r="AI197" i="127"/>
  <c r="AF197" i="127"/>
  <c r="AB197" i="127"/>
  <c r="U197" i="127"/>
  <c r="R197" i="127"/>
  <c r="Q197" i="127"/>
  <c r="K197" i="127"/>
  <c r="J197" i="127"/>
  <c r="I197" i="127"/>
  <c r="H197" i="127"/>
  <c r="G197" i="127"/>
  <c r="C197" i="127"/>
  <c r="AN196" i="127"/>
  <c r="AL196" i="127"/>
  <c r="AI196" i="127"/>
  <c r="AF196" i="127"/>
  <c r="AB196" i="127"/>
  <c r="U196" i="127"/>
  <c r="R196" i="127"/>
  <c r="Q196" i="127"/>
  <c r="K196" i="127"/>
  <c r="J196" i="127"/>
  <c r="I196" i="127"/>
  <c r="H196" i="127"/>
  <c r="G196" i="127"/>
  <c r="C196" i="127"/>
  <c r="AN195" i="127"/>
  <c r="AL195" i="127"/>
  <c r="AI195" i="127"/>
  <c r="AF195" i="127"/>
  <c r="AB195" i="127"/>
  <c r="U195" i="127"/>
  <c r="R195" i="127"/>
  <c r="Q195" i="127"/>
  <c r="K195" i="127"/>
  <c r="J195" i="127"/>
  <c r="I195" i="127"/>
  <c r="H195" i="127"/>
  <c r="G195" i="127"/>
  <c r="C195" i="127"/>
  <c r="AN194" i="127"/>
  <c r="AL194" i="127"/>
  <c r="AI194" i="127"/>
  <c r="AF194" i="127"/>
  <c r="AB194" i="127"/>
  <c r="U194" i="127"/>
  <c r="R194" i="127"/>
  <c r="Q194" i="127"/>
  <c r="K194" i="127"/>
  <c r="J194" i="127"/>
  <c r="I194" i="127"/>
  <c r="H194" i="127"/>
  <c r="G194" i="127"/>
  <c r="C194" i="127"/>
  <c r="AN193" i="127"/>
  <c r="AL193" i="127"/>
  <c r="AI193" i="127"/>
  <c r="AF193" i="127"/>
  <c r="AB193" i="127"/>
  <c r="U193" i="127"/>
  <c r="R193" i="127"/>
  <c r="Q193" i="127"/>
  <c r="K193" i="127"/>
  <c r="J193" i="127"/>
  <c r="I193" i="127"/>
  <c r="H193" i="127"/>
  <c r="G193" i="127"/>
  <c r="C193" i="127"/>
  <c r="AN192" i="127"/>
  <c r="AL192" i="127"/>
  <c r="AI192" i="127"/>
  <c r="AF192" i="127"/>
  <c r="AB192" i="127"/>
  <c r="U192" i="127"/>
  <c r="R192" i="127"/>
  <c r="Q192" i="127"/>
  <c r="K192" i="127"/>
  <c r="J192" i="127"/>
  <c r="I192" i="127"/>
  <c r="H192" i="127"/>
  <c r="G192" i="127"/>
  <c r="C192" i="127"/>
  <c r="AN191" i="127"/>
  <c r="AL191" i="127"/>
  <c r="AI191" i="127"/>
  <c r="AF191" i="127"/>
  <c r="AB191" i="127"/>
  <c r="U191" i="127"/>
  <c r="R191" i="127"/>
  <c r="Q191" i="127"/>
  <c r="K191" i="127"/>
  <c r="J191" i="127"/>
  <c r="I191" i="127"/>
  <c r="H191" i="127"/>
  <c r="G191" i="127"/>
  <c r="C191" i="127"/>
  <c r="AN190" i="127"/>
  <c r="AL190" i="127"/>
  <c r="AI190" i="127"/>
  <c r="AF190" i="127"/>
  <c r="AB190" i="127"/>
  <c r="U190" i="127"/>
  <c r="R190" i="127"/>
  <c r="Q190" i="127"/>
  <c r="K190" i="127"/>
  <c r="J190" i="127"/>
  <c r="I190" i="127"/>
  <c r="H190" i="127"/>
  <c r="G190" i="127"/>
  <c r="C190" i="127"/>
  <c r="AN189" i="127"/>
  <c r="AL189" i="127"/>
  <c r="AI189" i="127"/>
  <c r="AF189" i="127"/>
  <c r="AB189" i="127"/>
  <c r="U189" i="127"/>
  <c r="R189" i="127"/>
  <c r="Q189" i="127"/>
  <c r="K189" i="127"/>
  <c r="J189" i="127"/>
  <c r="I189" i="127"/>
  <c r="H189" i="127"/>
  <c r="G189" i="127"/>
  <c r="C189" i="127"/>
  <c r="AN188" i="127"/>
  <c r="AL188" i="127"/>
  <c r="AI188" i="127"/>
  <c r="AF188" i="127"/>
  <c r="AB188" i="127"/>
  <c r="U188" i="127"/>
  <c r="R188" i="127"/>
  <c r="Q188" i="127"/>
  <c r="K188" i="127"/>
  <c r="J188" i="127"/>
  <c r="I188" i="127"/>
  <c r="H188" i="127"/>
  <c r="G188" i="127"/>
  <c r="C188" i="127"/>
  <c r="AN187" i="127"/>
  <c r="AL187" i="127"/>
  <c r="AI187" i="127"/>
  <c r="AF187" i="127"/>
  <c r="AB187" i="127"/>
  <c r="W187" i="127"/>
  <c r="V187" i="127"/>
  <c r="U187" i="127"/>
  <c r="T187" i="127"/>
  <c r="S187" i="127"/>
  <c r="R187" i="127"/>
  <c r="Q187" i="127"/>
  <c r="P187" i="127"/>
  <c r="O187" i="127"/>
  <c r="N187" i="127"/>
  <c r="M187" i="127"/>
  <c r="L187" i="127"/>
  <c r="K187" i="127"/>
  <c r="J187" i="127"/>
  <c r="I187" i="127"/>
  <c r="H187" i="127"/>
  <c r="G187" i="127"/>
  <c r="F187" i="127"/>
  <c r="E187" i="127"/>
  <c r="C187" i="127"/>
  <c r="AO186" i="127"/>
  <c r="AN186" i="127"/>
  <c r="AL186" i="127"/>
  <c r="AK186" i="127"/>
  <c r="AJ186" i="127"/>
  <c r="AI186" i="127"/>
  <c r="AH186" i="127"/>
  <c r="AG186" i="127"/>
  <c r="AF186" i="127"/>
  <c r="AE186" i="127"/>
  <c r="AD186" i="127"/>
  <c r="AC186" i="127"/>
  <c r="AB186" i="127"/>
  <c r="AA186" i="127"/>
  <c r="Z186" i="127"/>
  <c r="Y186" i="127"/>
  <c r="X186" i="127"/>
  <c r="W186" i="127"/>
  <c r="V186" i="127"/>
  <c r="U186" i="127"/>
  <c r="T186" i="127"/>
  <c r="S186" i="127"/>
  <c r="R186" i="127"/>
  <c r="Q186" i="127"/>
  <c r="P186" i="127"/>
  <c r="O186" i="127"/>
  <c r="N186" i="127"/>
  <c r="M186" i="127"/>
  <c r="L186" i="127"/>
  <c r="K186" i="127"/>
  <c r="J186" i="127"/>
  <c r="I186" i="127"/>
  <c r="H186" i="127"/>
  <c r="G186" i="127"/>
  <c r="F186" i="127"/>
  <c r="E186" i="127"/>
  <c r="D186" i="127"/>
  <c r="C186" i="127"/>
  <c r="AN185" i="127"/>
  <c r="AL185" i="127"/>
  <c r="AI185" i="127"/>
  <c r="AF185" i="127"/>
  <c r="AB185" i="127"/>
  <c r="U185" i="127"/>
  <c r="R185" i="127"/>
  <c r="Q185" i="127"/>
  <c r="N185" i="127"/>
  <c r="K185" i="127"/>
  <c r="J185" i="127"/>
  <c r="I185" i="127"/>
  <c r="H185" i="127"/>
  <c r="G185" i="127"/>
  <c r="C185" i="127"/>
  <c r="AN184" i="127"/>
  <c r="AL184" i="127"/>
  <c r="AI184" i="127"/>
  <c r="AF184" i="127"/>
  <c r="AB184" i="127"/>
  <c r="U184" i="127"/>
  <c r="R184" i="127"/>
  <c r="Q184" i="127"/>
  <c r="N184" i="127"/>
  <c r="K184" i="127"/>
  <c r="J184" i="127"/>
  <c r="I184" i="127"/>
  <c r="H184" i="127"/>
  <c r="G184" i="127"/>
  <c r="C184" i="127"/>
  <c r="AN183" i="127"/>
  <c r="AL183" i="127"/>
  <c r="AI183" i="127"/>
  <c r="AF183" i="127"/>
  <c r="AB183" i="127"/>
  <c r="U183" i="127"/>
  <c r="R183" i="127"/>
  <c r="Q183" i="127"/>
  <c r="N183" i="127"/>
  <c r="K183" i="127"/>
  <c r="J183" i="127"/>
  <c r="I183" i="127"/>
  <c r="H183" i="127"/>
  <c r="G183" i="127"/>
  <c r="C183" i="127"/>
  <c r="AN182" i="127"/>
  <c r="AL182" i="127"/>
  <c r="AI182" i="127"/>
  <c r="AF182" i="127"/>
  <c r="AB182" i="127"/>
  <c r="U182" i="127"/>
  <c r="R182" i="127"/>
  <c r="Q182" i="127"/>
  <c r="N182" i="127"/>
  <c r="K182" i="127"/>
  <c r="J182" i="127"/>
  <c r="I182" i="127"/>
  <c r="H182" i="127"/>
  <c r="G182" i="127"/>
  <c r="C182" i="127"/>
  <c r="AN181" i="127"/>
  <c r="AL181" i="127"/>
  <c r="AI181" i="127"/>
  <c r="AF181" i="127"/>
  <c r="AB181" i="127"/>
  <c r="U181" i="127"/>
  <c r="R181" i="127"/>
  <c r="Q181" i="127"/>
  <c r="N181" i="127"/>
  <c r="K181" i="127"/>
  <c r="J181" i="127"/>
  <c r="I181" i="127"/>
  <c r="H181" i="127"/>
  <c r="G181" i="127"/>
  <c r="C181" i="127"/>
  <c r="AN180" i="127"/>
  <c r="AL180" i="127"/>
  <c r="AI180" i="127"/>
  <c r="AF180" i="127"/>
  <c r="AB180" i="127"/>
  <c r="U180" i="127"/>
  <c r="R180" i="127"/>
  <c r="Q180" i="127"/>
  <c r="N180" i="127"/>
  <c r="K180" i="127"/>
  <c r="J180" i="127"/>
  <c r="I180" i="127"/>
  <c r="H180" i="127"/>
  <c r="G180" i="127"/>
  <c r="C180" i="127"/>
  <c r="AN179" i="127"/>
  <c r="AL179" i="127"/>
  <c r="AI179" i="127"/>
  <c r="AF179" i="127"/>
  <c r="AB179" i="127"/>
  <c r="U179" i="127"/>
  <c r="R179" i="127"/>
  <c r="Q179" i="127"/>
  <c r="N179" i="127"/>
  <c r="K179" i="127"/>
  <c r="J179" i="127"/>
  <c r="I179" i="127"/>
  <c r="H179" i="127"/>
  <c r="G179" i="127"/>
  <c r="C179" i="127"/>
  <c r="AN178" i="127"/>
  <c r="AL178" i="127"/>
  <c r="AI178" i="127"/>
  <c r="AF178" i="127"/>
  <c r="AB178" i="127"/>
  <c r="U178" i="127"/>
  <c r="R178" i="127"/>
  <c r="Q178" i="127"/>
  <c r="N178" i="127"/>
  <c r="K178" i="127"/>
  <c r="J178" i="127"/>
  <c r="I178" i="127"/>
  <c r="H178" i="127"/>
  <c r="G178" i="127"/>
  <c r="C178" i="127"/>
  <c r="AN177" i="127"/>
  <c r="AL177" i="127"/>
  <c r="AI177" i="127"/>
  <c r="AF177" i="127"/>
  <c r="AB177" i="127"/>
  <c r="U177" i="127"/>
  <c r="R177" i="127"/>
  <c r="Q177" i="127"/>
  <c r="N177" i="127"/>
  <c r="K177" i="127"/>
  <c r="J177" i="127"/>
  <c r="I177" i="127"/>
  <c r="H177" i="127"/>
  <c r="G177" i="127"/>
  <c r="C177" i="127"/>
  <c r="AN176" i="127"/>
  <c r="AL176" i="127"/>
  <c r="AI176" i="127"/>
  <c r="AF176" i="127"/>
  <c r="AB176" i="127"/>
  <c r="U176" i="127"/>
  <c r="R176" i="127"/>
  <c r="Q176" i="127"/>
  <c r="N176" i="127"/>
  <c r="K176" i="127"/>
  <c r="J176" i="127"/>
  <c r="I176" i="127"/>
  <c r="H176" i="127"/>
  <c r="G176" i="127"/>
  <c r="C176" i="127"/>
  <c r="AN175" i="127"/>
  <c r="AL175" i="127"/>
  <c r="AI175" i="127"/>
  <c r="AF175" i="127"/>
  <c r="AB175" i="127"/>
  <c r="U175" i="127"/>
  <c r="R175" i="127"/>
  <c r="Q175" i="127"/>
  <c r="N175" i="127"/>
  <c r="K175" i="127"/>
  <c r="J175" i="127"/>
  <c r="I175" i="127"/>
  <c r="H175" i="127"/>
  <c r="G175" i="127"/>
  <c r="C175" i="127"/>
  <c r="AN174" i="127"/>
  <c r="AL174" i="127"/>
  <c r="AI174" i="127"/>
  <c r="AF174" i="127"/>
  <c r="AB174" i="127"/>
  <c r="U174" i="127"/>
  <c r="R174" i="127"/>
  <c r="Q174" i="127"/>
  <c r="N174" i="127"/>
  <c r="K174" i="127"/>
  <c r="J174" i="127"/>
  <c r="I174" i="127"/>
  <c r="H174" i="127"/>
  <c r="G174" i="127"/>
  <c r="C174" i="127"/>
  <c r="AN173" i="127"/>
  <c r="AL173" i="127"/>
  <c r="AI173" i="127"/>
  <c r="AF173" i="127"/>
  <c r="AB173" i="127"/>
  <c r="U173" i="127"/>
  <c r="R173" i="127"/>
  <c r="Q173" i="127"/>
  <c r="N173" i="127"/>
  <c r="K173" i="127"/>
  <c r="J173" i="127"/>
  <c r="I173" i="127"/>
  <c r="H173" i="127"/>
  <c r="G173" i="127"/>
  <c r="C173" i="127"/>
  <c r="AN172" i="127"/>
  <c r="AL172" i="127"/>
  <c r="AI172" i="127"/>
  <c r="AF172" i="127"/>
  <c r="AB172" i="127"/>
  <c r="U172" i="127"/>
  <c r="R172" i="127"/>
  <c r="Q172" i="127"/>
  <c r="N172" i="127"/>
  <c r="K172" i="127"/>
  <c r="J172" i="127"/>
  <c r="I172" i="127"/>
  <c r="H172" i="127"/>
  <c r="G172" i="127"/>
  <c r="C172" i="127"/>
  <c r="AN171" i="127"/>
  <c r="AL171" i="127"/>
  <c r="AI171" i="127"/>
  <c r="AF171" i="127"/>
  <c r="AB171" i="127"/>
  <c r="U171" i="127"/>
  <c r="R171" i="127"/>
  <c r="Q171" i="127"/>
  <c r="N171" i="127"/>
  <c r="K171" i="127"/>
  <c r="J171" i="127"/>
  <c r="I171" i="127"/>
  <c r="H171" i="127"/>
  <c r="G171" i="127"/>
  <c r="C171" i="127"/>
  <c r="AN170" i="127"/>
  <c r="AL170" i="127"/>
  <c r="AI170" i="127"/>
  <c r="AF170" i="127"/>
  <c r="AB170" i="127"/>
  <c r="U170" i="127"/>
  <c r="R170" i="127"/>
  <c r="Q170" i="127"/>
  <c r="N170" i="127"/>
  <c r="K170" i="127"/>
  <c r="J170" i="127"/>
  <c r="I170" i="127"/>
  <c r="H170" i="127"/>
  <c r="G170" i="127"/>
  <c r="C170" i="127"/>
  <c r="AN169" i="127"/>
  <c r="AL169" i="127"/>
  <c r="AI169" i="127"/>
  <c r="AF169" i="127"/>
  <c r="AB169" i="127"/>
  <c r="U169" i="127"/>
  <c r="R169" i="127"/>
  <c r="Q169" i="127"/>
  <c r="N169" i="127"/>
  <c r="K169" i="127"/>
  <c r="J169" i="127"/>
  <c r="I169" i="127"/>
  <c r="H169" i="127"/>
  <c r="G169" i="127"/>
  <c r="C169" i="127"/>
  <c r="AN168" i="127"/>
  <c r="AL168" i="127"/>
  <c r="AI168" i="127"/>
  <c r="AF168" i="127"/>
  <c r="AB168" i="127"/>
  <c r="U168" i="127"/>
  <c r="R168" i="127"/>
  <c r="Q168" i="127"/>
  <c r="N168" i="127"/>
  <c r="K168" i="127"/>
  <c r="J168" i="127"/>
  <c r="I168" i="127"/>
  <c r="H168" i="127"/>
  <c r="G168" i="127"/>
  <c r="C168" i="127"/>
  <c r="AN167" i="127"/>
  <c r="AL167" i="127"/>
  <c r="AI167" i="127"/>
  <c r="AF167" i="127"/>
  <c r="AB167" i="127"/>
  <c r="U167" i="127"/>
  <c r="R167" i="127"/>
  <c r="Q167" i="127"/>
  <c r="N167" i="127"/>
  <c r="K167" i="127"/>
  <c r="J167" i="127"/>
  <c r="I167" i="127"/>
  <c r="H167" i="127"/>
  <c r="G167" i="127"/>
  <c r="C167" i="127"/>
  <c r="AN166" i="127"/>
  <c r="AL166" i="127"/>
  <c r="AI166" i="127"/>
  <c r="AF166" i="127"/>
  <c r="AB166" i="127"/>
  <c r="U166" i="127"/>
  <c r="R166" i="127"/>
  <c r="Q166" i="127"/>
  <c r="N166" i="127"/>
  <c r="K166" i="127"/>
  <c r="J166" i="127"/>
  <c r="I166" i="127"/>
  <c r="H166" i="127"/>
  <c r="G166" i="127"/>
  <c r="C166" i="127"/>
  <c r="AN165" i="127"/>
  <c r="AL165" i="127"/>
  <c r="AI165" i="127"/>
  <c r="AF165" i="127"/>
  <c r="AB165" i="127"/>
  <c r="U165" i="127"/>
  <c r="R165" i="127"/>
  <c r="Q165" i="127"/>
  <c r="N165" i="127"/>
  <c r="K165" i="127"/>
  <c r="J165" i="127"/>
  <c r="I165" i="127"/>
  <c r="H165" i="127"/>
  <c r="G165" i="127"/>
  <c r="C165" i="127"/>
  <c r="AP164" i="127"/>
  <c r="AN164" i="127"/>
  <c r="AL164" i="127"/>
  <c r="AI164" i="127"/>
  <c r="AF164" i="127"/>
  <c r="AD164" i="127"/>
  <c r="AC164" i="127"/>
  <c r="AB164" i="127"/>
  <c r="AA164" i="127"/>
  <c r="Z164" i="127"/>
  <c r="Y164" i="127"/>
  <c r="X164" i="127"/>
  <c r="W164" i="127"/>
  <c r="V164" i="127"/>
  <c r="U164" i="127"/>
  <c r="T164" i="127"/>
  <c r="S164" i="127"/>
  <c r="R164" i="127"/>
  <c r="Q164" i="127"/>
  <c r="P164" i="127"/>
  <c r="O164" i="127"/>
  <c r="N164" i="127"/>
  <c r="M164" i="127"/>
  <c r="L164" i="127"/>
  <c r="K164" i="127"/>
  <c r="J164" i="127"/>
  <c r="I164" i="127"/>
  <c r="H164" i="127"/>
  <c r="G164" i="127"/>
  <c r="F164" i="127"/>
  <c r="E164" i="127"/>
  <c r="C164" i="127"/>
  <c r="AN163" i="127"/>
  <c r="AL163" i="127"/>
  <c r="AI163" i="127"/>
  <c r="AF163" i="127"/>
  <c r="AB163" i="127"/>
  <c r="U163" i="127"/>
  <c r="R163" i="127"/>
  <c r="Q163" i="127"/>
  <c r="N163" i="127"/>
  <c r="K163" i="127"/>
  <c r="J163" i="127"/>
  <c r="I163" i="127"/>
  <c r="H163" i="127"/>
  <c r="G163" i="127"/>
  <c r="C163" i="127"/>
  <c r="AN162" i="127"/>
  <c r="AL162" i="127"/>
  <c r="AI162" i="127"/>
  <c r="AF162" i="127"/>
  <c r="AB162" i="127"/>
  <c r="U162" i="127"/>
  <c r="R162" i="127"/>
  <c r="Q162" i="127"/>
  <c r="N162" i="127"/>
  <c r="K162" i="127"/>
  <c r="J162" i="127"/>
  <c r="I162" i="127"/>
  <c r="H162" i="127"/>
  <c r="G162" i="127"/>
  <c r="C162" i="127"/>
  <c r="AN161" i="127"/>
  <c r="AL161" i="127"/>
  <c r="AI161" i="127"/>
  <c r="AF161" i="127"/>
  <c r="AB161" i="127"/>
  <c r="U161" i="127"/>
  <c r="R161" i="127"/>
  <c r="Q161" i="127"/>
  <c r="P161" i="127"/>
  <c r="O161" i="127"/>
  <c r="N161" i="127"/>
  <c r="M161" i="127"/>
  <c r="L161" i="127"/>
  <c r="K161" i="127"/>
  <c r="J161" i="127"/>
  <c r="I161" i="127"/>
  <c r="H161" i="127"/>
  <c r="G161" i="127"/>
  <c r="F161" i="127"/>
  <c r="E161" i="127"/>
  <c r="C161" i="127"/>
  <c r="N160" i="127"/>
  <c r="J160" i="127"/>
  <c r="I160" i="127"/>
  <c r="G160" i="127"/>
  <c r="C160" i="127"/>
  <c r="AN159" i="127"/>
  <c r="AL159" i="127"/>
  <c r="AI159" i="127"/>
  <c r="AF159" i="127"/>
  <c r="AB159" i="127"/>
  <c r="U159" i="127"/>
  <c r="R159" i="127"/>
  <c r="Q159" i="127"/>
  <c r="N159" i="127"/>
  <c r="K159" i="127"/>
  <c r="J159" i="127"/>
  <c r="I159" i="127"/>
  <c r="H159" i="127"/>
  <c r="G159" i="127"/>
  <c r="C159" i="127"/>
  <c r="AN158" i="127"/>
  <c r="AL158" i="127"/>
  <c r="AI158" i="127"/>
  <c r="AF158" i="127"/>
  <c r="AB158" i="127"/>
  <c r="U158" i="127"/>
  <c r="R158" i="127"/>
  <c r="Q158" i="127"/>
  <c r="N158" i="127"/>
  <c r="K158" i="127"/>
  <c r="J158" i="127"/>
  <c r="I158" i="127"/>
  <c r="H158" i="127"/>
  <c r="G158" i="127"/>
  <c r="C158" i="127"/>
  <c r="AN157" i="127"/>
  <c r="AL157" i="127"/>
  <c r="AI157" i="127"/>
  <c r="AF157" i="127"/>
  <c r="AB157" i="127"/>
  <c r="U157" i="127"/>
  <c r="R157" i="127"/>
  <c r="Q157" i="127"/>
  <c r="N157" i="127"/>
  <c r="K157" i="127"/>
  <c r="J157" i="127"/>
  <c r="I157" i="127"/>
  <c r="H157" i="127"/>
  <c r="G157" i="127"/>
  <c r="C157" i="127"/>
  <c r="AO156" i="127"/>
  <c r="AN156" i="127"/>
  <c r="AL156" i="127"/>
  <c r="AK156" i="127"/>
  <c r="AJ156" i="127"/>
  <c r="AI156" i="127"/>
  <c r="AH156" i="127"/>
  <c r="AG156" i="127"/>
  <c r="AF156" i="127"/>
  <c r="AE156" i="127"/>
  <c r="AD156" i="127"/>
  <c r="AC156" i="127"/>
  <c r="AB156" i="127"/>
  <c r="AA156" i="127"/>
  <c r="Z156" i="127"/>
  <c r="Y156" i="127"/>
  <c r="X156" i="127"/>
  <c r="W156" i="127"/>
  <c r="V156" i="127"/>
  <c r="U156" i="127"/>
  <c r="T156" i="127"/>
  <c r="S156" i="127"/>
  <c r="R156" i="127"/>
  <c r="Q156" i="127"/>
  <c r="P156" i="127"/>
  <c r="O156" i="127"/>
  <c r="N156" i="127"/>
  <c r="M156" i="127"/>
  <c r="L156" i="127"/>
  <c r="K156" i="127"/>
  <c r="J156" i="127"/>
  <c r="I156" i="127"/>
  <c r="H156" i="127"/>
  <c r="G156" i="127"/>
  <c r="F156" i="127"/>
  <c r="E156" i="127"/>
  <c r="C156" i="127"/>
  <c r="AM155" i="127"/>
  <c r="AL155" i="127"/>
  <c r="AI155" i="127"/>
  <c r="AF155" i="127"/>
  <c r="AB155" i="127"/>
  <c r="U155" i="127"/>
  <c r="R155" i="127"/>
  <c r="Q155" i="127"/>
  <c r="K155" i="127"/>
  <c r="J155" i="127"/>
  <c r="I155" i="127"/>
  <c r="H155" i="127"/>
  <c r="G155" i="127"/>
  <c r="C155" i="127"/>
  <c r="AM154" i="127"/>
  <c r="AL154" i="127"/>
  <c r="AI154" i="127"/>
  <c r="AF154" i="127"/>
  <c r="AB154" i="127"/>
  <c r="U154" i="127"/>
  <c r="R154" i="127"/>
  <c r="Q154" i="127"/>
  <c r="K154" i="127"/>
  <c r="J154" i="127"/>
  <c r="I154" i="127"/>
  <c r="H154" i="127"/>
  <c r="G154" i="127"/>
  <c r="C154" i="127"/>
  <c r="AM153" i="127"/>
  <c r="AL153" i="127"/>
  <c r="AI153" i="127"/>
  <c r="AF153" i="127"/>
  <c r="AB153" i="127"/>
  <c r="U153" i="127"/>
  <c r="R153" i="127"/>
  <c r="Q153" i="127"/>
  <c r="K153" i="127"/>
  <c r="J153" i="127"/>
  <c r="I153" i="127"/>
  <c r="H153" i="127"/>
  <c r="G153" i="127"/>
  <c r="C153" i="127"/>
  <c r="AM152" i="127"/>
  <c r="AL152" i="127"/>
  <c r="AI152" i="127"/>
  <c r="AF152" i="127"/>
  <c r="AB152" i="127"/>
  <c r="U152" i="127"/>
  <c r="R152" i="127"/>
  <c r="Q152" i="127"/>
  <c r="K152" i="127"/>
  <c r="J152" i="127"/>
  <c r="I152" i="127"/>
  <c r="H152" i="127"/>
  <c r="G152" i="127"/>
  <c r="C152" i="127"/>
  <c r="AM151" i="127"/>
  <c r="AL151" i="127"/>
  <c r="AI151" i="127"/>
  <c r="AF151" i="127"/>
  <c r="AB151" i="127"/>
  <c r="U151" i="127"/>
  <c r="R151" i="127"/>
  <c r="Q151" i="127"/>
  <c r="K151" i="127"/>
  <c r="J151" i="127"/>
  <c r="I151" i="127"/>
  <c r="H151" i="127"/>
  <c r="G151" i="127"/>
  <c r="C151" i="127"/>
  <c r="AM150" i="127"/>
  <c r="AL150" i="127"/>
  <c r="AI150" i="127"/>
  <c r="AF150" i="127"/>
  <c r="AB150" i="127"/>
  <c r="U150" i="127"/>
  <c r="R150" i="127"/>
  <c r="Q150" i="127"/>
  <c r="K150" i="127"/>
  <c r="J150" i="127"/>
  <c r="I150" i="127"/>
  <c r="H150" i="127"/>
  <c r="G150" i="127"/>
  <c r="C150" i="127"/>
  <c r="AM149" i="127"/>
  <c r="AL149" i="127"/>
  <c r="AI149" i="127"/>
  <c r="AF149" i="127"/>
  <c r="AB149" i="127"/>
  <c r="U149" i="127"/>
  <c r="R149" i="127"/>
  <c r="Q149" i="127"/>
  <c r="K149" i="127"/>
  <c r="J149" i="127"/>
  <c r="I149" i="127"/>
  <c r="H149" i="127"/>
  <c r="G149" i="127"/>
  <c r="C149" i="127"/>
  <c r="AM148" i="127"/>
  <c r="AL148" i="127"/>
  <c r="AI148" i="127"/>
  <c r="AF148" i="127"/>
  <c r="AB148" i="127"/>
  <c r="U148" i="127"/>
  <c r="R148" i="127"/>
  <c r="Q148" i="127"/>
  <c r="K148" i="127"/>
  <c r="J148" i="127"/>
  <c r="I148" i="127"/>
  <c r="H148" i="127"/>
  <c r="G148" i="127"/>
  <c r="C148" i="127"/>
  <c r="AM147" i="127"/>
  <c r="AL147" i="127"/>
  <c r="AI147" i="127"/>
  <c r="AF147" i="127"/>
  <c r="AB147" i="127"/>
  <c r="U147" i="127"/>
  <c r="R147" i="127"/>
  <c r="Q147" i="127"/>
  <c r="K147" i="127"/>
  <c r="J147" i="127"/>
  <c r="I147" i="127"/>
  <c r="H147" i="127"/>
  <c r="G147" i="127"/>
  <c r="C147" i="127"/>
  <c r="AM146" i="127"/>
  <c r="AL146" i="127"/>
  <c r="AI146" i="127"/>
  <c r="AF146" i="127"/>
  <c r="AB146" i="127"/>
  <c r="U146" i="127"/>
  <c r="R146" i="127"/>
  <c r="Q146" i="127"/>
  <c r="K146" i="127"/>
  <c r="J146" i="127"/>
  <c r="I146" i="127"/>
  <c r="H146" i="127"/>
  <c r="G146" i="127"/>
  <c r="C146" i="127"/>
  <c r="AM145" i="127"/>
  <c r="AL145" i="127"/>
  <c r="AI145" i="127"/>
  <c r="AF145" i="127"/>
  <c r="AB145" i="127"/>
  <c r="U145" i="127"/>
  <c r="R145" i="127"/>
  <c r="Q145" i="127"/>
  <c r="K145" i="127"/>
  <c r="J145" i="127"/>
  <c r="I145" i="127"/>
  <c r="H145" i="127"/>
  <c r="G145" i="127"/>
  <c r="C145" i="127"/>
  <c r="AM144" i="127"/>
  <c r="AL144" i="127"/>
  <c r="AI144" i="127"/>
  <c r="AF144" i="127"/>
  <c r="AB144" i="127"/>
  <c r="U144" i="127"/>
  <c r="R144" i="127"/>
  <c r="Q144" i="127"/>
  <c r="K144" i="127"/>
  <c r="J144" i="127"/>
  <c r="I144" i="127"/>
  <c r="H144" i="127"/>
  <c r="G144" i="127"/>
  <c r="C144" i="127"/>
  <c r="AM143" i="127"/>
  <c r="AL143" i="127"/>
  <c r="AI143" i="127"/>
  <c r="AF143" i="127"/>
  <c r="AB143" i="127"/>
  <c r="U143" i="127"/>
  <c r="R143" i="127"/>
  <c r="Q143" i="127"/>
  <c r="K143" i="127"/>
  <c r="J143" i="127"/>
  <c r="I143" i="127"/>
  <c r="H143" i="127"/>
  <c r="G143" i="127"/>
  <c r="C143" i="127"/>
  <c r="AM142" i="127"/>
  <c r="AL142" i="127"/>
  <c r="AI142" i="127"/>
  <c r="AF142" i="127"/>
  <c r="AB142" i="127"/>
  <c r="U142" i="127"/>
  <c r="R142" i="127"/>
  <c r="Q142" i="127"/>
  <c r="K142" i="127"/>
  <c r="J142" i="127"/>
  <c r="I142" i="127"/>
  <c r="H142" i="127"/>
  <c r="G142" i="127"/>
  <c r="C142" i="127"/>
  <c r="AM141" i="127"/>
  <c r="AL141" i="127"/>
  <c r="AI141" i="127"/>
  <c r="AF141" i="127"/>
  <c r="AB141" i="127"/>
  <c r="U141" i="127"/>
  <c r="R141" i="127"/>
  <c r="Q141" i="127"/>
  <c r="K141" i="127"/>
  <c r="J141" i="127"/>
  <c r="I141" i="127"/>
  <c r="H141" i="127"/>
  <c r="G141" i="127"/>
  <c r="C141" i="127"/>
  <c r="AM140" i="127"/>
  <c r="AL140" i="127"/>
  <c r="AI140" i="127"/>
  <c r="AF140" i="127"/>
  <c r="AB140" i="127"/>
  <c r="U140" i="127"/>
  <c r="R140" i="127"/>
  <c r="Q140" i="127"/>
  <c r="K140" i="127"/>
  <c r="J140" i="127"/>
  <c r="I140" i="127"/>
  <c r="H140" i="127"/>
  <c r="G140" i="127"/>
  <c r="C140" i="127"/>
  <c r="AM139" i="127"/>
  <c r="AL139" i="127"/>
  <c r="AI139" i="127"/>
  <c r="AF139" i="127"/>
  <c r="AB139" i="127"/>
  <c r="U139" i="127"/>
  <c r="R139" i="127"/>
  <c r="Q139" i="127"/>
  <c r="K139" i="127"/>
  <c r="J139" i="127"/>
  <c r="I139" i="127"/>
  <c r="H139" i="127"/>
  <c r="G139" i="127"/>
  <c r="C139" i="127"/>
  <c r="AM138" i="127"/>
  <c r="AL138" i="127"/>
  <c r="AI138" i="127"/>
  <c r="AF138" i="127"/>
  <c r="AB138" i="127"/>
  <c r="U138" i="127"/>
  <c r="R138" i="127"/>
  <c r="Q138" i="127"/>
  <c r="K138" i="127"/>
  <c r="J138" i="127"/>
  <c r="I138" i="127"/>
  <c r="H138" i="127"/>
  <c r="G138" i="127"/>
  <c r="C138" i="127"/>
  <c r="AM137" i="127"/>
  <c r="AL137" i="127"/>
  <c r="AI137" i="127"/>
  <c r="AF137" i="127"/>
  <c r="AB137" i="127"/>
  <c r="U137" i="127"/>
  <c r="R137" i="127"/>
  <c r="Q137" i="127"/>
  <c r="K137" i="127"/>
  <c r="J137" i="127"/>
  <c r="I137" i="127"/>
  <c r="H137" i="127"/>
  <c r="G137" i="127"/>
  <c r="C137" i="127"/>
  <c r="AM136" i="127"/>
  <c r="AL136" i="127"/>
  <c r="AI136" i="127"/>
  <c r="AF136" i="127"/>
  <c r="AB136" i="127"/>
  <c r="U136" i="127"/>
  <c r="R136" i="127"/>
  <c r="Q136" i="127"/>
  <c r="K136" i="127"/>
  <c r="J136" i="127"/>
  <c r="I136" i="127"/>
  <c r="H136" i="127"/>
  <c r="G136" i="127"/>
  <c r="C136" i="127"/>
  <c r="AM135" i="127"/>
  <c r="AL135" i="127"/>
  <c r="AI135" i="127"/>
  <c r="AF135" i="127"/>
  <c r="AB135" i="127"/>
  <c r="U135" i="127"/>
  <c r="R135" i="127"/>
  <c r="Q135" i="127"/>
  <c r="K135" i="127"/>
  <c r="J135" i="127"/>
  <c r="I135" i="127"/>
  <c r="H135" i="127"/>
  <c r="G135" i="127"/>
  <c r="C135" i="127"/>
  <c r="AM134" i="127"/>
  <c r="AL134" i="127"/>
  <c r="AI134" i="127"/>
  <c r="AF134" i="127"/>
  <c r="AB134" i="127"/>
  <c r="U134" i="127"/>
  <c r="R134" i="127"/>
  <c r="Q134" i="127"/>
  <c r="K134" i="127"/>
  <c r="J134" i="127"/>
  <c r="I134" i="127"/>
  <c r="H134" i="127"/>
  <c r="G134" i="127"/>
  <c r="C134" i="127"/>
  <c r="AM133" i="127"/>
  <c r="AL133" i="127"/>
  <c r="AI133" i="127"/>
  <c r="AF133" i="127"/>
  <c r="AB133" i="127"/>
  <c r="U133" i="127"/>
  <c r="R133" i="127"/>
  <c r="Q133" i="127"/>
  <c r="K133" i="127"/>
  <c r="J133" i="127"/>
  <c r="I133" i="127"/>
  <c r="H133" i="127"/>
  <c r="G133" i="127"/>
  <c r="C133" i="127"/>
  <c r="AM132" i="127"/>
  <c r="AL132" i="127"/>
  <c r="AI132" i="127"/>
  <c r="AF132" i="127"/>
  <c r="AB132" i="127"/>
  <c r="U132" i="127"/>
  <c r="R132" i="127"/>
  <c r="Q132" i="127"/>
  <c r="K132" i="127"/>
  <c r="J132" i="127"/>
  <c r="I132" i="127"/>
  <c r="H132" i="127"/>
  <c r="G132" i="127"/>
  <c r="C132" i="127"/>
  <c r="AM131" i="127"/>
  <c r="AL131" i="127"/>
  <c r="AI131" i="127"/>
  <c r="AF131" i="127"/>
  <c r="AB131" i="127"/>
  <c r="U131" i="127"/>
  <c r="R131" i="127"/>
  <c r="Q131" i="127"/>
  <c r="K131" i="127"/>
  <c r="J131" i="127"/>
  <c r="I131" i="127"/>
  <c r="H131" i="127"/>
  <c r="G131" i="127"/>
  <c r="C131" i="127"/>
  <c r="AM130" i="127"/>
  <c r="AL130" i="127"/>
  <c r="AI130" i="127"/>
  <c r="AF130" i="127"/>
  <c r="AB130" i="127"/>
  <c r="U130" i="127"/>
  <c r="R130" i="127"/>
  <c r="Q130" i="127"/>
  <c r="K130" i="127"/>
  <c r="J130" i="127"/>
  <c r="I130" i="127"/>
  <c r="H130" i="127"/>
  <c r="G130" i="127"/>
  <c r="C130" i="127"/>
  <c r="AM129" i="127"/>
  <c r="AL129" i="127"/>
  <c r="AI129" i="127"/>
  <c r="AF129" i="127"/>
  <c r="AB129" i="127"/>
  <c r="U129" i="127"/>
  <c r="R129" i="127"/>
  <c r="Q129" i="127"/>
  <c r="K129" i="127"/>
  <c r="J129" i="127"/>
  <c r="I129" i="127"/>
  <c r="H129" i="127"/>
  <c r="G129" i="127"/>
  <c r="C129" i="127"/>
  <c r="AM128" i="127"/>
  <c r="AL128" i="127"/>
  <c r="AI128" i="127"/>
  <c r="AF128" i="127"/>
  <c r="AB128" i="127"/>
  <c r="U128" i="127"/>
  <c r="R128" i="127"/>
  <c r="Q128" i="127"/>
  <c r="K128" i="127"/>
  <c r="J128" i="127"/>
  <c r="I128" i="127"/>
  <c r="H128" i="127"/>
  <c r="G128" i="127"/>
  <c r="C128" i="127"/>
  <c r="AM127" i="127"/>
  <c r="AL127" i="127"/>
  <c r="AI127" i="127"/>
  <c r="AF127" i="127"/>
  <c r="AB127" i="127"/>
  <c r="U127" i="127"/>
  <c r="R127" i="127"/>
  <c r="Q127" i="127"/>
  <c r="K127" i="127"/>
  <c r="J127" i="127"/>
  <c r="I127" i="127"/>
  <c r="H127" i="127"/>
  <c r="G127" i="127"/>
  <c r="C127" i="127"/>
  <c r="AM126" i="127"/>
  <c r="AL126" i="127"/>
  <c r="AI126" i="127"/>
  <c r="AF126" i="127"/>
  <c r="AB126" i="127"/>
  <c r="U126" i="127"/>
  <c r="R126" i="127"/>
  <c r="Q126" i="127"/>
  <c r="K126" i="127"/>
  <c r="J126" i="127"/>
  <c r="I126" i="127"/>
  <c r="H126" i="127"/>
  <c r="G126" i="127"/>
  <c r="C126" i="127"/>
  <c r="AM125" i="127"/>
  <c r="AL125" i="127"/>
  <c r="AI125" i="127"/>
  <c r="AF125" i="127"/>
  <c r="AB125" i="127"/>
  <c r="U125" i="127"/>
  <c r="R125" i="127"/>
  <c r="Q125" i="127"/>
  <c r="K125" i="127"/>
  <c r="J125" i="127"/>
  <c r="I125" i="127"/>
  <c r="H125" i="127"/>
  <c r="G125" i="127"/>
  <c r="C125" i="127"/>
  <c r="AM124" i="127"/>
  <c r="AL124" i="127"/>
  <c r="AI124" i="127"/>
  <c r="AF124" i="127"/>
  <c r="AB124" i="127"/>
  <c r="U124" i="127"/>
  <c r="R124" i="127"/>
  <c r="Q124" i="127"/>
  <c r="K124" i="127"/>
  <c r="J124" i="127"/>
  <c r="I124" i="127"/>
  <c r="H124" i="127"/>
  <c r="G124" i="127"/>
  <c r="C124" i="127"/>
  <c r="AM123" i="127"/>
  <c r="AL123" i="127"/>
  <c r="AI123" i="127"/>
  <c r="AF123" i="127"/>
  <c r="AB123" i="127"/>
  <c r="U123" i="127"/>
  <c r="R123" i="127"/>
  <c r="Q123" i="127"/>
  <c r="K123" i="127"/>
  <c r="J123" i="127"/>
  <c r="I123" i="127"/>
  <c r="H123" i="127"/>
  <c r="G123" i="127"/>
  <c r="C123" i="127"/>
  <c r="AM122" i="127"/>
  <c r="AL122" i="127"/>
  <c r="AI122" i="127"/>
  <c r="AF122" i="127"/>
  <c r="AB122" i="127"/>
  <c r="U122" i="127"/>
  <c r="R122" i="127"/>
  <c r="Q122" i="127"/>
  <c r="K122" i="127"/>
  <c r="J122" i="127"/>
  <c r="I122" i="127"/>
  <c r="H122" i="127"/>
  <c r="G122" i="127"/>
  <c r="C122" i="127"/>
  <c r="AM121" i="127"/>
  <c r="AL121" i="127"/>
  <c r="AI121" i="127"/>
  <c r="AF121" i="127"/>
  <c r="AB121" i="127"/>
  <c r="U121" i="127"/>
  <c r="R121" i="127"/>
  <c r="Q121" i="127"/>
  <c r="K121" i="127"/>
  <c r="J121" i="127"/>
  <c r="I121" i="127"/>
  <c r="H121" i="127"/>
  <c r="G121" i="127"/>
  <c r="C121" i="127"/>
  <c r="AM120" i="127"/>
  <c r="AL120" i="127"/>
  <c r="AI120" i="127"/>
  <c r="AF120" i="127"/>
  <c r="AB120" i="127"/>
  <c r="U120" i="127"/>
  <c r="R120" i="127"/>
  <c r="Q120" i="127"/>
  <c r="K120" i="127"/>
  <c r="J120" i="127"/>
  <c r="I120" i="127"/>
  <c r="H120" i="127"/>
  <c r="G120" i="127"/>
  <c r="C120" i="127"/>
  <c r="AM119" i="127"/>
  <c r="AL119" i="127"/>
  <c r="AI119" i="127"/>
  <c r="AF119" i="127"/>
  <c r="AB119" i="127"/>
  <c r="U119" i="127"/>
  <c r="R119" i="127"/>
  <c r="Q119" i="127"/>
  <c r="K119" i="127"/>
  <c r="J119" i="127"/>
  <c r="I119" i="127"/>
  <c r="H119" i="127"/>
  <c r="G119" i="127"/>
  <c r="C119" i="127"/>
  <c r="AM118" i="127"/>
  <c r="AL118" i="127"/>
  <c r="AI118" i="127"/>
  <c r="AF118" i="127"/>
  <c r="AB118" i="127"/>
  <c r="U118" i="127"/>
  <c r="R118" i="127"/>
  <c r="Q118" i="127"/>
  <c r="K118" i="127"/>
  <c r="J118" i="127"/>
  <c r="I118" i="127"/>
  <c r="H118" i="127"/>
  <c r="G118" i="127"/>
  <c r="C118" i="127"/>
  <c r="AM117" i="127"/>
  <c r="AL117" i="127"/>
  <c r="AI117" i="127"/>
  <c r="AF117" i="127"/>
  <c r="AB117" i="127"/>
  <c r="U117" i="127"/>
  <c r="R117" i="127"/>
  <c r="Q117" i="127"/>
  <c r="K117" i="127"/>
  <c r="J117" i="127"/>
  <c r="I117" i="127"/>
  <c r="H117" i="127"/>
  <c r="G117" i="127"/>
  <c r="C117" i="127"/>
  <c r="AM116" i="127"/>
  <c r="AL116" i="127"/>
  <c r="AI116" i="127"/>
  <c r="AF116" i="127"/>
  <c r="AB116" i="127"/>
  <c r="U116" i="127"/>
  <c r="R116" i="127"/>
  <c r="Q116" i="127"/>
  <c r="K116" i="127"/>
  <c r="J116" i="127"/>
  <c r="I116" i="127"/>
  <c r="H116" i="127"/>
  <c r="G116" i="127"/>
  <c r="C116" i="127"/>
  <c r="AM115" i="127"/>
  <c r="AL115" i="127"/>
  <c r="AI115" i="127"/>
  <c r="AF115" i="127"/>
  <c r="AB115" i="127"/>
  <c r="U115" i="127"/>
  <c r="R115" i="127"/>
  <c r="Q115" i="127"/>
  <c r="K115" i="127"/>
  <c r="J115" i="127"/>
  <c r="I115" i="127"/>
  <c r="H115" i="127"/>
  <c r="G115" i="127"/>
  <c r="C115" i="127"/>
  <c r="AM114" i="127"/>
  <c r="AL114" i="127"/>
  <c r="AI114" i="127"/>
  <c r="AF114" i="127"/>
  <c r="AB114" i="127"/>
  <c r="U114" i="127"/>
  <c r="R114" i="127"/>
  <c r="Q114" i="127"/>
  <c r="K114" i="127"/>
  <c r="J114" i="127"/>
  <c r="I114" i="127"/>
  <c r="H114" i="127"/>
  <c r="G114" i="127"/>
  <c r="C114" i="127"/>
  <c r="AM113" i="127"/>
  <c r="AL113" i="127"/>
  <c r="AI113" i="127"/>
  <c r="AF113" i="127"/>
  <c r="AB113" i="127"/>
  <c r="U113" i="127"/>
  <c r="R113" i="127"/>
  <c r="Q113" i="127"/>
  <c r="K113" i="127"/>
  <c r="J113" i="127"/>
  <c r="I113" i="127"/>
  <c r="H113" i="127"/>
  <c r="G113" i="127"/>
  <c r="C113" i="127"/>
  <c r="AM112" i="127"/>
  <c r="AL112" i="127"/>
  <c r="AI112" i="127"/>
  <c r="AF112" i="127"/>
  <c r="AB112" i="127"/>
  <c r="U112" i="127"/>
  <c r="R112" i="127"/>
  <c r="Q112" i="127"/>
  <c r="K112" i="127"/>
  <c r="J112" i="127"/>
  <c r="I112" i="127"/>
  <c r="H112" i="127"/>
  <c r="G112" i="127"/>
  <c r="C112" i="127"/>
  <c r="AM111" i="127"/>
  <c r="AL111" i="127"/>
  <c r="AI111" i="127"/>
  <c r="AF111" i="127"/>
  <c r="AB111" i="127"/>
  <c r="U111" i="127"/>
  <c r="R111" i="127"/>
  <c r="Q111" i="127"/>
  <c r="K111" i="127"/>
  <c r="J111" i="127"/>
  <c r="I111" i="127"/>
  <c r="H111" i="127"/>
  <c r="G111" i="127"/>
  <c r="C111" i="127"/>
  <c r="AM110" i="127"/>
  <c r="AL110" i="127"/>
  <c r="AI110" i="127"/>
  <c r="AF110" i="127"/>
  <c r="AB110" i="127"/>
  <c r="U110" i="127"/>
  <c r="R110" i="127"/>
  <c r="Q110" i="127"/>
  <c r="K110" i="127"/>
  <c r="J110" i="127"/>
  <c r="I110" i="127"/>
  <c r="H110" i="127"/>
  <c r="G110" i="127"/>
  <c r="C110" i="127"/>
  <c r="AM109" i="127"/>
  <c r="AL109" i="127"/>
  <c r="AI109" i="127"/>
  <c r="AF109" i="127"/>
  <c r="AB109" i="127"/>
  <c r="U109" i="127"/>
  <c r="R109" i="127"/>
  <c r="Q109" i="127"/>
  <c r="K109" i="127"/>
  <c r="J109" i="127"/>
  <c r="I109" i="127"/>
  <c r="H109" i="127"/>
  <c r="G109" i="127"/>
  <c r="C109" i="127"/>
  <c r="AM108" i="127"/>
  <c r="AL108" i="127"/>
  <c r="AI108" i="127"/>
  <c r="AF108" i="127"/>
  <c r="AB108" i="127"/>
  <c r="U108" i="127"/>
  <c r="R108" i="127"/>
  <c r="Q108" i="127"/>
  <c r="K108" i="127"/>
  <c r="J108" i="127"/>
  <c r="I108" i="127"/>
  <c r="H108" i="127"/>
  <c r="G108" i="127"/>
  <c r="C108" i="127"/>
  <c r="AM107" i="127"/>
  <c r="AL107" i="127"/>
  <c r="AI107" i="127"/>
  <c r="AF107" i="127"/>
  <c r="AB107" i="127"/>
  <c r="U107" i="127"/>
  <c r="R107" i="127"/>
  <c r="Q107" i="127"/>
  <c r="K107" i="127"/>
  <c r="J107" i="127"/>
  <c r="I107" i="127"/>
  <c r="H107" i="127"/>
  <c r="G107" i="127"/>
  <c r="C107" i="127"/>
  <c r="AM106" i="127"/>
  <c r="AL106" i="127"/>
  <c r="AI106" i="127"/>
  <c r="AF106" i="127"/>
  <c r="AB106" i="127"/>
  <c r="U106" i="127"/>
  <c r="R106" i="127"/>
  <c r="Q106" i="127"/>
  <c r="K106" i="127"/>
  <c r="J106" i="127"/>
  <c r="I106" i="127"/>
  <c r="H106" i="127"/>
  <c r="G106" i="127"/>
  <c r="C106" i="127"/>
  <c r="AM105" i="127"/>
  <c r="AL105" i="127"/>
  <c r="AI105" i="127"/>
  <c r="AF105" i="127"/>
  <c r="AB105" i="127"/>
  <c r="U105" i="127"/>
  <c r="R105" i="127"/>
  <c r="Q105" i="127"/>
  <c r="K105" i="127"/>
  <c r="J105" i="127"/>
  <c r="I105" i="127"/>
  <c r="H105" i="127"/>
  <c r="G105" i="127"/>
  <c r="C105" i="127"/>
  <c r="AM104" i="127"/>
  <c r="AL104" i="127"/>
  <c r="AI104" i="127"/>
  <c r="AF104" i="127"/>
  <c r="AB104" i="127"/>
  <c r="U104" i="127"/>
  <c r="R104" i="127"/>
  <c r="Q104" i="127"/>
  <c r="K104" i="127"/>
  <c r="J104" i="127"/>
  <c r="I104" i="127"/>
  <c r="H104" i="127"/>
  <c r="G104" i="127"/>
  <c r="C104" i="127"/>
  <c r="AM103" i="127"/>
  <c r="AL103" i="127"/>
  <c r="AI103" i="127"/>
  <c r="AF103" i="127"/>
  <c r="AB103" i="127"/>
  <c r="U103" i="127"/>
  <c r="R103" i="127"/>
  <c r="Q103" i="127"/>
  <c r="K103" i="127"/>
  <c r="J103" i="127"/>
  <c r="I103" i="127"/>
  <c r="H103" i="127"/>
  <c r="G103" i="127"/>
  <c r="C103" i="127"/>
  <c r="AM102" i="127"/>
  <c r="AL102" i="127"/>
  <c r="AI102" i="127"/>
  <c r="AF102" i="127"/>
  <c r="AB102" i="127"/>
  <c r="U102" i="127"/>
  <c r="R102" i="127"/>
  <c r="Q102" i="127"/>
  <c r="K102" i="127"/>
  <c r="J102" i="127"/>
  <c r="I102" i="127"/>
  <c r="H102" i="127"/>
  <c r="G102" i="127"/>
  <c r="C102" i="127"/>
  <c r="AM101" i="127"/>
  <c r="AL101" i="127"/>
  <c r="AI101" i="127"/>
  <c r="AF101" i="127"/>
  <c r="AB101" i="127"/>
  <c r="U101" i="127"/>
  <c r="R101" i="127"/>
  <c r="Q101" i="127"/>
  <c r="K101" i="127"/>
  <c r="J101" i="127"/>
  <c r="I101" i="127"/>
  <c r="H101" i="127"/>
  <c r="G101" i="127"/>
  <c r="C101" i="127"/>
  <c r="AM100" i="127"/>
  <c r="AL100" i="127"/>
  <c r="AI100" i="127"/>
  <c r="AF100" i="127"/>
  <c r="AB100" i="127"/>
  <c r="U100" i="127"/>
  <c r="R100" i="127"/>
  <c r="Q100" i="127"/>
  <c r="K100" i="127"/>
  <c r="J100" i="127"/>
  <c r="I100" i="127"/>
  <c r="H100" i="127"/>
  <c r="G100" i="127"/>
  <c r="C100" i="127"/>
  <c r="AM99" i="127"/>
  <c r="AL99" i="127"/>
  <c r="AI99" i="127"/>
  <c r="AF99" i="127"/>
  <c r="AB99" i="127"/>
  <c r="U99" i="127"/>
  <c r="R99" i="127"/>
  <c r="Q99" i="127"/>
  <c r="K99" i="127"/>
  <c r="J99" i="127"/>
  <c r="I99" i="127"/>
  <c r="H99" i="127"/>
  <c r="G99" i="127"/>
  <c r="C99" i="127"/>
  <c r="AM98" i="127"/>
  <c r="AL98" i="127"/>
  <c r="AI98" i="127"/>
  <c r="AF98" i="127"/>
  <c r="AB98" i="127"/>
  <c r="U98" i="127"/>
  <c r="R98" i="127"/>
  <c r="Q98" i="127"/>
  <c r="L98" i="127"/>
  <c r="K98" i="127"/>
  <c r="J98" i="127"/>
  <c r="I98" i="127"/>
  <c r="H98" i="127"/>
  <c r="G98" i="127"/>
  <c r="F98" i="127"/>
  <c r="E98" i="127"/>
  <c r="D98" i="127"/>
  <c r="C98" i="127"/>
  <c r="AM97" i="127"/>
  <c r="AL97" i="127"/>
  <c r="AI97" i="127"/>
  <c r="AF97" i="127"/>
  <c r="AB97" i="127"/>
  <c r="U97" i="127"/>
  <c r="R97" i="127"/>
  <c r="Q97" i="127"/>
  <c r="K97" i="127"/>
  <c r="J97" i="127"/>
  <c r="I97" i="127"/>
  <c r="H97" i="127"/>
  <c r="G97" i="127"/>
  <c r="C97" i="127"/>
  <c r="AM96" i="127"/>
  <c r="AL96" i="127"/>
  <c r="AI96" i="127"/>
  <c r="AF96" i="127"/>
  <c r="AB96" i="127"/>
  <c r="U96" i="127"/>
  <c r="R96" i="127"/>
  <c r="Q96" i="127"/>
  <c r="K96" i="127"/>
  <c r="J96" i="127"/>
  <c r="I96" i="127"/>
  <c r="H96" i="127"/>
  <c r="G96" i="127"/>
  <c r="C96" i="127"/>
  <c r="AM95" i="127"/>
  <c r="AL95" i="127"/>
  <c r="AI95" i="127"/>
  <c r="AF95" i="127"/>
  <c r="AB95" i="127"/>
  <c r="U95" i="127"/>
  <c r="R95" i="127"/>
  <c r="Q95" i="127"/>
  <c r="K95" i="127"/>
  <c r="J95" i="127"/>
  <c r="I95" i="127"/>
  <c r="H95" i="127"/>
  <c r="G95" i="127"/>
  <c r="C95" i="127"/>
  <c r="AM94" i="127"/>
  <c r="AL94" i="127"/>
  <c r="AI94" i="127"/>
  <c r="AF94" i="127"/>
  <c r="AB94" i="127"/>
  <c r="U94" i="127"/>
  <c r="R94" i="127"/>
  <c r="Q94" i="127"/>
  <c r="K94" i="127"/>
  <c r="J94" i="127"/>
  <c r="I94" i="127"/>
  <c r="H94" i="127"/>
  <c r="G94" i="127"/>
  <c r="C94" i="127"/>
  <c r="AM93" i="127"/>
  <c r="AL93" i="127"/>
  <c r="AI93" i="127"/>
  <c r="AF93" i="127"/>
  <c r="AB93" i="127"/>
  <c r="U93" i="127"/>
  <c r="R93" i="127"/>
  <c r="Q93" i="127"/>
  <c r="K93" i="127"/>
  <c r="J93" i="127"/>
  <c r="I93" i="127"/>
  <c r="H93" i="127"/>
  <c r="G93" i="127"/>
  <c r="C93" i="127"/>
  <c r="AM92" i="127"/>
  <c r="AL92" i="127"/>
  <c r="AI92" i="127"/>
  <c r="AF92" i="127"/>
  <c r="AB92" i="127"/>
  <c r="U92" i="127"/>
  <c r="R92" i="127"/>
  <c r="Q92" i="127"/>
  <c r="K92" i="127"/>
  <c r="J92" i="127"/>
  <c r="I92" i="127"/>
  <c r="H92" i="127"/>
  <c r="G92" i="127"/>
  <c r="C92" i="127"/>
  <c r="AM91" i="127"/>
  <c r="AL91" i="127"/>
  <c r="AI91" i="127"/>
  <c r="AF91" i="127"/>
  <c r="AB91" i="127"/>
  <c r="U91" i="127"/>
  <c r="R91" i="127"/>
  <c r="Q91" i="127"/>
  <c r="K91" i="127"/>
  <c r="J91" i="127"/>
  <c r="I91" i="127"/>
  <c r="H91" i="127"/>
  <c r="G91" i="127"/>
  <c r="C91" i="127"/>
  <c r="AM90" i="127"/>
  <c r="AL90" i="127"/>
  <c r="AI90" i="127"/>
  <c r="AF90" i="127"/>
  <c r="AB90" i="127"/>
  <c r="U90" i="127"/>
  <c r="R90" i="127"/>
  <c r="Q90" i="127"/>
  <c r="K90" i="127"/>
  <c r="J90" i="127"/>
  <c r="I90" i="127"/>
  <c r="H90" i="127"/>
  <c r="G90" i="127"/>
  <c r="C90" i="127"/>
  <c r="AM89" i="127"/>
  <c r="AL89" i="127"/>
  <c r="AI89" i="127"/>
  <c r="AF89" i="127"/>
  <c r="AB89" i="127"/>
  <c r="U89" i="127"/>
  <c r="R89" i="127"/>
  <c r="Q89" i="127"/>
  <c r="K89" i="127"/>
  <c r="J89" i="127"/>
  <c r="I89" i="127"/>
  <c r="H89" i="127"/>
  <c r="G89" i="127"/>
  <c r="C89" i="127"/>
  <c r="AM88" i="127"/>
  <c r="AL88" i="127"/>
  <c r="AI88" i="127"/>
  <c r="AF88" i="127"/>
  <c r="AB88" i="127"/>
  <c r="U88" i="127"/>
  <c r="R88" i="127"/>
  <c r="Q88" i="127"/>
  <c r="K88" i="127"/>
  <c r="J88" i="127"/>
  <c r="I88" i="127"/>
  <c r="H88" i="127"/>
  <c r="G88" i="127"/>
  <c r="C88" i="127"/>
  <c r="AM87" i="127"/>
  <c r="AL87" i="127"/>
  <c r="AI87" i="127"/>
  <c r="AF87" i="127"/>
  <c r="AB87" i="127"/>
  <c r="U87" i="127"/>
  <c r="R87" i="127"/>
  <c r="Q87" i="127"/>
  <c r="K87" i="127"/>
  <c r="J87" i="127"/>
  <c r="I87" i="127"/>
  <c r="H87" i="127"/>
  <c r="G87" i="127"/>
  <c r="C87" i="127"/>
  <c r="AM86" i="127"/>
  <c r="AL86" i="127"/>
  <c r="AI86" i="127"/>
  <c r="AF86" i="127"/>
  <c r="AB86" i="127"/>
  <c r="U86" i="127"/>
  <c r="R86" i="127"/>
  <c r="Q86" i="127"/>
  <c r="K86" i="127"/>
  <c r="J86" i="127"/>
  <c r="I86" i="127"/>
  <c r="H86" i="127"/>
  <c r="G86" i="127"/>
  <c r="C86" i="127"/>
  <c r="AM85" i="127"/>
  <c r="AL85" i="127"/>
  <c r="AI85" i="127"/>
  <c r="AF85" i="127"/>
  <c r="AB85" i="127"/>
  <c r="U85" i="127"/>
  <c r="R85" i="127"/>
  <c r="Q85" i="127"/>
  <c r="K85" i="127"/>
  <c r="J85" i="127"/>
  <c r="I85" i="127"/>
  <c r="H85" i="127"/>
  <c r="G85" i="127"/>
  <c r="C85" i="127"/>
  <c r="AM84" i="127"/>
  <c r="AL84" i="127"/>
  <c r="AI84" i="127"/>
  <c r="AF84" i="127"/>
  <c r="AB84" i="127"/>
  <c r="U84" i="127"/>
  <c r="R84" i="127"/>
  <c r="Q84" i="127"/>
  <c r="K84" i="127"/>
  <c r="J84" i="127"/>
  <c r="I84" i="127"/>
  <c r="H84" i="127"/>
  <c r="G84" i="127"/>
  <c r="C84" i="127"/>
  <c r="AM83" i="127"/>
  <c r="AL83" i="127"/>
  <c r="AI83" i="127"/>
  <c r="AF83" i="127"/>
  <c r="AB83" i="127"/>
  <c r="U83" i="127"/>
  <c r="R83" i="127"/>
  <c r="Q83" i="127"/>
  <c r="K83" i="127"/>
  <c r="J83" i="127"/>
  <c r="I83" i="127"/>
  <c r="H83" i="127"/>
  <c r="G83" i="127"/>
  <c r="C83" i="127"/>
  <c r="AM82" i="127"/>
  <c r="AL82" i="127"/>
  <c r="AI82" i="127"/>
  <c r="AF82" i="127"/>
  <c r="AB82" i="127"/>
  <c r="U82" i="127"/>
  <c r="R82" i="127"/>
  <c r="Q82" i="127"/>
  <c r="K82" i="127"/>
  <c r="J82" i="127"/>
  <c r="I82" i="127"/>
  <c r="H82" i="127"/>
  <c r="G82" i="127"/>
  <c r="C82" i="127"/>
  <c r="AM81" i="127"/>
  <c r="AL81" i="127"/>
  <c r="AI81" i="127"/>
  <c r="AF81" i="127"/>
  <c r="AB81" i="127"/>
  <c r="U81" i="127"/>
  <c r="R81" i="127"/>
  <c r="Q81" i="127"/>
  <c r="K81" i="127"/>
  <c r="J81" i="127"/>
  <c r="I81" i="127"/>
  <c r="H81" i="127"/>
  <c r="G81" i="127"/>
  <c r="C81" i="127"/>
  <c r="AM80" i="127"/>
  <c r="AL80" i="127"/>
  <c r="AI80" i="127"/>
  <c r="AF80" i="127"/>
  <c r="AB80" i="127"/>
  <c r="U80" i="127"/>
  <c r="R80" i="127"/>
  <c r="Q80" i="127"/>
  <c r="K80" i="127"/>
  <c r="J80" i="127"/>
  <c r="I80" i="127"/>
  <c r="H80" i="127"/>
  <c r="G80" i="127"/>
  <c r="C80" i="127"/>
  <c r="AM79" i="127"/>
  <c r="AL79" i="127"/>
  <c r="AI79" i="127"/>
  <c r="AF79" i="127"/>
  <c r="AB79" i="127"/>
  <c r="U79" i="127"/>
  <c r="R79" i="127"/>
  <c r="Q79" i="127"/>
  <c r="K79" i="127"/>
  <c r="J79" i="127"/>
  <c r="I79" i="127"/>
  <c r="H79" i="127"/>
  <c r="G79" i="127"/>
  <c r="C79" i="127"/>
  <c r="AM78" i="127"/>
  <c r="AL78" i="127"/>
  <c r="AI78" i="127"/>
  <c r="AF78" i="127"/>
  <c r="AB78" i="127"/>
  <c r="U78" i="127"/>
  <c r="R78" i="127"/>
  <c r="Q78" i="127"/>
  <c r="K78" i="127"/>
  <c r="J78" i="127"/>
  <c r="I78" i="127"/>
  <c r="H78" i="127"/>
  <c r="G78" i="127"/>
  <c r="C78" i="127"/>
  <c r="AM77" i="127"/>
  <c r="AL77" i="127"/>
  <c r="AK77" i="127"/>
  <c r="AJ77" i="127"/>
  <c r="AI77" i="127"/>
  <c r="AH77" i="127"/>
  <c r="AG77" i="127"/>
  <c r="AF77" i="127"/>
  <c r="AE77" i="127"/>
  <c r="AD77" i="127"/>
  <c r="AC77" i="127"/>
  <c r="AB77" i="127"/>
  <c r="AA77" i="127"/>
  <c r="Z77" i="127"/>
  <c r="Y77" i="127"/>
  <c r="X77" i="127"/>
  <c r="W77" i="127"/>
  <c r="V77" i="127"/>
  <c r="U77" i="127"/>
  <c r="T77" i="127"/>
  <c r="S77" i="127"/>
  <c r="R77" i="127"/>
  <c r="Q77" i="127"/>
  <c r="P77" i="127"/>
  <c r="O77" i="127"/>
  <c r="N77" i="127"/>
  <c r="M77" i="127"/>
  <c r="L77" i="127"/>
  <c r="K77" i="127"/>
  <c r="J77" i="127"/>
  <c r="I77" i="127"/>
  <c r="H77" i="127"/>
  <c r="G77" i="127"/>
  <c r="F77" i="127"/>
  <c r="E77" i="127"/>
  <c r="D77" i="127"/>
  <c r="C77" i="127"/>
  <c r="AO76" i="127"/>
  <c r="AN76" i="127"/>
  <c r="AM76" i="127"/>
  <c r="AL76" i="127"/>
  <c r="AK76" i="127"/>
  <c r="AJ76" i="127"/>
  <c r="AI76" i="127"/>
  <c r="AH76" i="127"/>
  <c r="AG76" i="127"/>
  <c r="AF76" i="127"/>
  <c r="AE76" i="127"/>
  <c r="AD76" i="127"/>
  <c r="AC76" i="127"/>
  <c r="AB76" i="127"/>
  <c r="AA76" i="127"/>
  <c r="Z76" i="127"/>
  <c r="Y76" i="127"/>
  <c r="X76" i="127"/>
  <c r="W76" i="127"/>
  <c r="V76" i="127"/>
  <c r="U76" i="127"/>
  <c r="T76" i="127"/>
  <c r="S76" i="127"/>
  <c r="R76" i="127"/>
  <c r="Q76" i="127"/>
  <c r="P76" i="127"/>
  <c r="O76" i="127"/>
  <c r="N76" i="127"/>
  <c r="M76" i="127"/>
  <c r="L76" i="127"/>
  <c r="K76" i="127"/>
  <c r="J76" i="127"/>
  <c r="I76" i="127"/>
  <c r="H76" i="127"/>
  <c r="G76" i="127"/>
  <c r="F76" i="127"/>
  <c r="E76" i="127"/>
  <c r="D76" i="127"/>
  <c r="C76" i="127"/>
  <c r="AM75" i="127"/>
  <c r="AL75" i="127"/>
  <c r="AI75" i="127"/>
  <c r="AF75" i="127"/>
  <c r="AB75" i="127"/>
  <c r="U75" i="127"/>
  <c r="R75" i="127"/>
  <c r="Q75" i="127"/>
  <c r="K75" i="127"/>
  <c r="J75" i="127"/>
  <c r="I75" i="127"/>
  <c r="H75" i="127"/>
  <c r="G75" i="127"/>
  <c r="C75" i="127"/>
  <c r="AM74" i="127"/>
  <c r="AL74" i="127"/>
  <c r="AI74" i="127"/>
  <c r="AF74" i="127"/>
  <c r="AB74" i="127"/>
  <c r="U74" i="127"/>
  <c r="R74" i="127"/>
  <c r="Q74" i="127"/>
  <c r="K74" i="127"/>
  <c r="J74" i="127"/>
  <c r="I74" i="127"/>
  <c r="H74" i="127"/>
  <c r="G74" i="127"/>
  <c r="C74" i="127"/>
  <c r="AM73" i="127"/>
  <c r="AL73" i="127"/>
  <c r="AI73" i="127"/>
  <c r="AF73" i="127"/>
  <c r="AB73" i="127"/>
  <c r="U73" i="127"/>
  <c r="R73" i="127"/>
  <c r="Q73" i="127"/>
  <c r="K73" i="127"/>
  <c r="J73" i="127"/>
  <c r="I73" i="127"/>
  <c r="H73" i="127"/>
  <c r="G73" i="127"/>
  <c r="C73" i="127"/>
  <c r="AM72" i="127"/>
  <c r="AL72" i="127"/>
  <c r="AI72" i="127"/>
  <c r="AF72" i="127"/>
  <c r="AB72" i="127"/>
  <c r="U72" i="127"/>
  <c r="R72" i="127"/>
  <c r="Q72" i="127"/>
  <c r="K72" i="127"/>
  <c r="J72" i="127"/>
  <c r="I72" i="127"/>
  <c r="H72" i="127"/>
  <c r="G72" i="127"/>
  <c r="C72" i="127"/>
  <c r="AM71" i="127"/>
  <c r="AL71" i="127"/>
  <c r="AI71" i="127"/>
  <c r="AF71" i="127"/>
  <c r="AB71" i="127"/>
  <c r="U71" i="127"/>
  <c r="R71" i="127"/>
  <c r="Q71" i="127"/>
  <c r="K71" i="127"/>
  <c r="J71" i="127"/>
  <c r="I71" i="127"/>
  <c r="H71" i="127"/>
  <c r="G71" i="127"/>
  <c r="C71" i="127"/>
  <c r="AM70" i="127"/>
  <c r="AL70" i="127"/>
  <c r="AI70" i="127"/>
  <c r="AF70" i="127"/>
  <c r="AB70" i="127"/>
  <c r="U70" i="127"/>
  <c r="R70" i="127"/>
  <c r="Q70" i="127"/>
  <c r="K70" i="127"/>
  <c r="J70" i="127"/>
  <c r="I70" i="127"/>
  <c r="H70" i="127"/>
  <c r="G70" i="127"/>
  <c r="C70" i="127"/>
  <c r="AM69" i="127"/>
  <c r="AL69" i="127"/>
  <c r="AI69" i="127"/>
  <c r="AF69" i="127"/>
  <c r="AB69" i="127"/>
  <c r="U69" i="127"/>
  <c r="R69" i="127"/>
  <c r="Q69" i="127"/>
  <c r="K69" i="127"/>
  <c r="J69" i="127"/>
  <c r="I69" i="127"/>
  <c r="H69" i="127"/>
  <c r="G69" i="127"/>
  <c r="C69" i="127"/>
  <c r="AM68" i="127"/>
  <c r="AL68" i="127"/>
  <c r="AI68" i="127"/>
  <c r="AF68" i="127"/>
  <c r="AB68" i="127"/>
  <c r="U68" i="127"/>
  <c r="R68" i="127"/>
  <c r="Q68" i="127"/>
  <c r="K68" i="127"/>
  <c r="J68" i="127"/>
  <c r="I68" i="127"/>
  <c r="H68" i="127"/>
  <c r="G68" i="127"/>
  <c r="C68" i="127"/>
  <c r="AM67" i="127"/>
  <c r="AL67" i="127"/>
  <c r="AI67" i="127"/>
  <c r="AF67" i="127"/>
  <c r="AB67" i="127"/>
  <c r="U67" i="127"/>
  <c r="R67" i="127"/>
  <c r="Q67" i="127"/>
  <c r="K67" i="127"/>
  <c r="J67" i="127"/>
  <c r="I67" i="127"/>
  <c r="H67" i="127"/>
  <c r="G67" i="127"/>
  <c r="C67" i="127"/>
  <c r="AM66" i="127"/>
  <c r="AL66" i="127"/>
  <c r="AI66" i="127"/>
  <c r="AF66" i="127"/>
  <c r="AB66" i="127"/>
  <c r="U66" i="127"/>
  <c r="R66" i="127"/>
  <c r="Q66" i="127"/>
  <c r="K66" i="127"/>
  <c r="J66" i="127"/>
  <c r="I66" i="127"/>
  <c r="H66" i="127"/>
  <c r="G66" i="127"/>
  <c r="C66" i="127"/>
  <c r="AM65" i="127"/>
  <c r="AL65" i="127"/>
  <c r="AI65" i="127"/>
  <c r="AF65" i="127"/>
  <c r="AB65" i="127"/>
  <c r="U65" i="127"/>
  <c r="R65" i="127"/>
  <c r="Q65" i="127"/>
  <c r="K65" i="127"/>
  <c r="J65" i="127"/>
  <c r="I65" i="127"/>
  <c r="H65" i="127"/>
  <c r="G65" i="127"/>
  <c r="C65" i="127"/>
  <c r="AM64" i="127"/>
  <c r="AL64" i="127"/>
  <c r="AI64" i="127"/>
  <c r="AF64" i="127"/>
  <c r="AB64" i="127"/>
  <c r="U64" i="127"/>
  <c r="R64" i="127"/>
  <c r="Q64" i="127"/>
  <c r="K64" i="127"/>
  <c r="J64" i="127"/>
  <c r="I64" i="127"/>
  <c r="H64" i="127"/>
  <c r="G64" i="127"/>
  <c r="C64" i="127"/>
  <c r="AM63" i="127"/>
  <c r="AL63" i="127"/>
  <c r="AI63" i="127"/>
  <c r="AF63" i="127"/>
  <c r="AB63" i="127"/>
  <c r="U63" i="127"/>
  <c r="R63" i="127"/>
  <c r="Q63" i="127"/>
  <c r="K63" i="127"/>
  <c r="J63" i="127"/>
  <c r="I63" i="127"/>
  <c r="H63" i="127"/>
  <c r="G63" i="127"/>
  <c r="C63" i="127"/>
  <c r="AM62" i="127"/>
  <c r="AL62" i="127"/>
  <c r="AI62" i="127"/>
  <c r="AF62" i="127"/>
  <c r="AB62" i="127"/>
  <c r="U62" i="127"/>
  <c r="R62" i="127"/>
  <c r="Q62" i="127"/>
  <c r="K62" i="127"/>
  <c r="J62" i="127"/>
  <c r="I62" i="127"/>
  <c r="H62" i="127"/>
  <c r="G62" i="127"/>
  <c r="C62" i="127"/>
  <c r="AM61" i="127"/>
  <c r="AL61" i="127"/>
  <c r="AI61" i="127"/>
  <c r="AF61" i="127"/>
  <c r="AB61" i="127"/>
  <c r="U61" i="127"/>
  <c r="R61" i="127"/>
  <c r="Q61" i="127"/>
  <c r="K61" i="127"/>
  <c r="J61" i="127"/>
  <c r="I61" i="127"/>
  <c r="H61" i="127"/>
  <c r="G61" i="127"/>
  <c r="C61" i="127"/>
  <c r="AM60" i="127"/>
  <c r="AL60" i="127"/>
  <c r="AI60" i="127"/>
  <c r="AF60" i="127"/>
  <c r="AB60" i="127"/>
  <c r="U60" i="127"/>
  <c r="R60" i="127"/>
  <c r="Q60" i="127"/>
  <c r="K60" i="127"/>
  <c r="J60" i="127"/>
  <c r="I60" i="127"/>
  <c r="H60" i="127"/>
  <c r="G60" i="127"/>
  <c r="C60" i="127"/>
  <c r="AM59" i="127"/>
  <c r="AL59" i="127"/>
  <c r="AI59" i="127"/>
  <c r="AF59" i="127"/>
  <c r="AB59" i="127"/>
  <c r="U59" i="127"/>
  <c r="R59" i="127"/>
  <c r="Q59" i="127"/>
  <c r="K59" i="127"/>
  <c r="J59" i="127"/>
  <c r="I59" i="127"/>
  <c r="H59" i="127"/>
  <c r="G59" i="127"/>
  <c r="C59" i="127"/>
  <c r="AO58" i="127"/>
  <c r="AM58" i="127"/>
  <c r="AL58" i="127"/>
  <c r="AK58" i="127"/>
  <c r="AJ58" i="127"/>
  <c r="AI58" i="127"/>
  <c r="AH58" i="127"/>
  <c r="AG58" i="127"/>
  <c r="AF58" i="127"/>
  <c r="AE58" i="127"/>
  <c r="AD58" i="127"/>
  <c r="AC58" i="127"/>
  <c r="AB58" i="127"/>
  <c r="AA58" i="127"/>
  <c r="Z58" i="127"/>
  <c r="Y58" i="127"/>
  <c r="X58" i="127"/>
  <c r="W58" i="127"/>
  <c r="V58" i="127"/>
  <c r="U58" i="127"/>
  <c r="T58" i="127"/>
  <c r="S58" i="127"/>
  <c r="R58" i="127"/>
  <c r="Q58" i="127"/>
  <c r="P58" i="127"/>
  <c r="O58" i="127"/>
  <c r="N58" i="127"/>
  <c r="M58" i="127"/>
  <c r="L58" i="127"/>
  <c r="K58" i="127"/>
  <c r="J58" i="127"/>
  <c r="I58" i="127"/>
  <c r="H58" i="127"/>
  <c r="G58" i="127"/>
  <c r="F58" i="127"/>
  <c r="E58" i="127"/>
  <c r="D58" i="127"/>
  <c r="C58" i="127"/>
  <c r="AM57" i="127"/>
  <c r="AL57" i="127"/>
  <c r="AI57" i="127"/>
  <c r="AF57" i="127"/>
  <c r="AB57" i="127"/>
  <c r="U57" i="127"/>
  <c r="R57" i="127"/>
  <c r="Q57" i="127"/>
  <c r="K57" i="127"/>
  <c r="J57" i="127"/>
  <c r="I57" i="127"/>
  <c r="H57" i="127"/>
  <c r="G57" i="127"/>
  <c r="C57" i="127"/>
  <c r="AM56" i="127"/>
  <c r="AL56" i="127"/>
  <c r="AI56" i="127"/>
  <c r="AF56" i="127"/>
  <c r="AB56" i="127"/>
  <c r="U56" i="127"/>
  <c r="R56" i="127"/>
  <c r="Q56" i="127"/>
  <c r="K56" i="127"/>
  <c r="J56" i="127"/>
  <c r="I56" i="127"/>
  <c r="H56" i="127"/>
  <c r="G56" i="127"/>
  <c r="C56" i="127"/>
  <c r="AM55" i="127"/>
  <c r="AL55" i="127"/>
  <c r="AI55" i="127"/>
  <c r="AF55" i="127"/>
  <c r="AB55" i="127"/>
  <c r="U55" i="127"/>
  <c r="R55" i="127"/>
  <c r="Q55" i="127"/>
  <c r="K55" i="127"/>
  <c r="J55" i="127"/>
  <c r="I55" i="127"/>
  <c r="H55" i="127"/>
  <c r="G55" i="127"/>
  <c r="C55" i="127"/>
  <c r="AM54" i="127"/>
  <c r="AL54" i="127"/>
  <c r="AI54" i="127"/>
  <c r="AF54" i="127"/>
  <c r="AB54" i="127"/>
  <c r="U54" i="127"/>
  <c r="R54" i="127"/>
  <c r="Q54" i="127"/>
  <c r="K54" i="127"/>
  <c r="J54" i="127"/>
  <c r="I54" i="127"/>
  <c r="H54" i="127"/>
  <c r="G54" i="127"/>
  <c r="C54" i="127"/>
  <c r="AM53" i="127"/>
  <c r="AL53" i="127"/>
  <c r="AI53" i="127"/>
  <c r="AF53" i="127"/>
  <c r="AB53" i="127"/>
  <c r="U53" i="127"/>
  <c r="R53" i="127"/>
  <c r="Q53" i="127"/>
  <c r="K53" i="127"/>
  <c r="J53" i="127"/>
  <c r="I53" i="127"/>
  <c r="H53" i="127"/>
  <c r="G53" i="127"/>
  <c r="C53" i="127"/>
  <c r="AM52" i="127"/>
  <c r="AL52" i="127"/>
  <c r="AI52" i="127"/>
  <c r="AF52" i="127"/>
  <c r="AB52" i="127"/>
  <c r="U52" i="127"/>
  <c r="R52" i="127"/>
  <c r="Q52" i="127"/>
  <c r="K52" i="127"/>
  <c r="J52" i="127"/>
  <c r="I52" i="127"/>
  <c r="H52" i="127"/>
  <c r="G52" i="127"/>
  <c r="C52" i="127"/>
  <c r="AM51" i="127"/>
  <c r="AL51" i="127"/>
  <c r="AI51" i="127"/>
  <c r="AF51" i="127"/>
  <c r="AB51" i="127"/>
  <c r="U51" i="127"/>
  <c r="R51" i="127"/>
  <c r="Q51" i="127"/>
  <c r="K51" i="127"/>
  <c r="J51" i="127"/>
  <c r="I51" i="127"/>
  <c r="H51" i="127"/>
  <c r="G51" i="127"/>
  <c r="C51" i="127"/>
  <c r="AM50" i="127"/>
  <c r="AL50" i="127"/>
  <c r="AI50" i="127"/>
  <c r="AF50" i="127"/>
  <c r="AB50" i="127"/>
  <c r="U50" i="127"/>
  <c r="R50" i="127"/>
  <c r="Q50" i="127"/>
  <c r="K50" i="127"/>
  <c r="J50" i="127"/>
  <c r="I50" i="127"/>
  <c r="H50" i="127"/>
  <c r="G50" i="127"/>
  <c r="C50" i="127"/>
  <c r="AM49" i="127"/>
  <c r="AL49" i="127"/>
  <c r="AI49" i="127"/>
  <c r="AF49" i="127"/>
  <c r="AB49" i="127"/>
  <c r="U49" i="127"/>
  <c r="R49" i="127"/>
  <c r="Q49" i="127"/>
  <c r="K49" i="127"/>
  <c r="J49" i="127"/>
  <c r="I49" i="127"/>
  <c r="H49" i="127"/>
  <c r="G49" i="127"/>
  <c r="C49" i="127"/>
  <c r="AM48" i="127"/>
  <c r="AL48" i="127"/>
  <c r="AI48" i="127"/>
  <c r="AF48" i="127"/>
  <c r="AB48" i="127"/>
  <c r="U48" i="127"/>
  <c r="R48" i="127"/>
  <c r="Q48" i="127"/>
  <c r="K48" i="127"/>
  <c r="J48" i="127"/>
  <c r="I48" i="127"/>
  <c r="H48" i="127"/>
  <c r="G48" i="127"/>
  <c r="C48" i="127"/>
  <c r="AM47" i="127"/>
  <c r="AL47" i="127"/>
  <c r="AI47" i="127"/>
  <c r="AF47" i="127"/>
  <c r="AB47" i="127"/>
  <c r="U47" i="127"/>
  <c r="S47" i="127"/>
  <c r="R47" i="127"/>
  <c r="Q47" i="127"/>
  <c r="K47" i="127"/>
  <c r="J47" i="127"/>
  <c r="I47" i="127"/>
  <c r="H47" i="127"/>
  <c r="G47" i="127"/>
  <c r="C47" i="127"/>
  <c r="AM46" i="127"/>
  <c r="AL46" i="127"/>
  <c r="AI46" i="127"/>
  <c r="AF46" i="127"/>
  <c r="AB46" i="127"/>
  <c r="U46" i="127"/>
  <c r="R46" i="127"/>
  <c r="Q46" i="127"/>
  <c r="K46" i="127"/>
  <c r="J46" i="127"/>
  <c r="I46" i="127"/>
  <c r="H46" i="127"/>
  <c r="G46" i="127"/>
  <c r="C46" i="127"/>
  <c r="AM45" i="127"/>
  <c r="AL45" i="127"/>
  <c r="AI45" i="127"/>
  <c r="AF45" i="127"/>
  <c r="AB45" i="127"/>
  <c r="U45" i="127"/>
  <c r="S45" i="127"/>
  <c r="R45" i="127"/>
  <c r="Q45" i="127"/>
  <c r="K45" i="127"/>
  <c r="J45" i="127"/>
  <c r="I45" i="127"/>
  <c r="H45" i="127"/>
  <c r="G45" i="127"/>
  <c r="D45" i="127"/>
  <c r="C45" i="127"/>
  <c r="AM44" i="127"/>
  <c r="AL44" i="127"/>
  <c r="AI44" i="127"/>
  <c r="AF44" i="127"/>
  <c r="AB44" i="127"/>
  <c r="U44" i="127"/>
  <c r="S44" i="127"/>
  <c r="R44" i="127"/>
  <c r="Q44" i="127"/>
  <c r="K44" i="127"/>
  <c r="J44" i="127"/>
  <c r="I44" i="127"/>
  <c r="H44" i="127"/>
  <c r="G44" i="127"/>
  <c r="D44" i="127"/>
  <c r="C44" i="127"/>
  <c r="AM43" i="127"/>
  <c r="AL43" i="127"/>
  <c r="AI43" i="127"/>
  <c r="AF43" i="127"/>
  <c r="AB43" i="127"/>
  <c r="U43" i="127"/>
  <c r="S43" i="127"/>
  <c r="R43" i="127"/>
  <c r="Q43" i="127"/>
  <c r="K43" i="127"/>
  <c r="J43" i="127"/>
  <c r="I43" i="127"/>
  <c r="H43" i="127"/>
  <c r="G43" i="127"/>
  <c r="D43" i="127"/>
  <c r="C43" i="127"/>
  <c r="AM42" i="127"/>
  <c r="AL42" i="127"/>
  <c r="AI42" i="127"/>
  <c r="AF42" i="127"/>
  <c r="AB42" i="127"/>
  <c r="U42" i="127"/>
  <c r="R42" i="127"/>
  <c r="Q42" i="127"/>
  <c r="K42" i="127"/>
  <c r="J42" i="127"/>
  <c r="I42" i="127"/>
  <c r="H42" i="127"/>
  <c r="G42" i="127"/>
  <c r="C42" i="127"/>
  <c r="AM41" i="127"/>
  <c r="AL41" i="127"/>
  <c r="AI41" i="127"/>
  <c r="AF41" i="127"/>
  <c r="AB41" i="127"/>
  <c r="U41" i="127"/>
  <c r="S41" i="127"/>
  <c r="R41" i="127"/>
  <c r="Q41" i="127"/>
  <c r="K41" i="127"/>
  <c r="J41" i="127"/>
  <c r="I41" i="127"/>
  <c r="H41" i="127"/>
  <c r="G41" i="127"/>
  <c r="D41" i="127"/>
  <c r="C41" i="127"/>
  <c r="AM40" i="127"/>
  <c r="AL40" i="127"/>
  <c r="AI40" i="127"/>
  <c r="AF40" i="127"/>
  <c r="AB40" i="127"/>
  <c r="U40" i="127"/>
  <c r="S40" i="127"/>
  <c r="R40" i="127"/>
  <c r="Q40" i="127"/>
  <c r="K40" i="127"/>
  <c r="J40" i="127"/>
  <c r="I40" i="127"/>
  <c r="H40" i="127"/>
  <c r="G40" i="127"/>
  <c r="D40" i="127"/>
  <c r="C40" i="127"/>
  <c r="AM39" i="127"/>
  <c r="AL39" i="127"/>
  <c r="AI39" i="127"/>
  <c r="AF39" i="127"/>
  <c r="AB39" i="127"/>
  <c r="U39" i="127"/>
  <c r="S39" i="127"/>
  <c r="R39" i="127"/>
  <c r="Q39" i="127"/>
  <c r="K39" i="127"/>
  <c r="J39" i="127"/>
  <c r="I39" i="127"/>
  <c r="H39" i="127"/>
  <c r="G39" i="127"/>
  <c r="D39" i="127"/>
  <c r="C39" i="127"/>
  <c r="AM38" i="127"/>
  <c r="AL38" i="127"/>
  <c r="AI38" i="127"/>
  <c r="AF38" i="127"/>
  <c r="AB38" i="127"/>
  <c r="U38" i="127"/>
  <c r="S38" i="127"/>
  <c r="R38" i="127"/>
  <c r="Q38" i="127"/>
  <c r="K38" i="127"/>
  <c r="J38" i="127"/>
  <c r="I38" i="127"/>
  <c r="H38" i="127"/>
  <c r="G38" i="127"/>
  <c r="D38" i="127"/>
  <c r="C38" i="127"/>
  <c r="AM37" i="127"/>
  <c r="AL37" i="127"/>
  <c r="AI37" i="127"/>
  <c r="AF37" i="127"/>
  <c r="AB37" i="127"/>
  <c r="U37" i="127"/>
  <c r="R37" i="127"/>
  <c r="Q37" i="127"/>
  <c r="K37" i="127"/>
  <c r="J37" i="127"/>
  <c r="I37" i="127"/>
  <c r="H37" i="127"/>
  <c r="G37" i="127"/>
  <c r="C37" i="127"/>
  <c r="AM36" i="127"/>
  <c r="AL36" i="127"/>
  <c r="AI36" i="127"/>
  <c r="AF36" i="127"/>
  <c r="AB36" i="127"/>
  <c r="U36" i="127"/>
  <c r="R36" i="127"/>
  <c r="Q36" i="127"/>
  <c r="K36" i="127"/>
  <c r="J36" i="127"/>
  <c r="I36" i="127"/>
  <c r="H36" i="127"/>
  <c r="G36" i="127"/>
  <c r="C36" i="127"/>
  <c r="AM35" i="127"/>
  <c r="AL35" i="127"/>
  <c r="AI35" i="127"/>
  <c r="AF35" i="127"/>
  <c r="AB35" i="127"/>
  <c r="U35" i="127"/>
  <c r="R35" i="127"/>
  <c r="Q35" i="127"/>
  <c r="K35" i="127"/>
  <c r="J35" i="127"/>
  <c r="I35" i="127"/>
  <c r="H35" i="127"/>
  <c r="G35" i="127"/>
  <c r="C35" i="127"/>
  <c r="AM34" i="127"/>
  <c r="AL34" i="127"/>
  <c r="AI34" i="127"/>
  <c r="AF34" i="127"/>
  <c r="AB34" i="127"/>
  <c r="U34" i="127"/>
  <c r="R34" i="127"/>
  <c r="Q34" i="127"/>
  <c r="K34" i="127"/>
  <c r="J34" i="127"/>
  <c r="I34" i="127"/>
  <c r="H34" i="127"/>
  <c r="G34" i="127"/>
  <c r="C34" i="127"/>
  <c r="AM33" i="127"/>
  <c r="AL33" i="127"/>
  <c r="AI33" i="127"/>
  <c r="AF33" i="127"/>
  <c r="AB33" i="127"/>
  <c r="U33" i="127"/>
  <c r="R33" i="127"/>
  <c r="Q33" i="127"/>
  <c r="K33" i="127"/>
  <c r="J33" i="127"/>
  <c r="I33" i="127"/>
  <c r="H33" i="127"/>
  <c r="G33" i="127"/>
  <c r="C33" i="127"/>
  <c r="AM32" i="127"/>
  <c r="AL32" i="127"/>
  <c r="AI32" i="127"/>
  <c r="AF32" i="127"/>
  <c r="AB32" i="127"/>
  <c r="U32" i="127"/>
  <c r="R32" i="127"/>
  <c r="Q32" i="127"/>
  <c r="K32" i="127"/>
  <c r="J32" i="127"/>
  <c r="I32" i="127"/>
  <c r="H32" i="127"/>
  <c r="G32" i="127"/>
  <c r="C32" i="127"/>
  <c r="AM31" i="127"/>
  <c r="AL31" i="127"/>
  <c r="AI31" i="127"/>
  <c r="AF31" i="127"/>
  <c r="AB31" i="127"/>
  <c r="U31" i="127"/>
  <c r="R31" i="127"/>
  <c r="Q31" i="127"/>
  <c r="K31" i="127"/>
  <c r="J31" i="127"/>
  <c r="I31" i="127"/>
  <c r="H31" i="127"/>
  <c r="G31" i="127"/>
  <c r="C31" i="127"/>
  <c r="AM30" i="127"/>
  <c r="AL30" i="127"/>
  <c r="AI30" i="127"/>
  <c r="AF30" i="127"/>
  <c r="AB30" i="127"/>
  <c r="U30" i="127"/>
  <c r="S30" i="127"/>
  <c r="R30" i="127"/>
  <c r="Q30" i="127"/>
  <c r="K30" i="127"/>
  <c r="J30" i="127"/>
  <c r="I30" i="127"/>
  <c r="H30" i="127"/>
  <c r="G30" i="127"/>
  <c r="D30" i="127"/>
  <c r="C30" i="127"/>
  <c r="AM29" i="127"/>
  <c r="AL29" i="127"/>
  <c r="AI29" i="127"/>
  <c r="AF29" i="127"/>
  <c r="AB29" i="127"/>
  <c r="U29" i="127"/>
  <c r="S29" i="127"/>
  <c r="R29" i="127"/>
  <c r="Q29" i="127"/>
  <c r="K29" i="127"/>
  <c r="J29" i="127"/>
  <c r="I29" i="127"/>
  <c r="H29" i="127"/>
  <c r="G29" i="127"/>
  <c r="D29" i="127"/>
  <c r="C29" i="127"/>
  <c r="AM28" i="127"/>
  <c r="AL28" i="127"/>
  <c r="AI28" i="127"/>
  <c r="AF28" i="127"/>
  <c r="AB28" i="127"/>
  <c r="U28" i="127"/>
  <c r="R28" i="127"/>
  <c r="Q28" i="127"/>
  <c r="K28" i="127"/>
  <c r="J28" i="127"/>
  <c r="I28" i="127"/>
  <c r="H28" i="127"/>
  <c r="G28" i="127"/>
  <c r="C28" i="127"/>
  <c r="AM27" i="127"/>
  <c r="AL27" i="127"/>
  <c r="AI27" i="127"/>
  <c r="AF27" i="127"/>
  <c r="AB27" i="127"/>
  <c r="U27" i="127"/>
  <c r="R27" i="127"/>
  <c r="Q27" i="127"/>
  <c r="K27" i="127"/>
  <c r="J27" i="127"/>
  <c r="I27" i="127"/>
  <c r="H27" i="127"/>
  <c r="G27" i="127"/>
  <c r="C27" i="127"/>
  <c r="AM26" i="127"/>
  <c r="AL26" i="127"/>
  <c r="AI26" i="127"/>
  <c r="AF26" i="127"/>
  <c r="AB26" i="127"/>
  <c r="U26" i="127"/>
  <c r="S26" i="127"/>
  <c r="R26" i="127"/>
  <c r="Q26" i="127"/>
  <c r="K26" i="127"/>
  <c r="J26" i="127"/>
  <c r="I26" i="127"/>
  <c r="H26" i="127"/>
  <c r="G26" i="127"/>
  <c r="D26" i="127"/>
  <c r="C26" i="127"/>
  <c r="AO25" i="127"/>
  <c r="AM25" i="127"/>
  <c r="AL25" i="127"/>
  <c r="AK25" i="127"/>
  <c r="AJ25" i="127"/>
  <c r="AI25" i="127"/>
  <c r="AH25" i="127"/>
  <c r="AG25" i="127"/>
  <c r="AF25" i="127"/>
  <c r="AE25" i="127"/>
  <c r="AD25" i="127"/>
  <c r="AC25" i="127"/>
  <c r="AB25" i="127"/>
  <c r="AA25" i="127"/>
  <c r="Z25" i="127"/>
  <c r="Y25" i="127"/>
  <c r="X25" i="127"/>
  <c r="W25" i="127"/>
  <c r="V25" i="127"/>
  <c r="U25" i="127"/>
  <c r="T25" i="127"/>
  <c r="S25" i="127"/>
  <c r="R25" i="127"/>
  <c r="Q25" i="127"/>
  <c r="P25" i="127"/>
  <c r="O25" i="127"/>
  <c r="N25" i="127"/>
  <c r="M25" i="127"/>
  <c r="L25" i="127"/>
  <c r="K25" i="127"/>
  <c r="J25" i="127"/>
  <c r="I25" i="127"/>
  <c r="H25" i="127"/>
  <c r="G25" i="127"/>
  <c r="F25" i="127"/>
  <c r="E25" i="127"/>
  <c r="D25" i="127"/>
  <c r="C25" i="127"/>
  <c r="R24" i="127"/>
  <c r="Q24" i="127"/>
  <c r="I24" i="127"/>
  <c r="H24" i="127"/>
  <c r="G24" i="127"/>
  <c r="AN23" i="127"/>
  <c r="AL23" i="127"/>
  <c r="AI23" i="127"/>
  <c r="AF23" i="127"/>
  <c r="AB23" i="127"/>
  <c r="V23" i="127"/>
  <c r="U23" i="127"/>
  <c r="S23" i="127"/>
  <c r="R23" i="127"/>
  <c r="Q23" i="127"/>
  <c r="K23" i="127"/>
  <c r="J23" i="127"/>
  <c r="I23" i="127"/>
  <c r="H23" i="127"/>
  <c r="G23" i="127"/>
  <c r="C23" i="127"/>
  <c r="AO22" i="127"/>
  <c r="AN22" i="127"/>
  <c r="AL22" i="127"/>
  <c r="AK22" i="127"/>
  <c r="AJ22" i="127"/>
  <c r="AI22" i="127"/>
  <c r="AH22" i="127"/>
  <c r="AG22" i="127"/>
  <c r="AF22" i="127"/>
  <c r="AE22" i="127"/>
  <c r="AD22" i="127"/>
  <c r="AC22" i="127"/>
  <c r="AB22" i="127"/>
  <c r="AA22" i="127"/>
  <c r="Z22" i="127"/>
  <c r="Y22" i="127"/>
  <c r="X22" i="127"/>
  <c r="W22" i="127"/>
  <c r="V22" i="127"/>
  <c r="U22" i="127"/>
  <c r="T22" i="127"/>
  <c r="S22" i="127"/>
  <c r="R22" i="127"/>
  <c r="Q22" i="127"/>
  <c r="P22" i="127"/>
  <c r="O22" i="127"/>
  <c r="N22" i="127"/>
  <c r="M22" i="127"/>
  <c r="L22" i="127"/>
  <c r="K22" i="127"/>
  <c r="J22" i="127"/>
  <c r="I22" i="127"/>
  <c r="H22" i="127"/>
  <c r="G22" i="127"/>
  <c r="F22" i="127"/>
  <c r="E22" i="127"/>
  <c r="D22" i="127"/>
  <c r="C22" i="127"/>
  <c r="AO21" i="127"/>
  <c r="AN21" i="127"/>
  <c r="AM21" i="127"/>
  <c r="AL21" i="127"/>
  <c r="AK21" i="127"/>
  <c r="AJ21" i="127"/>
  <c r="AI21" i="127"/>
  <c r="AH21" i="127"/>
  <c r="AG21" i="127"/>
  <c r="AF21" i="127"/>
  <c r="AE21" i="127"/>
  <c r="AD21" i="127"/>
  <c r="AC21" i="127"/>
  <c r="AB21" i="127"/>
  <c r="AA21" i="127"/>
  <c r="Z21" i="127"/>
  <c r="Y21" i="127"/>
  <c r="X21" i="127"/>
  <c r="W21" i="127"/>
  <c r="V21" i="127"/>
  <c r="U21" i="127"/>
  <c r="T21" i="127"/>
  <c r="S21" i="127"/>
  <c r="R21" i="127"/>
  <c r="Q21" i="127"/>
  <c r="P21" i="127"/>
  <c r="O21" i="127"/>
  <c r="N21" i="127"/>
  <c r="M21" i="127"/>
  <c r="L21" i="127"/>
  <c r="K21" i="127"/>
  <c r="J21" i="127"/>
  <c r="I21" i="127"/>
  <c r="H21" i="127"/>
  <c r="G21" i="127"/>
  <c r="F21" i="127"/>
  <c r="E21" i="127"/>
  <c r="D21" i="127"/>
  <c r="C21" i="127"/>
  <c r="AN20" i="127"/>
  <c r="AL20" i="127"/>
  <c r="AI20" i="127"/>
  <c r="AF20" i="127"/>
  <c r="AB20" i="127"/>
  <c r="U20" i="127"/>
  <c r="R20" i="127"/>
  <c r="Q20" i="127"/>
  <c r="N20" i="127"/>
  <c r="K20" i="127"/>
  <c r="J20" i="127"/>
  <c r="I20" i="127"/>
  <c r="H20" i="127"/>
  <c r="G20" i="127"/>
  <c r="C20" i="127"/>
  <c r="AN19" i="127"/>
  <c r="AL19" i="127"/>
  <c r="AI19" i="127"/>
  <c r="AF19" i="127"/>
  <c r="AB19" i="127"/>
  <c r="U19" i="127"/>
  <c r="R19" i="127"/>
  <c r="Q19" i="127"/>
  <c r="N19" i="127"/>
  <c r="K19" i="127"/>
  <c r="J19" i="127"/>
  <c r="I19" i="127"/>
  <c r="H19" i="127"/>
  <c r="G19" i="127"/>
  <c r="C19" i="127"/>
  <c r="AN18" i="127"/>
  <c r="AL18" i="127"/>
  <c r="AI18" i="127"/>
  <c r="AF18" i="127"/>
  <c r="AB18" i="127"/>
  <c r="U18" i="127"/>
  <c r="R18" i="127"/>
  <c r="Q18" i="127"/>
  <c r="K18" i="127"/>
  <c r="J18" i="127"/>
  <c r="I18" i="127"/>
  <c r="H18" i="127"/>
  <c r="G18" i="127"/>
  <c r="C18" i="127"/>
  <c r="AN17" i="127"/>
  <c r="AL17" i="127"/>
  <c r="AI17" i="127"/>
  <c r="AF17" i="127"/>
  <c r="AB17" i="127"/>
  <c r="U17" i="127"/>
  <c r="R17" i="127"/>
  <c r="Q17" i="127"/>
  <c r="K17" i="127"/>
  <c r="J17" i="127"/>
  <c r="I17" i="127"/>
  <c r="H17" i="127"/>
  <c r="G17" i="127"/>
  <c r="C17" i="127"/>
  <c r="AN16" i="127"/>
  <c r="AL16" i="127"/>
  <c r="AI16" i="127"/>
  <c r="AF16" i="127"/>
  <c r="AB16" i="127"/>
  <c r="U16" i="127"/>
  <c r="R16" i="127"/>
  <c r="Q16" i="127"/>
  <c r="K16" i="127"/>
  <c r="J16" i="127"/>
  <c r="I16" i="127"/>
  <c r="H16" i="127"/>
  <c r="G16" i="127"/>
  <c r="C16" i="127"/>
  <c r="AO15" i="127"/>
  <c r="AN15" i="127"/>
  <c r="AL15" i="127"/>
  <c r="AK15" i="127"/>
  <c r="AJ15" i="127"/>
  <c r="AI15" i="127"/>
  <c r="AH15" i="127"/>
  <c r="AG15" i="127"/>
  <c r="AF15" i="127"/>
  <c r="AE15" i="127"/>
  <c r="AD15" i="127"/>
  <c r="AC15" i="127"/>
  <c r="AB15" i="127"/>
  <c r="AA15" i="127"/>
  <c r="Z15" i="127"/>
  <c r="Y15" i="127"/>
  <c r="X15" i="127"/>
  <c r="W15" i="127"/>
  <c r="V15" i="127"/>
  <c r="U15" i="127"/>
  <c r="T15" i="127"/>
  <c r="S15" i="127"/>
  <c r="R15" i="127"/>
  <c r="Q15" i="127"/>
  <c r="P15" i="127"/>
  <c r="O15" i="127"/>
  <c r="N15" i="127"/>
  <c r="M15" i="127"/>
  <c r="L15" i="127"/>
  <c r="K15" i="127"/>
  <c r="J15" i="127"/>
  <c r="I15" i="127"/>
  <c r="H15" i="127"/>
  <c r="G15" i="127"/>
  <c r="F15" i="127"/>
  <c r="E15" i="127"/>
  <c r="D15" i="127"/>
  <c r="C15" i="127"/>
  <c r="AN14" i="127"/>
  <c r="AL14" i="127"/>
  <c r="AI14" i="127"/>
  <c r="AF14" i="127"/>
  <c r="AB14" i="127"/>
  <c r="U14" i="127"/>
  <c r="R14" i="127"/>
  <c r="Q14" i="127"/>
  <c r="K14" i="127"/>
  <c r="J14" i="127"/>
  <c r="I14" i="127"/>
  <c r="H14" i="127"/>
  <c r="G14" i="127"/>
  <c r="C14" i="127"/>
  <c r="AO13" i="127"/>
  <c r="AN13" i="127"/>
  <c r="AL13" i="127"/>
  <c r="AK13" i="127"/>
  <c r="AJ13" i="127"/>
  <c r="AI13" i="127"/>
  <c r="AH13" i="127"/>
  <c r="AG13" i="127"/>
  <c r="AF13" i="127"/>
  <c r="AE13" i="127"/>
  <c r="AD13" i="127"/>
  <c r="AC13" i="127"/>
  <c r="AB13" i="127"/>
  <c r="AA13" i="127"/>
  <c r="Z13" i="127"/>
  <c r="Y13" i="127"/>
  <c r="X13" i="127"/>
  <c r="W13" i="127"/>
  <c r="V13" i="127"/>
  <c r="U13" i="127"/>
  <c r="T13" i="127"/>
  <c r="S13" i="127"/>
  <c r="R13" i="127"/>
  <c r="Q13" i="127"/>
  <c r="P13" i="127"/>
  <c r="O13" i="127"/>
  <c r="N13" i="127"/>
  <c r="M13" i="127"/>
  <c r="L13" i="127"/>
  <c r="K13" i="127"/>
  <c r="J13" i="127"/>
  <c r="I13" i="127"/>
  <c r="H13" i="127"/>
  <c r="G13" i="127"/>
  <c r="F13" i="127"/>
  <c r="E13" i="127"/>
  <c r="D13" i="127"/>
  <c r="C13" i="127"/>
  <c r="AO12" i="127"/>
  <c r="AN12" i="127"/>
  <c r="AM12" i="127"/>
  <c r="AL12" i="127"/>
  <c r="AK12" i="127"/>
  <c r="AJ12" i="127"/>
  <c r="AI12" i="127"/>
  <c r="AH12" i="127"/>
  <c r="AG12" i="127"/>
  <c r="AF12" i="127"/>
  <c r="AE12" i="127"/>
  <c r="AD12" i="127"/>
  <c r="AC12" i="127"/>
  <c r="AB12" i="127"/>
  <c r="AA12" i="127"/>
  <c r="Z12" i="127"/>
  <c r="Y12" i="127"/>
  <c r="X12" i="127"/>
  <c r="W12" i="127"/>
  <c r="V12" i="127"/>
  <c r="U12" i="127"/>
  <c r="T12" i="127"/>
  <c r="S12" i="127"/>
  <c r="R12" i="127"/>
  <c r="Q12" i="127"/>
  <c r="P12" i="127"/>
  <c r="O12" i="127"/>
  <c r="N12" i="127"/>
  <c r="M12" i="127"/>
  <c r="L12" i="127"/>
  <c r="K12" i="127"/>
  <c r="J12" i="127"/>
  <c r="I12" i="127"/>
  <c r="H12" i="127"/>
  <c r="G12" i="127"/>
  <c r="F12" i="127"/>
  <c r="E12" i="127"/>
  <c r="D12" i="127"/>
  <c r="C12" i="127"/>
  <c r="AO11" i="127"/>
  <c r="AN11" i="127"/>
  <c r="AM11" i="127"/>
  <c r="AL11" i="127"/>
  <c r="AK11" i="127"/>
  <c r="AJ11" i="127"/>
  <c r="AI11" i="127"/>
  <c r="AH11" i="127"/>
  <c r="AG11" i="127"/>
  <c r="AF11" i="127"/>
  <c r="AE11" i="127"/>
  <c r="AD11" i="127"/>
  <c r="AC11" i="127"/>
  <c r="AB11" i="127"/>
  <c r="AA11" i="127"/>
  <c r="Z11" i="127"/>
  <c r="Y11" i="127"/>
  <c r="X11" i="127"/>
  <c r="W11" i="127"/>
  <c r="V11" i="127"/>
  <c r="U11" i="127"/>
  <c r="T11" i="127"/>
  <c r="S11" i="127"/>
  <c r="R11" i="127"/>
  <c r="Q11" i="127"/>
  <c r="P11" i="127"/>
  <c r="O11" i="127"/>
  <c r="N11" i="127"/>
  <c r="M11" i="127"/>
  <c r="L11" i="127"/>
  <c r="K11" i="127"/>
  <c r="J11" i="127"/>
  <c r="I11" i="127"/>
  <c r="H11" i="127"/>
  <c r="G11" i="127"/>
  <c r="F11" i="127"/>
  <c r="E11" i="127"/>
  <c r="D11" i="127"/>
  <c r="C11" i="127"/>
  <c r="C61" i="119"/>
  <c r="K60" i="119"/>
  <c r="I60" i="119"/>
  <c r="F60" i="119"/>
  <c r="C60" i="119"/>
  <c r="K59" i="119"/>
  <c r="I59" i="119"/>
  <c r="F59" i="119"/>
  <c r="C59" i="119"/>
  <c r="K58" i="119"/>
  <c r="I58" i="119"/>
  <c r="F58" i="119"/>
  <c r="C58" i="119"/>
  <c r="J57" i="119"/>
  <c r="I57" i="119"/>
  <c r="F57" i="119"/>
  <c r="C57" i="119"/>
  <c r="K56" i="119"/>
  <c r="I56" i="119"/>
  <c r="F56" i="119"/>
  <c r="C56" i="119"/>
  <c r="F55" i="119"/>
  <c r="E55" i="119"/>
  <c r="C55" i="119"/>
  <c r="K54" i="119"/>
  <c r="I54" i="119"/>
  <c r="F54" i="119"/>
  <c r="C54" i="119"/>
  <c r="J53" i="119"/>
  <c r="I53" i="119"/>
  <c r="F53" i="119"/>
  <c r="C53" i="119"/>
  <c r="J52" i="119"/>
  <c r="I52" i="119"/>
  <c r="F52" i="119"/>
  <c r="C52" i="119"/>
  <c r="J51" i="119"/>
  <c r="I51" i="119"/>
  <c r="F51" i="119"/>
  <c r="D51" i="119"/>
  <c r="C51" i="119"/>
  <c r="J50" i="119"/>
  <c r="I50" i="119"/>
  <c r="F50" i="119"/>
  <c r="C50" i="119"/>
  <c r="K49" i="119"/>
  <c r="I49" i="119"/>
  <c r="F49" i="119"/>
  <c r="C49" i="119"/>
  <c r="J48" i="119"/>
  <c r="I48" i="119"/>
  <c r="F48" i="119"/>
  <c r="C48" i="119"/>
  <c r="J47" i="119"/>
  <c r="I47" i="119"/>
  <c r="F47" i="119"/>
  <c r="C47" i="119"/>
  <c r="J46" i="119"/>
  <c r="I46" i="119"/>
  <c r="F46" i="119"/>
  <c r="C46" i="119"/>
  <c r="J45" i="119"/>
  <c r="I45" i="119"/>
  <c r="F45" i="119"/>
  <c r="C45" i="119"/>
  <c r="J44" i="119"/>
  <c r="I44" i="119"/>
  <c r="F44" i="119"/>
  <c r="C44" i="119"/>
  <c r="F43" i="119"/>
  <c r="C43" i="119"/>
  <c r="K42" i="119"/>
  <c r="J42" i="119"/>
  <c r="I42" i="119"/>
  <c r="H42" i="119"/>
  <c r="G42" i="119"/>
  <c r="F42" i="119"/>
  <c r="E42" i="119"/>
  <c r="D42" i="119"/>
  <c r="C42" i="119"/>
  <c r="J41" i="119"/>
  <c r="I41" i="119"/>
  <c r="F41" i="119"/>
  <c r="C41" i="119"/>
  <c r="J40" i="119"/>
  <c r="I40" i="119"/>
  <c r="F40" i="119"/>
  <c r="C40" i="119"/>
  <c r="K39" i="119"/>
  <c r="I39" i="119"/>
  <c r="F39" i="119"/>
  <c r="C39" i="119"/>
  <c r="K38" i="119"/>
  <c r="I38" i="119"/>
  <c r="F38" i="119"/>
  <c r="E38" i="119"/>
  <c r="C38" i="119"/>
  <c r="J37" i="119"/>
  <c r="I37" i="119"/>
  <c r="F37" i="119"/>
  <c r="D37" i="119"/>
  <c r="C37" i="119"/>
  <c r="K36" i="119"/>
  <c r="I36" i="119"/>
  <c r="F36" i="119"/>
  <c r="E36" i="119"/>
  <c r="C36" i="119"/>
  <c r="J35" i="119"/>
  <c r="I35" i="119"/>
  <c r="F35" i="119"/>
  <c r="C35" i="119"/>
  <c r="J34" i="119"/>
  <c r="I34" i="119"/>
  <c r="F34" i="119"/>
  <c r="C34" i="119"/>
  <c r="J33" i="119"/>
  <c r="I33" i="119"/>
  <c r="F33" i="119"/>
  <c r="C33" i="119"/>
  <c r="K32" i="119"/>
  <c r="J32" i="119"/>
  <c r="I32" i="119"/>
  <c r="H32" i="119"/>
  <c r="G32" i="119"/>
  <c r="F32" i="119"/>
  <c r="E32" i="119"/>
  <c r="D32" i="119"/>
  <c r="C32" i="119"/>
  <c r="K31" i="119"/>
  <c r="I31" i="119"/>
  <c r="F31" i="119"/>
  <c r="C31" i="119"/>
  <c r="K30" i="119"/>
  <c r="I30" i="119"/>
  <c r="F30" i="119"/>
  <c r="C30" i="119"/>
  <c r="K29" i="119"/>
  <c r="I29" i="119"/>
  <c r="F29" i="119"/>
  <c r="C29" i="119"/>
  <c r="J28" i="119"/>
  <c r="I28" i="119"/>
  <c r="F28" i="119"/>
  <c r="C28" i="119"/>
  <c r="J27" i="119"/>
  <c r="I27" i="119"/>
  <c r="F27" i="119"/>
  <c r="C27" i="119"/>
  <c r="K26" i="119"/>
  <c r="J26" i="119"/>
  <c r="I26" i="119"/>
  <c r="H26" i="119"/>
  <c r="G26" i="119"/>
  <c r="F26" i="119"/>
  <c r="E26" i="119"/>
  <c r="D26" i="119"/>
  <c r="C26" i="119"/>
  <c r="K25" i="119"/>
  <c r="J25" i="119"/>
  <c r="I25" i="119"/>
  <c r="H25" i="119"/>
  <c r="G25" i="119"/>
  <c r="F25" i="119"/>
  <c r="E25" i="119"/>
  <c r="D25" i="119"/>
  <c r="C25" i="119"/>
  <c r="K24" i="119"/>
  <c r="J24" i="119"/>
  <c r="I24" i="119"/>
  <c r="H24" i="119"/>
  <c r="G24" i="119"/>
  <c r="F24" i="119"/>
  <c r="E24" i="119"/>
  <c r="D24" i="119"/>
  <c r="C24" i="119"/>
  <c r="H23" i="119"/>
  <c r="H9" i="119" s="1"/>
  <c r="K9" i="119" s="1"/>
  <c r="G23" i="119"/>
  <c r="G9" i="119" s="1"/>
  <c r="C23" i="119"/>
  <c r="F22" i="119"/>
  <c r="C22" i="119"/>
  <c r="K21" i="119"/>
  <c r="F21" i="119"/>
  <c r="E21" i="119"/>
  <c r="D21" i="119"/>
  <c r="J21" i="119" s="1"/>
  <c r="F20" i="119"/>
  <c r="D20" i="119"/>
  <c r="J20" i="119" s="1"/>
  <c r="F19" i="119"/>
  <c r="C19" i="119"/>
  <c r="K18" i="119"/>
  <c r="F18" i="119"/>
  <c r="F17" i="119"/>
  <c r="C17" i="119"/>
  <c r="F16" i="119"/>
  <c r="C16" i="119"/>
  <c r="F15" i="119"/>
  <c r="C15" i="119"/>
  <c r="J14" i="119"/>
  <c r="I14" i="119"/>
  <c r="F14" i="119"/>
  <c r="C14" i="119"/>
  <c r="J13" i="119"/>
  <c r="I13" i="119"/>
  <c r="F13" i="119"/>
  <c r="C13" i="119"/>
  <c r="F12" i="119"/>
  <c r="C12" i="119"/>
  <c r="F11" i="119"/>
  <c r="C11" i="119"/>
  <c r="F10" i="119"/>
  <c r="E9" i="119"/>
  <c r="E8" i="119"/>
  <c r="N98" i="129"/>
  <c r="C98" i="129"/>
  <c r="N97" i="129"/>
  <c r="N96" i="129"/>
  <c r="N95" i="129"/>
  <c r="C95" i="129"/>
  <c r="N94" i="129"/>
  <c r="D94" i="129"/>
  <c r="C94" i="129"/>
  <c r="N93" i="129"/>
  <c r="E93" i="129"/>
  <c r="C93" i="129"/>
  <c r="N92" i="129"/>
  <c r="C92" i="129"/>
  <c r="N91" i="129"/>
  <c r="E91" i="129"/>
  <c r="C91" i="129"/>
  <c r="N90" i="129"/>
  <c r="D90" i="129"/>
  <c r="C90" i="129"/>
  <c r="N89" i="129"/>
  <c r="M89" i="129"/>
  <c r="D89" i="129"/>
  <c r="C89" i="129"/>
  <c r="N88" i="129"/>
  <c r="C88" i="129"/>
  <c r="N87" i="129"/>
  <c r="C87" i="129"/>
  <c r="N86" i="129"/>
  <c r="D86" i="129"/>
  <c r="C86" i="129"/>
  <c r="N85" i="129"/>
  <c r="D85" i="129"/>
  <c r="C85" i="129"/>
  <c r="N84" i="129"/>
  <c r="C84" i="129"/>
  <c r="N83" i="129"/>
  <c r="M83" i="129"/>
  <c r="L83" i="129"/>
  <c r="K83" i="129"/>
  <c r="J83" i="129"/>
  <c r="I83" i="129"/>
  <c r="H83" i="129"/>
  <c r="G83" i="129"/>
  <c r="F83" i="129"/>
  <c r="E83" i="129"/>
  <c r="D83" i="129"/>
  <c r="C83" i="129"/>
  <c r="N82" i="129"/>
  <c r="C82" i="129"/>
  <c r="N81" i="129"/>
  <c r="C81" i="129"/>
  <c r="N80" i="129"/>
  <c r="C80" i="129"/>
  <c r="N79" i="129"/>
  <c r="C79" i="129"/>
  <c r="N78" i="129"/>
  <c r="C78" i="129"/>
  <c r="N77" i="129"/>
  <c r="C77" i="129"/>
  <c r="N76" i="129"/>
  <c r="C76" i="129"/>
  <c r="N75" i="129"/>
  <c r="C75" i="129"/>
  <c r="N74" i="129"/>
  <c r="C74" i="129"/>
  <c r="N73" i="129"/>
  <c r="C73" i="129"/>
  <c r="N72" i="129"/>
  <c r="C72" i="129"/>
  <c r="N71" i="129"/>
  <c r="C71" i="129"/>
  <c r="N70" i="129"/>
  <c r="C70" i="129"/>
  <c r="N69" i="129"/>
  <c r="C69" i="129"/>
  <c r="N68" i="129"/>
  <c r="C68" i="129"/>
  <c r="N67" i="129"/>
  <c r="M67" i="129"/>
  <c r="L67" i="129"/>
  <c r="K67" i="129"/>
  <c r="J67" i="129"/>
  <c r="I67" i="129"/>
  <c r="H67" i="129"/>
  <c r="G67" i="129"/>
  <c r="F67" i="129"/>
  <c r="E67" i="129"/>
  <c r="D67" i="129"/>
  <c r="C67" i="129"/>
  <c r="N66" i="129"/>
  <c r="C66" i="129"/>
  <c r="N65" i="129"/>
  <c r="C65" i="129"/>
  <c r="C64" i="129"/>
  <c r="N63" i="129"/>
  <c r="N62" i="129"/>
  <c r="E62" i="129"/>
  <c r="D62" i="129"/>
  <c r="C62" i="129"/>
  <c r="N61" i="129"/>
  <c r="C61" i="129"/>
  <c r="N60" i="129"/>
  <c r="E60" i="129"/>
  <c r="C60" i="129"/>
  <c r="N59" i="129"/>
  <c r="C59" i="129"/>
  <c r="N58" i="129"/>
  <c r="C58" i="129"/>
  <c r="N57" i="129"/>
  <c r="D57" i="129"/>
  <c r="C57" i="129"/>
  <c r="N56" i="129"/>
  <c r="M56" i="129"/>
  <c r="L56" i="129"/>
  <c r="K56" i="129"/>
  <c r="J56" i="129"/>
  <c r="I56" i="129"/>
  <c r="H56" i="129"/>
  <c r="G56" i="129"/>
  <c r="F56" i="129"/>
  <c r="E56" i="129"/>
  <c r="D56" i="129"/>
  <c r="C56" i="129"/>
  <c r="N55" i="129"/>
  <c r="C55" i="129"/>
  <c r="N54" i="129"/>
  <c r="C54" i="129"/>
  <c r="N53" i="129"/>
  <c r="C53" i="129"/>
  <c r="N52" i="129"/>
  <c r="C52" i="129"/>
  <c r="N51" i="129"/>
  <c r="C51" i="129"/>
  <c r="N50" i="129"/>
  <c r="C50" i="129"/>
  <c r="N49" i="129"/>
  <c r="E49" i="129"/>
  <c r="C49" i="129"/>
  <c r="N48" i="129"/>
  <c r="E48" i="129"/>
  <c r="C48" i="129"/>
  <c r="N47" i="129"/>
  <c r="C47" i="129"/>
  <c r="N46" i="129"/>
  <c r="C46" i="129"/>
  <c r="N45" i="129"/>
  <c r="C45" i="129"/>
  <c r="N44" i="129"/>
  <c r="C44" i="129"/>
  <c r="N43" i="129"/>
  <c r="E43" i="129"/>
  <c r="D43" i="129"/>
  <c r="C43" i="129"/>
  <c r="N42" i="129"/>
  <c r="N41" i="129"/>
  <c r="C41" i="129"/>
  <c r="N40" i="129"/>
  <c r="C40" i="129"/>
  <c r="N39" i="129"/>
  <c r="C39" i="129"/>
  <c r="N38" i="129"/>
  <c r="C38" i="129"/>
  <c r="N37" i="129"/>
  <c r="C37" i="129"/>
  <c r="N36" i="129"/>
  <c r="C36" i="129"/>
  <c r="N35" i="129"/>
  <c r="E35" i="129"/>
  <c r="D35" i="129"/>
  <c r="C35" i="129"/>
  <c r="N34" i="129"/>
  <c r="M34" i="129"/>
  <c r="L34" i="129"/>
  <c r="K34" i="129"/>
  <c r="J34" i="129"/>
  <c r="I34" i="129"/>
  <c r="H34" i="129"/>
  <c r="G34" i="129"/>
  <c r="F34" i="129"/>
  <c r="E34" i="129"/>
  <c r="D34" i="129"/>
  <c r="C34" i="129"/>
  <c r="N33" i="129"/>
  <c r="M33" i="129"/>
  <c r="L33" i="129"/>
  <c r="K33" i="129"/>
  <c r="J33" i="129"/>
  <c r="I33" i="129"/>
  <c r="H33" i="129"/>
  <c r="G33" i="129"/>
  <c r="F33" i="129"/>
  <c r="E33" i="129"/>
  <c r="D33" i="129"/>
  <c r="C33" i="129"/>
  <c r="N32" i="129"/>
  <c r="M32" i="129"/>
  <c r="L32" i="129"/>
  <c r="K32" i="129"/>
  <c r="J32" i="129"/>
  <c r="I32" i="129"/>
  <c r="H32" i="129"/>
  <c r="G32" i="129"/>
  <c r="F32" i="129"/>
  <c r="E32" i="129"/>
  <c r="D32" i="129"/>
  <c r="C32" i="129"/>
  <c r="N31" i="129"/>
  <c r="M31" i="129"/>
  <c r="L31" i="129"/>
  <c r="K31" i="129"/>
  <c r="J31" i="129"/>
  <c r="I31" i="129"/>
  <c r="H31" i="129"/>
  <c r="G31" i="129"/>
  <c r="F31" i="129"/>
  <c r="E31" i="129"/>
  <c r="D31" i="129"/>
  <c r="C31" i="129"/>
  <c r="N30" i="129"/>
  <c r="D30" i="129"/>
  <c r="C30" i="129"/>
  <c r="N29" i="129"/>
  <c r="C29" i="129"/>
  <c r="N28" i="129"/>
  <c r="C28" i="129"/>
  <c r="N27" i="129"/>
  <c r="C27" i="129"/>
  <c r="N26" i="129"/>
  <c r="C26" i="129"/>
  <c r="N25" i="129"/>
  <c r="C25" i="129"/>
  <c r="N24" i="129"/>
  <c r="C24" i="129"/>
  <c r="N23" i="129"/>
  <c r="C23" i="129"/>
  <c r="N22" i="129"/>
  <c r="C22" i="129"/>
  <c r="N21" i="129"/>
  <c r="M21" i="129"/>
  <c r="L21" i="129"/>
  <c r="K21" i="129"/>
  <c r="J21" i="129"/>
  <c r="I21" i="129"/>
  <c r="H21" i="129"/>
  <c r="G21" i="129"/>
  <c r="F21" i="129"/>
  <c r="E21" i="129"/>
  <c r="D21" i="129"/>
  <c r="C21" i="129"/>
  <c r="N20" i="129"/>
  <c r="C20" i="129"/>
  <c r="N19" i="129"/>
  <c r="M19" i="129"/>
  <c r="L19" i="129"/>
  <c r="K19" i="129"/>
  <c r="J19" i="129"/>
  <c r="I19" i="129"/>
  <c r="H19" i="129"/>
  <c r="G19" i="129"/>
  <c r="F19" i="129"/>
  <c r="E19" i="129"/>
  <c r="D19" i="129"/>
  <c r="C19" i="129"/>
  <c r="N18" i="129"/>
  <c r="D18" i="129"/>
  <c r="C18" i="129"/>
  <c r="N17" i="129"/>
  <c r="C17" i="129"/>
  <c r="N16" i="129"/>
  <c r="M16" i="129"/>
  <c r="L16" i="129"/>
  <c r="K16" i="129"/>
  <c r="J16" i="129"/>
  <c r="I16" i="129"/>
  <c r="H16" i="129"/>
  <c r="G16" i="129"/>
  <c r="F16" i="129"/>
  <c r="E16" i="129"/>
  <c r="D16" i="129"/>
  <c r="C16" i="129"/>
  <c r="N15" i="129"/>
  <c r="C15" i="129"/>
  <c r="N14" i="129"/>
  <c r="M14" i="129"/>
  <c r="L14" i="129"/>
  <c r="K14" i="129"/>
  <c r="J14" i="129"/>
  <c r="I14" i="129"/>
  <c r="H14" i="129"/>
  <c r="G14" i="129"/>
  <c r="F14" i="129"/>
  <c r="E14" i="129"/>
  <c r="D14" i="129"/>
  <c r="C14" i="129"/>
  <c r="N13" i="129"/>
  <c r="C13" i="129"/>
  <c r="N12" i="129"/>
  <c r="E12" i="129"/>
  <c r="C12" i="129"/>
  <c r="N11" i="129"/>
  <c r="E11" i="129"/>
  <c r="D11" i="129"/>
  <c r="C11" i="129"/>
  <c r="P10" i="129"/>
  <c r="N10" i="129"/>
  <c r="E10" i="129"/>
  <c r="D10" i="129"/>
  <c r="C10" i="129"/>
  <c r="N9" i="129"/>
  <c r="M9" i="129"/>
  <c r="L9" i="129"/>
  <c r="K9" i="129"/>
  <c r="J9" i="129"/>
  <c r="I9" i="129"/>
  <c r="H9" i="129"/>
  <c r="G9" i="129"/>
  <c r="F9" i="129"/>
  <c r="E9" i="129"/>
  <c r="D9" i="129"/>
  <c r="C9" i="129"/>
  <c r="Q8" i="129"/>
  <c r="P8" i="129"/>
  <c r="N8" i="129"/>
  <c r="M8" i="129"/>
  <c r="L8" i="129"/>
  <c r="K8" i="129"/>
  <c r="J8" i="129"/>
  <c r="I8" i="129"/>
  <c r="H8" i="129"/>
  <c r="G8" i="129"/>
  <c r="F8" i="129"/>
  <c r="E8" i="129"/>
  <c r="D8" i="129"/>
  <c r="C8" i="129"/>
  <c r="Q7" i="129"/>
  <c r="P7" i="129"/>
  <c r="N7" i="129"/>
  <c r="M7" i="129"/>
  <c r="L7" i="129"/>
  <c r="K7" i="129"/>
  <c r="J7" i="129"/>
  <c r="I7" i="129"/>
  <c r="H7" i="129"/>
  <c r="G7" i="129"/>
  <c r="F7" i="129"/>
  <c r="E7" i="129"/>
  <c r="D7" i="129"/>
  <c r="C7" i="129"/>
  <c r="G6" i="129"/>
  <c r="F6" i="129"/>
  <c r="Z57" i="130"/>
  <c r="Y57" i="130"/>
  <c r="Z56" i="130"/>
  <c r="Y56" i="130"/>
  <c r="Z55" i="130"/>
  <c r="Y55" i="130"/>
  <c r="Z54" i="130"/>
  <c r="Y54" i="130"/>
  <c r="Z53" i="130"/>
  <c r="Y53" i="130"/>
  <c r="Z52" i="130"/>
  <c r="Y52" i="130"/>
  <c r="Z51" i="130"/>
  <c r="Y51" i="130"/>
  <c r="Z50" i="130"/>
  <c r="Y50" i="130"/>
  <c r="Z49" i="130"/>
  <c r="Y49" i="130"/>
  <c r="Z48" i="130"/>
  <c r="Y48" i="130"/>
  <c r="Z47" i="130"/>
  <c r="Y47" i="130"/>
  <c r="Z46" i="130"/>
  <c r="Y46" i="130"/>
  <c r="Z45" i="130"/>
  <c r="Y45" i="130"/>
  <c r="AC44" i="130"/>
  <c r="Z44" i="130"/>
  <c r="Y44" i="130"/>
  <c r="Z43" i="130"/>
  <c r="Y43" i="130"/>
  <c r="Z42" i="130"/>
  <c r="Y42" i="130"/>
  <c r="Z41" i="130"/>
  <c r="Y41" i="130"/>
  <c r="Z40" i="130"/>
  <c r="Y40" i="130"/>
  <c r="Z39" i="130"/>
  <c r="Y39" i="130"/>
  <c r="Z38" i="130"/>
  <c r="Y38" i="130"/>
  <c r="Z37" i="130"/>
  <c r="Y37" i="130"/>
  <c r="Z36" i="130"/>
  <c r="Y36" i="130"/>
  <c r="Z35" i="130"/>
  <c r="Y35" i="130"/>
  <c r="Z34" i="130"/>
  <c r="Y34" i="130"/>
  <c r="Z33" i="130"/>
  <c r="Y33" i="130"/>
  <c r="Z32" i="130"/>
  <c r="Y32" i="130"/>
  <c r="H32" i="130"/>
  <c r="Z31" i="130"/>
  <c r="Y31" i="130"/>
  <c r="Z30" i="130"/>
  <c r="Y30" i="130"/>
  <c r="H30" i="130"/>
  <c r="Z29" i="130"/>
  <c r="Y29" i="130"/>
  <c r="Z28" i="130"/>
  <c r="Y28" i="130"/>
  <c r="Z27" i="130"/>
  <c r="Y27" i="130"/>
  <c r="Z26" i="130"/>
  <c r="Y26" i="130"/>
  <c r="AG25" i="130"/>
  <c r="Z25" i="130"/>
  <c r="Y25" i="130"/>
  <c r="AH24" i="130"/>
  <c r="AG24" i="130"/>
  <c r="Z24" i="130"/>
  <c r="Y24" i="130"/>
  <c r="H24" i="130"/>
  <c r="AH23" i="130"/>
  <c r="Z23" i="130"/>
  <c r="Y23" i="130"/>
  <c r="AH22" i="130"/>
  <c r="AG22" i="130"/>
  <c r="Z22" i="130"/>
  <c r="Y22" i="130"/>
  <c r="AH21" i="130"/>
  <c r="Z21" i="130"/>
  <c r="Y21" i="130"/>
  <c r="Z20" i="130"/>
  <c r="Y20" i="130"/>
  <c r="G20" i="130"/>
  <c r="Z19" i="130"/>
  <c r="Y19" i="130"/>
  <c r="Z18" i="130"/>
  <c r="Y18" i="130"/>
  <c r="H18" i="130"/>
  <c r="Z17" i="130"/>
  <c r="Y17" i="130"/>
  <c r="AC16" i="130"/>
  <c r="Z16" i="130"/>
  <c r="Y16" i="130"/>
  <c r="H16" i="130"/>
  <c r="Z15" i="130"/>
  <c r="Y15" i="130"/>
  <c r="Z14" i="130"/>
  <c r="Y14" i="130"/>
  <c r="AC13" i="130"/>
  <c r="Z13" i="130"/>
  <c r="Y13" i="130"/>
  <c r="AB12" i="130"/>
  <c r="Z12" i="130"/>
  <c r="Y12" i="130"/>
  <c r="AC11" i="130"/>
  <c r="Z11" i="130"/>
  <c r="Y11" i="130"/>
  <c r="R11" i="130"/>
  <c r="Z10" i="130"/>
  <c r="Y10" i="130"/>
  <c r="AC9" i="130"/>
  <c r="Z9" i="130"/>
  <c r="Y9" i="130"/>
  <c r="Z8" i="130"/>
  <c r="Y8" i="130"/>
  <c r="G8" i="130"/>
  <c r="F8" i="130"/>
  <c r="Z7" i="130"/>
  <c r="Y7" i="130"/>
  <c r="G7" i="130"/>
  <c r="F7" i="130"/>
  <c r="E7" i="130"/>
  <c r="AD25" i="132"/>
  <c r="AB25" i="132"/>
  <c r="Y25" i="132"/>
  <c r="AD24" i="132"/>
  <c r="Y24" i="132"/>
  <c r="AD23" i="132"/>
  <c r="AC23" i="132"/>
  <c r="Z23" i="132"/>
  <c r="AD22" i="132"/>
  <c r="AB22" i="132"/>
  <c r="Y22" i="132"/>
  <c r="G22" i="132"/>
  <c r="AD21" i="132"/>
  <c r="AB21" i="132"/>
  <c r="AA21" i="132"/>
  <c r="Y21" i="132"/>
  <c r="AD20" i="132"/>
  <c r="AB20" i="132"/>
  <c r="AA20" i="132"/>
  <c r="Y20" i="132"/>
  <c r="AD19" i="132"/>
  <c r="AB19" i="132"/>
  <c r="AA19" i="132"/>
  <c r="Y19" i="132"/>
  <c r="AD18" i="132"/>
  <c r="AC18" i="132"/>
  <c r="Z18" i="132"/>
  <c r="AD17" i="132"/>
  <c r="AB17" i="132"/>
  <c r="Y17" i="132"/>
  <c r="AD16" i="132"/>
  <c r="AB16" i="132"/>
  <c r="AA16" i="132"/>
  <c r="AD15" i="132"/>
  <c r="AC15" i="132"/>
  <c r="Z15" i="132"/>
  <c r="AD14" i="132"/>
  <c r="AC14" i="132"/>
  <c r="Z14" i="132"/>
  <c r="G14" i="132"/>
  <c r="AD13" i="132"/>
  <c r="AB13" i="132"/>
  <c r="AA13" i="132"/>
  <c r="Y13" i="132"/>
  <c r="H13" i="132"/>
  <c r="AD12" i="132"/>
  <c r="AB12" i="132"/>
  <c r="AA12" i="132"/>
  <c r="Y12" i="132"/>
  <c r="AG11" i="132"/>
  <c r="AD11" i="132"/>
  <c r="AB11" i="132"/>
  <c r="AA11" i="132"/>
  <c r="Y11" i="132"/>
  <c r="AD10" i="132"/>
  <c r="AB10" i="132"/>
  <c r="AA10" i="132"/>
  <c r="Y10" i="132"/>
  <c r="AK9" i="132"/>
  <c r="AD9" i="132"/>
  <c r="AC9" i="132"/>
  <c r="AA9" i="132"/>
  <c r="Z9" i="132"/>
  <c r="AG8" i="132"/>
  <c r="AD8" i="132"/>
  <c r="AC8" i="132"/>
  <c r="AA8" i="132"/>
  <c r="Z8" i="132"/>
  <c r="H8" i="132"/>
  <c r="AD7" i="132"/>
  <c r="AC7" i="132"/>
  <c r="AB7" i="132"/>
  <c r="AA7" i="132"/>
  <c r="Z7" i="132"/>
  <c r="Y7" i="132"/>
  <c r="X7" i="132"/>
  <c r="W7" i="132"/>
  <c r="V7" i="132"/>
  <c r="U7" i="132"/>
  <c r="T7" i="132"/>
  <c r="S7" i="132"/>
  <c r="R7" i="132"/>
  <c r="Q7" i="132"/>
  <c r="P7" i="132"/>
  <c r="O7" i="132"/>
  <c r="N7" i="132"/>
  <c r="M7" i="132"/>
  <c r="L7" i="132"/>
  <c r="K7" i="132"/>
  <c r="J7" i="132"/>
  <c r="I7" i="132"/>
  <c r="H7" i="132"/>
  <c r="G7" i="132"/>
  <c r="Z48" i="131"/>
  <c r="Y48" i="131"/>
  <c r="Z47" i="131"/>
  <c r="Y47" i="131"/>
  <c r="Z46" i="131"/>
  <c r="Y46" i="131"/>
  <c r="Z45" i="131"/>
  <c r="Y45" i="131"/>
  <c r="Z44" i="131"/>
  <c r="Y44" i="131"/>
  <c r="Z43" i="131"/>
  <c r="Y43" i="131"/>
  <c r="Z42" i="131"/>
  <c r="Y42" i="131"/>
  <c r="Z41" i="131"/>
  <c r="Y41" i="131"/>
  <c r="Z40" i="131"/>
  <c r="Y40" i="131"/>
  <c r="Z39" i="131"/>
  <c r="Y39" i="131"/>
  <c r="Z38" i="131"/>
  <c r="Y38" i="131"/>
  <c r="Z37" i="131"/>
  <c r="Y37" i="131"/>
  <c r="Z36" i="131"/>
  <c r="Y36" i="131"/>
  <c r="AC35" i="131"/>
  <c r="Z35" i="131"/>
  <c r="Y35" i="131"/>
  <c r="Z34" i="131"/>
  <c r="Y34" i="131"/>
  <c r="Z33" i="131"/>
  <c r="Y33" i="131"/>
  <c r="Z32" i="131"/>
  <c r="Y32" i="131"/>
  <c r="Z31" i="131"/>
  <c r="Y31" i="131"/>
  <c r="Z30" i="131"/>
  <c r="Y30" i="131"/>
  <c r="Z29" i="131"/>
  <c r="Y29" i="131"/>
  <c r="Z28" i="131"/>
  <c r="Y28" i="131"/>
  <c r="Z27" i="131"/>
  <c r="Y27" i="131"/>
  <c r="Z26" i="131"/>
  <c r="Y26" i="131"/>
  <c r="Z25" i="131"/>
  <c r="Y25" i="131"/>
  <c r="Z24" i="131"/>
  <c r="Y24" i="131"/>
  <c r="Z23" i="131"/>
  <c r="Y23" i="131"/>
  <c r="H23" i="131"/>
  <c r="Z22" i="131"/>
  <c r="Y22" i="131"/>
  <c r="Z21" i="131"/>
  <c r="Y21" i="131"/>
  <c r="H21" i="131"/>
  <c r="Z20" i="131"/>
  <c r="Y20" i="131"/>
  <c r="Z19" i="131"/>
  <c r="Y19" i="131"/>
  <c r="Z18" i="131"/>
  <c r="Y18" i="131"/>
  <c r="Z17" i="131"/>
  <c r="Y17" i="131"/>
  <c r="Z16" i="131"/>
  <c r="Y16" i="131"/>
  <c r="H16" i="131"/>
  <c r="Z15" i="131"/>
  <c r="Y15" i="131"/>
  <c r="Z14" i="131"/>
  <c r="Y14" i="131"/>
  <c r="Z13" i="131"/>
  <c r="Y13" i="131"/>
  <c r="Z12" i="131"/>
  <c r="Y12" i="131"/>
  <c r="G12" i="131"/>
  <c r="Z11" i="131"/>
  <c r="Y11" i="131"/>
  <c r="H11" i="131"/>
  <c r="Z10" i="131"/>
  <c r="Y10" i="131"/>
  <c r="AC9" i="131"/>
  <c r="Z9" i="131"/>
  <c r="Y9" i="131"/>
  <c r="H9" i="131"/>
  <c r="Z8" i="131"/>
  <c r="Y8" i="131"/>
  <c r="G8" i="131"/>
  <c r="F8" i="131"/>
  <c r="Z7" i="131"/>
  <c r="Y7" i="131"/>
  <c r="G7" i="131"/>
  <c r="F7" i="131"/>
  <c r="E7" i="131"/>
  <c r="L139" i="159"/>
  <c r="K139" i="159"/>
  <c r="J139" i="159"/>
  <c r="I139" i="159"/>
  <c r="H139" i="159"/>
  <c r="G139" i="159"/>
  <c r="F139" i="159"/>
  <c r="W96" i="159"/>
  <c r="U96" i="159"/>
  <c r="I96" i="159"/>
  <c r="F96" i="159"/>
  <c r="K95" i="159"/>
  <c r="I95" i="159"/>
  <c r="H95" i="159"/>
  <c r="F95" i="159"/>
  <c r="K94" i="159"/>
  <c r="I94" i="159"/>
  <c r="H94" i="159"/>
  <c r="F94" i="159"/>
  <c r="W93" i="159"/>
  <c r="U93" i="159"/>
  <c r="I93" i="159"/>
  <c r="F93" i="159"/>
  <c r="W92" i="159"/>
  <c r="U92" i="159"/>
  <c r="K92" i="159"/>
  <c r="I92" i="159"/>
  <c r="F92" i="159"/>
  <c r="W91" i="159"/>
  <c r="U91" i="159"/>
  <c r="K91" i="159"/>
  <c r="I91" i="159"/>
  <c r="F91" i="159"/>
  <c r="W90" i="159"/>
  <c r="U90" i="159"/>
  <c r="I90" i="159"/>
  <c r="F90" i="159"/>
  <c r="W89" i="159"/>
  <c r="U89" i="159"/>
  <c r="K89" i="159"/>
  <c r="I89" i="159"/>
  <c r="F89" i="159"/>
  <c r="W88" i="159"/>
  <c r="V88" i="159"/>
  <c r="U88" i="159"/>
  <c r="T88" i="159"/>
  <c r="S88" i="159"/>
  <c r="R88" i="159"/>
  <c r="Q88" i="159"/>
  <c r="P88" i="159"/>
  <c r="O88" i="159"/>
  <c r="N88" i="159"/>
  <c r="M88" i="159"/>
  <c r="L88" i="159"/>
  <c r="K88" i="159"/>
  <c r="J88" i="159"/>
  <c r="I88" i="159"/>
  <c r="H88" i="159"/>
  <c r="G88" i="159"/>
  <c r="F88" i="159"/>
  <c r="E88" i="159"/>
  <c r="D88" i="159"/>
  <c r="C88" i="159"/>
  <c r="K87" i="159"/>
  <c r="I87" i="159"/>
  <c r="F87" i="159"/>
  <c r="I86" i="159"/>
  <c r="F86" i="159"/>
  <c r="I85" i="159"/>
  <c r="F85" i="159"/>
  <c r="W84" i="159"/>
  <c r="V84" i="159"/>
  <c r="U84" i="159"/>
  <c r="T84" i="159"/>
  <c r="S84" i="159"/>
  <c r="R84" i="159"/>
  <c r="Q84" i="159"/>
  <c r="P84" i="159"/>
  <c r="O84" i="159"/>
  <c r="N84" i="159"/>
  <c r="M84" i="159"/>
  <c r="L84" i="159"/>
  <c r="K84" i="159"/>
  <c r="J84" i="159"/>
  <c r="I84" i="159"/>
  <c r="H84" i="159"/>
  <c r="G84" i="159"/>
  <c r="F84" i="159"/>
  <c r="E84" i="159"/>
  <c r="D84" i="159"/>
  <c r="C84" i="159"/>
  <c r="W83" i="159"/>
  <c r="I83" i="159"/>
  <c r="F83" i="159"/>
  <c r="W82" i="159"/>
  <c r="I82" i="159"/>
  <c r="F82" i="159"/>
  <c r="F81" i="159"/>
  <c r="W80" i="159"/>
  <c r="V80" i="159"/>
  <c r="U80" i="159"/>
  <c r="T80" i="159"/>
  <c r="S80" i="159"/>
  <c r="R80" i="159"/>
  <c r="Q80" i="159"/>
  <c r="P80" i="159"/>
  <c r="O80" i="159"/>
  <c r="N80" i="159"/>
  <c r="M80" i="159"/>
  <c r="L80" i="159"/>
  <c r="K80" i="159"/>
  <c r="J80" i="159"/>
  <c r="I80" i="159"/>
  <c r="H80" i="159"/>
  <c r="G80" i="159"/>
  <c r="F80" i="159"/>
  <c r="N79" i="159"/>
  <c r="I79" i="159"/>
  <c r="F79" i="159"/>
  <c r="J78" i="159"/>
  <c r="I78" i="159" s="1"/>
  <c r="G78" i="159"/>
  <c r="F78" i="159" s="1"/>
  <c r="F74" i="159" s="1"/>
  <c r="F73" i="159" s="1"/>
  <c r="F69" i="159" s="1"/>
  <c r="F68" i="159" s="1"/>
  <c r="J77" i="159"/>
  <c r="I77" i="159" s="1"/>
  <c r="H77" i="159"/>
  <c r="F77" i="159"/>
  <c r="W76" i="159"/>
  <c r="U76" i="159"/>
  <c r="N76" i="159"/>
  <c r="K76" i="159"/>
  <c r="I76" i="159"/>
  <c r="H76" i="159"/>
  <c r="F76" i="159"/>
  <c r="W75" i="159"/>
  <c r="U75" i="159"/>
  <c r="J75" i="159"/>
  <c r="I75" i="159" s="1"/>
  <c r="I74" i="159" s="1"/>
  <c r="I73" i="159" s="1"/>
  <c r="D75" i="159"/>
  <c r="C75" i="159" s="1"/>
  <c r="W74" i="159"/>
  <c r="V74" i="159"/>
  <c r="U74" i="159"/>
  <c r="T74" i="159"/>
  <c r="R74" i="159"/>
  <c r="Q74" i="159"/>
  <c r="P74" i="159"/>
  <c r="O74" i="159"/>
  <c r="M74" i="159"/>
  <c r="L74" i="159"/>
  <c r="K74" i="159"/>
  <c r="J74" i="159"/>
  <c r="J73" i="159" s="1"/>
  <c r="H74" i="159"/>
  <c r="G74" i="159"/>
  <c r="G73" i="159" s="1"/>
  <c r="G69" i="159" s="1"/>
  <c r="G68" i="159" s="1"/>
  <c r="G11" i="159" s="1"/>
  <c r="E74" i="159"/>
  <c r="W73" i="159"/>
  <c r="V73" i="159"/>
  <c r="U73" i="159"/>
  <c r="T73" i="159"/>
  <c r="R73" i="159"/>
  <c r="Q73" i="159"/>
  <c r="P73" i="159"/>
  <c r="O73" i="159"/>
  <c r="M73" i="159"/>
  <c r="L73" i="159"/>
  <c r="K73" i="159"/>
  <c r="H73" i="159"/>
  <c r="E73" i="159"/>
  <c r="W72" i="159"/>
  <c r="V72" i="159"/>
  <c r="U72" i="159"/>
  <c r="J72" i="159"/>
  <c r="J71" i="159" s="1"/>
  <c r="J70" i="159" s="1"/>
  <c r="J69" i="159" s="1"/>
  <c r="J68" i="159" s="1"/>
  <c r="D72" i="159"/>
  <c r="W71" i="159"/>
  <c r="V71" i="159"/>
  <c r="U71" i="159"/>
  <c r="T71" i="159"/>
  <c r="R71" i="159"/>
  <c r="Q71" i="159"/>
  <c r="P71" i="159"/>
  <c r="O71" i="159"/>
  <c r="M71" i="159"/>
  <c r="L71" i="159"/>
  <c r="K71" i="159"/>
  <c r="H71" i="159"/>
  <c r="G71" i="159"/>
  <c r="F71" i="159"/>
  <c r="E71" i="159"/>
  <c r="W70" i="159"/>
  <c r="V70" i="159"/>
  <c r="U70" i="159"/>
  <c r="T70" i="159"/>
  <c r="R70" i="159"/>
  <c r="Q70" i="159"/>
  <c r="P70" i="159"/>
  <c r="O70" i="159"/>
  <c r="M70" i="159"/>
  <c r="L70" i="159"/>
  <c r="K70" i="159"/>
  <c r="H70" i="159"/>
  <c r="G70" i="159"/>
  <c r="F70" i="159"/>
  <c r="E70" i="159"/>
  <c r="W69" i="159"/>
  <c r="V69" i="159"/>
  <c r="U69" i="159"/>
  <c r="T69" i="159"/>
  <c r="R69" i="159"/>
  <c r="Q69" i="159"/>
  <c r="P69" i="159"/>
  <c r="O69" i="159"/>
  <c r="M69" i="159"/>
  <c r="L69" i="159"/>
  <c r="K69" i="159"/>
  <c r="H69" i="159"/>
  <c r="E69" i="159"/>
  <c r="W68" i="159"/>
  <c r="V68" i="159"/>
  <c r="U68" i="159"/>
  <c r="T68" i="159"/>
  <c r="R68" i="159"/>
  <c r="Q68" i="159"/>
  <c r="P68" i="159"/>
  <c r="O68" i="159"/>
  <c r="M68" i="159"/>
  <c r="L68" i="159"/>
  <c r="K68" i="159"/>
  <c r="H68" i="159"/>
  <c r="E68" i="159"/>
  <c r="V67" i="159"/>
  <c r="U67" i="159"/>
  <c r="K67" i="159"/>
  <c r="I67" i="159"/>
  <c r="H67" i="159"/>
  <c r="F67" i="159"/>
  <c r="V66" i="159"/>
  <c r="U66" i="159"/>
  <c r="I66" i="159"/>
  <c r="F66" i="159"/>
  <c r="V65" i="159"/>
  <c r="U65" i="159"/>
  <c r="I65" i="159"/>
  <c r="F65" i="159"/>
  <c r="V64" i="159"/>
  <c r="U64" i="159"/>
  <c r="I64" i="159"/>
  <c r="F64" i="159"/>
  <c r="V63" i="159"/>
  <c r="U63" i="159"/>
  <c r="K63" i="159"/>
  <c r="I63" i="159"/>
  <c r="F63" i="159"/>
  <c r="V62" i="159"/>
  <c r="U62" i="159"/>
  <c r="I62" i="159"/>
  <c r="F62" i="159"/>
  <c r="V61" i="159"/>
  <c r="U61" i="159"/>
  <c r="I61" i="159"/>
  <c r="F61" i="159"/>
  <c r="V60" i="159"/>
  <c r="K60" i="159"/>
  <c r="I60" i="159"/>
  <c r="F60" i="159"/>
  <c r="V59" i="159"/>
  <c r="I59" i="159"/>
  <c r="F59" i="159"/>
  <c r="V58" i="159"/>
  <c r="K58" i="159"/>
  <c r="I58" i="159"/>
  <c r="F58" i="159"/>
  <c r="V57" i="159"/>
  <c r="K57" i="159"/>
  <c r="I57" i="159"/>
  <c r="H57" i="159"/>
  <c r="F57" i="159"/>
  <c r="V56" i="159"/>
  <c r="K56" i="159"/>
  <c r="I56" i="159"/>
  <c r="H56" i="159"/>
  <c r="F56" i="159"/>
  <c r="V55" i="159"/>
  <c r="I55" i="159"/>
  <c r="F55" i="159"/>
  <c r="I54" i="159"/>
  <c r="F54" i="159"/>
  <c r="V53" i="159"/>
  <c r="U53" i="159"/>
  <c r="I53" i="159"/>
  <c r="F53" i="159"/>
  <c r="C53" i="159"/>
  <c r="V52" i="159"/>
  <c r="U52" i="159"/>
  <c r="I52" i="159"/>
  <c r="F52" i="159"/>
  <c r="V51" i="159"/>
  <c r="U51" i="159"/>
  <c r="I51" i="159"/>
  <c r="F51" i="159"/>
  <c r="V50" i="159"/>
  <c r="U50" i="159"/>
  <c r="I50" i="159"/>
  <c r="F50" i="159"/>
  <c r="C50" i="159"/>
  <c r="V49" i="159"/>
  <c r="U49" i="159"/>
  <c r="I49" i="159"/>
  <c r="F49" i="159"/>
  <c r="U48" i="159"/>
  <c r="I48" i="159"/>
  <c r="V47" i="159"/>
  <c r="U47" i="159"/>
  <c r="I47" i="159"/>
  <c r="F47" i="159"/>
  <c r="I46" i="159"/>
  <c r="F46" i="159"/>
  <c r="K45" i="159"/>
  <c r="I45" i="159" s="1"/>
  <c r="I27" i="159" s="1"/>
  <c r="H45" i="159"/>
  <c r="F45" i="159" s="1"/>
  <c r="V44" i="159"/>
  <c r="U44" i="159"/>
  <c r="I44" i="159"/>
  <c r="F44" i="159"/>
  <c r="V43" i="159"/>
  <c r="U43" i="159"/>
  <c r="I43" i="159"/>
  <c r="F43" i="159"/>
  <c r="V42" i="159"/>
  <c r="U42" i="159"/>
  <c r="I42" i="159"/>
  <c r="F42" i="159"/>
  <c r="V41" i="159"/>
  <c r="U41" i="159"/>
  <c r="I41" i="159"/>
  <c r="F41" i="159"/>
  <c r="V40" i="159"/>
  <c r="U40" i="159"/>
  <c r="I40" i="159"/>
  <c r="F40" i="159"/>
  <c r="V39" i="159"/>
  <c r="U39" i="159"/>
  <c r="I39" i="159"/>
  <c r="F39" i="159"/>
  <c r="V38" i="159"/>
  <c r="U38" i="159"/>
  <c r="I38" i="159"/>
  <c r="F38" i="159"/>
  <c r="V37" i="159"/>
  <c r="U37" i="159"/>
  <c r="K37" i="159"/>
  <c r="I37" i="159"/>
  <c r="F37" i="159"/>
  <c r="V36" i="159"/>
  <c r="U36" i="159"/>
  <c r="I36" i="159"/>
  <c r="H36" i="159"/>
  <c r="F36" i="159"/>
  <c r="V35" i="159"/>
  <c r="U35" i="159"/>
  <c r="I35" i="159"/>
  <c r="F35" i="159"/>
  <c r="V34" i="159"/>
  <c r="U34" i="159"/>
  <c r="I34" i="159"/>
  <c r="H34" i="159"/>
  <c r="F34" i="159"/>
  <c r="V33" i="159"/>
  <c r="U33" i="159"/>
  <c r="I33" i="159"/>
  <c r="F33" i="159"/>
  <c r="V32" i="159"/>
  <c r="U32" i="159"/>
  <c r="I32" i="159"/>
  <c r="H32" i="159"/>
  <c r="F32" i="159"/>
  <c r="I31" i="159"/>
  <c r="F31" i="159"/>
  <c r="U30" i="159"/>
  <c r="K30" i="159"/>
  <c r="X29" i="159"/>
  <c r="V29" i="159"/>
  <c r="U29" i="159"/>
  <c r="T29" i="159"/>
  <c r="L29" i="159"/>
  <c r="K29" i="159"/>
  <c r="I29" i="159"/>
  <c r="F29" i="159"/>
  <c r="V28" i="159"/>
  <c r="U28" i="159"/>
  <c r="I28" i="159"/>
  <c r="F28" i="159"/>
  <c r="W27" i="159"/>
  <c r="T27" i="159"/>
  <c r="S27" i="159"/>
  <c r="R27" i="159"/>
  <c r="Q27" i="159"/>
  <c r="P27" i="159"/>
  <c r="O27" i="159"/>
  <c r="N27" i="159"/>
  <c r="M27" i="159"/>
  <c r="L27" i="159"/>
  <c r="K27" i="159"/>
  <c r="J27" i="159"/>
  <c r="G27" i="159"/>
  <c r="E27" i="159"/>
  <c r="D27" i="159"/>
  <c r="C27" i="159"/>
  <c r="H26" i="159"/>
  <c r="K26" i="159" s="1"/>
  <c r="K23" i="159" s="1"/>
  <c r="K18" i="159" s="1"/>
  <c r="K13" i="159" s="1"/>
  <c r="V24" i="159"/>
  <c r="U24" i="159"/>
  <c r="I24" i="159"/>
  <c r="F24" i="159"/>
  <c r="W23" i="159"/>
  <c r="V23" i="159"/>
  <c r="U23" i="159"/>
  <c r="T23" i="159"/>
  <c r="S23" i="159"/>
  <c r="R23" i="159"/>
  <c r="Q23" i="159"/>
  <c r="P23" i="159"/>
  <c r="O23" i="159"/>
  <c r="N23" i="159"/>
  <c r="M23" i="159"/>
  <c r="L23" i="159"/>
  <c r="J23" i="159"/>
  <c r="I23" i="159"/>
  <c r="G23" i="159"/>
  <c r="E23" i="159"/>
  <c r="D23" i="159"/>
  <c r="C23" i="159"/>
  <c r="M22" i="159"/>
  <c r="J22" i="159"/>
  <c r="I22" i="159" s="1"/>
  <c r="D22" i="159"/>
  <c r="J21" i="159"/>
  <c r="I21" i="159" s="1"/>
  <c r="D21" i="159"/>
  <c r="W20" i="159"/>
  <c r="V20" i="159"/>
  <c r="U20" i="159"/>
  <c r="T20" i="159"/>
  <c r="S20" i="159"/>
  <c r="Q20" i="159"/>
  <c r="P20" i="159"/>
  <c r="O20" i="159"/>
  <c r="M20" i="159"/>
  <c r="L20" i="159"/>
  <c r="K20" i="159"/>
  <c r="H20" i="159"/>
  <c r="G20" i="159"/>
  <c r="F20" i="159"/>
  <c r="E20" i="159"/>
  <c r="W19" i="159"/>
  <c r="V19" i="159"/>
  <c r="U19" i="159"/>
  <c r="T19" i="159"/>
  <c r="S19" i="159"/>
  <c r="Q19" i="159"/>
  <c r="P19" i="159"/>
  <c r="O19" i="159"/>
  <c r="M19" i="159"/>
  <c r="L19" i="159"/>
  <c r="K19" i="159"/>
  <c r="H19" i="159"/>
  <c r="G19" i="159"/>
  <c r="F19" i="159"/>
  <c r="E19" i="159"/>
  <c r="W18" i="159"/>
  <c r="V18" i="159"/>
  <c r="U18" i="159"/>
  <c r="T18" i="159"/>
  <c r="S18" i="159"/>
  <c r="Q18" i="159"/>
  <c r="P18" i="159"/>
  <c r="O18" i="159"/>
  <c r="M18" i="159"/>
  <c r="L18" i="159"/>
  <c r="G18" i="159"/>
  <c r="E18" i="159"/>
  <c r="F16" i="159"/>
  <c r="C16" i="159"/>
  <c r="W15" i="159"/>
  <c r="V15" i="159"/>
  <c r="U15" i="159"/>
  <c r="T15" i="159"/>
  <c r="S15" i="159"/>
  <c r="R15" i="159"/>
  <c r="Q15" i="159"/>
  <c r="P15" i="159"/>
  <c r="O15" i="159"/>
  <c r="N15" i="159"/>
  <c r="M15" i="159"/>
  <c r="L15" i="159"/>
  <c r="K15" i="159"/>
  <c r="J15" i="159"/>
  <c r="I15" i="159"/>
  <c r="H15" i="159"/>
  <c r="G15" i="159"/>
  <c r="F15" i="159"/>
  <c r="E15" i="159"/>
  <c r="D15" i="159"/>
  <c r="C15" i="159"/>
  <c r="W14" i="159"/>
  <c r="V14" i="159"/>
  <c r="U14" i="159"/>
  <c r="T14" i="159"/>
  <c r="S14" i="159"/>
  <c r="R14" i="159"/>
  <c r="Q14" i="159"/>
  <c r="P14" i="159"/>
  <c r="O14" i="159"/>
  <c r="N14" i="159"/>
  <c r="M14" i="159"/>
  <c r="L14" i="159"/>
  <c r="K14" i="159"/>
  <c r="J14" i="159"/>
  <c r="I14" i="159"/>
  <c r="H14" i="159"/>
  <c r="G14" i="159"/>
  <c r="F14" i="159"/>
  <c r="E14" i="159"/>
  <c r="D14" i="159"/>
  <c r="C14" i="159"/>
  <c r="W13" i="159"/>
  <c r="V13" i="159"/>
  <c r="U13" i="159"/>
  <c r="T13" i="159"/>
  <c r="S13" i="159"/>
  <c r="Q13" i="159"/>
  <c r="P13" i="159"/>
  <c r="O13" i="159"/>
  <c r="M13" i="159"/>
  <c r="L13" i="159"/>
  <c r="G13" i="159"/>
  <c r="E13" i="159"/>
  <c r="W12" i="159"/>
  <c r="T12" i="159"/>
  <c r="S12" i="159"/>
  <c r="Q12" i="159"/>
  <c r="P12" i="159"/>
  <c r="O12" i="159"/>
  <c r="M12" i="159"/>
  <c r="L12" i="159"/>
  <c r="G12" i="159"/>
  <c r="E12" i="159"/>
  <c r="W11" i="159"/>
  <c r="T11" i="159"/>
  <c r="Q11" i="159"/>
  <c r="P11" i="159"/>
  <c r="O11" i="159"/>
  <c r="M11" i="159"/>
  <c r="L11" i="159"/>
  <c r="E11" i="159"/>
  <c r="H4" i="159"/>
  <c r="J79" i="143"/>
  <c r="E75" i="143"/>
  <c r="N73" i="143"/>
  <c r="V72" i="143"/>
  <c r="S72" i="143"/>
  <c r="N72" i="143"/>
  <c r="M72" i="143"/>
  <c r="L72" i="143"/>
  <c r="K72" i="143"/>
  <c r="H72" i="143"/>
  <c r="C72" i="143"/>
  <c r="V71" i="143"/>
  <c r="S71" i="143"/>
  <c r="M71" i="143"/>
  <c r="L71" i="143"/>
  <c r="K71" i="143"/>
  <c r="H71" i="143"/>
  <c r="C71" i="143"/>
  <c r="V70" i="143"/>
  <c r="S70" i="143"/>
  <c r="M70" i="143"/>
  <c r="L70" i="143"/>
  <c r="K70" i="143"/>
  <c r="H70" i="143"/>
  <c r="C70" i="143"/>
  <c r="V69" i="143"/>
  <c r="S69" i="143"/>
  <c r="M69" i="143"/>
  <c r="L69" i="143"/>
  <c r="K69" i="143"/>
  <c r="H69" i="143"/>
  <c r="C69" i="143"/>
  <c r="V68" i="143"/>
  <c r="S68" i="143"/>
  <c r="M68" i="143"/>
  <c r="L68" i="143"/>
  <c r="K68" i="143"/>
  <c r="H68" i="143"/>
  <c r="C68" i="143"/>
  <c r="V67" i="143"/>
  <c r="S67" i="143"/>
  <c r="M67" i="143"/>
  <c r="L67" i="143"/>
  <c r="K67" i="143"/>
  <c r="H67" i="143"/>
  <c r="C67" i="143"/>
  <c r="X66" i="143"/>
  <c r="V66" i="143"/>
  <c r="S66" i="143"/>
  <c r="M66" i="143"/>
  <c r="L66" i="143"/>
  <c r="K66" i="143"/>
  <c r="H66" i="143"/>
  <c r="C66" i="143"/>
  <c r="AB65" i="143"/>
  <c r="Z65" i="143"/>
  <c r="X65" i="143"/>
  <c r="W65" i="143"/>
  <c r="V65" i="143"/>
  <c r="S65" i="143"/>
  <c r="R65" i="143"/>
  <c r="M65" i="143"/>
  <c r="L65" i="143"/>
  <c r="K65" i="143"/>
  <c r="H65" i="143"/>
  <c r="C65" i="143"/>
  <c r="AA64" i="143"/>
  <c r="Z64" i="143"/>
  <c r="Y64" i="143"/>
  <c r="X64" i="143"/>
  <c r="W64" i="143"/>
  <c r="V64" i="143"/>
  <c r="U64" i="143"/>
  <c r="T64" i="143"/>
  <c r="S64" i="143"/>
  <c r="R64" i="143"/>
  <c r="Q64" i="143"/>
  <c r="P64" i="143"/>
  <c r="O64" i="143"/>
  <c r="N64" i="143"/>
  <c r="M64" i="143"/>
  <c r="L64" i="143"/>
  <c r="K64" i="143"/>
  <c r="J64" i="143"/>
  <c r="I64" i="143"/>
  <c r="H64" i="143"/>
  <c r="C64" i="143"/>
  <c r="X63" i="143"/>
  <c r="W63" i="143"/>
  <c r="V63" i="143"/>
  <c r="S63" i="143"/>
  <c r="M63" i="143"/>
  <c r="L63" i="143"/>
  <c r="K63" i="143"/>
  <c r="H63" i="143"/>
  <c r="C63" i="143"/>
  <c r="Z62" i="143"/>
  <c r="X62" i="143"/>
  <c r="W62" i="143"/>
  <c r="V62" i="143"/>
  <c r="S62" i="143"/>
  <c r="R62" i="143"/>
  <c r="N62" i="143"/>
  <c r="M62" i="143"/>
  <c r="L62" i="143"/>
  <c r="K62" i="143"/>
  <c r="H62" i="143"/>
  <c r="C62" i="143"/>
  <c r="Z61" i="143"/>
  <c r="X61" i="143"/>
  <c r="W61" i="143"/>
  <c r="V61" i="143"/>
  <c r="S61" i="143"/>
  <c r="R61" i="143"/>
  <c r="N61" i="143"/>
  <c r="M61" i="143"/>
  <c r="L61" i="143"/>
  <c r="K61" i="143"/>
  <c r="J61" i="143"/>
  <c r="H61" i="143"/>
  <c r="C61" i="143"/>
  <c r="AA60" i="143"/>
  <c r="Z60" i="143"/>
  <c r="Y60" i="143"/>
  <c r="X60" i="143"/>
  <c r="W60" i="143"/>
  <c r="V60" i="143"/>
  <c r="U60" i="143"/>
  <c r="T60" i="143"/>
  <c r="S60" i="143"/>
  <c r="R60" i="143"/>
  <c r="Q60" i="143"/>
  <c r="P60" i="143"/>
  <c r="O60" i="143"/>
  <c r="N60" i="143"/>
  <c r="M60" i="143"/>
  <c r="L60" i="143"/>
  <c r="K60" i="143"/>
  <c r="J60" i="143"/>
  <c r="H60" i="143"/>
  <c r="C60" i="143"/>
  <c r="X59" i="143"/>
  <c r="W59" i="143"/>
  <c r="V59" i="143"/>
  <c r="S59" i="143"/>
  <c r="N59" i="143"/>
  <c r="M59" i="143"/>
  <c r="L59" i="143"/>
  <c r="K59" i="143"/>
  <c r="H59" i="143"/>
  <c r="C59" i="143"/>
  <c r="X58" i="143"/>
  <c r="W58" i="143"/>
  <c r="V58" i="143"/>
  <c r="S58" i="143"/>
  <c r="N58" i="143"/>
  <c r="M58" i="143"/>
  <c r="L58" i="143"/>
  <c r="K58" i="143"/>
  <c r="H58" i="143"/>
  <c r="C58" i="143"/>
  <c r="Z57" i="143"/>
  <c r="X57" i="143"/>
  <c r="W57" i="143"/>
  <c r="V57" i="143"/>
  <c r="S57" i="143"/>
  <c r="N57" i="143"/>
  <c r="M57" i="143"/>
  <c r="L57" i="143"/>
  <c r="K57" i="143"/>
  <c r="H57" i="143"/>
  <c r="C57" i="143"/>
  <c r="AA56" i="143"/>
  <c r="Z56" i="143"/>
  <c r="Y56" i="143"/>
  <c r="X56" i="143"/>
  <c r="W56" i="143"/>
  <c r="V56" i="143"/>
  <c r="U56" i="143"/>
  <c r="T56" i="143"/>
  <c r="S56" i="143"/>
  <c r="R56" i="143"/>
  <c r="N56" i="143"/>
  <c r="M56" i="143"/>
  <c r="L56" i="143"/>
  <c r="K56" i="143"/>
  <c r="J56" i="143"/>
  <c r="H56" i="143"/>
  <c r="C56" i="143"/>
  <c r="X55" i="143"/>
  <c r="W55" i="143"/>
  <c r="V55" i="143"/>
  <c r="S55" i="143"/>
  <c r="N55" i="143"/>
  <c r="M55" i="143"/>
  <c r="L55" i="143"/>
  <c r="K55" i="143"/>
  <c r="H55" i="143"/>
  <c r="C55" i="143"/>
  <c r="X54" i="143"/>
  <c r="W54" i="143"/>
  <c r="V54" i="143"/>
  <c r="S54" i="143"/>
  <c r="N54" i="143"/>
  <c r="M54" i="143"/>
  <c r="L54" i="143"/>
  <c r="K54" i="143"/>
  <c r="H54" i="143"/>
  <c r="C54" i="143"/>
  <c r="Z53" i="143"/>
  <c r="X53" i="143"/>
  <c r="W53" i="143"/>
  <c r="V53" i="143"/>
  <c r="S53" i="143"/>
  <c r="N53" i="143"/>
  <c r="M53" i="143"/>
  <c r="L53" i="143"/>
  <c r="K53" i="143"/>
  <c r="H53" i="143"/>
  <c r="C53" i="143"/>
  <c r="AA52" i="143"/>
  <c r="Z52" i="143"/>
  <c r="Y52" i="143"/>
  <c r="X52" i="143"/>
  <c r="W52" i="143"/>
  <c r="V52" i="143"/>
  <c r="U52" i="143"/>
  <c r="T52" i="143"/>
  <c r="S52" i="143"/>
  <c r="R52" i="143"/>
  <c r="Q52" i="143"/>
  <c r="P52" i="143"/>
  <c r="O52" i="143"/>
  <c r="N52" i="143"/>
  <c r="M52" i="143"/>
  <c r="L52" i="143"/>
  <c r="K52" i="143"/>
  <c r="J52" i="143"/>
  <c r="I52" i="143"/>
  <c r="H52" i="143"/>
  <c r="G52" i="143"/>
  <c r="F52" i="143"/>
  <c r="E52" i="143"/>
  <c r="D52" i="143"/>
  <c r="C52" i="143"/>
  <c r="X51" i="143"/>
  <c r="W51" i="143"/>
  <c r="V51" i="143"/>
  <c r="S51" i="143"/>
  <c r="N51" i="143"/>
  <c r="M51" i="143"/>
  <c r="L51" i="143"/>
  <c r="K51" i="143"/>
  <c r="H51" i="143"/>
  <c r="C51" i="143"/>
  <c r="X50" i="143"/>
  <c r="W50" i="143"/>
  <c r="V50" i="143"/>
  <c r="S50" i="143"/>
  <c r="N50" i="143"/>
  <c r="M50" i="143"/>
  <c r="L50" i="143"/>
  <c r="K50" i="143"/>
  <c r="H50" i="143"/>
  <c r="C50" i="143"/>
  <c r="Z49" i="143"/>
  <c r="X49" i="143"/>
  <c r="W49" i="143"/>
  <c r="V49" i="143"/>
  <c r="S49" i="143"/>
  <c r="R49" i="143"/>
  <c r="N49" i="143"/>
  <c r="M49" i="143"/>
  <c r="L49" i="143"/>
  <c r="K49" i="143"/>
  <c r="J49" i="143"/>
  <c r="H49" i="143"/>
  <c r="C49" i="143"/>
  <c r="AA48" i="143"/>
  <c r="Z48" i="143"/>
  <c r="Y48" i="143"/>
  <c r="X48" i="143"/>
  <c r="W48" i="143"/>
  <c r="V48" i="143"/>
  <c r="U48" i="143"/>
  <c r="T48" i="143"/>
  <c r="S48" i="143"/>
  <c r="R48" i="143"/>
  <c r="Q48" i="143"/>
  <c r="P48" i="143"/>
  <c r="O48" i="143"/>
  <c r="N48" i="143"/>
  <c r="M48" i="143"/>
  <c r="L48" i="143"/>
  <c r="K48" i="143"/>
  <c r="J48" i="143"/>
  <c r="I48" i="143"/>
  <c r="H48" i="143"/>
  <c r="G48" i="143"/>
  <c r="F48" i="143"/>
  <c r="E48" i="143"/>
  <c r="D48" i="143"/>
  <c r="C48" i="143"/>
  <c r="X47" i="143"/>
  <c r="W47" i="143"/>
  <c r="V47" i="143"/>
  <c r="S47" i="143"/>
  <c r="N47" i="143"/>
  <c r="M47" i="143"/>
  <c r="L47" i="143"/>
  <c r="K47" i="143"/>
  <c r="H47" i="143"/>
  <c r="C47" i="143"/>
  <c r="X46" i="143"/>
  <c r="W46" i="143"/>
  <c r="V46" i="143"/>
  <c r="S46" i="143"/>
  <c r="N46" i="143"/>
  <c r="M46" i="143"/>
  <c r="L46" i="143"/>
  <c r="K46" i="143"/>
  <c r="H46" i="143"/>
  <c r="C46" i="143"/>
  <c r="X45" i="143"/>
  <c r="W45" i="143"/>
  <c r="V45" i="143"/>
  <c r="S45" i="143"/>
  <c r="N45" i="143"/>
  <c r="M45" i="143"/>
  <c r="L45" i="143"/>
  <c r="K45" i="143"/>
  <c r="H45" i="143"/>
  <c r="C45" i="143"/>
  <c r="AA44" i="143"/>
  <c r="Z44" i="143"/>
  <c r="Y44" i="143"/>
  <c r="X44" i="143"/>
  <c r="W44" i="143"/>
  <c r="V44" i="143"/>
  <c r="U44" i="143"/>
  <c r="T44" i="143"/>
  <c r="S44" i="143"/>
  <c r="R44" i="143"/>
  <c r="Q44" i="143"/>
  <c r="P44" i="143"/>
  <c r="O44" i="143"/>
  <c r="N44" i="143"/>
  <c r="M44" i="143"/>
  <c r="L44" i="143"/>
  <c r="K44" i="143"/>
  <c r="J44" i="143"/>
  <c r="I44" i="143"/>
  <c r="H44" i="143"/>
  <c r="G44" i="143"/>
  <c r="F44" i="143"/>
  <c r="E44" i="143"/>
  <c r="D44" i="143"/>
  <c r="C44" i="143"/>
  <c r="X43" i="143"/>
  <c r="W43" i="143"/>
  <c r="V43" i="143"/>
  <c r="S43" i="143"/>
  <c r="N43" i="143"/>
  <c r="M43" i="143"/>
  <c r="L43" i="143"/>
  <c r="K43" i="143"/>
  <c r="H43" i="143"/>
  <c r="C43" i="143"/>
  <c r="X42" i="143"/>
  <c r="W42" i="143"/>
  <c r="V42" i="143"/>
  <c r="S42" i="143"/>
  <c r="N42" i="143"/>
  <c r="M42" i="143"/>
  <c r="L42" i="143"/>
  <c r="K42" i="143"/>
  <c r="H42" i="143"/>
  <c r="C42" i="143"/>
  <c r="X41" i="143"/>
  <c r="W41" i="143"/>
  <c r="V41" i="143"/>
  <c r="S41" i="143"/>
  <c r="N41" i="143"/>
  <c r="M41" i="143"/>
  <c r="L41" i="143"/>
  <c r="K41" i="143"/>
  <c r="H41" i="143"/>
  <c r="C41" i="143"/>
  <c r="AA40" i="143"/>
  <c r="Z40" i="143"/>
  <c r="Y40" i="143"/>
  <c r="X40" i="143"/>
  <c r="W40" i="143"/>
  <c r="V40" i="143"/>
  <c r="U40" i="143"/>
  <c r="T40" i="143"/>
  <c r="S40" i="143"/>
  <c r="R40" i="143"/>
  <c r="Q40" i="143"/>
  <c r="P40" i="143"/>
  <c r="O40" i="143"/>
  <c r="N40" i="143"/>
  <c r="M40" i="143"/>
  <c r="L40" i="143"/>
  <c r="K40" i="143"/>
  <c r="J40" i="143"/>
  <c r="I40" i="143"/>
  <c r="H40" i="143"/>
  <c r="G40" i="143"/>
  <c r="F40" i="143"/>
  <c r="E40" i="143"/>
  <c r="D40" i="143"/>
  <c r="C40" i="143"/>
  <c r="X39" i="143"/>
  <c r="W39" i="143"/>
  <c r="V39" i="143"/>
  <c r="S39" i="143"/>
  <c r="N39" i="143"/>
  <c r="M39" i="143"/>
  <c r="L39" i="143"/>
  <c r="K39" i="143"/>
  <c r="H39" i="143"/>
  <c r="C39" i="143"/>
  <c r="X38" i="143"/>
  <c r="W38" i="143"/>
  <c r="V38" i="143"/>
  <c r="S38" i="143"/>
  <c r="N38" i="143"/>
  <c r="M38" i="143"/>
  <c r="L38" i="143"/>
  <c r="K38" i="143"/>
  <c r="H38" i="143"/>
  <c r="C38" i="143"/>
  <c r="Z37" i="143"/>
  <c r="X37" i="143"/>
  <c r="W37" i="143"/>
  <c r="V37" i="143"/>
  <c r="S37" i="143"/>
  <c r="N37" i="143"/>
  <c r="M37" i="143"/>
  <c r="L37" i="143"/>
  <c r="K37" i="143"/>
  <c r="H37" i="143"/>
  <c r="C37" i="143"/>
  <c r="AA36" i="143"/>
  <c r="Z36" i="143"/>
  <c r="Y36" i="143"/>
  <c r="X36" i="143"/>
  <c r="W36" i="143"/>
  <c r="V36" i="143"/>
  <c r="U36" i="143"/>
  <c r="T36" i="143"/>
  <c r="S36" i="143"/>
  <c r="R36" i="143"/>
  <c r="Q36" i="143"/>
  <c r="P36" i="143"/>
  <c r="O36" i="143"/>
  <c r="N36" i="143"/>
  <c r="M36" i="143"/>
  <c r="L36" i="143"/>
  <c r="K36" i="143"/>
  <c r="J36" i="143"/>
  <c r="I36" i="143"/>
  <c r="H36" i="143"/>
  <c r="G36" i="143"/>
  <c r="F36" i="143"/>
  <c r="E36" i="143"/>
  <c r="D36" i="143"/>
  <c r="C36" i="143"/>
  <c r="X35" i="143"/>
  <c r="W35" i="143"/>
  <c r="V35" i="143"/>
  <c r="S35" i="143"/>
  <c r="M35" i="143"/>
  <c r="L35" i="143"/>
  <c r="K35" i="143"/>
  <c r="H35" i="143"/>
  <c r="C35" i="143"/>
  <c r="X34" i="143"/>
  <c r="W34" i="143"/>
  <c r="V34" i="143"/>
  <c r="S34" i="143"/>
  <c r="M34" i="143"/>
  <c r="L34" i="143"/>
  <c r="K34" i="143"/>
  <c r="H34" i="143"/>
  <c r="C34" i="143"/>
  <c r="Z33" i="143"/>
  <c r="X33" i="143"/>
  <c r="W33" i="143"/>
  <c r="V33" i="143"/>
  <c r="S33" i="143"/>
  <c r="N33" i="143"/>
  <c r="M33" i="143"/>
  <c r="L33" i="143"/>
  <c r="K33" i="143"/>
  <c r="H33" i="143"/>
  <c r="C33" i="143"/>
  <c r="AA32" i="143"/>
  <c r="Z32" i="143"/>
  <c r="Y32" i="143"/>
  <c r="X32" i="143"/>
  <c r="W32" i="143"/>
  <c r="V32" i="143"/>
  <c r="U32" i="143"/>
  <c r="T32" i="143"/>
  <c r="S32" i="143"/>
  <c r="R32" i="143"/>
  <c r="Q32" i="143"/>
  <c r="P32" i="143"/>
  <c r="O32" i="143"/>
  <c r="N32" i="143"/>
  <c r="M32" i="143"/>
  <c r="L32" i="143"/>
  <c r="K32" i="143"/>
  <c r="J32" i="143"/>
  <c r="I32" i="143"/>
  <c r="H32" i="143"/>
  <c r="G32" i="143"/>
  <c r="F32" i="143"/>
  <c r="E32" i="143"/>
  <c r="D32" i="143"/>
  <c r="C32" i="143"/>
  <c r="Z31" i="143"/>
  <c r="X31" i="143"/>
  <c r="W31" i="143"/>
  <c r="V31" i="143"/>
  <c r="S31" i="143"/>
  <c r="N31" i="143"/>
  <c r="M31" i="143"/>
  <c r="L31" i="143"/>
  <c r="K31" i="143"/>
  <c r="H31" i="143"/>
  <c r="C31" i="143"/>
  <c r="Z30" i="143"/>
  <c r="X30" i="143"/>
  <c r="W30" i="143"/>
  <c r="V30" i="143"/>
  <c r="S30" i="143"/>
  <c r="N30" i="143"/>
  <c r="M30" i="143"/>
  <c r="L30" i="143"/>
  <c r="K30" i="143"/>
  <c r="H30" i="143"/>
  <c r="C30" i="143"/>
  <c r="Z29" i="143"/>
  <c r="X29" i="143"/>
  <c r="W29" i="143"/>
  <c r="V29" i="143"/>
  <c r="U29" i="143"/>
  <c r="S29" i="143"/>
  <c r="N29" i="143"/>
  <c r="M29" i="143"/>
  <c r="L29" i="143"/>
  <c r="K29" i="143"/>
  <c r="H29" i="143"/>
  <c r="C29" i="143"/>
  <c r="AA28" i="143"/>
  <c r="Z28" i="143"/>
  <c r="Y28" i="143"/>
  <c r="X28" i="143"/>
  <c r="W28" i="143"/>
  <c r="V28" i="143"/>
  <c r="U28" i="143"/>
  <c r="T28" i="143"/>
  <c r="S28" i="143"/>
  <c r="R28" i="143"/>
  <c r="Q28" i="143"/>
  <c r="P28" i="143"/>
  <c r="O28" i="143"/>
  <c r="N28" i="143"/>
  <c r="M28" i="143"/>
  <c r="L28" i="143"/>
  <c r="K28" i="143"/>
  <c r="J28" i="143"/>
  <c r="I28" i="143"/>
  <c r="H28" i="143"/>
  <c r="G28" i="143"/>
  <c r="F28" i="143"/>
  <c r="E28" i="143"/>
  <c r="D28" i="143"/>
  <c r="C28" i="143"/>
  <c r="X27" i="143"/>
  <c r="W27" i="143"/>
  <c r="V27" i="143"/>
  <c r="S27" i="143"/>
  <c r="N27" i="143"/>
  <c r="M27" i="143"/>
  <c r="L27" i="143"/>
  <c r="K27" i="143"/>
  <c r="H27" i="143"/>
  <c r="C27" i="143"/>
  <c r="Z26" i="143"/>
  <c r="X26" i="143"/>
  <c r="W26" i="143"/>
  <c r="V26" i="143"/>
  <c r="S26" i="143"/>
  <c r="N26" i="143"/>
  <c r="M26" i="143"/>
  <c r="L26" i="143"/>
  <c r="K26" i="143"/>
  <c r="H26" i="143"/>
  <c r="X25" i="143"/>
  <c r="W25" i="143"/>
  <c r="V25" i="143"/>
  <c r="S25" i="143"/>
  <c r="N25" i="143"/>
  <c r="M25" i="143"/>
  <c r="L25" i="143"/>
  <c r="K25" i="143"/>
  <c r="H25" i="143"/>
  <c r="C25" i="143"/>
  <c r="X24" i="143"/>
  <c r="W24" i="143"/>
  <c r="V24" i="143"/>
  <c r="T24" i="143"/>
  <c r="S24" i="143"/>
  <c r="N24" i="143"/>
  <c r="M24" i="143"/>
  <c r="L24" i="143"/>
  <c r="K24" i="143"/>
  <c r="H24" i="143"/>
  <c r="C24" i="143"/>
  <c r="AA23" i="143"/>
  <c r="Z23" i="143"/>
  <c r="Y23" i="143"/>
  <c r="X23" i="143"/>
  <c r="W23" i="143"/>
  <c r="V23" i="143"/>
  <c r="U23" i="143"/>
  <c r="T23" i="143"/>
  <c r="S23" i="143"/>
  <c r="R23" i="143"/>
  <c r="Q23" i="143"/>
  <c r="P23" i="143"/>
  <c r="O23" i="143"/>
  <c r="N23" i="143"/>
  <c r="M23" i="143"/>
  <c r="L23" i="143"/>
  <c r="K23" i="143"/>
  <c r="J23" i="143"/>
  <c r="I23" i="143"/>
  <c r="H23" i="143"/>
  <c r="G23" i="143"/>
  <c r="F23" i="143"/>
  <c r="E23" i="143"/>
  <c r="D23" i="143"/>
  <c r="C23" i="143"/>
  <c r="Z22" i="143"/>
  <c r="Y22" i="143"/>
  <c r="X22" i="143"/>
  <c r="W22" i="143"/>
  <c r="V22" i="143"/>
  <c r="U22" i="143"/>
  <c r="T22" i="143"/>
  <c r="S22" i="143"/>
  <c r="R22" i="143"/>
  <c r="Q22" i="143"/>
  <c r="P22" i="143"/>
  <c r="O22" i="143"/>
  <c r="N22" i="143"/>
  <c r="M22" i="143"/>
  <c r="L22" i="143"/>
  <c r="K22" i="143"/>
  <c r="J22" i="143"/>
  <c r="I22" i="143"/>
  <c r="H22" i="143"/>
  <c r="G22" i="143"/>
  <c r="F22" i="143"/>
  <c r="E22" i="143"/>
  <c r="D22" i="143"/>
  <c r="C22" i="143"/>
  <c r="Z21" i="143"/>
  <c r="Y21" i="143"/>
  <c r="X21" i="143"/>
  <c r="W21" i="143"/>
  <c r="V21" i="143"/>
  <c r="U21" i="143"/>
  <c r="T21" i="143"/>
  <c r="S21" i="143"/>
  <c r="Q21" i="143"/>
  <c r="P21" i="143"/>
  <c r="O21" i="143"/>
  <c r="N21" i="143"/>
  <c r="M21" i="143"/>
  <c r="L21" i="143"/>
  <c r="K21" i="143"/>
  <c r="J21" i="143"/>
  <c r="I21" i="143"/>
  <c r="H21" i="143"/>
  <c r="G21" i="143"/>
  <c r="F21" i="143"/>
  <c r="E21" i="143"/>
  <c r="D21" i="143"/>
  <c r="C21" i="143"/>
  <c r="AA20" i="143"/>
  <c r="Z20" i="143"/>
  <c r="Y20" i="143"/>
  <c r="X20" i="143"/>
  <c r="W20" i="143"/>
  <c r="V20" i="143"/>
  <c r="U20" i="143"/>
  <c r="S20" i="143"/>
  <c r="R20" i="143"/>
  <c r="Q20" i="143"/>
  <c r="P20" i="143"/>
  <c r="O20" i="143"/>
  <c r="N20" i="143"/>
  <c r="M20" i="143"/>
  <c r="L20" i="143"/>
  <c r="K20" i="143"/>
  <c r="J20" i="143"/>
  <c r="I20" i="143"/>
  <c r="H20" i="143"/>
  <c r="G20" i="143"/>
  <c r="F20" i="143"/>
  <c r="E20" i="143"/>
  <c r="D20" i="143"/>
  <c r="C20" i="143"/>
  <c r="Z19" i="143"/>
  <c r="Y19" i="143"/>
  <c r="X19" i="143"/>
  <c r="W19" i="143"/>
  <c r="V19" i="143"/>
  <c r="U19" i="143"/>
  <c r="T19" i="143"/>
  <c r="S19" i="143"/>
  <c r="R19" i="143"/>
  <c r="Q19" i="143"/>
  <c r="P19" i="143"/>
  <c r="O19" i="143"/>
  <c r="N19" i="143"/>
  <c r="M19" i="143"/>
  <c r="L19" i="143"/>
  <c r="K19" i="143"/>
  <c r="J19" i="143"/>
  <c r="I19" i="143"/>
  <c r="H19" i="143"/>
  <c r="G19" i="143"/>
  <c r="F19" i="143"/>
  <c r="E19" i="143"/>
  <c r="D19" i="143"/>
  <c r="C19" i="143"/>
  <c r="Z18" i="143"/>
  <c r="Y18" i="143"/>
  <c r="X18" i="143"/>
  <c r="W18" i="143"/>
  <c r="V18" i="143"/>
  <c r="U18" i="143"/>
  <c r="T18" i="143"/>
  <c r="S18" i="143"/>
  <c r="R18" i="143"/>
  <c r="Q18" i="143"/>
  <c r="P18" i="143"/>
  <c r="O18" i="143"/>
  <c r="N18" i="143"/>
  <c r="M18" i="143"/>
  <c r="L18" i="143"/>
  <c r="K18" i="143"/>
  <c r="J18" i="143"/>
  <c r="I18" i="143"/>
  <c r="H18" i="143"/>
  <c r="G18" i="143"/>
  <c r="F18" i="143"/>
  <c r="E18" i="143"/>
  <c r="D18" i="143"/>
  <c r="C18" i="143"/>
  <c r="G103" i="146"/>
  <c r="G101" i="146"/>
  <c r="I88" i="146"/>
  <c r="H88" i="146"/>
  <c r="I87" i="146"/>
  <c r="H87" i="146"/>
  <c r="I86" i="146"/>
  <c r="H86" i="146"/>
  <c r="I85" i="146"/>
  <c r="H85" i="146"/>
  <c r="I84" i="146"/>
  <c r="H84" i="146"/>
  <c r="I83" i="146"/>
  <c r="H83" i="146"/>
  <c r="I82" i="146"/>
  <c r="H82" i="146"/>
  <c r="I81" i="146"/>
  <c r="H81" i="146"/>
  <c r="I80" i="146"/>
  <c r="H80" i="146"/>
  <c r="I79" i="146"/>
  <c r="H79" i="146"/>
  <c r="I78" i="146"/>
  <c r="H78" i="146"/>
  <c r="I77" i="146"/>
  <c r="H77" i="146"/>
  <c r="I76" i="146"/>
  <c r="H76" i="146"/>
  <c r="I75" i="146"/>
  <c r="H75" i="146"/>
  <c r="I74" i="146"/>
  <c r="H74" i="146"/>
  <c r="I73" i="146"/>
  <c r="H73" i="146"/>
  <c r="I72" i="146"/>
  <c r="H72" i="146"/>
  <c r="I71" i="146"/>
  <c r="H71" i="146"/>
  <c r="I70" i="146"/>
  <c r="H70" i="146"/>
  <c r="I69" i="146"/>
  <c r="H69" i="146"/>
  <c r="I68" i="146"/>
  <c r="H68" i="146"/>
  <c r="I67" i="146"/>
  <c r="H67" i="146"/>
  <c r="I66" i="146"/>
  <c r="H66" i="146"/>
  <c r="I65" i="146"/>
  <c r="H65" i="146"/>
  <c r="I64" i="146"/>
  <c r="H64" i="146"/>
  <c r="I63" i="146"/>
  <c r="H63" i="146"/>
  <c r="I62" i="146"/>
  <c r="H62" i="146"/>
  <c r="I61" i="146"/>
  <c r="H61" i="146"/>
  <c r="I60" i="146"/>
  <c r="H60" i="146"/>
  <c r="I59" i="146"/>
  <c r="H59" i="146"/>
  <c r="I58" i="146"/>
  <c r="H58" i="146"/>
  <c r="I57" i="146"/>
  <c r="H57" i="146"/>
  <c r="I56" i="146"/>
  <c r="H56" i="146"/>
  <c r="I55" i="146"/>
  <c r="H55" i="146"/>
  <c r="I54" i="146"/>
  <c r="H54" i="146"/>
  <c r="I53" i="146"/>
  <c r="H53" i="146"/>
  <c r="I52" i="146"/>
  <c r="H52" i="146"/>
  <c r="I51" i="146"/>
  <c r="H51" i="146"/>
  <c r="I50" i="146"/>
  <c r="H50" i="146"/>
  <c r="I49" i="146"/>
  <c r="H49" i="146"/>
  <c r="I48" i="146"/>
  <c r="H48" i="146"/>
  <c r="I47" i="146"/>
  <c r="H47" i="146"/>
  <c r="I46" i="146"/>
  <c r="H46" i="146"/>
  <c r="I45" i="146"/>
  <c r="H45" i="146"/>
  <c r="I44" i="146"/>
  <c r="H44" i="146"/>
  <c r="G44" i="146"/>
  <c r="I43" i="146"/>
  <c r="H43" i="146"/>
  <c r="I42" i="146"/>
  <c r="H42" i="146"/>
  <c r="I41" i="146"/>
  <c r="H41" i="146"/>
  <c r="I40" i="146"/>
  <c r="H40" i="146"/>
  <c r="I39" i="146"/>
  <c r="H39" i="146"/>
  <c r="I38" i="146"/>
  <c r="H38" i="146"/>
  <c r="I37" i="146"/>
  <c r="H37" i="146"/>
  <c r="I36" i="146"/>
  <c r="H36" i="146"/>
  <c r="I35" i="146"/>
  <c r="H35" i="146"/>
  <c r="I34" i="146"/>
  <c r="H34" i="146"/>
  <c r="I33" i="146"/>
  <c r="H33" i="146"/>
  <c r="I32" i="146"/>
  <c r="H32" i="146"/>
  <c r="I31" i="146"/>
  <c r="H31" i="146"/>
  <c r="I30" i="146"/>
  <c r="H30" i="146"/>
  <c r="I29" i="146"/>
  <c r="H29" i="146"/>
  <c r="I28" i="146"/>
  <c r="H28" i="146"/>
  <c r="I27" i="146"/>
  <c r="H27" i="146"/>
  <c r="I26" i="146"/>
  <c r="H26" i="146"/>
  <c r="I25" i="146"/>
  <c r="H25" i="146"/>
  <c r="I24" i="146"/>
  <c r="H24" i="146"/>
  <c r="I23" i="146"/>
  <c r="H23" i="146"/>
  <c r="I22" i="146"/>
  <c r="H22" i="146"/>
  <c r="I21" i="146"/>
  <c r="H21" i="146"/>
  <c r="I20" i="146"/>
  <c r="H20" i="146"/>
  <c r="I19" i="146"/>
  <c r="H19" i="146"/>
  <c r="I18" i="146"/>
  <c r="H18" i="146"/>
  <c r="I17" i="146"/>
  <c r="H17" i="146"/>
  <c r="I16" i="146"/>
  <c r="H16" i="146"/>
  <c r="I15" i="146"/>
  <c r="H15" i="146"/>
  <c r="I14" i="146"/>
  <c r="H14" i="146"/>
  <c r="I13" i="146"/>
  <c r="H13" i="146"/>
  <c r="I12" i="146"/>
  <c r="H12" i="146"/>
  <c r="G12" i="146"/>
  <c r="I11" i="146"/>
  <c r="H11" i="146"/>
  <c r="I10" i="146"/>
  <c r="H10" i="146"/>
  <c r="G10" i="146"/>
  <c r="J9" i="146"/>
  <c r="I9" i="146"/>
  <c r="H9" i="146"/>
  <c r="G9" i="146"/>
  <c r="E64" i="68"/>
  <c r="H63" i="68"/>
  <c r="G63" i="68"/>
  <c r="E63" i="68"/>
  <c r="D63" i="68"/>
  <c r="H62" i="68"/>
  <c r="G62" i="68"/>
  <c r="D62" i="68"/>
  <c r="H61" i="68"/>
  <c r="G61" i="68"/>
  <c r="H60" i="68"/>
  <c r="G60" i="68"/>
  <c r="D60" i="68"/>
  <c r="H59" i="68"/>
  <c r="G59" i="68"/>
  <c r="F59" i="68"/>
  <c r="E59" i="68"/>
  <c r="D59" i="68"/>
  <c r="C59" i="68"/>
  <c r="H58" i="68"/>
  <c r="G58" i="68"/>
  <c r="D58" i="68"/>
  <c r="H57" i="68"/>
  <c r="G57" i="68"/>
  <c r="D57" i="68"/>
  <c r="H56" i="68"/>
  <c r="G56" i="68"/>
  <c r="D56" i="68"/>
  <c r="H55" i="68"/>
  <c r="G55" i="68"/>
  <c r="D55" i="68"/>
  <c r="H54" i="68"/>
  <c r="G54" i="68"/>
  <c r="D54" i="68"/>
  <c r="H53" i="68"/>
  <c r="G53" i="68"/>
  <c r="D53" i="68"/>
  <c r="H52" i="68"/>
  <c r="G52" i="68"/>
  <c r="D52" i="68"/>
  <c r="H51" i="68"/>
  <c r="G51" i="68"/>
  <c r="D51" i="68"/>
  <c r="H50" i="68"/>
  <c r="G50" i="68"/>
  <c r="D50" i="68"/>
  <c r="H49" i="68"/>
  <c r="G49" i="68"/>
  <c r="E49" i="68"/>
  <c r="D49" i="68"/>
  <c r="H48" i="68"/>
  <c r="G48" i="68"/>
  <c r="D48" i="68"/>
  <c r="D47" i="68"/>
  <c r="D46" i="68"/>
  <c r="J45" i="68"/>
  <c r="D45" i="68"/>
  <c r="D44" i="68"/>
  <c r="D43" i="68"/>
  <c r="D42" i="68"/>
  <c r="E41" i="68"/>
  <c r="D41" i="68"/>
  <c r="H40" i="68"/>
  <c r="G40" i="68"/>
  <c r="D40" i="68"/>
  <c r="D39" i="68"/>
  <c r="D38" i="68"/>
  <c r="D37" i="68"/>
  <c r="D36" i="68"/>
  <c r="D35" i="68"/>
  <c r="D34" i="68"/>
  <c r="D33" i="68"/>
  <c r="D32" i="68"/>
  <c r="D31" i="68"/>
  <c r="D30" i="68"/>
  <c r="D29" i="68"/>
  <c r="D28" i="68"/>
  <c r="E27" i="68"/>
  <c r="D27" i="68"/>
  <c r="H26" i="68"/>
  <c r="G26" i="68"/>
  <c r="E26" i="68"/>
  <c r="D26" i="68"/>
  <c r="C26" i="68"/>
  <c r="D25" i="68"/>
  <c r="D24" i="68"/>
  <c r="E23" i="68"/>
  <c r="D23" i="68"/>
  <c r="D22" i="68"/>
  <c r="D21" i="68"/>
  <c r="D20" i="68"/>
  <c r="D19" i="68"/>
  <c r="D18" i="68"/>
  <c r="F17" i="68"/>
  <c r="E17" i="68"/>
  <c r="D17" i="68"/>
  <c r="H16" i="68"/>
  <c r="G16" i="68"/>
  <c r="F16" i="68"/>
  <c r="E16" i="68"/>
  <c r="D16" i="68"/>
  <c r="D15" i="68"/>
  <c r="D14" i="68"/>
  <c r="D13" i="68"/>
  <c r="F12" i="68"/>
  <c r="E12" i="68"/>
  <c r="D12" i="68"/>
  <c r="H11" i="68"/>
  <c r="G11" i="68"/>
  <c r="F11" i="68"/>
  <c r="E11" i="68"/>
  <c r="D11" i="68"/>
  <c r="H10" i="68"/>
  <c r="G10" i="68"/>
  <c r="F10" i="68"/>
  <c r="E10" i="68"/>
  <c r="D10" i="68"/>
  <c r="H9" i="68"/>
  <c r="G9" i="68"/>
  <c r="F9" i="68"/>
  <c r="E9" i="68"/>
  <c r="D9" i="68"/>
  <c r="H8" i="68"/>
  <c r="G8" i="68"/>
  <c r="F8" i="68"/>
  <c r="E8" i="68"/>
  <c r="D8" i="68"/>
  <c r="A3" i="68"/>
  <c r="H156" i="180"/>
  <c r="G156" i="180"/>
  <c r="E156" i="180"/>
  <c r="D156" i="180"/>
  <c r="H155" i="180"/>
  <c r="G155" i="180"/>
  <c r="E155" i="180"/>
  <c r="D155" i="180"/>
  <c r="K154" i="180"/>
  <c r="H154" i="180"/>
  <c r="G154" i="180"/>
  <c r="E154" i="180"/>
  <c r="D154" i="180"/>
  <c r="H153" i="180"/>
  <c r="G153" i="180"/>
  <c r="E153" i="180"/>
  <c r="D153" i="180"/>
  <c r="K152" i="180"/>
  <c r="J152" i="180"/>
  <c r="H152" i="180"/>
  <c r="G152" i="180"/>
  <c r="D152" i="180"/>
  <c r="G151" i="180"/>
  <c r="E151" i="180"/>
  <c r="D151" i="180"/>
  <c r="I150" i="180"/>
  <c r="H150" i="180"/>
  <c r="G150" i="180"/>
  <c r="F150" i="180"/>
  <c r="E150" i="180"/>
  <c r="D150" i="180"/>
  <c r="C150" i="180"/>
  <c r="E146" i="180"/>
  <c r="E141" i="180"/>
  <c r="E140" i="180"/>
  <c r="J139" i="180"/>
  <c r="G139" i="180"/>
  <c r="F139" i="180"/>
  <c r="E139" i="180"/>
  <c r="D139" i="180"/>
  <c r="C139" i="180"/>
  <c r="G138" i="180"/>
  <c r="G137" i="180"/>
  <c r="G136" i="180"/>
  <c r="G135" i="180"/>
  <c r="E135" i="180"/>
  <c r="D135" i="180"/>
  <c r="G134" i="180"/>
  <c r="G133" i="180"/>
  <c r="G132" i="180"/>
  <c r="G131" i="180"/>
  <c r="E131" i="180"/>
  <c r="D131" i="180"/>
  <c r="G130" i="180"/>
  <c r="G129" i="180"/>
  <c r="G128" i="180"/>
  <c r="G127" i="180"/>
  <c r="G126" i="180"/>
  <c r="G125" i="180"/>
  <c r="E125" i="180"/>
  <c r="D125" i="180"/>
  <c r="G124" i="180"/>
  <c r="D124" i="180"/>
  <c r="G123" i="180"/>
  <c r="D123" i="180"/>
  <c r="G122" i="180"/>
  <c r="D122" i="180"/>
  <c r="G121" i="180"/>
  <c r="D121" i="180"/>
  <c r="G120" i="180"/>
  <c r="F120" i="180"/>
  <c r="E120" i="180"/>
  <c r="D120" i="180"/>
  <c r="G119" i="180"/>
  <c r="F119" i="180"/>
  <c r="E119" i="180"/>
  <c r="D119" i="180"/>
  <c r="G118" i="180"/>
  <c r="G117" i="180"/>
  <c r="G116" i="180"/>
  <c r="G115" i="180"/>
  <c r="J114" i="180"/>
  <c r="G114" i="180"/>
  <c r="G113" i="180"/>
  <c r="D113" i="180"/>
  <c r="G112" i="180"/>
  <c r="D112" i="180"/>
  <c r="G111" i="180"/>
  <c r="F111" i="180"/>
  <c r="E111" i="180"/>
  <c r="D111" i="180"/>
  <c r="H110" i="180"/>
  <c r="G110" i="180"/>
  <c r="F110" i="180"/>
  <c r="E110" i="180"/>
  <c r="D110" i="180"/>
  <c r="G109" i="180"/>
  <c r="E109" i="180"/>
  <c r="D109" i="180"/>
  <c r="H108" i="180"/>
  <c r="G108" i="180"/>
  <c r="F108" i="180"/>
  <c r="E108" i="180"/>
  <c r="D108" i="180"/>
  <c r="C108" i="180"/>
  <c r="J107" i="180"/>
  <c r="G107" i="180"/>
  <c r="G106" i="180"/>
  <c r="G105" i="180"/>
  <c r="E105" i="180"/>
  <c r="D105" i="180"/>
  <c r="G104" i="180"/>
  <c r="G103" i="180"/>
  <c r="G102" i="180"/>
  <c r="G101" i="180"/>
  <c r="G100" i="180"/>
  <c r="H99" i="180"/>
  <c r="G99" i="180"/>
  <c r="E99" i="180"/>
  <c r="D99" i="180"/>
  <c r="C99" i="180"/>
  <c r="G98" i="180"/>
  <c r="G97" i="180"/>
  <c r="G96" i="180"/>
  <c r="G95" i="180"/>
  <c r="G94" i="180"/>
  <c r="G93" i="180"/>
  <c r="G92" i="180"/>
  <c r="G91" i="180"/>
  <c r="G90" i="180"/>
  <c r="G89" i="180"/>
  <c r="G88" i="180"/>
  <c r="G87" i="180"/>
  <c r="G86" i="180"/>
  <c r="G85" i="180"/>
  <c r="G84" i="180"/>
  <c r="G83" i="180"/>
  <c r="G82" i="180"/>
  <c r="G81" i="180"/>
  <c r="G80" i="180"/>
  <c r="G79" i="180"/>
  <c r="G78" i="180"/>
  <c r="G77" i="180"/>
  <c r="G76" i="180"/>
  <c r="G75" i="180"/>
  <c r="G74" i="180"/>
  <c r="H73" i="180"/>
  <c r="G73" i="180"/>
  <c r="E73" i="180"/>
  <c r="D73" i="180"/>
  <c r="C73" i="180"/>
  <c r="G72" i="180"/>
  <c r="G71" i="180"/>
  <c r="G70" i="180"/>
  <c r="G69" i="180"/>
  <c r="G68" i="180"/>
  <c r="G67" i="180"/>
  <c r="G66" i="180"/>
  <c r="G65" i="180"/>
  <c r="G64" i="180"/>
  <c r="G63" i="180"/>
  <c r="G62" i="180"/>
  <c r="G61" i="180"/>
  <c r="E61" i="180"/>
  <c r="D61" i="180"/>
  <c r="G60" i="180"/>
  <c r="E60" i="180"/>
  <c r="D60" i="180"/>
  <c r="H59" i="180"/>
  <c r="G59" i="180"/>
  <c r="F59" i="180"/>
  <c r="E59" i="180"/>
  <c r="D59" i="180"/>
  <c r="J58" i="180"/>
  <c r="G58" i="180"/>
  <c r="J57" i="180"/>
  <c r="G57" i="180"/>
  <c r="G56" i="180"/>
  <c r="K55" i="180"/>
  <c r="G55" i="180"/>
  <c r="K54" i="180"/>
  <c r="G54" i="180"/>
  <c r="K53" i="180"/>
  <c r="G53" i="180"/>
  <c r="G52" i="180"/>
  <c r="G51" i="180"/>
  <c r="G50" i="180"/>
  <c r="G49" i="180"/>
  <c r="G48" i="180"/>
  <c r="J47" i="180"/>
  <c r="G47" i="180"/>
  <c r="F47" i="180"/>
  <c r="E47" i="180"/>
  <c r="D47" i="180"/>
  <c r="C47" i="180"/>
  <c r="G46" i="180"/>
  <c r="F46" i="180"/>
  <c r="E46" i="180"/>
  <c r="D46" i="180"/>
  <c r="C46" i="180"/>
  <c r="G45" i="180"/>
  <c r="G44" i="180"/>
  <c r="G43" i="180"/>
  <c r="G42" i="180"/>
  <c r="G41" i="180"/>
  <c r="G40" i="180"/>
  <c r="G39" i="180"/>
  <c r="G38" i="180"/>
  <c r="G37" i="180"/>
  <c r="G36" i="180"/>
  <c r="G35" i="180"/>
  <c r="G34" i="180"/>
  <c r="G33" i="180"/>
  <c r="J32" i="180"/>
  <c r="G32" i="180"/>
  <c r="F32" i="180"/>
  <c r="E32" i="180"/>
  <c r="D32" i="180"/>
  <c r="C32" i="180"/>
  <c r="J31" i="180"/>
  <c r="G31" i="180"/>
  <c r="F31" i="180"/>
  <c r="E31" i="180"/>
  <c r="J30" i="180"/>
  <c r="G30" i="180"/>
  <c r="G29" i="180"/>
  <c r="F29" i="180"/>
  <c r="E29" i="180"/>
  <c r="D29" i="180"/>
  <c r="C29" i="180"/>
  <c r="G28" i="180"/>
  <c r="G27" i="180"/>
  <c r="G26" i="180"/>
  <c r="G25" i="180"/>
  <c r="F25" i="180"/>
  <c r="E25" i="180"/>
  <c r="D25" i="180"/>
  <c r="C25" i="180"/>
  <c r="G24" i="180"/>
  <c r="F24" i="180"/>
  <c r="E24" i="180"/>
  <c r="D24" i="180"/>
  <c r="C24" i="180"/>
  <c r="H23" i="180"/>
  <c r="G23" i="180"/>
  <c r="G22" i="180"/>
  <c r="G21" i="180"/>
  <c r="G20" i="180"/>
  <c r="F20" i="180"/>
  <c r="E20" i="180"/>
  <c r="D20" i="180"/>
  <c r="H19" i="180"/>
  <c r="G19" i="180"/>
  <c r="F19" i="180"/>
  <c r="E19" i="180"/>
  <c r="D19" i="180"/>
  <c r="C19" i="180"/>
  <c r="G18" i="180"/>
  <c r="G17" i="180"/>
  <c r="G16" i="180"/>
  <c r="E16" i="180"/>
  <c r="D16" i="180"/>
  <c r="G15" i="180"/>
  <c r="G14" i="180"/>
  <c r="G13" i="180"/>
  <c r="E13" i="180"/>
  <c r="D13" i="180"/>
  <c r="G12" i="180"/>
  <c r="D12" i="180"/>
  <c r="H11" i="180"/>
  <c r="G11" i="180"/>
  <c r="F11" i="180"/>
  <c r="E11" i="180"/>
  <c r="D11" i="180"/>
  <c r="C11" i="180"/>
  <c r="H10" i="180"/>
  <c r="G10" i="180"/>
  <c r="H9" i="180"/>
  <c r="G9" i="180"/>
  <c r="F9" i="180"/>
  <c r="E9" i="180"/>
  <c r="D9" i="180"/>
  <c r="C9" i="180"/>
  <c r="H8" i="180"/>
  <c r="G8" i="180"/>
  <c r="F8" i="180"/>
  <c r="E8" i="180"/>
  <c r="D8" i="180"/>
  <c r="C8" i="180"/>
  <c r="A3" i="180"/>
  <c r="A1" i="180"/>
  <c r="H7" i="118"/>
  <c r="A4" i="118"/>
  <c r="A4" i="61"/>
  <c r="C44" i="60"/>
  <c r="E43" i="60"/>
  <c r="E42" i="60"/>
  <c r="E41" i="60"/>
  <c r="F40" i="60"/>
  <c r="E40" i="60"/>
  <c r="D40" i="60"/>
  <c r="C40" i="60"/>
  <c r="H38" i="60"/>
  <c r="G38" i="60"/>
  <c r="E38" i="60"/>
  <c r="C37" i="60"/>
  <c r="I36" i="60"/>
  <c r="E36" i="60"/>
  <c r="D36" i="60" s="1"/>
  <c r="C36" i="60" s="1"/>
  <c r="C35" i="60"/>
  <c r="C23" i="60" s="1"/>
  <c r="I34" i="60"/>
  <c r="H34" i="60"/>
  <c r="I33" i="60"/>
  <c r="H33" i="60"/>
  <c r="E32" i="60"/>
  <c r="G32" i="60" s="1"/>
  <c r="E31" i="60"/>
  <c r="G31" i="60" s="1"/>
  <c r="E30" i="60"/>
  <c r="H30" i="60" s="1"/>
  <c r="E29" i="60"/>
  <c r="H29" i="60" s="1"/>
  <c r="E28" i="60"/>
  <c r="G28" i="60" s="1"/>
  <c r="E27" i="60"/>
  <c r="E26" i="60"/>
  <c r="G26" i="60" s="1"/>
  <c r="E25" i="60"/>
  <c r="H25" i="60" s="1"/>
  <c r="E24" i="60"/>
  <c r="H24" i="60" s="1"/>
  <c r="F23" i="60"/>
  <c r="I27" i="60"/>
  <c r="D23" i="60"/>
  <c r="E21" i="60"/>
  <c r="D21" i="60"/>
  <c r="E20" i="60"/>
  <c r="D20" i="60"/>
  <c r="E19" i="60"/>
  <c r="D19" i="60"/>
  <c r="E18" i="60"/>
  <c r="G18" i="60" s="1"/>
  <c r="D18" i="60"/>
  <c r="E17" i="60"/>
  <c r="D17" i="60"/>
  <c r="E16" i="60"/>
  <c r="D16" i="60"/>
  <c r="E15" i="60"/>
  <c r="D15" i="60"/>
  <c r="E14" i="60"/>
  <c r="G14" i="60" s="1"/>
  <c r="D14" i="60"/>
  <c r="E13" i="60"/>
  <c r="D13" i="60"/>
  <c r="E12" i="60"/>
  <c r="D12" i="60"/>
  <c r="F11" i="60"/>
  <c r="F10" i="60" s="1"/>
  <c r="C11" i="60"/>
  <c r="M6" i="60"/>
  <c r="G61" i="119"/>
  <c r="G62" i="119"/>
  <c r="F62" i="119" s="1"/>
  <c r="AD79" i="89"/>
  <c r="AC79" i="89"/>
  <c r="Z79" i="89"/>
  <c r="S79" i="89"/>
  <c r="H79" i="89"/>
  <c r="AD78" i="89"/>
  <c r="AC78" i="89"/>
  <c r="Z78" i="89"/>
  <c r="W78" i="89"/>
  <c r="V78" i="89"/>
  <c r="U78" i="89"/>
  <c r="T78" i="89"/>
  <c r="S78" i="89"/>
  <c r="R78" i="89"/>
  <c r="Q78" i="89"/>
  <c r="P78" i="89"/>
  <c r="O78" i="89"/>
  <c r="N78" i="89"/>
  <c r="M78" i="89"/>
  <c r="L78" i="89"/>
  <c r="K78" i="89"/>
  <c r="J78" i="89"/>
  <c r="I78" i="89"/>
  <c r="H78" i="89"/>
  <c r="G78" i="89"/>
  <c r="AD77" i="89"/>
  <c r="AC77" i="89"/>
  <c r="Z77" i="89"/>
  <c r="W77" i="89"/>
  <c r="V77" i="89"/>
  <c r="U77" i="89"/>
  <c r="T77" i="89"/>
  <c r="S77" i="89"/>
  <c r="R77" i="89"/>
  <c r="Q77" i="89"/>
  <c r="P77" i="89"/>
  <c r="O77" i="89"/>
  <c r="N77" i="89"/>
  <c r="M77" i="89"/>
  <c r="L77" i="89"/>
  <c r="K77" i="89"/>
  <c r="J77" i="89"/>
  <c r="I77" i="89"/>
  <c r="H77" i="89"/>
  <c r="G77" i="89"/>
  <c r="AD76" i="89"/>
  <c r="AC76" i="89"/>
  <c r="Z76" i="89"/>
  <c r="W76" i="89"/>
  <c r="V76" i="89"/>
  <c r="U76" i="89"/>
  <c r="T76" i="89"/>
  <c r="S76" i="89"/>
  <c r="R76" i="89"/>
  <c r="Q76" i="89"/>
  <c r="P76" i="89"/>
  <c r="O76" i="89"/>
  <c r="N76" i="89"/>
  <c r="M76" i="89"/>
  <c r="L76" i="89"/>
  <c r="K76" i="89"/>
  <c r="J76" i="89"/>
  <c r="I76" i="89"/>
  <c r="H76" i="89"/>
  <c r="G76" i="89"/>
  <c r="AD75" i="89"/>
  <c r="AC75" i="89"/>
  <c r="Z75" i="89"/>
  <c r="W75" i="89"/>
  <c r="V75" i="89"/>
  <c r="U75" i="89"/>
  <c r="T75" i="89"/>
  <c r="S75" i="89"/>
  <c r="R75" i="89"/>
  <c r="Q75" i="89"/>
  <c r="P75" i="89"/>
  <c r="O75" i="89"/>
  <c r="N75" i="89"/>
  <c r="M75" i="89"/>
  <c r="L75" i="89"/>
  <c r="K75" i="89"/>
  <c r="J75" i="89"/>
  <c r="I75" i="89"/>
  <c r="H75" i="89"/>
  <c r="G75" i="89"/>
  <c r="AD74" i="89"/>
  <c r="AC74" i="89"/>
  <c r="Z74" i="89"/>
  <c r="W74" i="89"/>
  <c r="S74" i="89"/>
  <c r="AD73" i="89"/>
  <c r="AC73" i="89"/>
  <c r="Z73" i="89"/>
  <c r="W73" i="89"/>
  <c r="S73" i="89"/>
  <c r="AD72" i="89"/>
  <c r="AC72" i="89"/>
  <c r="Z72" i="89"/>
  <c r="W72" i="89"/>
  <c r="V72" i="89"/>
  <c r="U72" i="89"/>
  <c r="T72" i="89"/>
  <c r="S72" i="89"/>
  <c r="R72" i="89"/>
  <c r="Q72" i="89"/>
  <c r="P72" i="89"/>
  <c r="O72" i="89"/>
  <c r="N72" i="89"/>
  <c r="M72" i="89"/>
  <c r="L72" i="89"/>
  <c r="K72" i="89"/>
  <c r="J72" i="89"/>
  <c r="I72" i="89"/>
  <c r="H72" i="89"/>
  <c r="G72" i="89"/>
  <c r="AD71" i="89"/>
  <c r="AC71" i="89"/>
  <c r="Z71" i="89"/>
  <c r="W71" i="89"/>
  <c r="S71" i="89"/>
  <c r="H71" i="89"/>
  <c r="AD70" i="89"/>
  <c r="AC70" i="89"/>
  <c r="Z70" i="89"/>
  <c r="W70" i="89"/>
  <c r="S70" i="89"/>
  <c r="AD69" i="89"/>
  <c r="AC69" i="89"/>
  <c r="Z69" i="89"/>
  <c r="W69" i="89"/>
  <c r="V69" i="89"/>
  <c r="U69" i="89"/>
  <c r="T69" i="89"/>
  <c r="S69" i="89"/>
  <c r="R69" i="89"/>
  <c r="Q69" i="89"/>
  <c r="P69" i="89"/>
  <c r="O69" i="89"/>
  <c r="N69" i="89"/>
  <c r="M69" i="89"/>
  <c r="L69" i="89"/>
  <c r="K69" i="89"/>
  <c r="J69" i="89"/>
  <c r="I69" i="89"/>
  <c r="H69" i="89"/>
  <c r="G69" i="89"/>
  <c r="AD68" i="89"/>
  <c r="AC68" i="89"/>
  <c r="Z68" i="89"/>
  <c r="W68" i="89"/>
  <c r="V68" i="89"/>
  <c r="U68" i="89"/>
  <c r="T68" i="89"/>
  <c r="S68" i="89"/>
  <c r="R68" i="89"/>
  <c r="Q68" i="89"/>
  <c r="P68" i="89"/>
  <c r="O68" i="89"/>
  <c r="N68" i="89"/>
  <c r="M68" i="89"/>
  <c r="L68" i="89"/>
  <c r="K68" i="89"/>
  <c r="J68" i="89"/>
  <c r="I68" i="89"/>
  <c r="H68" i="89"/>
  <c r="G68" i="89"/>
  <c r="AD67" i="89"/>
  <c r="AC67" i="89"/>
  <c r="Z67" i="89"/>
  <c r="W67" i="89"/>
  <c r="V67" i="89"/>
  <c r="U67" i="89"/>
  <c r="T67" i="89"/>
  <c r="S67" i="89"/>
  <c r="R67" i="89"/>
  <c r="Q67" i="89"/>
  <c r="P67" i="89"/>
  <c r="O67" i="89"/>
  <c r="N67" i="89"/>
  <c r="M67" i="89"/>
  <c r="L67" i="89"/>
  <c r="K67" i="89"/>
  <c r="J67" i="89"/>
  <c r="I67" i="89"/>
  <c r="H67" i="89"/>
  <c r="G67" i="89"/>
  <c r="AD66" i="89"/>
  <c r="AC66" i="89"/>
  <c r="Z66" i="89"/>
  <c r="W66" i="89"/>
  <c r="S66" i="89"/>
  <c r="M66" i="89"/>
  <c r="AD65" i="89"/>
  <c r="AC65" i="89"/>
  <c r="Z65" i="89"/>
  <c r="W65" i="89"/>
  <c r="S65" i="89"/>
  <c r="M65" i="89"/>
  <c r="AD64" i="89"/>
  <c r="AC64" i="89"/>
  <c r="Z64" i="89"/>
  <c r="W64" i="89"/>
  <c r="V64" i="89"/>
  <c r="U64" i="89"/>
  <c r="T64" i="89"/>
  <c r="S64" i="89"/>
  <c r="R64" i="89"/>
  <c r="Q64" i="89"/>
  <c r="P64" i="89"/>
  <c r="O64" i="89"/>
  <c r="N64" i="89"/>
  <c r="M64" i="89"/>
  <c r="L64" i="89"/>
  <c r="K64" i="89"/>
  <c r="J64" i="89"/>
  <c r="I64" i="89"/>
  <c r="H64" i="89"/>
  <c r="G64" i="89"/>
  <c r="AD63" i="89"/>
  <c r="AC63" i="89"/>
  <c r="Z63" i="89"/>
  <c r="W63" i="89"/>
  <c r="V63" i="89"/>
  <c r="U63" i="89"/>
  <c r="T63" i="89"/>
  <c r="S63" i="89"/>
  <c r="R63" i="89"/>
  <c r="Q63" i="89"/>
  <c r="P63" i="89"/>
  <c r="O63" i="89"/>
  <c r="N63" i="89"/>
  <c r="M63" i="89"/>
  <c r="L63" i="89"/>
  <c r="K63" i="89"/>
  <c r="J63" i="89"/>
  <c r="I63" i="89"/>
  <c r="H63" i="89"/>
  <c r="G63" i="89"/>
  <c r="AD62" i="89"/>
  <c r="AC62" i="89"/>
  <c r="Z62" i="89"/>
  <c r="W62" i="89"/>
  <c r="V62" i="89"/>
  <c r="U62" i="89"/>
  <c r="T62" i="89"/>
  <c r="S62" i="89"/>
  <c r="R62" i="89"/>
  <c r="Q62" i="89"/>
  <c r="P62" i="89"/>
  <c r="O62" i="89"/>
  <c r="N62" i="89"/>
  <c r="M62" i="89"/>
  <c r="L62" i="89"/>
  <c r="K62" i="89"/>
  <c r="J62" i="89"/>
  <c r="I62" i="89"/>
  <c r="H62" i="89"/>
  <c r="G62" i="89"/>
  <c r="AD61" i="89"/>
  <c r="AC61" i="89"/>
  <c r="Z61" i="89"/>
  <c r="W61" i="89"/>
  <c r="S61" i="89"/>
  <c r="AD60" i="89"/>
  <c r="AC60" i="89"/>
  <c r="Z60" i="89"/>
  <c r="W60" i="89"/>
  <c r="V60" i="89"/>
  <c r="U60" i="89"/>
  <c r="T60" i="89"/>
  <c r="S60" i="89"/>
  <c r="R60" i="89"/>
  <c r="Q60" i="89"/>
  <c r="P60" i="89"/>
  <c r="O60" i="89"/>
  <c r="N60" i="89"/>
  <c r="M60" i="89"/>
  <c r="L60" i="89"/>
  <c r="K60" i="89"/>
  <c r="J60" i="89"/>
  <c r="I60" i="89"/>
  <c r="H60" i="89"/>
  <c r="G60" i="89"/>
  <c r="AD59" i="89"/>
  <c r="AC59" i="89"/>
  <c r="Z59" i="89"/>
  <c r="W59" i="89"/>
  <c r="V59" i="89"/>
  <c r="U59" i="89"/>
  <c r="T59" i="89"/>
  <c r="S59" i="89"/>
  <c r="R59" i="89"/>
  <c r="Q59" i="89"/>
  <c r="P59" i="89"/>
  <c r="O59" i="89"/>
  <c r="N59" i="89"/>
  <c r="M59" i="89"/>
  <c r="L59" i="89"/>
  <c r="K59" i="89"/>
  <c r="J59" i="89"/>
  <c r="I59" i="89"/>
  <c r="H59" i="89"/>
  <c r="G59" i="89"/>
  <c r="AD58" i="89"/>
  <c r="AC58" i="89"/>
  <c r="Z58" i="89"/>
  <c r="W58" i="89"/>
  <c r="V58" i="89"/>
  <c r="U58" i="89"/>
  <c r="T58" i="89"/>
  <c r="S58" i="89"/>
  <c r="R58" i="89"/>
  <c r="Q58" i="89"/>
  <c r="P58" i="89"/>
  <c r="O58" i="89"/>
  <c r="N58" i="89"/>
  <c r="M58" i="89"/>
  <c r="L58" i="89"/>
  <c r="K58" i="89"/>
  <c r="J58" i="89"/>
  <c r="I58" i="89"/>
  <c r="H58" i="89"/>
  <c r="G58" i="89"/>
  <c r="AD57" i="89"/>
  <c r="AC57" i="89"/>
  <c r="Z57" i="89"/>
  <c r="S57" i="89"/>
  <c r="AD56" i="89"/>
  <c r="AC56" i="89"/>
  <c r="Z56" i="89"/>
  <c r="W56" i="89"/>
  <c r="V56" i="89"/>
  <c r="U56" i="89"/>
  <c r="T56" i="89"/>
  <c r="S56" i="89"/>
  <c r="R56" i="89"/>
  <c r="Q56" i="89"/>
  <c r="P56" i="89"/>
  <c r="O56" i="89"/>
  <c r="N56" i="89"/>
  <c r="M56" i="89"/>
  <c r="L56" i="89"/>
  <c r="K56" i="89"/>
  <c r="J56" i="89"/>
  <c r="I56" i="89"/>
  <c r="H56" i="89"/>
  <c r="G56" i="89"/>
  <c r="AD55" i="89"/>
  <c r="AC55" i="89"/>
  <c r="Z55" i="89"/>
  <c r="W55" i="89"/>
  <c r="V55" i="89"/>
  <c r="U55" i="89"/>
  <c r="T55" i="89"/>
  <c r="S55" i="89"/>
  <c r="R55" i="89"/>
  <c r="Q55" i="89"/>
  <c r="P55" i="89"/>
  <c r="O55" i="89"/>
  <c r="N55" i="89"/>
  <c r="M55" i="89"/>
  <c r="L55" i="89"/>
  <c r="K55" i="89"/>
  <c r="J55" i="89"/>
  <c r="I55" i="89"/>
  <c r="H55" i="89"/>
  <c r="G55" i="89"/>
  <c r="AT54" i="89"/>
  <c r="AB54" i="89"/>
  <c r="Z54" i="89"/>
  <c r="U54" i="89"/>
  <c r="I54" i="89"/>
  <c r="AW53" i="89"/>
  <c r="AV53" i="89"/>
  <c r="AU53" i="89"/>
  <c r="AT53" i="89"/>
  <c r="AS53" i="89"/>
  <c r="AE53" i="89"/>
  <c r="AD53" i="89"/>
  <c r="AC53" i="89"/>
  <c r="AB53" i="89"/>
  <c r="AA53" i="89"/>
  <c r="Z53" i="89"/>
  <c r="Y53" i="89"/>
  <c r="X53" i="89"/>
  <c r="W53" i="89"/>
  <c r="V53" i="89"/>
  <c r="U53" i="89"/>
  <c r="T53" i="89"/>
  <c r="R53" i="89"/>
  <c r="Q53" i="89"/>
  <c r="P53" i="89"/>
  <c r="O53" i="89"/>
  <c r="N53" i="89"/>
  <c r="M53" i="89"/>
  <c r="L53" i="89"/>
  <c r="K53" i="89"/>
  <c r="J53" i="89"/>
  <c r="I53" i="89"/>
  <c r="H53" i="89"/>
  <c r="G53" i="89"/>
  <c r="AW52" i="89"/>
  <c r="AV52" i="89"/>
  <c r="AU52" i="89"/>
  <c r="AT52" i="89"/>
  <c r="AS52" i="89"/>
  <c r="AE52" i="89"/>
  <c r="AD52" i="89"/>
  <c r="AC52" i="89"/>
  <c r="AB52" i="89"/>
  <c r="AA52" i="89"/>
  <c r="Z52" i="89"/>
  <c r="Y52" i="89"/>
  <c r="X52" i="89"/>
  <c r="W52" i="89"/>
  <c r="V52" i="89"/>
  <c r="U52" i="89"/>
  <c r="T52" i="89"/>
  <c r="R52" i="89"/>
  <c r="Q52" i="89"/>
  <c r="P52" i="89"/>
  <c r="O52" i="89"/>
  <c r="N52" i="89"/>
  <c r="M52" i="89"/>
  <c r="L52" i="89"/>
  <c r="K52" i="89"/>
  <c r="J52" i="89"/>
  <c r="I52" i="89"/>
  <c r="H52" i="89"/>
  <c r="G52" i="89"/>
  <c r="AW51" i="89"/>
  <c r="AV51" i="89"/>
  <c r="AU51" i="89"/>
  <c r="AT51" i="89"/>
  <c r="AS51" i="89"/>
  <c r="AE51" i="89"/>
  <c r="AD51" i="89"/>
  <c r="AC51" i="89"/>
  <c r="AB51" i="89"/>
  <c r="AA51" i="89"/>
  <c r="Z51" i="89"/>
  <c r="Y51" i="89"/>
  <c r="X51" i="89"/>
  <c r="W51" i="89"/>
  <c r="V51" i="89"/>
  <c r="U51" i="89"/>
  <c r="T51" i="89"/>
  <c r="R51" i="89"/>
  <c r="Q51" i="89"/>
  <c r="P51" i="89"/>
  <c r="O51" i="89"/>
  <c r="N51" i="89"/>
  <c r="M51" i="89"/>
  <c r="L51" i="89"/>
  <c r="K51" i="89"/>
  <c r="J51" i="89"/>
  <c r="I51" i="89"/>
  <c r="H51" i="89"/>
  <c r="G51" i="89"/>
  <c r="Y50" i="89"/>
  <c r="X50" i="89"/>
  <c r="W50" i="89"/>
  <c r="V50" i="89"/>
  <c r="U50" i="89"/>
  <c r="T50" i="89"/>
  <c r="R50" i="89"/>
  <c r="Q50" i="89"/>
  <c r="P50" i="89"/>
  <c r="O50" i="89"/>
  <c r="N50" i="89"/>
  <c r="M50" i="89"/>
  <c r="L50" i="89"/>
  <c r="K50" i="89"/>
  <c r="J50" i="89"/>
  <c r="I50" i="89"/>
  <c r="H50" i="89"/>
  <c r="G50" i="89"/>
  <c r="AV49" i="89"/>
  <c r="AD49" i="89"/>
  <c r="Z49" i="89"/>
  <c r="W49" i="89"/>
  <c r="M49" i="89"/>
  <c r="K49" i="89"/>
  <c r="AV48" i="89"/>
  <c r="AD48" i="89"/>
  <c r="Z48" i="89"/>
  <c r="W48" i="89"/>
  <c r="M48" i="89"/>
  <c r="K48" i="89"/>
  <c r="AW47" i="89"/>
  <c r="AV47" i="89"/>
  <c r="AU47" i="89"/>
  <c r="AT47" i="89"/>
  <c r="AS47" i="89"/>
  <c r="AE47" i="89"/>
  <c r="AD47" i="89"/>
  <c r="AC47" i="89"/>
  <c r="AB47" i="89"/>
  <c r="AA47" i="89"/>
  <c r="Z47" i="89"/>
  <c r="Y47" i="89"/>
  <c r="X47" i="89"/>
  <c r="W47" i="89"/>
  <c r="V47" i="89"/>
  <c r="U47" i="89"/>
  <c r="T47" i="89"/>
  <c r="R47" i="89"/>
  <c r="Q47" i="89"/>
  <c r="P47" i="89"/>
  <c r="O47" i="89"/>
  <c r="N47" i="89"/>
  <c r="M47" i="89"/>
  <c r="L47" i="89"/>
  <c r="K47" i="89"/>
  <c r="J47" i="89"/>
  <c r="I47" i="89"/>
  <c r="H47" i="89"/>
  <c r="G47" i="89"/>
  <c r="AV46" i="89"/>
  <c r="AD46" i="89"/>
  <c r="Z46" i="89"/>
  <c r="W46" i="89"/>
  <c r="M46" i="89"/>
  <c r="K46" i="89"/>
  <c r="AV45" i="89"/>
  <c r="AD45" i="89"/>
  <c r="Z45" i="89"/>
  <c r="W45" i="89"/>
  <c r="M45" i="89"/>
  <c r="K45" i="89"/>
  <c r="AW44" i="89"/>
  <c r="AV44" i="89"/>
  <c r="AU44" i="89"/>
  <c r="AT44" i="89"/>
  <c r="AS44" i="89"/>
  <c r="AE44" i="89"/>
  <c r="AD44" i="89"/>
  <c r="AC44" i="89"/>
  <c r="AB44" i="89"/>
  <c r="AA44" i="89"/>
  <c r="Z44" i="89"/>
  <c r="Y44" i="89"/>
  <c r="X44" i="89"/>
  <c r="W44" i="89"/>
  <c r="V44" i="89"/>
  <c r="U44" i="89"/>
  <c r="T44" i="89"/>
  <c r="R44" i="89"/>
  <c r="Q44" i="89"/>
  <c r="P44" i="89"/>
  <c r="O44" i="89"/>
  <c r="N44" i="89"/>
  <c r="M44" i="89"/>
  <c r="L44" i="89"/>
  <c r="K44" i="89"/>
  <c r="J44" i="89"/>
  <c r="I44" i="89"/>
  <c r="H44" i="89"/>
  <c r="G44" i="89"/>
  <c r="AW43" i="89"/>
  <c r="AV43" i="89"/>
  <c r="AU43" i="89"/>
  <c r="AT43" i="89"/>
  <c r="AS43" i="89"/>
  <c r="AE43" i="89"/>
  <c r="AD43" i="89"/>
  <c r="AC43" i="89"/>
  <c r="AB43" i="89"/>
  <c r="AA43" i="89"/>
  <c r="Z43" i="89"/>
  <c r="Y43" i="89"/>
  <c r="X43" i="89"/>
  <c r="W43" i="89"/>
  <c r="V43" i="89"/>
  <c r="U43" i="89"/>
  <c r="T43" i="89"/>
  <c r="R43" i="89"/>
  <c r="Q43" i="89"/>
  <c r="P43" i="89"/>
  <c r="O43" i="89"/>
  <c r="N43" i="89"/>
  <c r="M43" i="89"/>
  <c r="L43" i="89"/>
  <c r="K43" i="89"/>
  <c r="J43" i="89"/>
  <c r="I43" i="89"/>
  <c r="H43" i="89"/>
  <c r="G43" i="89"/>
  <c r="AW42" i="89"/>
  <c r="AV42" i="89"/>
  <c r="AU42" i="89"/>
  <c r="AT42" i="89"/>
  <c r="AS42" i="89"/>
  <c r="AE42" i="89"/>
  <c r="AD42" i="89"/>
  <c r="AC42" i="89"/>
  <c r="AB42" i="89"/>
  <c r="AA42" i="89"/>
  <c r="Z42" i="89"/>
  <c r="Y42" i="89"/>
  <c r="X42" i="89"/>
  <c r="W42" i="89"/>
  <c r="V42" i="89"/>
  <c r="U42" i="89"/>
  <c r="T42" i="89"/>
  <c r="R42" i="89"/>
  <c r="Q42" i="89"/>
  <c r="P42" i="89"/>
  <c r="O42" i="89"/>
  <c r="N42" i="89"/>
  <c r="M42" i="89"/>
  <c r="L42" i="89"/>
  <c r="K42" i="89"/>
  <c r="J42" i="89"/>
  <c r="I42" i="89"/>
  <c r="H42" i="89"/>
  <c r="G42" i="89"/>
  <c r="AW41" i="89"/>
  <c r="AE41" i="89"/>
  <c r="AB41" i="89"/>
  <c r="Z41" i="89"/>
  <c r="M41" i="89"/>
  <c r="I41" i="89"/>
  <c r="AW40" i="89"/>
  <c r="AE40" i="89"/>
  <c r="Z40" i="89"/>
  <c r="X40" i="89"/>
  <c r="M40" i="89"/>
  <c r="L40" i="89"/>
  <c r="AW39" i="89"/>
  <c r="AV39" i="89"/>
  <c r="AU39" i="89"/>
  <c r="AT39" i="89"/>
  <c r="AS39" i="89"/>
  <c r="AE39" i="89"/>
  <c r="AD39" i="89"/>
  <c r="AC39" i="89"/>
  <c r="AB39" i="89"/>
  <c r="AA39" i="89"/>
  <c r="Z39" i="89"/>
  <c r="Y39" i="89"/>
  <c r="X39" i="89"/>
  <c r="W39" i="89"/>
  <c r="V39" i="89"/>
  <c r="U39" i="89"/>
  <c r="T39" i="89"/>
  <c r="R39" i="89"/>
  <c r="Q39" i="89"/>
  <c r="P39" i="89"/>
  <c r="O39" i="89"/>
  <c r="N39" i="89"/>
  <c r="M39" i="89"/>
  <c r="L39" i="89"/>
  <c r="K39" i="89"/>
  <c r="J39" i="89"/>
  <c r="I39" i="89"/>
  <c r="H39" i="89"/>
  <c r="G39" i="89"/>
  <c r="AW38" i="89"/>
  <c r="AV38" i="89"/>
  <c r="AU38" i="89"/>
  <c r="AT38" i="89"/>
  <c r="AS38" i="89"/>
  <c r="AE38" i="89"/>
  <c r="AD38" i="89"/>
  <c r="AC38" i="89"/>
  <c r="AB38" i="89"/>
  <c r="AA38" i="89"/>
  <c r="Z38" i="89"/>
  <c r="Y38" i="89"/>
  <c r="X38" i="89"/>
  <c r="W38" i="89"/>
  <c r="V38" i="89"/>
  <c r="U38" i="89"/>
  <c r="T38" i="89"/>
  <c r="R38" i="89"/>
  <c r="Q38" i="89"/>
  <c r="P38" i="89"/>
  <c r="O38" i="89"/>
  <c r="N38" i="89"/>
  <c r="M38" i="89"/>
  <c r="L38" i="89"/>
  <c r="K38" i="89"/>
  <c r="J38" i="89"/>
  <c r="I38" i="89"/>
  <c r="H38" i="89"/>
  <c r="G38" i="89"/>
  <c r="AW37" i="89"/>
  <c r="AV37" i="89"/>
  <c r="AU37" i="89"/>
  <c r="AT37" i="89"/>
  <c r="AS37" i="89"/>
  <c r="AE37" i="89"/>
  <c r="AD37" i="89"/>
  <c r="AC37" i="89"/>
  <c r="AB37" i="89"/>
  <c r="AA37" i="89"/>
  <c r="Z37" i="89"/>
  <c r="Y37" i="89"/>
  <c r="X37" i="89"/>
  <c r="W37" i="89"/>
  <c r="V37" i="89"/>
  <c r="U37" i="89"/>
  <c r="T37" i="89"/>
  <c r="R37" i="89"/>
  <c r="Q37" i="89"/>
  <c r="P37" i="89"/>
  <c r="O37" i="89"/>
  <c r="N37" i="89"/>
  <c r="M37" i="89"/>
  <c r="L37" i="89"/>
  <c r="K37" i="89"/>
  <c r="J37" i="89"/>
  <c r="I37" i="89"/>
  <c r="H37" i="89"/>
  <c r="G37" i="89"/>
  <c r="AU36" i="89"/>
  <c r="AC36" i="89"/>
  <c r="Z36" i="89"/>
  <c r="M36" i="89"/>
  <c r="J36" i="89"/>
  <c r="AW35" i="89"/>
  <c r="AV35" i="89"/>
  <c r="AU35" i="89"/>
  <c r="AT35" i="89"/>
  <c r="AS35" i="89"/>
  <c r="AE35" i="89"/>
  <c r="AD35" i="89"/>
  <c r="AC35" i="89"/>
  <c r="AB35" i="89"/>
  <c r="AA35" i="89"/>
  <c r="Z35" i="89"/>
  <c r="Y35" i="89"/>
  <c r="R35" i="89"/>
  <c r="Q35" i="89"/>
  <c r="P35" i="89"/>
  <c r="O35" i="89"/>
  <c r="N35" i="89"/>
  <c r="M35" i="89"/>
  <c r="L35" i="89"/>
  <c r="K35" i="89"/>
  <c r="J35" i="89"/>
  <c r="I35" i="89"/>
  <c r="H35" i="89"/>
  <c r="G35" i="89"/>
  <c r="AW34" i="89"/>
  <c r="AV34" i="89"/>
  <c r="AU34" i="89"/>
  <c r="AT34" i="89"/>
  <c r="AS34" i="89"/>
  <c r="AE34" i="89"/>
  <c r="AD34" i="89"/>
  <c r="AC34" i="89"/>
  <c r="AB34" i="89"/>
  <c r="AA34" i="89"/>
  <c r="Z34" i="89"/>
  <c r="Y34" i="89"/>
  <c r="R34" i="89"/>
  <c r="Q34" i="89"/>
  <c r="P34" i="89"/>
  <c r="O34" i="89"/>
  <c r="N34" i="89"/>
  <c r="M34" i="89"/>
  <c r="L34" i="89"/>
  <c r="K34" i="89"/>
  <c r="J34" i="89"/>
  <c r="I34" i="89"/>
  <c r="H34" i="89"/>
  <c r="G34" i="89"/>
  <c r="AW33" i="89"/>
  <c r="AV33" i="89"/>
  <c r="AU33" i="89"/>
  <c r="AT33" i="89"/>
  <c r="AS33" i="89"/>
  <c r="AE33" i="89"/>
  <c r="AD33" i="89"/>
  <c r="AC33" i="89"/>
  <c r="AB33" i="89"/>
  <c r="AA33" i="89"/>
  <c r="Z33" i="89"/>
  <c r="Y33" i="89"/>
  <c r="R33" i="89"/>
  <c r="Q33" i="89"/>
  <c r="P33" i="89"/>
  <c r="O33" i="89"/>
  <c r="N33" i="89"/>
  <c r="M33" i="89"/>
  <c r="L33" i="89"/>
  <c r="K33" i="89"/>
  <c r="J33" i="89"/>
  <c r="I33" i="89"/>
  <c r="H33" i="89"/>
  <c r="G33" i="89"/>
  <c r="AS32" i="89"/>
  <c r="AA32" i="89"/>
  <c r="Z32" i="89"/>
  <c r="M32" i="89"/>
  <c r="H32" i="89"/>
  <c r="AW31" i="89"/>
  <c r="AV31" i="89"/>
  <c r="AU31" i="89"/>
  <c r="AT31" i="89"/>
  <c r="AS31" i="89"/>
  <c r="AE31" i="89"/>
  <c r="AD31" i="89"/>
  <c r="AC31" i="89"/>
  <c r="AB31" i="89"/>
  <c r="AA31" i="89"/>
  <c r="Z31" i="89"/>
  <c r="Y31" i="89"/>
  <c r="R31" i="89"/>
  <c r="Q31" i="89"/>
  <c r="P31" i="89"/>
  <c r="O31" i="89"/>
  <c r="N31" i="89"/>
  <c r="M31" i="89"/>
  <c r="L31" i="89"/>
  <c r="K31" i="89"/>
  <c r="J31" i="89"/>
  <c r="I31" i="89"/>
  <c r="H31" i="89"/>
  <c r="G31" i="89"/>
  <c r="AW30" i="89"/>
  <c r="AV30" i="89"/>
  <c r="AU30" i="89"/>
  <c r="AT30" i="89"/>
  <c r="AS30" i="89"/>
  <c r="AE30" i="89"/>
  <c r="AD30" i="89"/>
  <c r="AC30" i="89"/>
  <c r="AB30" i="89"/>
  <c r="AA30" i="89"/>
  <c r="Z30" i="89"/>
  <c r="Y30" i="89"/>
  <c r="R30" i="89"/>
  <c r="Q30" i="89"/>
  <c r="P30" i="89"/>
  <c r="O30" i="89"/>
  <c r="N30" i="89"/>
  <c r="M30" i="89"/>
  <c r="L30" i="89"/>
  <c r="K30" i="89"/>
  <c r="J30" i="89"/>
  <c r="I30" i="89"/>
  <c r="H30" i="89"/>
  <c r="G30" i="89"/>
  <c r="AW29" i="89"/>
  <c r="AV29" i="89"/>
  <c r="AU29" i="89"/>
  <c r="AT29" i="89"/>
  <c r="AS29" i="89"/>
  <c r="AE29" i="89"/>
  <c r="AD29" i="89"/>
  <c r="AC29" i="89"/>
  <c r="AB29" i="89"/>
  <c r="AA29" i="89"/>
  <c r="Z29" i="89"/>
  <c r="Y29" i="89"/>
  <c r="R29" i="89"/>
  <c r="Q29" i="89"/>
  <c r="P29" i="89"/>
  <c r="O29" i="89"/>
  <c r="N29" i="89"/>
  <c r="M29" i="89"/>
  <c r="L29" i="89"/>
  <c r="K29" i="89"/>
  <c r="J29" i="89"/>
  <c r="I29" i="89"/>
  <c r="H29" i="89"/>
  <c r="G29" i="89"/>
  <c r="AT28" i="89"/>
  <c r="U28" i="89"/>
  <c r="I28" i="89"/>
  <c r="AW27" i="89"/>
  <c r="AV27" i="89"/>
  <c r="AU27" i="89"/>
  <c r="AT27" i="89"/>
  <c r="AS27" i="89"/>
  <c r="AE27" i="89"/>
  <c r="AD27" i="89"/>
  <c r="AC27" i="89"/>
  <c r="AB27" i="89"/>
  <c r="AA27" i="89"/>
  <c r="Z27" i="89"/>
  <c r="Y27" i="89"/>
  <c r="X27" i="89"/>
  <c r="W27" i="89"/>
  <c r="V27" i="89"/>
  <c r="U27" i="89"/>
  <c r="T27" i="89"/>
  <c r="R27" i="89"/>
  <c r="Q27" i="89"/>
  <c r="P27" i="89"/>
  <c r="O27" i="89"/>
  <c r="N27" i="89"/>
  <c r="M27" i="89"/>
  <c r="L27" i="89"/>
  <c r="K27" i="89"/>
  <c r="J27" i="89"/>
  <c r="I27" i="89"/>
  <c r="H27" i="89"/>
  <c r="G27" i="89"/>
  <c r="AW26" i="89"/>
  <c r="AV26" i="89"/>
  <c r="AU26" i="89"/>
  <c r="AT26" i="89"/>
  <c r="AS26" i="89"/>
  <c r="AE26" i="89"/>
  <c r="AD26" i="89"/>
  <c r="AC26" i="89"/>
  <c r="AB26" i="89"/>
  <c r="AA26" i="89"/>
  <c r="Z26" i="89"/>
  <c r="Y26" i="89"/>
  <c r="X26" i="89"/>
  <c r="W26" i="89"/>
  <c r="V26" i="89"/>
  <c r="U26" i="89"/>
  <c r="T26" i="89"/>
  <c r="R26" i="89"/>
  <c r="Q26" i="89"/>
  <c r="P26" i="89"/>
  <c r="O26" i="89"/>
  <c r="N26" i="89"/>
  <c r="M26" i="89"/>
  <c r="L26" i="89"/>
  <c r="K26" i="89"/>
  <c r="J26" i="89"/>
  <c r="I26" i="89"/>
  <c r="H26" i="89"/>
  <c r="G26" i="89"/>
  <c r="AT25" i="89"/>
  <c r="AE25" i="89"/>
  <c r="AB25" i="89"/>
  <c r="Z25" i="89"/>
  <c r="O25" i="89"/>
  <c r="M25" i="89"/>
  <c r="I25" i="89"/>
  <c r="AT24" i="89"/>
  <c r="AE24" i="89"/>
  <c r="AB24" i="89"/>
  <c r="Z24" i="89"/>
  <c r="U24" i="89"/>
  <c r="O24" i="89"/>
  <c r="M24" i="89"/>
  <c r="I24" i="89"/>
  <c r="AW23" i="89"/>
  <c r="AV23" i="89"/>
  <c r="AU23" i="89"/>
  <c r="AT23" i="89"/>
  <c r="AS23" i="89"/>
  <c r="AE23" i="89"/>
  <c r="AD23" i="89"/>
  <c r="AC23" i="89"/>
  <c r="AB23" i="89"/>
  <c r="AA23" i="89"/>
  <c r="Z23" i="89"/>
  <c r="Y23" i="89"/>
  <c r="X23" i="89"/>
  <c r="W23" i="89"/>
  <c r="V23" i="89"/>
  <c r="U23" i="89"/>
  <c r="T23" i="89"/>
  <c r="R23" i="89"/>
  <c r="Q23" i="89"/>
  <c r="P23" i="89"/>
  <c r="O23" i="89"/>
  <c r="N23" i="89"/>
  <c r="M23" i="89"/>
  <c r="L23" i="89"/>
  <c r="K23" i="89"/>
  <c r="J23" i="89"/>
  <c r="I23" i="89"/>
  <c r="H23" i="89"/>
  <c r="G23" i="89"/>
  <c r="AW22" i="89"/>
  <c r="AV22" i="89"/>
  <c r="AU22" i="89"/>
  <c r="AT22" i="89"/>
  <c r="AS22" i="89"/>
  <c r="AE22" i="89"/>
  <c r="AD22" i="89"/>
  <c r="AC22" i="89"/>
  <c r="AB22" i="89"/>
  <c r="AA22" i="89"/>
  <c r="Z22" i="89"/>
  <c r="Y22" i="89"/>
  <c r="X22" i="89"/>
  <c r="W22" i="89"/>
  <c r="V22" i="89"/>
  <c r="U22" i="89"/>
  <c r="T22" i="89"/>
  <c r="R22" i="89"/>
  <c r="Q22" i="89"/>
  <c r="P22" i="89"/>
  <c r="O22" i="89"/>
  <c r="N22" i="89"/>
  <c r="M22" i="89"/>
  <c r="L22" i="89"/>
  <c r="K22" i="89"/>
  <c r="J22" i="89"/>
  <c r="I22" i="89"/>
  <c r="H22" i="89"/>
  <c r="G22" i="89"/>
  <c r="AT21" i="89"/>
  <c r="AB21" i="89"/>
  <c r="Z21" i="89"/>
  <c r="M21" i="89"/>
  <c r="I21" i="89"/>
  <c r="AT20" i="89"/>
  <c r="AC20" i="89"/>
  <c r="AB20" i="89"/>
  <c r="Z20" i="89"/>
  <c r="O20" i="89"/>
  <c r="M20" i="89"/>
  <c r="I20" i="89"/>
  <c r="AT19" i="89"/>
  <c r="AB19" i="89"/>
  <c r="Z19" i="89"/>
  <c r="U19" i="89"/>
  <c r="M19" i="89"/>
  <c r="I19" i="89"/>
  <c r="AT18" i="89"/>
  <c r="AB18" i="89"/>
  <c r="Z18" i="89"/>
  <c r="U18" i="89"/>
  <c r="M18" i="89"/>
  <c r="I18" i="89"/>
  <c r="AW17" i="89"/>
  <c r="AV17" i="89"/>
  <c r="AU17" i="89"/>
  <c r="AT17" i="89"/>
  <c r="AS17" i="89"/>
  <c r="AE17" i="89"/>
  <c r="AD17" i="89"/>
  <c r="AC17" i="89"/>
  <c r="AB17" i="89"/>
  <c r="AA17" i="89"/>
  <c r="Z17" i="89"/>
  <c r="Y17" i="89"/>
  <c r="X17" i="89"/>
  <c r="W17" i="89"/>
  <c r="V17" i="89"/>
  <c r="U17" i="89"/>
  <c r="T17" i="89"/>
  <c r="R17" i="89"/>
  <c r="Q17" i="89"/>
  <c r="P17" i="89"/>
  <c r="O17" i="89"/>
  <c r="N17" i="89"/>
  <c r="M17" i="89"/>
  <c r="L17" i="89"/>
  <c r="K17" i="89"/>
  <c r="J17" i="89"/>
  <c r="I17" i="89"/>
  <c r="H17" i="89"/>
  <c r="G17" i="89"/>
  <c r="AW16" i="89"/>
  <c r="AV16" i="89"/>
  <c r="AU16" i="89"/>
  <c r="AT16" i="89"/>
  <c r="AS16" i="89"/>
  <c r="AE16" i="89"/>
  <c r="AD16" i="89"/>
  <c r="AC16" i="89"/>
  <c r="AB16" i="89"/>
  <c r="AA16" i="89"/>
  <c r="Z16" i="89"/>
  <c r="Y16" i="89"/>
  <c r="X16" i="89"/>
  <c r="W16" i="89"/>
  <c r="V16" i="89"/>
  <c r="U16" i="89"/>
  <c r="T16" i="89"/>
  <c r="R16" i="89"/>
  <c r="Q16" i="89"/>
  <c r="P16" i="89"/>
  <c r="O16" i="89"/>
  <c r="N16" i="89"/>
  <c r="M16" i="89"/>
  <c r="L16" i="89"/>
  <c r="K16" i="89"/>
  <c r="J16" i="89"/>
  <c r="I16" i="89"/>
  <c r="H16" i="89"/>
  <c r="G16" i="89"/>
  <c r="AT15" i="89"/>
  <c r="AW14" i="89"/>
  <c r="AV14" i="89"/>
  <c r="AU14" i="89"/>
  <c r="AT14" i="89"/>
  <c r="AS14" i="89"/>
  <c r="AE14" i="89"/>
  <c r="AD14" i="89"/>
  <c r="AC14" i="89"/>
  <c r="AB14" i="89"/>
  <c r="AA14" i="89"/>
  <c r="Z14" i="89"/>
  <c r="Y14" i="89"/>
  <c r="R14" i="89"/>
  <c r="Q14" i="89"/>
  <c r="P14" i="89"/>
  <c r="O14" i="89"/>
  <c r="N14" i="89"/>
  <c r="M14" i="89"/>
  <c r="L14" i="89"/>
  <c r="K14" i="89"/>
  <c r="J14" i="89"/>
  <c r="I14" i="89"/>
  <c r="H14" i="89"/>
  <c r="G14" i="89"/>
  <c r="AW13" i="89"/>
  <c r="AV13" i="89"/>
  <c r="AU13" i="89"/>
  <c r="AT13" i="89"/>
  <c r="AS13" i="89"/>
  <c r="AE13" i="89"/>
  <c r="AD13" i="89"/>
  <c r="AC13" i="89"/>
  <c r="AB13" i="89"/>
  <c r="AA13" i="89"/>
  <c r="Z13" i="89"/>
  <c r="Y13" i="89"/>
  <c r="R13" i="89"/>
  <c r="Q13" i="89"/>
  <c r="P13" i="89"/>
  <c r="O13" i="89"/>
  <c r="N13" i="89"/>
  <c r="M13" i="89"/>
  <c r="L13" i="89"/>
  <c r="K13" i="89"/>
  <c r="J13" i="89"/>
  <c r="I13" i="89"/>
  <c r="H13" i="89"/>
  <c r="G13" i="89"/>
  <c r="AT12" i="89"/>
  <c r="AB12" i="89"/>
  <c r="Z12" i="89"/>
  <c r="U12" i="89"/>
  <c r="M12" i="89"/>
  <c r="I12" i="89"/>
  <c r="AT11" i="89"/>
  <c r="AB11" i="89"/>
  <c r="Z11" i="89"/>
  <c r="U11" i="89"/>
  <c r="M11" i="89"/>
  <c r="I11" i="89"/>
  <c r="AW10" i="89"/>
  <c r="AV10" i="89"/>
  <c r="AU10" i="89"/>
  <c r="AT10" i="89"/>
  <c r="AS10" i="89"/>
  <c r="AE10" i="89"/>
  <c r="AD10" i="89"/>
  <c r="AC10" i="89"/>
  <c r="AB10" i="89"/>
  <c r="AA10" i="89"/>
  <c r="Z10" i="89"/>
  <c r="Y10" i="89"/>
  <c r="X10" i="89"/>
  <c r="W10" i="89"/>
  <c r="V10" i="89"/>
  <c r="U10" i="89"/>
  <c r="T10" i="89"/>
  <c r="R10" i="89"/>
  <c r="Q10" i="89"/>
  <c r="P10" i="89"/>
  <c r="O10" i="89"/>
  <c r="N10" i="89"/>
  <c r="M10" i="89"/>
  <c r="L10" i="89"/>
  <c r="K10" i="89"/>
  <c r="J10" i="89"/>
  <c r="I10" i="89"/>
  <c r="H10" i="89"/>
  <c r="G10" i="89"/>
  <c r="AW9" i="89"/>
  <c r="AV9" i="89"/>
  <c r="AU9" i="89"/>
  <c r="AT9" i="89"/>
  <c r="AS9" i="89"/>
  <c r="AE9" i="89"/>
  <c r="AD9" i="89"/>
  <c r="AC9" i="89"/>
  <c r="AB9" i="89"/>
  <c r="AA9" i="89"/>
  <c r="Z9" i="89"/>
  <c r="Y9" i="89"/>
  <c r="X9" i="89"/>
  <c r="W9" i="89"/>
  <c r="V9" i="89"/>
  <c r="U9" i="89"/>
  <c r="T9" i="89"/>
  <c r="R9" i="89"/>
  <c r="Q9" i="89"/>
  <c r="P9" i="89"/>
  <c r="O9" i="89"/>
  <c r="N9" i="89"/>
  <c r="M9" i="89"/>
  <c r="L9" i="89"/>
  <c r="K9" i="89"/>
  <c r="J9" i="89"/>
  <c r="I9" i="89"/>
  <c r="H9" i="89"/>
  <c r="G9" i="89"/>
  <c r="R39" i="83"/>
  <c r="D39" i="83"/>
  <c r="C39" i="83"/>
  <c r="R38" i="83"/>
  <c r="D38" i="83"/>
  <c r="C38" i="83"/>
  <c r="R37" i="83"/>
  <c r="D37" i="83"/>
  <c r="C37" i="83"/>
  <c r="R36" i="83"/>
  <c r="D36" i="83"/>
  <c r="C36" i="83"/>
  <c r="R35" i="83"/>
  <c r="D35" i="83"/>
  <c r="R34" i="83"/>
  <c r="Q34" i="83"/>
  <c r="D34" i="83"/>
  <c r="C34" i="83"/>
  <c r="R33" i="83"/>
  <c r="D33" i="83"/>
  <c r="R32" i="83"/>
  <c r="D32" i="83"/>
  <c r="R31" i="83"/>
  <c r="D31" i="83"/>
  <c r="R30" i="83"/>
  <c r="D30" i="83"/>
  <c r="C30" i="83"/>
  <c r="R29" i="83"/>
  <c r="D29" i="83"/>
  <c r="R28" i="83"/>
  <c r="D28" i="83"/>
  <c r="R27" i="83"/>
  <c r="D27" i="83"/>
  <c r="R26" i="83"/>
  <c r="D26" i="83"/>
  <c r="R25" i="83"/>
  <c r="D25" i="83"/>
  <c r="R24" i="83"/>
  <c r="D24" i="83"/>
  <c r="R23" i="83"/>
  <c r="D23" i="83"/>
  <c r="R22" i="83"/>
  <c r="D22" i="83"/>
  <c r="R21" i="83"/>
  <c r="D21" i="83"/>
  <c r="C21" i="83"/>
  <c r="R20" i="83"/>
  <c r="D20" i="83"/>
  <c r="R19" i="83"/>
  <c r="D19" i="83"/>
  <c r="R18" i="83"/>
  <c r="D18" i="83"/>
  <c r="R17" i="83"/>
  <c r="D17" i="83"/>
  <c r="R16" i="83"/>
  <c r="D16" i="83"/>
  <c r="R15" i="83"/>
  <c r="D15" i="83"/>
  <c r="R14" i="83"/>
  <c r="D14" i="83"/>
  <c r="R13" i="83"/>
  <c r="D13" i="83"/>
  <c r="R12" i="83"/>
  <c r="D12" i="83"/>
  <c r="R11" i="83"/>
  <c r="D11" i="83"/>
  <c r="R10" i="83"/>
  <c r="D10" i="83"/>
  <c r="R9" i="83"/>
  <c r="Q9" i="83"/>
  <c r="P9" i="83"/>
  <c r="O9" i="83"/>
  <c r="N9" i="83"/>
  <c r="M9" i="83"/>
  <c r="L9" i="83"/>
  <c r="K9" i="83"/>
  <c r="J9" i="83"/>
  <c r="I9" i="83"/>
  <c r="H9" i="83"/>
  <c r="G9" i="83"/>
  <c r="F9" i="83"/>
  <c r="E9" i="83"/>
  <c r="D9" i="83"/>
  <c r="C9" i="83"/>
  <c r="C83" i="150"/>
  <c r="I82" i="150"/>
  <c r="H82" i="150"/>
  <c r="G82" i="150"/>
  <c r="F82" i="150"/>
  <c r="E82" i="150"/>
  <c r="D82" i="150"/>
  <c r="C82" i="150"/>
  <c r="L61" i="150"/>
  <c r="K61" i="150"/>
  <c r="J61" i="150"/>
  <c r="I61" i="150"/>
  <c r="H61" i="150"/>
  <c r="G61" i="150"/>
  <c r="F61" i="150"/>
  <c r="E61" i="150"/>
  <c r="D61" i="150"/>
  <c r="C61" i="150"/>
  <c r="L60" i="150"/>
  <c r="J60" i="150"/>
  <c r="C60" i="150"/>
  <c r="L59" i="150"/>
  <c r="J59" i="150"/>
  <c r="C59" i="150"/>
  <c r="L58" i="150"/>
  <c r="J58" i="150"/>
  <c r="C58" i="150"/>
  <c r="L57" i="150"/>
  <c r="J57" i="150"/>
  <c r="C57" i="150"/>
  <c r="L56" i="150"/>
  <c r="J56" i="150"/>
  <c r="C56" i="150"/>
  <c r="L55" i="150"/>
  <c r="J55" i="150"/>
  <c r="C55" i="150"/>
  <c r="L54" i="150"/>
  <c r="J54" i="150"/>
  <c r="C54" i="150"/>
  <c r="L53" i="150"/>
  <c r="J53" i="150"/>
  <c r="C53" i="150"/>
  <c r="L52" i="150"/>
  <c r="J52" i="150"/>
  <c r="C52" i="150"/>
  <c r="L51" i="150"/>
  <c r="J51" i="150"/>
  <c r="C51" i="150"/>
  <c r="L50" i="150"/>
  <c r="J50" i="150"/>
  <c r="C50" i="150"/>
  <c r="L49" i="150"/>
  <c r="J49" i="150"/>
  <c r="C49" i="150"/>
  <c r="L48" i="150"/>
  <c r="J48" i="150"/>
  <c r="C48" i="150"/>
  <c r="L47" i="150"/>
  <c r="J47" i="150"/>
  <c r="C47" i="150"/>
  <c r="L46" i="150"/>
  <c r="J46" i="150"/>
  <c r="C46" i="150"/>
  <c r="L45" i="150"/>
  <c r="J45" i="150"/>
  <c r="C45" i="150"/>
  <c r="L44" i="150"/>
  <c r="J44" i="150"/>
  <c r="C44" i="150"/>
  <c r="L43" i="150"/>
  <c r="J43" i="150"/>
  <c r="C43" i="150"/>
  <c r="L42" i="150"/>
  <c r="J42" i="150"/>
  <c r="C42" i="150"/>
  <c r="L41" i="150"/>
  <c r="J41" i="150"/>
  <c r="C41" i="150"/>
  <c r="L40" i="150"/>
  <c r="J40" i="150"/>
  <c r="C40" i="150"/>
  <c r="L39" i="150"/>
  <c r="J39" i="150"/>
  <c r="C39" i="150"/>
  <c r="M38" i="150"/>
  <c r="L38" i="150"/>
  <c r="J38" i="150"/>
  <c r="G38" i="150"/>
  <c r="C38" i="150"/>
  <c r="L37" i="150"/>
  <c r="J37" i="150"/>
  <c r="C37" i="150"/>
  <c r="L36" i="150"/>
  <c r="J36" i="150"/>
  <c r="C36" i="150"/>
  <c r="L35" i="150"/>
  <c r="J35" i="150"/>
  <c r="C35" i="150"/>
  <c r="L34" i="150"/>
  <c r="J34" i="150"/>
  <c r="C34" i="150"/>
  <c r="L33" i="150"/>
  <c r="J33" i="150"/>
  <c r="C33" i="150"/>
  <c r="L32" i="150"/>
  <c r="J32" i="150"/>
  <c r="C32" i="150"/>
  <c r="L31" i="150"/>
  <c r="J31" i="150"/>
  <c r="I31" i="150"/>
  <c r="C31" i="150"/>
  <c r="L30" i="150"/>
  <c r="J30" i="150"/>
  <c r="C30" i="150"/>
  <c r="L29" i="150"/>
  <c r="J29" i="150"/>
  <c r="C29" i="150"/>
  <c r="M28" i="150"/>
  <c r="L28" i="150"/>
  <c r="J28" i="150"/>
  <c r="C28" i="150"/>
  <c r="M27" i="150"/>
  <c r="L27" i="150"/>
  <c r="J27" i="150"/>
  <c r="C27" i="150"/>
  <c r="L26" i="150"/>
  <c r="J26" i="150"/>
  <c r="C26" i="150"/>
  <c r="L25" i="150"/>
  <c r="J25" i="150"/>
  <c r="C25" i="150"/>
  <c r="L24" i="150"/>
  <c r="J24" i="150"/>
  <c r="C24" i="150"/>
  <c r="L23" i="150"/>
  <c r="J23" i="150"/>
  <c r="C23" i="150"/>
  <c r="M22" i="150"/>
  <c r="L22" i="150"/>
  <c r="J22" i="150"/>
  <c r="C22" i="150"/>
  <c r="L21" i="150"/>
  <c r="J21" i="150"/>
  <c r="C21" i="150"/>
  <c r="L20" i="150"/>
  <c r="J20" i="150"/>
  <c r="C20" i="150"/>
  <c r="L19" i="150"/>
  <c r="J19" i="150"/>
  <c r="C19" i="150"/>
  <c r="L18" i="150"/>
  <c r="J18" i="150"/>
  <c r="C18" i="150"/>
  <c r="L17" i="150"/>
  <c r="J17" i="150"/>
  <c r="C17" i="150"/>
  <c r="L16" i="150"/>
  <c r="J16" i="150"/>
  <c r="C16" i="150"/>
  <c r="L15" i="150"/>
  <c r="J15" i="150"/>
  <c r="C15" i="150"/>
  <c r="L14" i="150"/>
  <c r="J14" i="150"/>
  <c r="C14" i="150"/>
  <c r="L13" i="150"/>
  <c r="J13" i="150"/>
  <c r="C13" i="150"/>
  <c r="L12" i="150"/>
  <c r="J12" i="150"/>
  <c r="H12" i="150"/>
  <c r="C12" i="150"/>
  <c r="L11" i="150"/>
  <c r="J11" i="150"/>
  <c r="C11" i="150"/>
  <c r="L10" i="150"/>
  <c r="J10" i="150"/>
  <c r="C10" i="150"/>
  <c r="L9" i="150"/>
  <c r="J9" i="150"/>
  <c r="C9" i="150"/>
  <c r="L8" i="150"/>
  <c r="K8" i="150"/>
  <c r="J8" i="150"/>
  <c r="I8" i="150"/>
  <c r="H8" i="150"/>
  <c r="G8" i="150"/>
  <c r="F8" i="150"/>
  <c r="E8" i="150"/>
  <c r="D8" i="150"/>
  <c r="C8" i="150"/>
  <c r="M7" i="150"/>
  <c r="L7" i="150"/>
  <c r="K7" i="150"/>
  <c r="J7" i="150"/>
  <c r="I7" i="150"/>
  <c r="H7" i="150"/>
  <c r="G7" i="150"/>
  <c r="F7" i="150"/>
  <c r="E7" i="150"/>
  <c r="D7" i="150"/>
  <c r="C7" i="150"/>
  <c r="L59" i="153"/>
  <c r="J59" i="153"/>
  <c r="C59" i="153"/>
  <c r="L58" i="153"/>
  <c r="J58" i="153"/>
  <c r="C58" i="153"/>
  <c r="L57" i="153"/>
  <c r="J57" i="153"/>
  <c r="C57" i="153"/>
  <c r="L56" i="153"/>
  <c r="J56" i="153"/>
  <c r="C56" i="153"/>
  <c r="L55" i="153"/>
  <c r="J55" i="153"/>
  <c r="C55" i="153"/>
  <c r="L54" i="153"/>
  <c r="J54" i="153"/>
  <c r="C54" i="153"/>
  <c r="L53" i="153"/>
  <c r="J53" i="153"/>
  <c r="C53" i="153"/>
  <c r="L52" i="153"/>
  <c r="J52" i="153"/>
  <c r="C52" i="153"/>
  <c r="L51" i="153"/>
  <c r="J51" i="153"/>
  <c r="C51" i="153"/>
  <c r="L50" i="153"/>
  <c r="J50" i="153"/>
  <c r="C50" i="153"/>
  <c r="L49" i="153"/>
  <c r="J49" i="153"/>
  <c r="C49" i="153"/>
  <c r="L48" i="153"/>
  <c r="J48" i="153"/>
  <c r="C48" i="153"/>
  <c r="L47" i="153"/>
  <c r="J47" i="153"/>
  <c r="C47" i="153"/>
  <c r="L46" i="153"/>
  <c r="J46" i="153"/>
  <c r="C46" i="153"/>
  <c r="L45" i="153"/>
  <c r="J45" i="153"/>
  <c r="C45" i="153"/>
  <c r="L44" i="153"/>
  <c r="J44" i="153"/>
  <c r="C44" i="153"/>
  <c r="L43" i="153"/>
  <c r="J43" i="153"/>
  <c r="C43" i="153"/>
  <c r="L42" i="153"/>
  <c r="J42" i="153"/>
  <c r="C42" i="153"/>
  <c r="L41" i="153"/>
  <c r="J41" i="153"/>
  <c r="C41" i="153"/>
  <c r="L40" i="153"/>
  <c r="J40" i="153"/>
  <c r="C40" i="153"/>
  <c r="L39" i="153"/>
  <c r="J39" i="153"/>
  <c r="C39" i="153"/>
  <c r="L38" i="153"/>
  <c r="J38" i="153"/>
  <c r="C38" i="153"/>
  <c r="M37" i="153"/>
  <c r="L37" i="153"/>
  <c r="J37" i="153"/>
  <c r="G37" i="153"/>
  <c r="C37" i="153"/>
  <c r="L36" i="153"/>
  <c r="J36" i="153"/>
  <c r="C36" i="153"/>
  <c r="L35" i="153"/>
  <c r="J35" i="153"/>
  <c r="C35" i="153"/>
  <c r="L34" i="153"/>
  <c r="J34" i="153"/>
  <c r="C34" i="153"/>
  <c r="L33" i="153"/>
  <c r="J33" i="153"/>
  <c r="C33" i="153"/>
  <c r="L32" i="153"/>
  <c r="J32" i="153"/>
  <c r="C32" i="153"/>
  <c r="L31" i="153"/>
  <c r="J31" i="153"/>
  <c r="C31" i="153"/>
  <c r="L30" i="153"/>
  <c r="J30" i="153"/>
  <c r="I30" i="153"/>
  <c r="C30" i="153"/>
  <c r="L29" i="153"/>
  <c r="J29" i="153"/>
  <c r="C29" i="153"/>
  <c r="L28" i="153"/>
  <c r="J28" i="153"/>
  <c r="C28" i="153"/>
  <c r="M27" i="153"/>
  <c r="L27" i="153"/>
  <c r="J27" i="153"/>
  <c r="C27" i="153"/>
  <c r="M26" i="153"/>
  <c r="L26" i="153"/>
  <c r="J26" i="153"/>
  <c r="C26" i="153"/>
  <c r="L25" i="153"/>
  <c r="J25" i="153"/>
  <c r="C25" i="153"/>
  <c r="N24" i="153"/>
  <c r="L24" i="153"/>
  <c r="J24" i="153"/>
  <c r="C24" i="153"/>
  <c r="L23" i="153"/>
  <c r="J23" i="153"/>
  <c r="C23" i="153"/>
  <c r="L22" i="153"/>
  <c r="J22" i="153"/>
  <c r="C22" i="153"/>
  <c r="M21" i="153"/>
  <c r="L21" i="153"/>
  <c r="J21" i="153"/>
  <c r="C21" i="153"/>
  <c r="N20" i="153"/>
  <c r="L20" i="153"/>
  <c r="J20" i="153"/>
  <c r="C20" i="153"/>
  <c r="L19" i="153"/>
  <c r="J19" i="153"/>
  <c r="C19" i="153"/>
  <c r="N18" i="153"/>
  <c r="L18" i="153"/>
  <c r="J18" i="153"/>
  <c r="C18" i="153"/>
  <c r="L17" i="153"/>
  <c r="J17" i="153"/>
  <c r="C17" i="153"/>
  <c r="N16" i="153"/>
  <c r="L16" i="153"/>
  <c r="J16" i="153"/>
  <c r="C16" i="153"/>
  <c r="L15" i="153"/>
  <c r="J15" i="153"/>
  <c r="C15" i="153"/>
  <c r="L14" i="153"/>
  <c r="J14" i="153"/>
  <c r="C14" i="153"/>
  <c r="L13" i="153"/>
  <c r="J13" i="153"/>
  <c r="C13" i="153"/>
  <c r="L12" i="153"/>
  <c r="J12" i="153"/>
  <c r="C12" i="153"/>
  <c r="N11" i="153"/>
  <c r="L11" i="153"/>
  <c r="J11" i="153"/>
  <c r="H11" i="153"/>
  <c r="C11" i="153"/>
  <c r="N10" i="153"/>
  <c r="L10" i="153"/>
  <c r="J10" i="153"/>
  <c r="C10" i="153"/>
  <c r="L9" i="153"/>
  <c r="J9" i="153"/>
  <c r="C9" i="153"/>
  <c r="L8" i="153"/>
  <c r="J8" i="153"/>
  <c r="C8" i="153"/>
  <c r="L7" i="153"/>
  <c r="K7" i="153"/>
  <c r="J7" i="153"/>
  <c r="I7" i="153"/>
  <c r="H7" i="153"/>
  <c r="G7" i="153"/>
  <c r="F7" i="153"/>
  <c r="E7" i="153"/>
  <c r="D7" i="153"/>
  <c r="C7" i="153"/>
  <c r="C27" i="151"/>
  <c r="C26" i="151"/>
  <c r="C25" i="151"/>
  <c r="L24" i="151"/>
  <c r="J24" i="151"/>
  <c r="C24" i="151"/>
  <c r="L23" i="151"/>
  <c r="J23" i="151"/>
  <c r="C23" i="151"/>
  <c r="L22" i="151"/>
  <c r="J22" i="151"/>
  <c r="I22" i="151"/>
  <c r="C22" i="151"/>
  <c r="L21" i="151"/>
  <c r="J21" i="151"/>
  <c r="C21" i="151"/>
  <c r="L20" i="151"/>
  <c r="J20" i="151"/>
  <c r="C20" i="151"/>
  <c r="L19" i="151"/>
  <c r="J19" i="151"/>
  <c r="C19" i="151"/>
  <c r="L18" i="151"/>
  <c r="J18" i="151"/>
  <c r="C18" i="151"/>
  <c r="L17" i="151"/>
  <c r="J17" i="151"/>
  <c r="C17" i="151"/>
  <c r="L16" i="151"/>
  <c r="J16" i="151"/>
  <c r="C16" i="151"/>
  <c r="L15" i="151"/>
  <c r="J15" i="151"/>
  <c r="C15" i="151"/>
  <c r="I14" i="151"/>
  <c r="I7" i="151" s="1"/>
  <c r="N19" i="153" s="1"/>
  <c r="N21" i="153" s="1"/>
  <c r="F14" i="151"/>
  <c r="C14" i="151"/>
  <c r="L13" i="151"/>
  <c r="J13" i="151"/>
  <c r="C13" i="151"/>
  <c r="L12" i="151"/>
  <c r="J12" i="151"/>
  <c r="C12" i="151"/>
  <c r="L11" i="151"/>
  <c r="J11" i="151"/>
  <c r="C11" i="151"/>
  <c r="L10" i="151"/>
  <c r="J10" i="151"/>
  <c r="I10" i="151"/>
  <c r="F10" i="151"/>
  <c r="C10" i="151"/>
  <c r="L9" i="151"/>
  <c r="J9" i="151"/>
  <c r="C9" i="151"/>
  <c r="L8" i="151"/>
  <c r="J8" i="151"/>
  <c r="C8" i="151"/>
  <c r="K7" i="151"/>
  <c r="H7" i="151"/>
  <c r="G7" i="151"/>
  <c r="F7" i="151"/>
  <c r="E7" i="151"/>
  <c r="D7" i="151"/>
  <c r="C7" i="151"/>
  <c r="L33" i="81"/>
  <c r="L32" i="81"/>
  <c r="AL30" i="81"/>
  <c r="AK30" i="81"/>
  <c r="AJ30" i="81"/>
  <c r="AI30" i="81"/>
  <c r="AH30" i="81"/>
  <c r="AG30" i="81"/>
  <c r="AF30" i="81"/>
  <c r="AE30" i="81"/>
  <c r="AD30" i="81"/>
  <c r="AC30" i="81"/>
  <c r="AB30" i="81"/>
  <c r="AA30" i="81"/>
  <c r="Z30" i="81"/>
  <c r="Y30" i="81"/>
  <c r="X30" i="81"/>
  <c r="W30" i="81"/>
  <c r="V30" i="81"/>
  <c r="U30" i="81"/>
  <c r="T30" i="81"/>
  <c r="S30" i="81"/>
  <c r="R30" i="81"/>
  <c r="Q30" i="81"/>
  <c r="P30" i="81"/>
  <c r="O30" i="81"/>
  <c r="N30" i="81"/>
  <c r="M30" i="81"/>
  <c r="L30" i="81"/>
  <c r="K30" i="81"/>
  <c r="J30" i="81"/>
  <c r="I30" i="81"/>
  <c r="H30" i="81"/>
  <c r="G30" i="81"/>
  <c r="F30" i="81"/>
  <c r="E30" i="81"/>
  <c r="D30" i="81"/>
  <c r="C30" i="81"/>
  <c r="AG29" i="81"/>
  <c r="AF29" i="81"/>
  <c r="F29" i="81"/>
  <c r="E29" i="81"/>
  <c r="AG28" i="81"/>
  <c r="Y28" i="81"/>
  <c r="W28" i="81"/>
  <c r="E28" i="81"/>
  <c r="AG27" i="81"/>
  <c r="F27" i="81"/>
  <c r="E27" i="81"/>
  <c r="AG26" i="81"/>
  <c r="E26" i="81"/>
  <c r="AG25" i="81"/>
  <c r="AD25" i="81"/>
  <c r="Q25" i="81"/>
  <c r="F25" i="81"/>
  <c r="E25" i="81"/>
  <c r="AG24" i="81"/>
  <c r="H24" i="81"/>
  <c r="F24" i="81"/>
  <c r="E24" i="81"/>
  <c r="AI23" i="81"/>
  <c r="AG23" i="81"/>
  <c r="E23" i="81"/>
  <c r="AG22" i="81"/>
  <c r="F22" i="81"/>
  <c r="E22" i="81"/>
  <c r="AG21" i="81"/>
  <c r="X21" i="81"/>
  <c r="W21" i="81"/>
  <c r="V21" i="81"/>
  <c r="L21" i="81"/>
  <c r="E21" i="81"/>
  <c r="AG20" i="81"/>
  <c r="X20" i="81"/>
  <c r="W20" i="81"/>
  <c r="V20" i="81"/>
  <c r="E20" i="81"/>
  <c r="AG19" i="81"/>
  <c r="M19" i="81"/>
  <c r="E19" i="81"/>
  <c r="AG18" i="81"/>
  <c r="V18" i="81"/>
  <c r="E18" i="81"/>
  <c r="AG17" i="81"/>
  <c r="Z17" i="81"/>
  <c r="W17" i="81"/>
  <c r="G17" i="81"/>
  <c r="E17" i="81"/>
  <c r="AG16" i="81"/>
  <c r="W16" i="81"/>
  <c r="E16" i="81"/>
  <c r="AG15" i="81"/>
  <c r="W15" i="81"/>
  <c r="U15" i="81"/>
  <c r="E15" i="81"/>
  <c r="AG14" i="81"/>
  <c r="E14" i="81"/>
  <c r="AG13" i="81"/>
  <c r="W13" i="81"/>
  <c r="F13" i="81"/>
  <c r="E13" i="81"/>
  <c r="AG12" i="81"/>
  <c r="V12" i="81"/>
  <c r="E12" i="81"/>
  <c r="AG11" i="81"/>
  <c r="V11" i="81"/>
  <c r="I11" i="81"/>
  <c r="E11" i="81"/>
  <c r="AG10" i="81"/>
  <c r="E10" i="81"/>
  <c r="AG9" i="81"/>
  <c r="E9" i="81"/>
  <c r="AH8" i="81"/>
  <c r="AG8" i="81"/>
  <c r="AD8" i="81"/>
  <c r="S8" i="81"/>
  <c r="R8" i="81"/>
  <c r="G8" i="81"/>
  <c r="E8" i="81"/>
  <c r="O23" i="177"/>
  <c r="N23" i="177"/>
  <c r="M23" i="177"/>
  <c r="L23" i="177"/>
  <c r="K23" i="177"/>
  <c r="J23" i="177"/>
  <c r="O22" i="177"/>
  <c r="N22" i="177"/>
  <c r="M22" i="177"/>
  <c r="L22" i="177"/>
  <c r="K22" i="177"/>
  <c r="J22" i="177"/>
  <c r="O21" i="177"/>
  <c r="N21" i="177"/>
  <c r="M21" i="177"/>
  <c r="L21" i="177"/>
  <c r="K21" i="177"/>
  <c r="J21" i="177"/>
  <c r="O20" i="177"/>
  <c r="N20" i="177"/>
  <c r="M20" i="177"/>
  <c r="L20" i="177"/>
  <c r="K20" i="177"/>
  <c r="J20" i="177"/>
  <c r="O19" i="177"/>
  <c r="N19" i="177"/>
  <c r="M19" i="177"/>
  <c r="L19" i="177"/>
  <c r="K19" i="177"/>
  <c r="J19" i="177"/>
  <c r="O18" i="177"/>
  <c r="N18" i="177"/>
  <c r="M18" i="177"/>
  <c r="L18" i="177"/>
  <c r="K18" i="177"/>
  <c r="J18" i="177"/>
  <c r="O17" i="177"/>
  <c r="N17" i="177"/>
  <c r="M17" i="177"/>
  <c r="L17" i="177"/>
  <c r="K17" i="177"/>
  <c r="J17" i="177"/>
  <c r="O16" i="177"/>
  <c r="N16" i="177"/>
  <c r="M16" i="177"/>
  <c r="L16" i="177"/>
  <c r="K16" i="177"/>
  <c r="J16" i="177"/>
  <c r="O15" i="177"/>
  <c r="N15" i="177"/>
  <c r="M15" i="177"/>
  <c r="L15" i="177"/>
  <c r="K15" i="177"/>
  <c r="J15" i="177"/>
  <c r="O14" i="177"/>
  <c r="N14" i="177"/>
  <c r="M14" i="177"/>
  <c r="L14" i="177"/>
  <c r="K14" i="177"/>
  <c r="J14" i="177"/>
  <c r="O13" i="177"/>
  <c r="N13" i="177"/>
  <c r="M13" i="177"/>
  <c r="L13" i="177"/>
  <c r="K13" i="177"/>
  <c r="J13" i="177"/>
  <c r="O12" i="177"/>
  <c r="N12" i="177"/>
  <c r="M12" i="177"/>
  <c r="L12" i="177"/>
  <c r="K12" i="177"/>
  <c r="J12" i="177"/>
  <c r="O11" i="177"/>
  <c r="N11" i="177"/>
  <c r="M11" i="177"/>
  <c r="L11" i="177"/>
  <c r="K11" i="177"/>
  <c r="J11" i="177"/>
  <c r="O10" i="177"/>
  <c r="N10" i="177"/>
  <c r="M10" i="177"/>
  <c r="L10" i="177"/>
  <c r="K10" i="177"/>
  <c r="J10" i="177"/>
  <c r="O9" i="177"/>
  <c r="N9" i="177"/>
  <c r="M9" i="177"/>
  <c r="L9" i="177"/>
  <c r="K9" i="177"/>
  <c r="J9" i="177"/>
  <c r="O8" i="177"/>
  <c r="N8" i="177"/>
  <c r="M8" i="177"/>
  <c r="L8" i="177"/>
  <c r="K8" i="177"/>
  <c r="J8" i="177"/>
  <c r="O7" i="177"/>
  <c r="N7" i="177"/>
  <c r="M7" i="177"/>
  <c r="L7" i="177"/>
  <c r="K7" i="177"/>
  <c r="J7" i="177"/>
  <c r="O6" i="177"/>
  <c r="N6" i="177"/>
  <c r="M6" i="177"/>
  <c r="L6" i="177"/>
  <c r="K6" i="177"/>
  <c r="J6" i="177"/>
  <c r="O5" i="177"/>
  <c r="N5" i="177"/>
  <c r="M5" i="177"/>
  <c r="L5" i="177"/>
  <c r="K5" i="177"/>
  <c r="J5" i="177"/>
  <c r="O4" i="177"/>
  <c r="N4" i="177"/>
  <c r="M4" i="177"/>
  <c r="L4" i="177"/>
  <c r="K4" i="177"/>
  <c r="J4" i="177"/>
  <c r="O3" i="177"/>
  <c r="N3" i="177"/>
  <c r="M3" i="177"/>
  <c r="L3" i="177"/>
  <c r="K3" i="177"/>
  <c r="J3" i="177"/>
  <c r="I3" i="177"/>
  <c r="O2" i="177"/>
  <c r="N2" i="177"/>
  <c r="D18" i="119"/>
  <c r="A3" i="146"/>
  <c r="W156" i="120"/>
  <c r="U156" i="120"/>
  <c r="I156" i="120"/>
  <c r="F156" i="120"/>
  <c r="W155" i="120"/>
  <c r="U155" i="120"/>
  <c r="I155" i="120"/>
  <c r="F155" i="120"/>
  <c r="W154" i="120"/>
  <c r="U154" i="120"/>
  <c r="K154" i="120"/>
  <c r="I154" i="120"/>
  <c r="F154" i="120"/>
  <c r="W153" i="120"/>
  <c r="U153" i="120"/>
  <c r="I153" i="120"/>
  <c r="F153" i="120"/>
  <c r="W152" i="120"/>
  <c r="U152" i="120"/>
  <c r="I152" i="120"/>
  <c r="F152" i="120"/>
  <c r="W151" i="120"/>
  <c r="U151" i="120"/>
  <c r="I151" i="120"/>
  <c r="F151" i="120"/>
  <c r="W150" i="120"/>
  <c r="U150" i="120"/>
  <c r="I150" i="120"/>
  <c r="F150" i="120"/>
  <c r="W149" i="120"/>
  <c r="U149" i="120"/>
  <c r="I149" i="120"/>
  <c r="F149" i="120"/>
  <c r="W148" i="120"/>
  <c r="U148" i="120"/>
  <c r="I148" i="120"/>
  <c r="F148" i="120"/>
  <c r="W147" i="120"/>
  <c r="U147" i="120"/>
  <c r="I147" i="120"/>
  <c r="H147" i="120"/>
  <c r="F147" i="120"/>
  <c r="W146" i="120"/>
  <c r="U146" i="120"/>
  <c r="I146" i="120"/>
  <c r="F146" i="120"/>
  <c r="W145" i="120"/>
  <c r="U145" i="120"/>
  <c r="S145" i="120"/>
  <c r="O145" i="120"/>
  <c r="N145" i="120"/>
  <c r="I145" i="120"/>
  <c r="F145" i="120"/>
  <c r="W144" i="120"/>
  <c r="U144" i="120"/>
  <c r="I144" i="120"/>
  <c r="F144" i="120"/>
  <c r="W143" i="120"/>
  <c r="U143" i="120"/>
  <c r="I143" i="120"/>
  <c r="F143" i="120"/>
  <c r="W142" i="120"/>
  <c r="V142" i="120"/>
  <c r="U142" i="120"/>
  <c r="T142" i="120"/>
  <c r="S142" i="120"/>
  <c r="R142" i="120"/>
  <c r="Q142" i="120"/>
  <c r="P142" i="120"/>
  <c r="O142" i="120"/>
  <c r="N142" i="120"/>
  <c r="M142" i="120"/>
  <c r="L142" i="120"/>
  <c r="K142" i="120"/>
  <c r="J142" i="120"/>
  <c r="I142" i="120"/>
  <c r="H142" i="120"/>
  <c r="G142" i="120"/>
  <c r="F142" i="120"/>
  <c r="E142" i="120"/>
  <c r="D142" i="120"/>
  <c r="C142" i="120"/>
  <c r="I141" i="120"/>
  <c r="F141" i="120"/>
  <c r="W140" i="120"/>
  <c r="V140" i="120"/>
  <c r="U140" i="120"/>
  <c r="I140" i="120"/>
  <c r="F140" i="120"/>
  <c r="W139" i="120"/>
  <c r="U139" i="120"/>
  <c r="S139" i="120"/>
  <c r="O139" i="120"/>
  <c r="N139" i="120"/>
  <c r="K139" i="120"/>
  <c r="I139" i="120"/>
  <c r="H139" i="120"/>
  <c r="F139" i="120"/>
  <c r="W138" i="120"/>
  <c r="U138" i="120"/>
  <c r="K138" i="120"/>
  <c r="I138" i="120"/>
  <c r="H138" i="120"/>
  <c r="F138" i="120"/>
  <c r="I136" i="120"/>
  <c r="F136" i="120"/>
  <c r="W135" i="120"/>
  <c r="U135" i="120"/>
  <c r="I135" i="120"/>
  <c r="F135" i="120"/>
  <c r="W134" i="120"/>
  <c r="U134" i="120"/>
  <c r="I134" i="120"/>
  <c r="F134" i="120"/>
  <c r="W133" i="120"/>
  <c r="U133" i="120"/>
  <c r="I133" i="120"/>
  <c r="F133" i="120"/>
  <c r="W132" i="120"/>
  <c r="U132" i="120"/>
  <c r="I132" i="120"/>
  <c r="F132" i="120"/>
  <c r="W131" i="120"/>
  <c r="U131" i="120"/>
  <c r="I131" i="120"/>
  <c r="W130" i="120"/>
  <c r="U130" i="120"/>
  <c r="I130" i="120"/>
  <c r="F130" i="120"/>
  <c r="W129" i="120"/>
  <c r="U129" i="120"/>
  <c r="I129" i="120"/>
  <c r="F129" i="120"/>
  <c r="W128" i="120"/>
  <c r="U128" i="120"/>
  <c r="I128" i="120"/>
  <c r="F128" i="120"/>
  <c r="W127" i="120"/>
  <c r="U127" i="120"/>
  <c r="I127" i="120"/>
  <c r="F127" i="120"/>
  <c r="W126" i="120"/>
  <c r="U126" i="120"/>
  <c r="I126" i="120"/>
  <c r="F126" i="120"/>
  <c r="W125" i="120"/>
  <c r="U125" i="120"/>
  <c r="I125" i="120"/>
  <c r="H125" i="120"/>
  <c r="F125" i="120"/>
  <c r="W124" i="120"/>
  <c r="U124" i="120"/>
  <c r="I124" i="120"/>
  <c r="F124" i="120"/>
  <c r="W123" i="120"/>
  <c r="U123" i="120"/>
  <c r="I123" i="120"/>
  <c r="F123" i="120"/>
  <c r="W122" i="120"/>
  <c r="U122" i="120"/>
  <c r="S122" i="120"/>
  <c r="O122" i="120"/>
  <c r="N122" i="120"/>
  <c r="I122" i="120"/>
  <c r="F122" i="120"/>
  <c r="W121" i="120"/>
  <c r="U121" i="120"/>
  <c r="I121" i="120"/>
  <c r="F121" i="120"/>
  <c r="W120" i="120"/>
  <c r="U120" i="120"/>
  <c r="I120" i="120"/>
  <c r="F120" i="120"/>
  <c r="W119" i="120"/>
  <c r="U119" i="120"/>
  <c r="I119" i="120"/>
  <c r="F119" i="120"/>
  <c r="W118" i="120"/>
  <c r="V118" i="120"/>
  <c r="U118" i="120"/>
  <c r="T118" i="120"/>
  <c r="S118" i="120"/>
  <c r="R118" i="120"/>
  <c r="Q118" i="120"/>
  <c r="P118" i="120"/>
  <c r="O118" i="120"/>
  <c r="N118" i="120"/>
  <c r="M118" i="120"/>
  <c r="L118" i="120"/>
  <c r="K118" i="120"/>
  <c r="J118" i="120"/>
  <c r="I118" i="120"/>
  <c r="H118" i="120"/>
  <c r="G118" i="120"/>
  <c r="F118" i="120"/>
  <c r="E118" i="120"/>
  <c r="D118" i="120"/>
  <c r="C118" i="120"/>
  <c r="W117" i="120"/>
  <c r="U117" i="120"/>
  <c r="I117" i="120"/>
  <c r="F117" i="120"/>
  <c r="W116" i="120"/>
  <c r="U116" i="120"/>
  <c r="I116" i="120"/>
  <c r="F116" i="120"/>
  <c r="W115" i="120"/>
  <c r="V115" i="120"/>
  <c r="U115" i="120"/>
  <c r="I115" i="120"/>
  <c r="F115" i="120"/>
  <c r="W114" i="120"/>
  <c r="U114" i="120"/>
  <c r="S114" i="120"/>
  <c r="O114" i="120"/>
  <c r="N114" i="120"/>
  <c r="K114" i="120"/>
  <c r="I114" i="120"/>
  <c r="H114" i="120"/>
  <c r="F114" i="120"/>
  <c r="W113" i="120"/>
  <c r="U113" i="120"/>
  <c r="I113" i="120"/>
  <c r="F113" i="120"/>
  <c r="W112" i="120"/>
  <c r="U112" i="120"/>
  <c r="I112" i="120"/>
  <c r="F112" i="120"/>
  <c r="W111" i="120"/>
  <c r="U111" i="120"/>
  <c r="I111" i="120"/>
  <c r="F111" i="120"/>
  <c r="W110" i="120"/>
  <c r="U110" i="120"/>
  <c r="I110" i="120"/>
  <c r="F110" i="120"/>
  <c r="W109" i="120"/>
  <c r="U109" i="120"/>
  <c r="I109" i="120"/>
  <c r="F109" i="120"/>
  <c r="W108" i="120"/>
  <c r="U108" i="120"/>
  <c r="I108" i="120"/>
  <c r="F108" i="120"/>
  <c r="W107" i="120"/>
  <c r="U107" i="120"/>
  <c r="I107" i="120"/>
  <c r="F107" i="120"/>
  <c r="W106" i="120"/>
  <c r="U106" i="120"/>
  <c r="I106" i="120"/>
  <c r="F106" i="120"/>
  <c r="W105" i="120"/>
  <c r="V105" i="120"/>
  <c r="U105" i="120"/>
  <c r="T105" i="120"/>
  <c r="S105" i="120"/>
  <c r="R105" i="120"/>
  <c r="Q105" i="120"/>
  <c r="P105" i="120"/>
  <c r="O105" i="120"/>
  <c r="N105" i="120"/>
  <c r="M105" i="120"/>
  <c r="L105" i="120"/>
  <c r="K105" i="120"/>
  <c r="J105" i="120"/>
  <c r="I105" i="120"/>
  <c r="H105" i="120"/>
  <c r="G105" i="120"/>
  <c r="F105" i="120"/>
  <c r="E105" i="120"/>
  <c r="D105" i="120"/>
  <c r="C105" i="120"/>
  <c r="W104" i="120"/>
  <c r="U104" i="120"/>
  <c r="S104" i="120"/>
  <c r="N104" i="120"/>
  <c r="I104" i="120"/>
  <c r="F104" i="120"/>
  <c r="W103" i="120"/>
  <c r="U103" i="120"/>
  <c r="I103" i="120"/>
  <c r="F103" i="120"/>
  <c r="Y102" i="120"/>
  <c r="X102" i="120"/>
  <c r="W102" i="120"/>
  <c r="U102" i="120"/>
  <c r="K102" i="120"/>
  <c r="I102" i="120"/>
  <c r="H102" i="120"/>
  <c r="F102" i="120"/>
  <c r="W101" i="120"/>
  <c r="V101" i="120"/>
  <c r="U101" i="120"/>
  <c r="T101" i="120"/>
  <c r="S101" i="120"/>
  <c r="R101" i="120"/>
  <c r="Q101" i="120"/>
  <c r="P101" i="120"/>
  <c r="O101" i="120"/>
  <c r="N101" i="120"/>
  <c r="M101" i="120"/>
  <c r="L101" i="120"/>
  <c r="K101" i="120"/>
  <c r="J101" i="120"/>
  <c r="I101" i="120"/>
  <c r="H101" i="120"/>
  <c r="G101" i="120"/>
  <c r="F101" i="120"/>
  <c r="E101" i="120"/>
  <c r="D101" i="120"/>
  <c r="C101" i="120"/>
  <c r="W100" i="120"/>
  <c r="U100" i="120"/>
  <c r="I100" i="120"/>
  <c r="H100" i="120"/>
  <c r="F100" i="120"/>
  <c r="W99" i="120"/>
  <c r="U99" i="120"/>
  <c r="K99" i="120"/>
  <c r="I99" i="120"/>
  <c r="H99" i="120"/>
  <c r="F99" i="120"/>
  <c r="W98" i="120"/>
  <c r="F98" i="120"/>
  <c r="W97" i="120"/>
  <c r="U97" i="120"/>
  <c r="K97" i="120"/>
  <c r="F97" i="120"/>
  <c r="W95" i="120"/>
  <c r="U95" i="120"/>
  <c r="I95" i="120"/>
  <c r="F95" i="120"/>
  <c r="W94" i="120"/>
  <c r="U94" i="120"/>
  <c r="I94" i="120"/>
  <c r="F94" i="120"/>
  <c r="W93" i="120"/>
  <c r="U93" i="120"/>
  <c r="I93" i="120"/>
  <c r="F93" i="120"/>
  <c r="W92" i="120"/>
  <c r="U92" i="120"/>
  <c r="I92" i="120"/>
  <c r="F92" i="120"/>
  <c r="X91" i="120"/>
  <c r="W91" i="120"/>
  <c r="U91" i="120"/>
  <c r="I91" i="120"/>
  <c r="H91" i="120"/>
  <c r="F91" i="120"/>
  <c r="S90" i="120"/>
  <c r="N90" i="120"/>
  <c r="I90" i="120"/>
  <c r="F90" i="120"/>
  <c r="S89" i="120"/>
  <c r="O89" i="120"/>
  <c r="N89" i="120"/>
  <c r="I89" i="120"/>
  <c r="F89" i="120"/>
  <c r="X88" i="120"/>
  <c r="X87" i="120"/>
  <c r="S87" i="120"/>
  <c r="I87" i="120"/>
  <c r="C87" i="120"/>
  <c r="AA86" i="120"/>
  <c r="Z86" i="120"/>
  <c r="W86" i="120"/>
  <c r="V86" i="120"/>
  <c r="U86" i="120"/>
  <c r="T86" i="120"/>
  <c r="S86" i="120"/>
  <c r="R86" i="120"/>
  <c r="Q86" i="120"/>
  <c r="P86" i="120"/>
  <c r="O86" i="120"/>
  <c r="N86" i="120"/>
  <c r="M86" i="120"/>
  <c r="L86" i="120"/>
  <c r="K86" i="120"/>
  <c r="J86" i="120"/>
  <c r="I86" i="120"/>
  <c r="H86" i="120"/>
  <c r="G86" i="120"/>
  <c r="F86" i="120"/>
  <c r="E86" i="120"/>
  <c r="D86" i="120"/>
  <c r="C86" i="120"/>
  <c r="AA85" i="120"/>
  <c r="Z85" i="120"/>
  <c r="W85" i="120"/>
  <c r="U85" i="120"/>
  <c r="I85" i="120"/>
  <c r="F85" i="120"/>
  <c r="AA84" i="120"/>
  <c r="Z84" i="120"/>
  <c r="X84" i="120"/>
  <c r="W84" i="120"/>
  <c r="U84" i="120"/>
  <c r="I84" i="120"/>
  <c r="F84" i="120"/>
  <c r="X83" i="120"/>
  <c r="W83" i="120"/>
  <c r="U83" i="120"/>
  <c r="I83" i="120"/>
  <c r="F83" i="120"/>
  <c r="X82" i="120"/>
  <c r="U82" i="120"/>
  <c r="S82" i="120"/>
  <c r="N82" i="120"/>
  <c r="I82" i="120"/>
  <c r="F82" i="120"/>
  <c r="W81" i="120"/>
  <c r="U81" i="120"/>
  <c r="S81" i="120"/>
  <c r="N81" i="120"/>
  <c r="I81" i="120"/>
  <c r="C81" i="120"/>
  <c r="W80" i="120"/>
  <c r="V80" i="120"/>
  <c r="U80" i="120"/>
  <c r="T80" i="120"/>
  <c r="S80" i="120"/>
  <c r="R80" i="120"/>
  <c r="Q80" i="120"/>
  <c r="P80" i="120"/>
  <c r="O80" i="120"/>
  <c r="N80" i="120"/>
  <c r="M80" i="120"/>
  <c r="L80" i="120"/>
  <c r="K80" i="120"/>
  <c r="J80" i="120"/>
  <c r="I80" i="120"/>
  <c r="H80" i="120"/>
  <c r="G80" i="120"/>
  <c r="F80" i="120"/>
  <c r="E80" i="120"/>
  <c r="D80" i="120"/>
  <c r="C80" i="120"/>
  <c r="X79" i="120"/>
  <c r="W79" i="120"/>
  <c r="V79" i="120"/>
  <c r="U79" i="120"/>
  <c r="T79" i="120"/>
  <c r="S79" i="120"/>
  <c r="R79" i="120"/>
  <c r="Q79" i="120"/>
  <c r="P79" i="120"/>
  <c r="O79" i="120"/>
  <c r="N79" i="120"/>
  <c r="M79" i="120"/>
  <c r="L79" i="120"/>
  <c r="K79" i="120"/>
  <c r="J79" i="120"/>
  <c r="I79" i="120"/>
  <c r="H79" i="120"/>
  <c r="G79" i="120"/>
  <c r="F79" i="120"/>
  <c r="E79" i="120"/>
  <c r="D79" i="120"/>
  <c r="C79" i="120"/>
  <c r="X78" i="120"/>
  <c r="W78" i="120"/>
  <c r="V78" i="120"/>
  <c r="U78" i="120"/>
  <c r="T78" i="120"/>
  <c r="S78" i="120"/>
  <c r="R78" i="120"/>
  <c r="Q78" i="120"/>
  <c r="P78" i="120"/>
  <c r="O78" i="120"/>
  <c r="N78" i="120"/>
  <c r="M78" i="120"/>
  <c r="L78" i="120"/>
  <c r="K78" i="120"/>
  <c r="J78" i="120"/>
  <c r="I78" i="120"/>
  <c r="H78" i="120"/>
  <c r="G78" i="120"/>
  <c r="F78" i="120"/>
  <c r="E78" i="120"/>
  <c r="D78" i="120"/>
  <c r="C78" i="120"/>
  <c r="X77" i="120"/>
  <c r="W77" i="120"/>
  <c r="V77" i="120"/>
  <c r="U77" i="120"/>
  <c r="T77" i="120"/>
  <c r="S77" i="120"/>
  <c r="R77" i="120"/>
  <c r="Q77" i="120"/>
  <c r="P77" i="120"/>
  <c r="O77" i="120"/>
  <c r="N77" i="120"/>
  <c r="M77" i="120"/>
  <c r="L77" i="120"/>
  <c r="K77" i="120"/>
  <c r="J77" i="120"/>
  <c r="I77" i="120"/>
  <c r="H77" i="120"/>
  <c r="G77" i="120"/>
  <c r="F77" i="120"/>
  <c r="V76" i="120"/>
  <c r="U76" i="120"/>
  <c r="I76" i="120"/>
  <c r="F76" i="120"/>
  <c r="V75" i="120"/>
  <c r="U75" i="120"/>
  <c r="I75" i="120"/>
  <c r="H75" i="120"/>
  <c r="F75" i="120"/>
  <c r="X74" i="120"/>
  <c r="V74" i="120"/>
  <c r="U74" i="120"/>
  <c r="I74" i="120"/>
  <c r="H74" i="120"/>
  <c r="F74" i="120"/>
  <c r="V73" i="120"/>
  <c r="U73" i="120"/>
  <c r="I73" i="120"/>
  <c r="F73" i="120"/>
  <c r="V72" i="120"/>
  <c r="U72" i="120"/>
  <c r="I72" i="120"/>
  <c r="F72" i="120"/>
  <c r="V71" i="120"/>
  <c r="U71" i="120"/>
  <c r="I71" i="120"/>
  <c r="F71" i="120"/>
  <c r="V70" i="120"/>
  <c r="U70" i="120"/>
  <c r="I70" i="120"/>
  <c r="F70" i="120"/>
  <c r="I69" i="120"/>
  <c r="F69" i="120"/>
  <c r="I68" i="120"/>
  <c r="F68" i="120"/>
  <c r="V67" i="120"/>
  <c r="K67" i="120"/>
  <c r="I67" i="120"/>
  <c r="F67" i="120"/>
  <c r="V66" i="120"/>
  <c r="U66" i="120"/>
  <c r="H66" i="120"/>
  <c r="F66" i="120"/>
  <c r="C66" i="120"/>
  <c r="V65" i="120"/>
  <c r="U65" i="120"/>
  <c r="H65" i="120"/>
  <c r="F65" i="120"/>
  <c r="I64" i="120"/>
  <c r="C64" i="120"/>
  <c r="I63" i="120"/>
  <c r="F63" i="120"/>
  <c r="I62" i="120"/>
  <c r="F62" i="120"/>
  <c r="I61" i="120"/>
  <c r="F61" i="120"/>
  <c r="X60" i="120"/>
  <c r="V60" i="120"/>
  <c r="U60" i="120"/>
  <c r="I60" i="120"/>
  <c r="F60" i="120"/>
  <c r="X59" i="120"/>
  <c r="V59" i="120"/>
  <c r="U59" i="120"/>
  <c r="K59" i="120"/>
  <c r="I59" i="120"/>
  <c r="H59" i="120"/>
  <c r="F59" i="120"/>
  <c r="V58" i="120"/>
  <c r="U58" i="120"/>
  <c r="I58" i="120"/>
  <c r="F58" i="120"/>
  <c r="C58" i="120"/>
  <c r="V57" i="120"/>
  <c r="U57" i="120"/>
  <c r="I57" i="120"/>
  <c r="F57" i="120"/>
  <c r="V56" i="120"/>
  <c r="U56" i="120"/>
  <c r="I56" i="120"/>
  <c r="F56" i="120"/>
  <c r="X55" i="120"/>
  <c r="V55" i="120"/>
  <c r="U55" i="120"/>
  <c r="I55" i="120"/>
  <c r="F55" i="120"/>
  <c r="C55" i="120"/>
  <c r="U54" i="120"/>
  <c r="I54" i="120"/>
  <c r="X53" i="120"/>
  <c r="V53" i="120"/>
  <c r="U53" i="120"/>
  <c r="I53" i="120"/>
  <c r="I52" i="120"/>
  <c r="F52" i="120"/>
  <c r="V51" i="120"/>
  <c r="I51" i="120"/>
  <c r="F51" i="120"/>
  <c r="I50" i="120"/>
  <c r="F50" i="120"/>
  <c r="V49" i="120"/>
  <c r="I49" i="120"/>
  <c r="F49" i="120"/>
  <c r="V47" i="120"/>
  <c r="U47" i="120"/>
  <c r="I47" i="120"/>
  <c r="F47" i="120"/>
  <c r="V46" i="120"/>
  <c r="U46" i="120"/>
  <c r="I46" i="120"/>
  <c r="F46" i="120"/>
  <c r="V45" i="120"/>
  <c r="U45" i="120"/>
  <c r="I45" i="120"/>
  <c r="V44" i="120"/>
  <c r="U44" i="120"/>
  <c r="I44" i="120"/>
  <c r="F44" i="120"/>
  <c r="V43" i="120"/>
  <c r="U43" i="120"/>
  <c r="I43" i="120"/>
  <c r="F43" i="120"/>
  <c r="V42" i="120"/>
  <c r="U42" i="120"/>
  <c r="K42" i="120"/>
  <c r="I42" i="120"/>
  <c r="F42" i="120"/>
  <c r="V41" i="120"/>
  <c r="U41" i="120"/>
  <c r="I41" i="120"/>
  <c r="H41" i="120"/>
  <c r="F41" i="120"/>
  <c r="X40" i="120"/>
  <c r="V40" i="120"/>
  <c r="U40" i="120"/>
  <c r="I40" i="120"/>
  <c r="H40" i="120"/>
  <c r="F40" i="120"/>
  <c r="U39" i="120"/>
  <c r="Y38" i="120"/>
  <c r="V38" i="120"/>
  <c r="U38" i="120"/>
  <c r="L38" i="120"/>
  <c r="I38" i="120"/>
  <c r="H38" i="120"/>
  <c r="F38" i="120"/>
  <c r="K37" i="120"/>
  <c r="F37" i="120"/>
  <c r="V36" i="120"/>
  <c r="U36" i="120"/>
  <c r="I36" i="120"/>
  <c r="H36" i="120"/>
  <c r="F36" i="120"/>
  <c r="W35" i="120"/>
  <c r="V35" i="120"/>
  <c r="U35" i="120"/>
  <c r="T35" i="120"/>
  <c r="S35" i="120"/>
  <c r="R35" i="120"/>
  <c r="Q35" i="120"/>
  <c r="P35" i="120"/>
  <c r="O35" i="120"/>
  <c r="N35" i="120"/>
  <c r="M35" i="120"/>
  <c r="L35" i="120"/>
  <c r="K35" i="120"/>
  <c r="J35" i="120"/>
  <c r="I35" i="120"/>
  <c r="H35" i="120"/>
  <c r="G35" i="120"/>
  <c r="F35" i="120"/>
  <c r="E35" i="120"/>
  <c r="D35" i="120"/>
  <c r="C35" i="120"/>
  <c r="V34" i="120"/>
  <c r="U34" i="120"/>
  <c r="I34" i="120"/>
  <c r="F34" i="120"/>
  <c r="V33" i="120"/>
  <c r="U33" i="120"/>
  <c r="I33" i="120"/>
  <c r="C33" i="120"/>
  <c r="V32" i="120"/>
  <c r="U32" i="120"/>
  <c r="I32" i="120"/>
  <c r="F32" i="120"/>
  <c r="V31" i="120"/>
  <c r="U31" i="120"/>
  <c r="I31" i="120"/>
  <c r="F31" i="120"/>
  <c r="V30" i="120"/>
  <c r="U30" i="120"/>
  <c r="K30" i="120"/>
  <c r="I30" i="120"/>
  <c r="F30" i="120"/>
  <c r="V29" i="120"/>
  <c r="U29" i="120"/>
  <c r="I29" i="120"/>
  <c r="F29" i="120"/>
  <c r="W28" i="120"/>
  <c r="V28" i="120"/>
  <c r="U28" i="120"/>
  <c r="T28" i="120"/>
  <c r="S28" i="120"/>
  <c r="R28" i="120"/>
  <c r="Q28" i="120"/>
  <c r="P28" i="120"/>
  <c r="O28" i="120"/>
  <c r="N28" i="120"/>
  <c r="M28" i="120"/>
  <c r="L28" i="120"/>
  <c r="K28" i="120"/>
  <c r="J28" i="120"/>
  <c r="I28" i="120"/>
  <c r="H28" i="120"/>
  <c r="G28" i="120"/>
  <c r="F28" i="120"/>
  <c r="E28" i="120"/>
  <c r="D28" i="120"/>
  <c r="C28" i="120"/>
  <c r="O27" i="120"/>
  <c r="F27" i="120"/>
  <c r="O26" i="120"/>
  <c r="F26" i="120"/>
  <c r="O25" i="120"/>
  <c r="F25" i="120"/>
  <c r="P24" i="120"/>
  <c r="O24" i="120"/>
  <c r="I24" i="120"/>
  <c r="F24" i="120"/>
  <c r="P23" i="120"/>
  <c r="O23" i="120"/>
  <c r="J23" i="120"/>
  <c r="I23" i="120"/>
  <c r="G23" i="120"/>
  <c r="F23" i="120"/>
  <c r="C23" i="120"/>
  <c r="R22" i="120"/>
  <c r="O22" i="120"/>
  <c r="I22" i="120"/>
  <c r="F22" i="120"/>
  <c r="C22" i="120"/>
  <c r="W21" i="120"/>
  <c r="V21" i="120"/>
  <c r="U21" i="120"/>
  <c r="T21" i="120"/>
  <c r="S21" i="120"/>
  <c r="R21" i="120"/>
  <c r="Q21" i="120"/>
  <c r="P21" i="120"/>
  <c r="O21" i="120"/>
  <c r="N21" i="120"/>
  <c r="M21" i="120"/>
  <c r="L21" i="120"/>
  <c r="K21" i="120"/>
  <c r="J21" i="120"/>
  <c r="I21" i="120"/>
  <c r="H21" i="120"/>
  <c r="G21" i="120"/>
  <c r="F21" i="120"/>
  <c r="E21" i="120"/>
  <c r="D21" i="120"/>
  <c r="C21" i="120"/>
  <c r="W20" i="120"/>
  <c r="V20" i="120"/>
  <c r="U20" i="120"/>
  <c r="T20" i="120"/>
  <c r="S20" i="120"/>
  <c r="R20" i="120"/>
  <c r="Q20" i="120"/>
  <c r="P20" i="120"/>
  <c r="O20" i="120"/>
  <c r="N20" i="120"/>
  <c r="M20" i="120"/>
  <c r="L20" i="120"/>
  <c r="K20" i="120"/>
  <c r="J20" i="120"/>
  <c r="I20" i="120"/>
  <c r="H20" i="120"/>
  <c r="G20" i="120"/>
  <c r="F20" i="120"/>
  <c r="E20" i="120"/>
  <c r="D20" i="120"/>
  <c r="C20" i="120"/>
  <c r="R19" i="120"/>
  <c r="N19" i="120"/>
  <c r="I19" i="120"/>
  <c r="G19" i="120"/>
  <c r="F19" i="120"/>
  <c r="C19" i="120"/>
  <c r="V18" i="120"/>
  <c r="U18" i="120"/>
  <c r="O18" i="120"/>
  <c r="N18" i="120"/>
  <c r="I18" i="120"/>
  <c r="F18" i="120"/>
  <c r="C18" i="120"/>
  <c r="V17" i="120"/>
  <c r="U17" i="120"/>
  <c r="O17" i="120"/>
  <c r="N17" i="120"/>
  <c r="I17" i="120"/>
  <c r="F17" i="120"/>
  <c r="C17" i="120"/>
  <c r="W16" i="120"/>
  <c r="V16" i="120"/>
  <c r="U16" i="120"/>
  <c r="T16" i="120"/>
  <c r="S16" i="120"/>
  <c r="R16" i="120"/>
  <c r="Q16" i="120"/>
  <c r="P16" i="120"/>
  <c r="O16" i="120"/>
  <c r="N16" i="120"/>
  <c r="M16" i="120"/>
  <c r="L16" i="120"/>
  <c r="K16" i="120"/>
  <c r="J16" i="120"/>
  <c r="I16" i="120"/>
  <c r="H16" i="120"/>
  <c r="G16" i="120"/>
  <c r="F16" i="120"/>
  <c r="E16" i="120"/>
  <c r="D16" i="120"/>
  <c r="C16" i="120"/>
  <c r="W15" i="120"/>
  <c r="V15" i="120"/>
  <c r="U15" i="120"/>
  <c r="T15" i="120"/>
  <c r="S15" i="120"/>
  <c r="R15" i="120"/>
  <c r="Q15" i="120"/>
  <c r="P15" i="120"/>
  <c r="O15" i="120"/>
  <c r="N15" i="120"/>
  <c r="M15" i="120"/>
  <c r="L15" i="120"/>
  <c r="K15" i="120"/>
  <c r="J15" i="120"/>
  <c r="I15" i="120"/>
  <c r="H15" i="120"/>
  <c r="G15" i="120"/>
  <c r="F15" i="120"/>
  <c r="E15" i="120"/>
  <c r="D15" i="120"/>
  <c r="C15" i="120"/>
  <c r="W14" i="120"/>
  <c r="V14" i="120"/>
  <c r="U14" i="120"/>
  <c r="T14" i="120"/>
  <c r="S14" i="120"/>
  <c r="R14" i="120"/>
  <c r="Q14" i="120"/>
  <c r="P14" i="120"/>
  <c r="O14" i="120"/>
  <c r="N14" i="120"/>
  <c r="M14" i="120"/>
  <c r="L14" i="120"/>
  <c r="K14" i="120"/>
  <c r="J14" i="120"/>
  <c r="I14" i="120"/>
  <c r="H14" i="120"/>
  <c r="G14" i="120"/>
  <c r="F14" i="120"/>
  <c r="E14" i="120"/>
  <c r="D14" i="120"/>
  <c r="C14" i="120"/>
  <c r="W13" i="120"/>
  <c r="V13" i="120"/>
  <c r="U13" i="120"/>
  <c r="T13" i="120"/>
  <c r="S13" i="120"/>
  <c r="R13" i="120"/>
  <c r="Q13" i="120"/>
  <c r="P13" i="120"/>
  <c r="O13" i="120"/>
  <c r="N13" i="120"/>
  <c r="M13" i="120"/>
  <c r="L13" i="120"/>
  <c r="K13" i="120"/>
  <c r="J13" i="120"/>
  <c r="I13" i="120"/>
  <c r="H13" i="120"/>
  <c r="G13" i="120"/>
  <c r="F13" i="120"/>
  <c r="E13" i="120"/>
  <c r="D13" i="120"/>
  <c r="C13" i="120"/>
  <c r="W12" i="120"/>
  <c r="V12" i="120"/>
  <c r="U12" i="120"/>
  <c r="T12" i="120"/>
  <c r="S12" i="120"/>
  <c r="R12" i="120"/>
  <c r="Q12" i="120"/>
  <c r="P12" i="120"/>
  <c r="O12" i="120"/>
  <c r="N12" i="120"/>
  <c r="M12" i="120"/>
  <c r="L12" i="120"/>
  <c r="K12" i="120"/>
  <c r="J12" i="120"/>
  <c r="I12" i="120"/>
  <c r="H12" i="120"/>
  <c r="G12" i="120"/>
  <c r="F12" i="120"/>
  <c r="E12" i="120"/>
  <c r="D12" i="120"/>
  <c r="C12" i="120"/>
  <c r="W11" i="120"/>
  <c r="V11" i="120"/>
  <c r="U11" i="120"/>
  <c r="T11" i="120"/>
  <c r="S11" i="120"/>
  <c r="R11" i="120"/>
  <c r="Q11" i="120"/>
  <c r="P11" i="120"/>
  <c r="O11" i="120"/>
  <c r="N11" i="120"/>
  <c r="M11" i="120"/>
  <c r="L11" i="120"/>
  <c r="K11" i="120"/>
  <c r="J11" i="120"/>
  <c r="I11" i="120"/>
  <c r="H11" i="120"/>
  <c r="G11" i="120"/>
  <c r="F11" i="120"/>
  <c r="E11" i="120"/>
  <c r="D11" i="120"/>
  <c r="C11" i="120"/>
  <c r="K46" i="142"/>
  <c r="H46" i="142"/>
  <c r="C46" i="142"/>
  <c r="V40" i="142"/>
  <c r="S40" i="142"/>
  <c r="N40" i="142"/>
  <c r="M40" i="142"/>
  <c r="L40" i="142"/>
  <c r="K40" i="142"/>
  <c r="H40" i="142"/>
  <c r="C40" i="142"/>
  <c r="V39" i="142"/>
  <c r="S39" i="142"/>
  <c r="N39" i="142"/>
  <c r="M39" i="142"/>
  <c r="L39" i="142"/>
  <c r="K39" i="142"/>
  <c r="H39" i="142"/>
  <c r="C39" i="142"/>
  <c r="Z38" i="142"/>
  <c r="X38" i="142"/>
  <c r="W38" i="142"/>
  <c r="V38" i="142"/>
  <c r="S38" i="142"/>
  <c r="N38" i="142"/>
  <c r="M38" i="142"/>
  <c r="L38" i="142"/>
  <c r="K38" i="142"/>
  <c r="H38" i="142"/>
  <c r="C38" i="142"/>
  <c r="AA37" i="142"/>
  <c r="Z37" i="142"/>
  <c r="Y37" i="142"/>
  <c r="X37" i="142"/>
  <c r="W37" i="142"/>
  <c r="V37" i="142"/>
  <c r="U37" i="142"/>
  <c r="T37" i="142"/>
  <c r="S37" i="142"/>
  <c r="R37" i="142"/>
  <c r="Q37" i="142"/>
  <c r="P37" i="142"/>
  <c r="O37" i="142"/>
  <c r="N37" i="142"/>
  <c r="M37" i="142"/>
  <c r="L37" i="142"/>
  <c r="K37" i="142"/>
  <c r="J37" i="142"/>
  <c r="I37" i="142"/>
  <c r="H37" i="142"/>
  <c r="G37" i="142"/>
  <c r="F37" i="142"/>
  <c r="E37" i="142"/>
  <c r="D37" i="142"/>
  <c r="C37" i="142"/>
  <c r="Z36" i="142"/>
  <c r="X36" i="142"/>
  <c r="W36" i="142"/>
  <c r="V36" i="142"/>
  <c r="S36" i="142"/>
  <c r="N36" i="142"/>
  <c r="M36" i="142"/>
  <c r="L36" i="142"/>
  <c r="K36" i="142"/>
  <c r="H36" i="142"/>
  <c r="C36" i="142"/>
  <c r="Z35" i="142"/>
  <c r="X35" i="142"/>
  <c r="W35" i="142"/>
  <c r="V35" i="142"/>
  <c r="S35" i="142"/>
  <c r="N35" i="142"/>
  <c r="M35" i="142"/>
  <c r="L35" i="142"/>
  <c r="K35" i="142"/>
  <c r="H35" i="142"/>
  <c r="C35" i="142"/>
  <c r="Z34" i="142"/>
  <c r="X34" i="142"/>
  <c r="W34" i="142"/>
  <c r="V34" i="142"/>
  <c r="S34" i="142"/>
  <c r="N34" i="142"/>
  <c r="M34" i="142"/>
  <c r="L34" i="142"/>
  <c r="K34" i="142"/>
  <c r="H34" i="142"/>
  <c r="F34" i="142"/>
  <c r="C34" i="142"/>
  <c r="AA33" i="142"/>
  <c r="Z33" i="142"/>
  <c r="Y33" i="142"/>
  <c r="X33" i="142"/>
  <c r="W33" i="142"/>
  <c r="V33" i="142"/>
  <c r="U33" i="142"/>
  <c r="T33" i="142"/>
  <c r="S33" i="142"/>
  <c r="R33" i="142"/>
  <c r="Q33" i="142"/>
  <c r="P33" i="142"/>
  <c r="O33" i="142"/>
  <c r="N33" i="142"/>
  <c r="M33" i="142"/>
  <c r="L33" i="142"/>
  <c r="K33" i="142"/>
  <c r="J33" i="142"/>
  <c r="I33" i="142"/>
  <c r="H33" i="142"/>
  <c r="G33" i="142"/>
  <c r="F33" i="142"/>
  <c r="E33" i="142"/>
  <c r="D33" i="142"/>
  <c r="C33" i="142"/>
  <c r="Z32" i="142"/>
  <c r="X32" i="142"/>
  <c r="W32" i="142"/>
  <c r="V32" i="142"/>
  <c r="S32" i="142"/>
  <c r="N32" i="142"/>
  <c r="M32" i="142"/>
  <c r="L32" i="142"/>
  <c r="K32" i="142"/>
  <c r="H32" i="142"/>
  <c r="C32" i="142"/>
  <c r="Z31" i="142"/>
  <c r="X31" i="142"/>
  <c r="W31" i="142"/>
  <c r="V31" i="142"/>
  <c r="S31" i="142"/>
  <c r="N31" i="142"/>
  <c r="M31" i="142"/>
  <c r="L31" i="142"/>
  <c r="K31" i="142"/>
  <c r="H31" i="142"/>
  <c r="C31" i="142"/>
  <c r="Z30" i="142"/>
  <c r="X30" i="142"/>
  <c r="W30" i="142"/>
  <c r="V30" i="142"/>
  <c r="S30" i="142"/>
  <c r="N30" i="142"/>
  <c r="M30" i="142"/>
  <c r="L30" i="142"/>
  <c r="K30" i="142"/>
  <c r="H30" i="142"/>
  <c r="F30" i="142"/>
  <c r="C30" i="142"/>
  <c r="AA29" i="142"/>
  <c r="Z29" i="142"/>
  <c r="Y29" i="142"/>
  <c r="X29" i="142"/>
  <c r="W29" i="142"/>
  <c r="V29" i="142"/>
  <c r="U29" i="142"/>
  <c r="T29" i="142"/>
  <c r="S29" i="142"/>
  <c r="R29" i="142"/>
  <c r="Q29" i="142"/>
  <c r="P29" i="142"/>
  <c r="O29" i="142"/>
  <c r="N29" i="142"/>
  <c r="M29" i="142"/>
  <c r="L29" i="142"/>
  <c r="K29" i="142"/>
  <c r="J29" i="142"/>
  <c r="I29" i="142"/>
  <c r="H29" i="142"/>
  <c r="G29" i="142"/>
  <c r="F29" i="142"/>
  <c r="E29" i="142"/>
  <c r="D29" i="142"/>
  <c r="C29" i="142"/>
  <c r="Z28" i="142"/>
  <c r="X28" i="142"/>
  <c r="W28" i="142"/>
  <c r="V28" i="142"/>
  <c r="S28" i="142"/>
  <c r="N28" i="142"/>
  <c r="M28" i="142"/>
  <c r="L28" i="142"/>
  <c r="K28" i="142"/>
  <c r="H28" i="142"/>
  <c r="C28" i="142"/>
  <c r="Z27" i="142"/>
  <c r="X27" i="142"/>
  <c r="W27" i="142"/>
  <c r="V27" i="142"/>
  <c r="S27" i="142"/>
  <c r="N27" i="142"/>
  <c r="M27" i="142"/>
  <c r="L27" i="142"/>
  <c r="K27" i="142"/>
  <c r="H27" i="142"/>
  <c r="C27" i="142"/>
  <c r="Z26" i="142"/>
  <c r="X26" i="142"/>
  <c r="W26" i="142"/>
  <c r="V26" i="142"/>
  <c r="U26" i="142"/>
  <c r="S26" i="142"/>
  <c r="R26" i="142"/>
  <c r="N26" i="142"/>
  <c r="M26" i="142"/>
  <c r="L26" i="142"/>
  <c r="K26" i="142"/>
  <c r="J26" i="142"/>
  <c r="H26" i="142"/>
  <c r="F26" i="142"/>
  <c r="C26" i="142"/>
  <c r="AA25" i="142"/>
  <c r="Z25" i="142"/>
  <c r="Y25" i="142"/>
  <c r="X25" i="142"/>
  <c r="W25" i="142"/>
  <c r="V25" i="142"/>
  <c r="U25" i="142"/>
  <c r="T25" i="142"/>
  <c r="S25" i="142"/>
  <c r="R25" i="142"/>
  <c r="Q25" i="142"/>
  <c r="P25" i="142"/>
  <c r="O25" i="142"/>
  <c r="N25" i="142"/>
  <c r="M25" i="142"/>
  <c r="L25" i="142"/>
  <c r="K25" i="142"/>
  <c r="J25" i="142"/>
  <c r="I25" i="142"/>
  <c r="H25" i="142"/>
  <c r="G25" i="142"/>
  <c r="F25" i="142"/>
  <c r="E25" i="142"/>
  <c r="D25" i="142"/>
  <c r="C25" i="142"/>
  <c r="Z24" i="142"/>
  <c r="X24" i="142"/>
  <c r="W24" i="142"/>
  <c r="V24" i="142"/>
  <c r="S24" i="142"/>
  <c r="N24" i="142"/>
  <c r="M24" i="142"/>
  <c r="L24" i="142"/>
  <c r="K24" i="142"/>
  <c r="H24" i="142"/>
  <c r="C24" i="142"/>
  <c r="Z23" i="142"/>
  <c r="X23" i="142"/>
  <c r="W23" i="142"/>
  <c r="V23" i="142"/>
  <c r="S23" i="142"/>
  <c r="N23" i="142"/>
  <c r="M23" i="142"/>
  <c r="L23" i="142"/>
  <c r="K23" i="142"/>
  <c r="H23" i="142"/>
  <c r="C23" i="142"/>
  <c r="AB22" i="142"/>
  <c r="Z22" i="142"/>
  <c r="X22" i="142"/>
  <c r="W22" i="142"/>
  <c r="V22" i="142"/>
  <c r="S22" i="142"/>
  <c r="N22" i="142"/>
  <c r="M22" i="142"/>
  <c r="L22" i="142"/>
  <c r="K22" i="142"/>
  <c r="J22" i="142"/>
  <c r="H22" i="142"/>
  <c r="C22" i="142"/>
  <c r="AA21" i="142"/>
  <c r="Z21" i="142"/>
  <c r="Y21" i="142"/>
  <c r="X21" i="142"/>
  <c r="W21" i="142"/>
  <c r="V21" i="142"/>
  <c r="U21" i="142"/>
  <c r="T21" i="142"/>
  <c r="S21" i="142"/>
  <c r="R21" i="142"/>
  <c r="Q21" i="142"/>
  <c r="P21" i="142"/>
  <c r="O21" i="142"/>
  <c r="N21" i="142"/>
  <c r="M21" i="142"/>
  <c r="L21" i="142"/>
  <c r="K21" i="142"/>
  <c r="J21" i="142"/>
  <c r="I21" i="142"/>
  <c r="H21" i="142"/>
  <c r="G21" i="142"/>
  <c r="F21" i="142"/>
  <c r="E21" i="142"/>
  <c r="D21" i="142"/>
  <c r="C21" i="142"/>
  <c r="AB20" i="142"/>
  <c r="AA20" i="142"/>
  <c r="Z20" i="142"/>
  <c r="Y20" i="142"/>
  <c r="X20" i="142"/>
  <c r="W20" i="142"/>
  <c r="V20" i="142"/>
  <c r="U20" i="142"/>
  <c r="T20" i="142"/>
  <c r="S20" i="142"/>
  <c r="R20" i="142"/>
  <c r="Q20" i="142"/>
  <c r="P20" i="142"/>
  <c r="O20" i="142"/>
  <c r="N20" i="142"/>
  <c r="M20" i="142"/>
  <c r="L20" i="142"/>
  <c r="K20" i="142"/>
  <c r="J20" i="142"/>
  <c r="I20" i="142"/>
  <c r="H20" i="142"/>
  <c r="G20" i="142"/>
  <c r="F20" i="142"/>
  <c r="E20" i="142"/>
  <c r="D20" i="142"/>
  <c r="C20" i="142"/>
  <c r="AA19" i="142"/>
  <c r="Z19" i="142"/>
  <c r="Y19" i="142"/>
  <c r="X19" i="142"/>
  <c r="W19" i="142"/>
  <c r="V19" i="142"/>
  <c r="U19" i="142"/>
  <c r="T19" i="142"/>
  <c r="S19" i="142"/>
  <c r="R19" i="142"/>
  <c r="Q19" i="142"/>
  <c r="P19" i="142"/>
  <c r="O19" i="142"/>
  <c r="N19" i="142"/>
  <c r="M19" i="142"/>
  <c r="L19" i="142"/>
  <c r="K19" i="142"/>
  <c r="J19" i="142"/>
  <c r="I19" i="142"/>
  <c r="H19" i="142"/>
  <c r="G19" i="142"/>
  <c r="F19" i="142"/>
  <c r="E19" i="142"/>
  <c r="D19" i="142"/>
  <c r="C19" i="142"/>
  <c r="AA18" i="142"/>
  <c r="Z18" i="142"/>
  <c r="Y18" i="142"/>
  <c r="X18" i="142"/>
  <c r="W18" i="142"/>
  <c r="V18" i="142"/>
  <c r="U18" i="142"/>
  <c r="T18" i="142"/>
  <c r="S18" i="142"/>
  <c r="R18" i="142"/>
  <c r="Q18" i="142"/>
  <c r="P18" i="142"/>
  <c r="O18" i="142"/>
  <c r="N18" i="142"/>
  <c r="M18" i="142"/>
  <c r="L18" i="142"/>
  <c r="K18" i="142"/>
  <c r="J18" i="142"/>
  <c r="I18" i="142"/>
  <c r="H18" i="142"/>
  <c r="G18" i="142"/>
  <c r="F18" i="142"/>
  <c r="E18" i="142"/>
  <c r="D18" i="142"/>
  <c r="C18" i="142"/>
  <c r="AA17" i="142"/>
  <c r="Z17" i="142"/>
  <c r="Y17" i="142"/>
  <c r="X17" i="142"/>
  <c r="W17" i="142"/>
  <c r="V17" i="142"/>
  <c r="U17" i="142"/>
  <c r="T17" i="142"/>
  <c r="S17" i="142"/>
  <c r="R17" i="142"/>
  <c r="Q17" i="142"/>
  <c r="P17" i="142"/>
  <c r="O17" i="142"/>
  <c r="N17" i="142"/>
  <c r="M17" i="142"/>
  <c r="L17" i="142"/>
  <c r="K17" i="142"/>
  <c r="J17" i="142"/>
  <c r="I17" i="142"/>
  <c r="H17" i="142"/>
  <c r="G17" i="142"/>
  <c r="F17" i="142"/>
  <c r="E17" i="142"/>
  <c r="D17" i="142"/>
  <c r="C17" i="142"/>
  <c r="AA16" i="142"/>
  <c r="Z16" i="142"/>
  <c r="Y16" i="142"/>
  <c r="X16" i="142"/>
  <c r="W16" i="142"/>
  <c r="V16" i="142"/>
  <c r="U16" i="142"/>
  <c r="T16" i="142"/>
  <c r="S16" i="142"/>
  <c r="R16" i="142"/>
  <c r="Q16" i="142"/>
  <c r="P16" i="142"/>
  <c r="O16" i="142"/>
  <c r="N16" i="142"/>
  <c r="M16" i="142"/>
  <c r="L16" i="142"/>
  <c r="K16" i="142"/>
  <c r="J16" i="142"/>
  <c r="I16" i="142"/>
  <c r="H16" i="142"/>
  <c r="G16" i="142"/>
  <c r="F16" i="142"/>
  <c r="E16" i="142"/>
  <c r="D16" i="142"/>
  <c r="C16" i="142"/>
  <c r="C15" i="142"/>
  <c r="C14" i="142"/>
  <c r="C13" i="142"/>
  <c r="C12" i="142"/>
  <c r="J72" i="154"/>
  <c r="E68" i="154"/>
  <c r="N66" i="154"/>
  <c r="V65" i="154"/>
  <c r="S65" i="154"/>
  <c r="N65" i="154"/>
  <c r="M65" i="154"/>
  <c r="L65" i="154"/>
  <c r="K65" i="154"/>
  <c r="H65" i="154"/>
  <c r="C65" i="154"/>
  <c r="V64" i="154"/>
  <c r="S64" i="154"/>
  <c r="M64" i="154"/>
  <c r="L64" i="154"/>
  <c r="K64" i="154"/>
  <c r="H64" i="154"/>
  <c r="C64" i="154"/>
  <c r="V63" i="154"/>
  <c r="S63" i="154"/>
  <c r="M63" i="154"/>
  <c r="L63" i="154"/>
  <c r="K63" i="154"/>
  <c r="H63" i="154"/>
  <c r="C63" i="154"/>
  <c r="V62" i="154"/>
  <c r="S62" i="154"/>
  <c r="M62" i="154"/>
  <c r="L62" i="154"/>
  <c r="K62" i="154"/>
  <c r="H62" i="154"/>
  <c r="C62" i="154"/>
  <c r="V61" i="154"/>
  <c r="S61" i="154"/>
  <c r="M61" i="154"/>
  <c r="L61" i="154"/>
  <c r="K61" i="154"/>
  <c r="H61" i="154"/>
  <c r="C61" i="154"/>
  <c r="V60" i="154"/>
  <c r="S60" i="154"/>
  <c r="M60" i="154"/>
  <c r="L60" i="154"/>
  <c r="K60" i="154"/>
  <c r="H60" i="154"/>
  <c r="C60" i="154"/>
  <c r="X59" i="154"/>
  <c r="V59" i="154"/>
  <c r="S59" i="154"/>
  <c r="M59" i="154"/>
  <c r="L59" i="154"/>
  <c r="K59" i="154"/>
  <c r="H59" i="154"/>
  <c r="C59" i="154"/>
  <c r="Z58" i="154"/>
  <c r="X58" i="154"/>
  <c r="W58" i="154"/>
  <c r="V58" i="154"/>
  <c r="S58" i="154"/>
  <c r="M58" i="154"/>
  <c r="L58" i="154"/>
  <c r="K58" i="154"/>
  <c r="H58" i="154"/>
  <c r="C58" i="154"/>
  <c r="AA57" i="154"/>
  <c r="Z57" i="154"/>
  <c r="Y57" i="154"/>
  <c r="X57" i="154"/>
  <c r="W57" i="154"/>
  <c r="V57" i="154"/>
  <c r="U57" i="154"/>
  <c r="T57" i="154"/>
  <c r="S57" i="154"/>
  <c r="R57" i="154"/>
  <c r="Q57" i="154"/>
  <c r="P57" i="154"/>
  <c r="O57" i="154"/>
  <c r="N57" i="154"/>
  <c r="M57" i="154"/>
  <c r="L57" i="154"/>
  <c r="K57" i="154"/>
  <c r="J57" i="154"/>
  <c r="I57" i="154"/>
  <c r="H57" i="154"/>
  <c r="G57" i="154"/>
  <c r="F57" i="154"/>
  <c r="E57" i="154"/>
  <c r="D57" i="154"/>
  <c r="C57" i="154"/>
  <c r="X56" i="154"/>
  <c r="W56" i="154"/>
  <c r="V56" i="154"/>
  <c r="S56" i="154"/>
  <c r="M56" i="154"/>
  <c r="L56" i="154"/>
  <c r="K56" i="154"/>
  <c r="H56" i="154"/>
  <c r="C56" i="154"/>
  <c r="Z55" i="154"/>
  <c r="X55" i="154"/>
  <c r="W55" i="154"/>
  <c r="V55" i="154"/>
  <c r="S55" i="154"/>
  <c r="N55" i="154"/>
  <c r="M55" i="154"/>
  <c r="L55" i="154"/>
  <c r="K55" i="154"/>
  <c r="H55" i="154"/>
  <c r="C55" i="154"/>
  <c r="Z54" i="154"/>
  <c r="X54" i="154"/>
  <c r="W54" i="154"/>
  <c r="V54" i="154"/>
  <c r="S54" i="154"/>
  <c r="N54" i="154"/>
  <c r="M54" i="154"/>
  <c r="L54" i="154"/>
  <c r="K54" i="154"/>
  <c r="H54" i="154"/>
  <c r="C54" i="154"/>
  <c r="AA53" i="154"/>
  <c r="Z53" i="154"/>
  <c r="Y53" i="154"/>
  <c r="X53" i="154"/>
  <c r="W53" i="154"/>
  <c r="V53" i="154"/>
  <c r="U53" i="154"/>
  <c r="T53" i="154"/>
  <c r="S53" i="154"/>
  <c r="R53" i="154"/>
  <c r="Q53" i="154"/>
  <c r="P53" i="154"/>
  <c r="O53" i="154"/>
  <c r="N53" i="154"/>
  <c r="M53" i="154"/>
  <c r="L53" i="154"/>
  <c r="K53" i="154"/>
  <c r="J53" i="154"/>
  <c r="I53" i="154"/>
  <c r="H53" i="154"/>
  <c r="G53" i="154"/>
  <c r="F53" i="154"/>
  <c r="E53" i="154"/>
  <c r="D53" i="154"/>
  <c r="C53" i="154"/>
  <c r="X52" i="154"/>
  <c r="W52" i="154"/>
  <c r="V52" i="154"/>
  <c r="S52" i="154"/>
  <c r="N52" i="154"/>
  <c r="M52" i="154"/>
  <c r="L52" i="154"/>
  <c r="K52" i="154"/>
  <c r="H52" i="154"/>
  <c r="C52" i="154"/>
  <c r="X51" i="154"/>
  <c r="W51" i="154"/>
  <c r="V51" i="154"/>
  <c r="S51" i="154"/>
  <c r="N51" i="154"/>
  <c r="M51" i="154"/>
  <c r="L51" i="154"/>
  <c r="K51" i="154"/>
  <c r="H51" i="154"/>
  <c r="C51" i="154"/>
  <c r="Z50" i="154"/>
  <c r="X50" i="154"/>
  <c r="W50" i="154"/>
  <c r="V50" i="154"/>
  <c r="U50" i="154"/>
  <c r="S50" i="154"/>
  <c r="N50" i="154"/>
  <c r="M50" i="154"/>
  <c r="L50" i="154"/>
  <c r="K50" i="154"/>
  <c r="H50" i="154"/>
  <c r="C50" i="154"/>
  <c r="AA49" i="154"/>
  <c r="Z49" i="154"/>
  <c r="Y49" i="154"/>
  <c r="X49" i="154"/>
  <c r="W49" i="154"/>
  <c r="V49" i="154"/>
  <c r="U49" i="154"/>
  <c r="T49" i="154"/>
  <c r="S49" i="154"/>
  <c r="R49" i="154"/>
  <c r="Q49" i="154"/>
  <c r="P49" i="154"/>
  <c r="O49" i="154"/>
  <c r="N49" i="154"/>
  <c r="M49" i="154"/>
  <c r="L49" i="154"/>
  <c r="K49" i="154"/>
  <c r="J49" i="154"/>
  <c r="I49" i="154"/>
  <c r="H49" i="154"/>
  <c r="G49" i="154"/>
  <c r="F49" i="154"/>
  <c r="E49" i="154"/>
  <c r="D49" i="154"/>
  <c r="C49" i="154"/>
  <c r="X48" i="154"/>
  <c r="W48" i="154"/>
  <c r="V48" i="154"/>
  <c r="S48" i="154"/>
  <c r="N48" i="154"/>
  <c r="M48" i="154"/>
  <c r="L48" i="154"/>
  <c r="K48" i="154"/>
  <c r="H48" i="154"/>
  <c r="C48" i="154"/>
  <c r="X47" i="154"/>
  <c r="W47" i="154"/>
  <c r="V47" i="154"/>
  <c r="S47" i="154"/>
  <c r="N47" i="154"/>
  <c r="M47" i="154"/>
  <c r="L47" i="154"/>
  <c r="K47" i="154"/>
  <c r="H47" i="154"/>
  <c r="C47" i="154"/>
  <c r="Z46" i="154"/>
  <c r="X46" i="154"/>
  <c r="W46" i="154"/>
  <c r="V46" i="154"/>
  <c r="U46" i="154"/>
  <c r="S46" i="154"/>
  <c r="N46" i="154"/>
  <c r="M46" i="154"/>
  <c r="L46" i="154"/>
  <c r="K46" i="154"/>
  <c r="H46" i="154"/>
  <c r="C46" i="154"/>
  <c r="AA45" i="154"/>
  <c r="Z45" i="154"/>
  <c r="Y45" i="154"/>
  <c r="X45" i="154"/>
  <c r="W45" i="154"/>
  <c r="V45" i="154"/>
  <c r="U45" i="154"/>
  <c r="T45" i="154"/>
  <c r="S45" i="154"/>
  <c r="R45" i="154"/>
  <c r="Q45" i="154"/>
  <c r="P45" i="154"/>
  <c r="O45" i="154"/>
  <c r="N45" i="154"/>
  <c r="M45" i="154"/>
  <c r="L45" i="154"/>
  <c r="K45" i="154"/>
  <c r="J45" i="154"/>
  <c r="I45" i="154"/>
  <c r="H45" i="154"/>
  <c r="G45" i="154"/>
  <c r="F45" i="154"/>
  <c r="E45" i="154"/>
  <c r="D45" i="154"/>
  <c r="C45" i="154"/>
  <c r="X44" i="154"/>
  <c r="W44" i="154"/>
  <c r="V44" i="154"/>
  <c r="S44" i="154"/>
  <c r="N44" i="154"/>
  <c r="M44" i="154"/>
  <c r="L44" i="154"/>
  <c r="K44" i="154"/>
  <c r="H44" i="154"/>
  <c r="C44" i="154"/>
  <c r="X43" i="154"/>
  <c r="W43" i="154"/>
  <c r="V43" i="154"/>
  <c r="S43" i="154"/>
  <c r="N43" i="154"/>
  <c r="M43" i="154"/>
  <c r="L43" i="154"/>
  <c r="K43" i="154"/>
  <c r="H43" i="154"/>
  <c r="C43" i="154"/>
  <c r="Z42" i="154"/>
  <c r="X42" i="154"/>
  <c r="W42" i="154"/>
  <c r="V42" i="154"/>
  <c r="U42" i="154"/>
  <c r="S42" i="154"/>
  <c r="N42" i="154"/>
  <c r="M42" i="154"/>
  <c r="L42" i="154"/>
  <c r="K42" i="154"/>
  <c r="H42" i="154"/>
  <c r="C42" i="154"/>
  <c r="AA41" i="154"/>
  <c r="Z41" i="154"/>
  <c r="Y41" i="154"/>
  <c r="X41" i="154"/>
  <c r="W41" i="154"/>
  <c r="V41" i="154"/>
  <c r="U41" i="154"/>
  <c r="T41" i="154"/>
  <c r="S41" i="154"/>
  <c r="R41" i="154"/>
  <c r="Q41" i="154"/>
  <c r="P41" i="154"/>
  <c r="O41" i="154"/>
  <c r="N41" i="154"/>
  <c r="M41" i="154"/>
  <c r="L41" i="154"/>
  <c r="K41" i="154"/>
  <c r="J41" i="154"/>
  <c r="I41" i="154"/>
  <c r="H41" i="154"/>
  <c r="G41" i="154"/>
  <c r="F41" i="154"/>
  <c r="E41" i="154"/>
  <c r="D41" i="154"/>
  <c r="C41" i="154"/>
  <c r="X40" i="154"/>
  <c r="W40" i="154"/>
  <c r="V40" i="154"/>
  <c r="S40" i="154"/>
  <c r="N40" i="154"/>
  <c r="M40" i="154"/>
  <c r="L40" i="154"/>
  <c r="K40" i="154"/>
  <c r="H40" i="154"/>
  <c r="C40" i="154"/>
  <c r="X39" i="154"/>
  <c r="W39" i="154"/>
  <c r="V39" i="154"/>
  <c r="S39" i="154"/>
  <c r="N39" i="154"/>
  <c r="M39" i="154"/>
  <c r="L39" i="154"/>
  <c r="K39" i="154"/>
  <c r="H39" i="154"/>
  <c r="C39" i="154"/>
  <c r="X38" i="154"/>
  <c r="W38" i="154"/>
  <c r="V38" i="154"/>
  <c r="S38" i="154"/>
  <c r="N38" i="154"/>
  <c r="M38" i="154"/>
  <c r="L38" i="154"/>
  <c r="K38" i="154"/>
  <c r="H38" i="154"/>
  <c r="C38" i="154"/>
  <c r="AA37" i="154"/>
  <c r="Z37" i="154"/>
  <c r="Y37" i="154"/>
  <c r="X37" i="154"/>
  <c r="W37" i="154"/>
  <c r="V37" i="154"/>
  <c r="U37" i="154"/>
  <c r="T37" i="154"/>
  <c r="S37" i="154"/>
  <c r="R37" i="154"/>
  <c r="Q37" i="154"/>
  <c r="P37" i="154"/>
  <c r="O37" i="154"/>
  <c r="N37" i="154"/>
  <c r="M37" i="154"/>
  <c r="L37" i="154"/>
  <c r="K37" i="154"/>
  <c r="J37" i="154"/>
  <c r="I37" i="154"/>
  <c r="H37" i="154"/>
  <c r="G37" i="154"/>
  <c r="F37" i="154"/>
  <c r="E37" i="154"/>
  <c r="D37" i="154"/>
  <c r="C37" i="154"/>
  <c r="X36" i="154"/>
  <c r="W36" i="154"/>
  <c r="V36" i="154"/>
  <c r="S36" i="154"/>
  <c r="N36" i="154"/>
  <c r="M36" i="154"/>
  <c r="L36" i="154"/>
  <c r="K36" i="154"/>
  <c r="H36" i="154"/>
  <c r="C36" i="154"/>
  <c r="X35" i="154"/>
  <c r="W35" i="154"/>
  <c r="V35" i="154"/>
  <c r="S35" i="154"/>
  <c r="N35" i="154"/>
  <c r="M35" i="154"/>
  <c r="L35" i="154"/>
  <c r="K35" i="154"/>
  <c r="H35" i="154"/>
  <c r="C35" i="154"/>
  <c r="X34" i="154"/>
  <c r="W34" i="154"/>
  <c r="V34" i="154"/>
  <c r="S34" i="154"/>
  <c r="N34" i="154"/>
  <c r="M34" i="154"/>
  <c r="L34" i="154"/>
  <c r="K34" i="154"/>
  <c r="H34" i="154"/>
  <c r="C34" i="154"/>
  <c r="AA33" i="154"/>
  <c r="Z33" i="154"/>
  <c r="Y33" i="154"/>
  <c r="X33" i="154"/>
  <c r="W33" i="154"/>
  <c r="V33" i="154"/>
  <c r="U33" i="154"/>
  <c r="T33" i="154"/>
  <c r="S33" i="154"/>
  <c r="R33" i="154"/>
  <c r="Q33" i="154"/>
  <c r="P33" i="154"/>
  <c r="O33" i="154"/>
  <c r="N33" i="154"/>
  <c r="M33" i="154"/>
  <c r="L33" i="154"/>
  <c r="K33" i="154"/>
  <c r="J33" i="154"/>
  <c r="I33" i="154"/>
  <c r="H33" i="154"/>
  <c r="G33" i="154"/>
  <c r="F33" i="154"/>
  <c r="E33" i="154"/>
  <c r="D33" i="154"/>
  <c r="C33" i="154"/>
  <c r="X32" i="154"/>
  <c r="W32" i="154"/>
  <c r="V32" i="154"/>
  <c r="S32" i="154"/>
  <c r="N32" i="154"/>
  <c r="M32" i="154"/>
  <c r="L32" i="154"/>
  <c r="K32" i="154"/>
  <c r="H32" i="154"/>
  <c r="C32" i="154"/>
  <c r="X31" i="154"/>
  <c r="W31" i="154"/>
  <c r="V31" i="154"/>
  <c r="S31" i="154"/>
  <c r="N31" i="154"/>
  <c r="M31" i="154"/>
  <c r="L31" i="154"/>
  <c r="K31" i="154"/>
  <c r="H31" i="154"/>
  <c r="C31" i="154"/>
  <c r="Z30" i="154"/>
  <c r="X30" i="154"/>
  <c r="W30" i="154"/>
  <c r="V30" i="154"/>
  <c r="U30" i="154"/>
  <c r="S30" i="154"/>
  <c r="N30" i="154"/>
  <c r="M30" i="154"/>
  <c r="L30" i="154"/>
  <c r="K30" i="154"/>
  <c r="H30" i="154"/>
  <c r="C30" i="154"/>
  <c r="AA29" i="154"/>
  <c r="Z29" i="154"/>
  <c r="Y29" i="154"/>
  <c r="X29" i="154"/>
  <c r="W29" i="154"/>
  <c r="V29" i="154"/>
  <c r="U29" i="154"/>
  <c r="T29" i="154"/>
  <c r="S29" i="154"/>
  <c r="R29" i="154"/>
  <c r="Q29" i="154"/>
  <c r="P29" i="154"/>
  <c r="O29" i="154"/>
  <c r="N29" i="154"/>
  <c r="M29" i="154"/>
  <c r="L29" i="154"/>
  <c r="K29" i="154"/>
  <c r="J29" i="154"/>
  <c r="I29" i="154"/>
  <c r="H29" i="154"/>
  <c r="G29" i="154"/>
  <c r="F29" i="154"/>
  <c r="E29" i="154"/>
  <c r="D29" i="154"/>
  <c r="C29" i="154"/>
  <c r="X28" i="154"/>
  <c r="W28" i="154"/>
  <c r="V28" i="154"/>
  <c r="S28" i="154"/>
  <c r="M28" i="154"/>
  <c r="L28" i="154"/>
  <c r="K28" i="154"/>
  <c r="H28" i="154"/>
  <c r="C28" i="154"/>
  <c r="X27" i="154"/>
  <c r="W27" i="154"/>
  <c r="V27" i="154"/>
  <c r="S27" i="154"/>
  <c r="M27" i="154"/>
  <c r="L27" i="154"/>
  <c r="K27" i="154"/>
  <c r="H27" i="154"/>
  <c r="C27" i="154"/>
  <c r="Z26" i="154"/>
  <c r="X26" i="154"/>
  <c r="W26" i="154"/>
  <c r="V26" i="154"/>
  <c r="U26" i="154"/>
  <c r="S26" i="154"/>
  <c r="N26" i="154"/>
  <c r="M26" i="154"/>
  <c r="L26" i="154"/>
  <c r="K26" i="154"/>
  <c r="H26" i="154"/>
  <c r="C26" i="154"/>
  <c r="AA25" i="154"/>
  <c r="Z25" i="154"/>
  <c r="Y25" i="154"/>
  <c r="X25" i="154"/>
  <c r="W25" i="154"/>
  <c r="V25" i="154"/>
  <c r="U25" i="154"/>
  <c r="T25" i="154"/>
  <c r="S25" i="154"/>
  <c r="R25" i="154"/>
  <c r="Q25" i="154"/>
  <c r="P25" i="154"/>
  <c r="O25" i="154"/>
  <c r="N25" i="154"/>
  <c r="M25" i="154"/>
  <c r="L25" i="154"/>
  <c r="K25" i="154"/>
  <c r="J25" i="154"/>
  <c r="I25" i="154"/>
  <c r="H25" i="154"/>
  <c r="G25" i="154"/>
  <c r="F25" i="154"/>
  <c r="E25" i="154"/>
  <c r="D25" i="154"/>
  <c r="C25" i="154"/>
  <c r="Z24" i="154"/>
  <c r="X24" i="154"/>
  <c r="W24" i="154"/>
  <c r="V24" i="154"/>
  <c r="S24" i="154"/>
  <c r="N24" i="154"/>
  <c r="M24" i="154"/>
  <c r="L24" i="154"/>
  <c r="K24" i="154"/>
  <c r="H24" i="154"/>
  <c r="C24" i="154"/>
  <c r="Z23" i="154"/>
  <c r="X23" i="154"/>
  <c r="W23" i="154"/>
  <c r="V23" i="154"/>
  <c r="S23" i="154"/>
  <c r="N23" i="154"/>
  <c r="M23" i="154"/>
  <c r="L23" i="154"/>
  <c r="K23" i="154"/>
  <c r="H23" i="154"/>
  <c r="C23" i="154"/>
  <c r="Z22" i="154"/>
  <c r="X22" i="154"/>
  <c r="W22" i="154"/>
  <c r="V22" i="154"/>
  <c r="U22" i="154"/>
  <c r="S22" i="154"/>
  <c r="N22" i="154"/>
  <c r="M22" i="154"/>
  <c r="L22" i="154"/>
  <c r="K22" i="154"/>
  <c r="H22" i="154"/>
  <c r="F22" i="154"/>
  <c r="C22" i="154"/>
  <c r="AA21" i="154"/>
  <c r="Z21" i="154"/>
  <c r="Y21" i="154"/>
  <c r="X21" i="154"/>
  <c r="W21" i="154"/>
  <c r="V21" i="154"/>
  <c r="U21" i="154"/>
  <c r="T21" i="154"/>
  <c r="S21" i="154"/>
  <c r="R21" i="154"/>
  <c r="Q21" i="154"/>
  <c r="P21" i="154"/>
  <c r="O21" i="154"/>
  <c r="N21" i="154"/>
  <c r="M21" i="154"/>
  <c r="L21" i="154"/>
  <c r="K21" i="154"/>
  <c r="J21" i="154"/>
  <c r="I21" i="154"/>
  <c r="H21" i="154"/>
  <c r="G21" i="154"/>
  <c r="F21" i="154"/>
  <c r="E21" i="154"/>
  <c r="D21" i="154"/>
  <c r="C21" i="154"/>
  <c r="X20" i="154"/>
  <c r="W20" i="154"/>
  <c r="V20" i="154"/>
  <c r="S20" i="154"/>
  <c r="N20" i="154"/>
  <c r="M20" i="154"/>
  <c r="L20" i="154"/>
  <c r="K20" i="154"/>
  <c r="H20" i="154"/>
  <c r="C20" i="154"/>
  <c r="Z19" i="154"/>
  <c r="X19" i="154"/>
  <c r="W19" i="154"/>
  <c r="V19" i="154"/>
  <c r="S19" i="154"/>
  <c r="N19" i="154"/>
  <c r="M19" i="154"/>
  <c r="L19" i="154"/>
  <c r="K19" i="154"/>
  <c r="H19" i="154"/>
  <c r="X18" i="154"/>
  <c r="W18" i="154"/>
  <c r="V18" i="154"/>
  <c r="S18" i="154"/>
  <c r="N18" i="154"/>
  <c r="M18" i="154"/>
  <c r="L18" i="154"/>
  <c r="K18" i="154"/>
  <c r="H18" i="154"/>
  <c r="C18" i="154"/>
  <c r="X17" i="154"/>
  <c r="W17" i="154"/>
  <c r="V17" i="154"/>
  <c r="S17" i="154"/>
  <c r="N17" i="154"/>
  <c r="M17" i="154"/>
  <c r="L17" i="154"/>
  <c r="K17" i="154"/>
  <c r="H17" i="154"/>
  <c r="C17" i="154"/>
  <c r="AA16" i="154"/>
  <c r="Z16" i="154"/>
  <c r="Y16" i="154"/>
  <c r="X16" i="154"/>
  <c r="W16" i="154"/>
  <c r="V16" i="154"/>
  <c r="U16" i="154"/>
  <c r="T16" i="154"/>
  <c r="S16" i="154"/>
  <c r="R16" i="154"/>
  <c r="Q16" i="154"/>
  <c r="P16" i="154"/>
  <c r="O16" i="154"/>
  <c r="N16" i="154"/>
  <c r="M16" i="154"/>
  <c r="L16" i="154"/>
  <c r="K16" i="154"/>
  <c r="J16" i="154"/>
  <c r="I16" i="154"/>
  <c r="H16" i="154"/>
  <c r="G16" i="154"/>
  <c r="F16" i="154"/>
  <c r="E16" i="154"/>
  <c r="D16" i="154"/>
  <c r="C16" i="154"/>
  <c r="Z15" i="154"/>
  <c r="Y15" i="154"/>
  <c r="X15" i="154"/>
  <c r="W15" i="154"/>
  <c r="V15" i="154"/>
  <c r="U15" i="154"/>
  <c r="T15" i="154"/>
  <c r="S15" i="154"/>
  <c r="R15" i="154"/>
  <c r="Q15" i="154"/>
  <c r="P15" i="154"/>
  <c r="O15" i="154"/>
  <c r="N15" i="154"/>
  <c r="M15" i="154"/>
  <c r="L15" i="154"/>
  <c r="K15" i="154"/>
  <c r="J15" i="154"/>
  <c r="I15" i="154"/>
  <c r="H15" i="154"/>
  <c r="G15" i="154"/>
  <c r="F15" i="154"/>
  <c r="E15" i="154"/>
  <c r="D15" i="154"/>
  <c r="C15" i="154"/>
  <c r="Z14" i="154"/>
  <c r="Y14" i="154"/>
  <c r="X14" i="154"/>
  <c r="W14" i="154"/>
  <c r="V14" i="154"/>
  <c r="U14" i="154"/>
  <c r="T14" i="154"/>
  <c r="S14" i="154"/>
  <c r="Q14" i="154"/>
  <c r="P14" i="154"/>
  <c r="O14" i="154"/>
  <c r="N14" i="154"/>
  <c r="M14" i="154"/>
  <c r="L14" i="154"/>
  <c r="K14" i="154"/>
  <c r="J14" i="154"/>
  <c r="I14" i="154"/>
  <c r="H14" i="154"/>
  <c r="G14" i="154"/>
  <c r="F14" i="154"/>
  <c r="E14" i="154"/>
  <c r="D14" i="154"/>
  <c r="C14" i="154"/>
  <c r="AA13" i="154"/>
  <c r="Z13" i="154"/>
  <c r="Y13" i="154"/>
  <c r="X13" i="154"/>
  <c r="W13" i="154"/>
  <c r="V13" i="154"/>
  <c r="U13" i="154"/>
  <c r="S13" i="154"/>
  <c r="R13" i="154"/>
  <c r="Q13" i="154"/>
  <c r="P13" i="154"/>
  <c r="O13" i="154"/>
  <c r="N13" i="154"/>
  <c r="M13" i="154"/>
  <c r="L13" i="154"/>
  <c r="K13" i="154"/>
  <c r="J13" i="154"/>
  <c r="I13" i="154"/>
  <c r="H13" i="154"/>
  <c r="G13" i="154"/>
  <c r="F13" i="154"/>
  <c r="E13" i="154"/>
  <c r="D13" i="154"/>
  <c r="C13" i="154"/>
  <c r="Z12" i="154"/>
  <c r="Y12" i="154"/>
  <c r="X12" i="154"/>
  <c r="W12" i="154"/>
  <c r="V12" i="154"/>
  <c r="U12" i="154"/>
  <c r="T12" i="154"/>
  <c r="S12" i="154"/>
  <c r="R12" i="154"/>
  <c r="Q12" i="154"/>
  <c r="P12" i="154"/>
  <c r="O12" i="154"/>
  <c r="N12" i="154"/>
  <c r="M12" i="154"/>
  <c r="L12" i="154"/>
  <c r="K12" i="154"/>
  <c r="J12" i="154"/>
  <c r="I12" i="154"/>
  <c r="H12" i="154"/>
  <c r="G12" i="154"/>
  <c r="F12" i="154"/>
  <c r="E12" i="154"/>
  <c r="D12" i="154"/>
  <c r="C12" i="154"/>
  <c r="Z11" i="154"/>
  <c r="Y11" i="154"/>
  <c r="X11" i="154"/>
  <c r="W11" i="154"/>
  <c r="V11" i="154"/>
  <c r="U11" i="154"/>
  <c r="T11" i="154"/>
  <c r="S11" i="154"/>
  <c r="R11" i="154"/>
  <c r="Q11" i="154"/>
  <c r="P11" i="154"/>
  <c r="O11" i="154"/>
  <c r="N11" i="154"/>
  <c r="M11" i="154"/>
  <c r="L11" i="154"/>
  <c r="K11" i="154"/>
  <c r="J11" i="154"/>
  <c r="I11" i="154"/>
  <c r="H11" i="154"/>
  <c r="G11" i="154"/>
  <c r="F11" i="154"/>
  <c r="E11" i="154"/>
  <c r="D11" i="154"/>
  <c r="C11" i="154"/>
  <c r="Z10" i="154"/>
  <c r="Y10" i="154"/>
  <c r="X10" i="154"/>
  <c r="W10" i="154"/>
  <c r="V10" i="154"/>
  <c r="U10" i="154"/>
  <c r="T10" i="154"/>
  <c r="S10" i="154"/>
  <c r="R10" i="154"/>
  <c r="Q10" i="154"/>
  <c r="P10" i="154"/>
  <c r="O10" i="154"/>
  <c r="N10" i="154"/>
  <c r="M10" i="154"/>
  <c r="L10" i="154"/>
  <c r="K10" i="154"/>
  <c r="J10" i="154"/>
  <c r="I10" i="154"/>
  <c r="H10" i="154"/>
  <c r="G10" i="154"/>
  <c r="F10" i="154"/>
  <c r="E10" i="154"/>
  <c r="D10" i="154"/>
  <c r="C10" i="154"/>
  <c r="Z9" i="154"/>
  <c r="Y9" i="154"/>
  <c r="X9" i="154"/>
  <c r="W9" i="154"/>
  <c r="V9" i="154"/>
  <c r="U9" i="154"/>
  <c r="T9" i="154"/>
  <c r="S9" i="154"/>
  <c r="R9" i="154"/>
  <c r="Q9" i="154"/>
  <c r="P9" i="154"/>
  <c r="O9" i="154"/>
  <c r="N9" i="154"/>
  <c r="M9" i="154"/>
  <c r="L9" i="154"/>
  <c r="K9" i="154"/>
  <c r="J9" i="154"/>
  <c r="I9" i="154"/>
  <c r="H9" i="154"/>
  <c r="G9" i="154"/>
  <c r="F9" i="154"/>
  <c r="E9" i="154"/>
  <c r="D9" i="154"/>
  <c r="C9" i="154"/>
  <c r="D1" i="154"/>
  <c r="G103" i="157"/>
  <c r="G101" i="157"/>
  <c r="P88" i="157"/>
  <c r="H88" i="157"/>
  <c r="P87" i="157"/>
  <c r="H87" i="157"/>
  <c r="P86" i="157"/>
  <c r="H86" i="157"/>
  <c r="P85" i="157"/>
  <c r="H85" i="157"/>
  <c r="P84" i="157"/>
  <c r="H84" i="157"/>
  <c r="P83" i="157"/>
  <c r="H83" i="157"/>
  <c r="P82" i="157"/>
  <c r="H82" i="157"/>
  <c r="P81" i="157"/>
  <c r="H81" i="157"/>
  <c r="P80" i="157"/>
  <c r="H80" i="157"/>
  <c r="P79" i="157"/>
  <c r="H79" i="157"/>
  <c r="P78" i="157"/>
  <c r="H78" i="157"/>
  <c r="P77" i="157"/>
  <c r="H77" i="157"/>
  <c r="P76" i="157"/>
  <c r="H76" i="157"/>
  <c r="P75" i="157"/>
  <c r="H75" i="157"/>
  <c r="P74" i="157"/>
  <c r="H74" i="157"/>
  <c r="P73" i="157"/>
  <c r="H73" i="157"/>
  <c r="P72" i="157"/>
  <c r="H72" i="157"/>
  <c r="P71" i="157"/>
  <c r="H71" i="157"/>
  <c r="P70" i="157"/>
  <c r="H70" i="157"/>
  <c r="P69" i="157"/>
  <c r="H69" i="157"/>
  <c r="S68" i="157"/>
  <c r="P68" i="157"/>
  <c r="H68" i="157"/>
  <c r="P67" i="157"/>
  <c r="H67" i="157"/>
  <c r="P66" i="157"/>
  <c r="H66" i="157"/>
  <c r="Q65" i="157"/>
  <c r="P65" i="157"/>
  <c r="M65" i="157"/>
  <c r="J65" i="157"/>
  <c r="I65" i="157"/>
  <c r="H65" i="157"/>
  <c r="P64" i="157"/>
  <c r="H64" i="157"/>
  <c r="P63" i="157"/>
  <c r="H63" i="157"/>
  <c r="P62" i="157"/>
  <c r="H62" i="157"/>
  <c r="P61" i="157"/>
  <c r="H61" i="157"/>
  <c r="P60" i="157"/>
  <c r="H60" i="157"/>
  <c r="P59" i="157"/>
  <c r="H59" i="157"/>
  <c r="P58" i="157"/>
  <c r="H58" i="157"/>
  <c r="P57" i="157"/>
  <c r="H57" i="157"/>
  <c r="P56" i="157"/>
  <c r="H56" i="157"/>
  <c r="P55" i="157"/>
  <c r="H55" i="157"/>
  <c r="P54" i="157"/>
  <c r="H54" i="157"/>
  <c r="P53" i="157"/>
  <c r="H53" i="157"/>
  <c r="P52" i="157"/>
  <c r="H52" i="157"/>
  <c r="P51" i="157"/>
  <c r="H51" i="157"/>
  <c r="P50" i="157"/>
  <c r="H50" i="157"/>
  <c r="P49" i="157"/>
  <c r="H49" i="157"/>
  <c r="P48" i="157"/>
  <c r="H48" i="157"/>
  <c r="P47" i="157"/>
  <c r="H47" i="157"/>
  <c r="P46" i="157"/>
  <c r="H46" i="157"/>
  <c r="P45" i="157"/>
  <c r="H45" i="157"/>
  <c r="P44" i="157"/>
  <c r="H44" i="157"/>
  <c r="G44" i="157"/>
  <c r="P43" i="157"/>
  <c r="H43" i="157"/>
  <c r="P42" i="157"/>
  <c r="H42" i="157"/>
  <c r="P41" i="157"/>
  <c r="H41" i="157"/>
  <c r="P40" i="157"/>
  <c r="H40" i="157"/>
  <c r="P39" i="157"/>
  <c r="H39" i="157"/>
  <c r="P38" i="157"/>
  <c r="H38" i="157"/>
  <c r="P37" i="157"/>
  <c r="H37" i="157"/>
  <c r="P36" i="157"/>
  <c r="H36" i="157"/>
  <c r="P35" i="157"/>
  <c r="H35" i="157"/>
  <c r="P34" i="157"/>
  <c r="H34" i="157"/>
  <c r="P33" i="157"/>
  <c r="H33" i="157"/>
  <c r="P32" i="157"/>
  <c r="H32" i="157"/>
  <c r="P31" i="157"/>
  <c r="H31" i="157"/>
  <c r="P30" i="157"/>
  <c r="H30" i="157"/>
  <c r="P29" i="157"/>
  <c r="H29" i="157"/>
  <c r="P28" i="157"/>
  <c r="H28" i="157"/>
  <c r="P27" i="157"/>
  <c r="H27" i="157"/>
  <c r="P26" i="157"/>
  <c r="H26" i="157"/>
  <c r="P25" i="157"/>
  <c r="H25" i="157"/>
  <c r="P24" i="157"/>
  <c r="H24" i="157"/>
  <c r="P23" i="157"/>
  <c r="H23" i="157"/>
  <c r="P22" i="157"/>
  <c r="H22" i="157"/>
  <c r="P21" i="157"/>
  <c r="H21" i="157"/>
  <c r="P20" i="157"/>
  <c r="H20" i="157"/>
  <c r="P19" i="157"/>
  <c r="H19" i="157"/>
  <c r="P18" i="157"/>
  <c r="H18" i="157"/>
  <c r="P17" i="157"/>
  <c r="H17" i="157"/>
  <c r="P16" i="157"/>
  <c r="H16" i="157"/>
  <c r="P15" i="157"/>
  <c r="H15" i="157"/>
  <c r="P14" i="157"/>
  <c r="H14" i="157"/>
  <c r="P13" i="157"/>
  <c r="H13" i="157"/>
  <c r="P12" i="157"/>
  <c r="H12" i="157"/>
  <c r="G12" i="157"/>
  <c r="P11" i="157"/>
  <c r="H11" i="157"/>
  <c r="P10" i="157"/>
  <c r="H10" i="157"/>
  <c r="G10" i="157"/>
  <c r="H9" i="157"/>
  <c r="G9" i="157"/>
  <c r="H5" i="157"/>
  <c r="H93" i="158"/>
  <c r="G93" i="158"/>
  <c r="F93" i="158"/>
  <c r="E93" i="158"/>
  <c r="D93" i="158"/>
  <c r="C93" i="158"/>
  <c r="F91" i="158"/>
  <c r="F90" i="158"/>
  <c r="I76" i="158"/>
  <c r="F76" i="158"/>
  <c r="C76" i="158"/>
  <c r="K75" i="158"/>
  <c r="J75" i="158"/>
  <c r="I75" i="158"/>
  <c r="F75" i="158"/>
  <c r="C75" i="158"/>
  <c r="K74" i="158"/>
  <c r="J74" i="158"/>
  <c r="I74" i="158"/>
  <c r="F74" i="158"/>
  <c r="C74" i="158"/>
  <c r="K73" i="158"/>
  <c r="J73" i="158"/>
  <c r="I73" i="158"/>
  <c r="F73" i="158"/>
  <c r="C73" i="158"/>
  <c r="K72" i="158"/>
  <c r="J72" i="158"/>
  <c r="I72" i="158"/>
  <c r="H72" i="158"/>
  <c r="G72" i="158"/>
  <c r="F72" i="158"/>
  <c r="E72" i="158"/>
  <c r="D72" i="158"/>
  <c r="C72" i="158"/>
  <c r="K71" i="158"/>
  <c r="J71" i="158"/>
  <c r="I71" i="158"/>
  <c r="F71" i="158"/>
  <c r="C71" i="158"/>
  <c r="K70" i="158"/>
  <c r="J70" i="158"/>
  <c r="I70" i="158"/>
  <c r="H70" i="158"/>
  <c r="G70" i="158"/>
  <c r="F70" i="158"/>
  <c r="E70" i="158"/>
  <c r="D70" i="158"/>
  <c r="C70" i="158"/>
  <c r="H67" i="158"/>
  <c r="F67" i="158"/>
  <c r="C67" i="158"/>
  <c r="C66" i="158"/>
  <c r="K65" i="158"/>
  <c r="J65" i="158"/>
  <c r="I65" i="158"/>
  <c r="H65" i="158"/>
  <c r="G65" i="158"/>
  <c r="F65" i="158"/>
  <c r="E65" i="158"/>
  <c r="D65" i="158"/>
  <c r="C65" i="158"/>
  <c r="K64" i="158"/>
  <c r="J64" i="158"/>
  <c r="I64" i="158"/>
  <c r="F64" i="158"/>
  <c r="C64" i="158"/>
  <c r="K63" i="158"/>
  <c r="J63" i="158"/>
  <c r="I63" i="158"/>
  <c r="F63" i="158"/>
  <c r="C63" i="158"/>
  <c r="K62" i="158"/>
  <c r="J62" i="158"/>
  <c r="I62" i="158"/>
  <c r="H62" i="158"/>
  <c r="G62" i="158"/>
  <c r="F62" i="158"/>
  <c r="E62" i="158"/>
  <c r="D62" i="158"/>
  <c r="C62" i="158"/>
  <c r="K61" i="158"/>
  <c r="J61" i="158"/>
  <c r="I61" i="158"/>
  <c r="F61" i="158"/>
  <c r="C61" i="158"/>
  <c r="K60" i="158"/>
  <c r="J60" i="158"/>
  <c r="I60" i="158"/>
  <c r="F60" i="158"/>
  <c r="C60" i="158"/>
  <c r="K59" i="158"/>
  <c r="J59" i="158"/>
  <c r="I59" i="158"/>
  <c r="G59" i="158"/>
  <c r="L58" i="158"/>
  <c r="K58" i="158"/>
  <c r="J58" i="158"/>
  <c r="I58" i="158"/>
  <c r="H58" i="158"/>
  <c r="G58" i="158"/>
  <c r="F58" i="158"/>
  <c r="E58" i="158"/>
  <c r="D58" i="158"/>
  <c r="C58" i="158"/>
  <c r="K57" i="158"/>
  <c r="J57" i="158"/>
  <c r="I57" i="158"/>
  <c r="F57" i="158"/>
  <c r="C57" i="158"/>
  <c r="K56" i="158"/>
  <c r="J56" i="158"/>
  <c r="I56" i="158"/>
  <c r="H56" i="158"/>
  <c r="G56" i="158"/>
  <c r="F56" i="158"/>
  <c r="E56" i="158"/>
  <c r="D56" i="158"/>
  <c r="C56" i="158"/>
  <c r="K55" i="158"/>
  <c r="J55" i="158"/>
  <c r="I55" i="158"/>
  <c r="F55" i="158"/>
  <c r="E55" i="158"/>
  <c r="C55" i="158"/>
  <c r="K54" i="158"/>
  <c r="J54" i="158"/>
  <c r="I54" i="158"/>
  <c r="H54" i="158"/>
  <c r="G54" i="158"/>
  <c r="F54" i="158"/>
  <c r="E54" i="158"/>
  <c r="D54" i="158"/>
  <c r="C54" i="158"/>
  <c r="K53" i="158"/>
  <c r="J53" i="158"/>
  <c r="I53" i="158"/>
  <c r="H53" i="158"/>
  <c r="G53" i="158"/>
  <c r="F53" i="158"/>
  <c r="E53" i="158"/>
  <c r="D53" i="158"/>
  <c r="C53" i="158"/>
  <c r="K52" i="158"/>
  <c r="J52" i="158"/>
  <c r="I52" i="158"/>
  <c r="F52" i="158"/>
  <c r="C52" i="158"/>
  <c r="K51" i="158"/>
  <c r="J51" i="158"/>
  <c r="I51" i="158"/>
  <c r="F51" i="158"/>
  <c r="C51" i="158"/>
  <c r="K50" i="158"/>
  <c r="J50" i="158"/>
  <c r="I50" i="158"/>
  <c r="F50" i="158"/>
  <c r="C50" i="158"/>
  <c r="K49" i="158"/>
  <c r="J49" i="158"/>
  <c r="I49" i="158"/>
  <c r="F49" i="158"/>
  <c r="C49" i="158"/>
  <c r="K48" i="158"/>
  <c r="J48" i="158"/>
  <c r="I48" i="158"/>
  <c r="F48" i="158"/>
  <c r="C48" i="158"/>
  <c r="K47" i="158"/>
  <c r="J47" i="158"/>
  <c r="I47" i="158"/>
  <c r="F47" i="158"/>
  <c r="C47" i="158"/>
  <c r="K46" i="158"/>
  <c r="J46" i="158"/>
  <c r="I46" i="158"/>
  <c r="F46" i="158"/>
  <c r="C46" i="158"/>
  <c r="K45" i="158"/>
  <c r="J45" i="158"/>
  <c r="I45" i="158"/>
  <c r="F45" i="158"/>
  <c r="C45" i="158"/>
  <c r="K44" i="158"/>
  <c r="J44" i="158"/>
  <c r="I44" i="158"/>
  <c r="F44" i="158"/>
  <c r="C44" i="158"/>
  <c r="K43" i="158"/>
  <c r="J43" i="158"/>
  <c r="I43" i="158"/>
  <c r="F43" i="158"/>
  <c r="C43" i="158"/>
  <c r="K42" i="158"/>
  <c r="J42" i="158"/>
  <c r="I42" i="158"/>
  <c r="F42" i="158"/>
  <c r="C42" i="158"/>
  <c r="K41" i="158"/>
  <c r="J41" i="158"/>
  <c r="I41" i="158"/>
  <c r="F41" i="158"/>
  <c r="C41" i="158"/>
  <c r="K40" i="158"/>
  <c r="J40" i="158"/>
  <c r="I40" i="158"/>
  <c r="F40" i="158"/>
  <c r="C40" i="158"/>
  <c r="K39" i="158"/>
  <c r="J39" i="158"/>
  <c r="I39" i="158"/>
  <c r="F39" i="158"/>
  <c r="C39" i="158"/>
  <c r="K38" i="158"/>
  <c r="J38" i="158"/>
  <c r="I38" i="158"/>
  <c r="F38" i="158"/>
  <c r="C38" i="158"/>
  <c r="K37" i="158"/>
  <c r="J37" i="158"/>
  <c r="I37" i="158"/>
  <c r="G37" i="158"/>
  <c r="F37" i="158"/>
  <c r="C37" i="158"/>
  <c r="K36" i="158"/>
  <c r="J36" i="158"/>
  <c r="I36" i="158"/>
  <c r="F36" i="158"/>
  <c r="C36" i="158"/>
  <c r="K35" i="158"/>
  <c r="J35" i="158"/>
  <c r="I35" i="158"/>
  <c r="F35" i="158"/>
  <c r="C35" i="158"/>
  <c r="K34" i="158"/>
  <c r="J34" i="158"/>
  <c r="I34" i="158"/>
  <c r="F34" i="158"/>
  <c r="C34" i="158"/>
  <c r="K33" i="158"/>
  <c r="J33" i="158"/>
  <c r="I33" i="158"/>
  <c r="F33" i="158"/>
  <c r="C33" i="158"/>
  <c r="K32" i="158"/>
  <c r="J32" i="158"/>
  <c r="I32" i="158"/>
  <c r="G32" i="158"/>
  <c r="F32" i="158"/>
  <c r="C32" i="158"/>
  <c r="K31" i="158"/>
  <c r="J31" i="158"/>
  <c r="I31" i="158"/>
  <c r="G31" i="158"/>
  <c r="F31" i="158"/>
  <c r="D31" i="158"/>
  <c r="C31" i="158"/>
  <c r="K30" i="158"/>
  <c r="J30" i="158"/>
  <c r="I30" i="158"/>
  <c r="F30" i="158"/>
  <c r="C30" i="158"/>
  <c r="K29" i="158"/>
  <c r="J29" i="158"/>
  <c r="I29" i="158"/>
  <c r="F29" i="158"/>
  <c r="C29" i="158"/>
  <c r="K28" i="158"/>
  <c r="J28" i="158"/>
  <c r="I28" i="158"/>
  <c r="G28" i="158"/>
  <c r="F28" i="158"/>
  <c r="C28" i="158"/>
  <c r="M27" i="158"/>
  <c r="L27" i="158"/>
  <c r="K27" i="158"/>
  <c r="J27" i="158"/>
  <c r="I27" i="158"/>
  <c r="G27" i="158"/>
  <c r="F27" i="158"/>
  <c r="D27" i="158"/>
  <c r="C27" i="158"/>
  <c r="K26" i="158"/>
  <c r="J26" i="158"/>
  <c r="I26" i="158"/>
  <c r="F26" i="158"/>
  <c r="C26" i="158"/>
  <c r="K25" i="158"/>
  <c r="J25" i="158"/>
  <c r="I25" i="158"/>
  <c r="F25" i="158"/>
  <c r="C25" i="158"/>
  <c r="K24" i="158"/>
  <c r="J24" i="158"/>
  <c r="I24" i="158"/>
  <c r="F24" i="158"/>
  <c r="K23" i="158"/>
  <c r="J23" i="158"/>
  <c r="I23" i="158"/>
  <c r="F23" i="158"/>
  <c r="K22" i="158"/>
  <c r="J22" i="158"/>
  <c r="I22" i="158"/>
  <c r="F22" i="158"/>
  <c r="K21" i="158"/>
  <c r="J21" i="158"/>
  <c r="I21" i="158"/>
  <c r="F21" i="158"/>
  <c r="C21" i="158"/>
  <c r="K20" i="158"/>
  <c r="J20" i="158"/>
  <c r="I20" i="158"/>
  <c r="F20" i="158"/>
  <c r="C20" i="158"/>
  <c r="K19" i="158"/>
  <c r="J19" i="158"/>
  <c r="I19" i="158"/>
  <c r="F19" i="158"/>
  <c r="C19" i="158"/>
  <c r="K18" i="158"/>
  <c r="J18" i="158"/>
  <c r="I18" i="158"/>
  <c r="F18" i="158"/>
  <c r="C18" i="158"/>
  <c r="K17" i="158"/>
  <c r="J17" i="158"/>
  <c r="I17" i="158"/>
  <c r="F17" i="158"/>
  <c r="C17" i="158"/>
  <c r="K16" i="158"/>
  <c r="J16" i="158"/>
  <c r="I16" i="158"/>
  <c r="F16" i="158"/>
  <c r="C16" i="158"/>
  <c r="F15" i="158"/>
  <c r="C15" i="158"/>
  <c r="K14" i="158"/>
  <c r="J14" i="158"/>
  <c r="I14" i="158"/>
  <c r="H14" i="158"/>
  <c r="F14" i="158"/>
  <c r="E14" i="158"/>
  <c r="C14" i="158"/>
  <c r="K13" i="158"/>
  <c r="J13" i="158"/>
  <c r="I13" i="158"/>
  <c r="F13" i="158"/>
  <c r="C13" i="158"/>
  <c r="K12" i="158"/>
  <c r="J12" i="158"/>
  <c r="I12" i="158"/>
  <c r="F12" i="158"/>
  <c r="C12" i="158"/>
  <c r="K11" i="158"/>
  <c r="J11" i="158"/>
  <c r="I11" i="158"/>
  <c r="F11" i="158"/>
  <c r="C11" i="158"/>
  <c r="H10" i="158"/>
  <c r="G10" i="158"/>
  <c r="F10" i="158"/>
  <c r="E10" i="158"/>
  <c r="D10" i="158"/>
  <c r="C10" i="158"/>
  <c r="K9" i="158"/>
  <c r="J9" i="158"/>
  <c r="I9" i="158"/>
  <c r="F9" i="158"/>
  <c r="C9" i="158"/>
  <c r="K8" i="158"/>
  <c r="J8" i="158"/>
  <c r="I8" i="158"/>
  <c r="F8" i="158"/>
  <c r="C8" i="158"/>
  <c r="F7" i="158"/>
  <c r="E7" i="158"/>
  <c r="C7" i="158"/>
  <c r="F6" i="158"/>
  <c r="C6" i="158"/>
  <c r="K5" i="158"/>
  <c r="J5" i="158"/>
  <c r="I5" i="158"/>
  <c r="H5" i="158"/>
  <c r="F5" i="158"/>
  <c r="C5" i="158"/>
  <c r="K4" i="158"/>
  <c r="J4" i="158"/>
  <c r="I4" i="158"/>
  <c r="C4" i="158"/>
  <c r="K3" i="158"/>
  <c r="J3" i="158"/>
  <c r="I3" i="158"/>
  <c r="H3" i="158"/>
  <c r="G3" i="158"/>
  <c r="F3" i="158"/>
  <c r="E3" i="158"/>
  <c r="D3" i="158"/>
  <c r="C3" i="158"/>
  <c r="P46" i="165"/>
  <c r="AB45" i="165"/>
  <c r="Y45" i="165"/>
  <c r="V45" i="165"/>
  <c r="S45" i="165"/>
  <c r="P45" i="165"/>
  <c r="M45" i="165"/>
  <c r="J45" i="165"/>
  <c r="G45" i="165"/>
  <c r="C45" i="165"/>
  <c r="AB44" i="165"/>
  <c r="Y44" i="165"/>
  <c r="V44" i="165"/>
  <c r="S44" i="165"/>
  <c r="P44" i="165"/>
  <c r="M44" i="165"/>
  <c r="J44" i="165"/>
  <c r="G44" i="165"/>
  <c r="C44" i="165"/>
  <c r="AB43" i="165"/>
  <c r="Y43" i="165"/>
  <c r="V43" i="165"/>
  <c r="S43" i="165"/>
  <c r="P43" i="165"/>
  <c r="M43" i="165"/>
  <c r="J43" i="165"/>
  <c r="G43" i="165"/>
  <c r="C43" i="165"/>
  <c r="AE42" i="165"/>
  <c r="AB42" i="165"/>
  <c r="AA42" i="165"/>
  <c r="Z42" i="165"/>
  <c r="Y42" i="165"/>
  <c r="X42" i="165"/>
  <c r="W42" i="165"/>
  <c r="V42" i="165"/>
  <c r="U42" i="165"/>
  <c r="T42" i="165"/>
  <c r="S42" i="165"/>
  <c r="R42" i="165"/>
  <c r="Q42" i="165"/>
  <c r="P42" i="165"/>
  <c r="O42" i="165"/>
  <c r="N42" i="165"/>
  <c r="M42" i="165"/>
  <c r="L42" i="165"/>
  <c r="K42" i="165"/>
  <c r="J42" i="165"/>
  <c r="I42" i="165"/>
  <c r="H42" i="165"/>
  <c r="G42" i="165"/>
  <c r="F42" i="165"/>
  <c r="E42" i="165"/>
  <c r="D42" i="165"/>
  <c r="C42" i="165"/>
  <c r="AB41" i="165"/>
  <c r="Y41" i="165"/>
  <c r="V41" i="165"/>
  <c r="S41" i="165"/>
  <c r="P41" i="165"/>
  <c r="M41" i="165"/>
  <c r="J41" i="165"/>
  <c r="G41" i="165"/>
  <c r="C41" i="165"/>
  <c r="AB40" i="165"/>
  <c r="AA40" i="165"/>
  <c r="Z40" i="165"/>
  <c r="Y40" i="165"/>
  <c r="X40" i="165"/>
  <c r="W40" i="165"/>
  <c r="V40" i="165"/>
  <c r="U40" i="165"/>
  <c r="T40" i="165"/>
  <c r="S40" i="165"/>
  <c r="R40" i="165"/>
  <c r="Q40" i="165"/>
  <c r="P40" i="165"/>
  <c r="O40" i="165"/>
  <c r="N40" i="165"/>
  <c r="M40" i="165"/>
  <c r="L40" i="165"/>
  <c r="K40" i="165"/>
  <c r="J40" i="165"/>
  <c r="I40" i="165"/>
  <c r="H40" i="165"/>
  <c r="G40" i="165"/>
  <c r="F40" i="165"/>
  <c r="E40" i="165"/>
  <c r="D40" i="165"/>
  <c r="C40" i="165"/>
  <c r="C39" i="165"/>
  <c r="AE38" i="165"/>
  <c r="AB38" i="165"/>
  <c r="Y38" i="165"/>
  <c r="V38" i="165"/>
  <c r="S38" i="165"/>
  <c r="P38" i="165"/>
  <c r="M38" i="165"/>
  <c r="J38" i="165"/>
  <c r="G38" i="165"/>
  <c r="C38" i="165"/>
  <c r="AB37" i="165"/>
  <c r="Y37" i="165"/>
  <c r="V37" i="165"/>
  <c r="S37" i="165"/>
  <c r="P37" i="165"/>
  <c r="M37" i="165"/>
  <c r="J37" i="165"/>
  <c r="G37" i="165"/>
  <c r="C37" i="165"/>
  <c r="C36" i="165"/>
  <c r="C35" i="165"/>
  <c r="AB34" i="165"/>
  <c r="Y34" i="165"/>
  <c r="V34" i="165"/>
  <c r="S34" i="165"/>
  <c r="P34" i="165"/>
  <c r="M34" i="165"/>
  <c r="J34" i="165"/>
  <c r="G34" i="165"/>
  <c r="C34" i="165"/>
  <c r="AH33" i="165"/>
  <c r="AD33" i="165"/>
  <c r="P33" i="165"/>
  <c r="F33" i="165"/>
  <c r="E33" i="165"/>
  <c r="C33" i="165"/>
  <c r="AD32" i="165"/>
  <c r="F32" i="165"/>
  <c r="E32" i="165"/>
  <c r="C32" i="165"/>
  <c r="AN31" i="165"/>
  <c r="AD31" i="165"/>
  <c r="F31" i="165"/>
  <c r="E31" i="165"/>
  <c r="C31" i="165"/>
  <c r="AD30" i="165"/>
  <c r="F30" i="165"/>
  <c r="E30" i="165"/>
  <c r="C30" i="165"/>
  <c r="AD29" i="165"/>
  <c r="AB29" i="165"/>
  <c r="M29" i="165"/>
  <c r="F29" i="165"/>
  <c r="E29" i="165"/>
  <c r="C29" i="165"/>
  <c r="AL28" i="165"/>
  <c r="AD28" i="165"/>
  <c r="F28" i="165"/>
  <c r="E28" i="165"/>
  <c r="C28" i="165"/>
  <c r="AH27" i="165"/>
  <c r="AD27" i="165"/>
  <c r="AB27" i="165"/>
  <c r="Y27" i="165"/>
  <c r="S27" i="165"/>
  <c r="M27" i="165"/>
  <c r="F27" i="165"/>
  <c r="E27" i="165"/>
  <c r="C27" i="165"/>
  <c r="AD26" i="165"/>
  <c r="F26" i="165"/>
  <c r="E26" i="165"/>
  <c r="C26" i="165"/>
  <c r="BF25" i="165"/>
  <c r="AD25" i="165"/>
  <c r="AB25" i="165"/>
  <c r="AA25" i="165"/>
  <c r="Z25" i="165"/>
  <c r="Y25" i="165"/>
  <c r="X25" i="165"/>
  <c r="W25" i="165"/>
  <c r="V25" i="165"/>
  <c r="U25" i="165"/>
  <c r="T25" i="165"/>
  <c r="S25" i="165"/>
  <c r="R25" i="165"/>
  <c r="Q25" i="165"/>
  <c r="P25" i="165"/>
  <c r="O25" i="165"/>
  <c r="N25" i="165"/>
  <c r="M25" i="165"/>
  <c r="L25" i="165"/>
  <c r="K25" i="165"/>
  <c r="J25" i="165"/>
  <c r="I25" i="165"/>
  <c r="H25" i="165"/>
  <c r="G25" i="165"/>
  <c r="F25" i="165"/>
  <c r="E25" i="165"/>
  <c r="C25" i="165"/>
  <c r="AM24" i="165"/>
  <c r="AL24" i="165"/>
  <c r="AK24" i="165"/>
  <c r="AF24" i="165"/>
  <c r="AE24" i="165"/>
  <c r="AD24" i="165"/>
  <c r="F24" i="165"/>
  <c r="E24" i="165"/>
  <c r="C24" i="165"/>
  <c r="AD23" i="165"/>
  <c r="F23" i="165"/>
  <c r="E23" i="165"/>
  <c r="C23" i="165"/>
  <c r="AM22" i="165"/>
  <c r="AL22" i="165"/>
  <c r="AK22" i="165"/>
  <c r="AF22" i="165"/>
  <c r="AD22" i="165"/>
  <c r="F22" i="165"/>
  <c r="E22" i="165"/>
  <c r="C22" i="165"/>
  <c r="AE21" i="165"/>
  <c r="AD21" i="165"/>
  <c r="AC21" i="165"/>
  <c r="F21" i="165"/>
  <c r="E21" i="165"/>
  <c r="C21" i="165"/>
  <c r="AN20" i="165"/>
  <c r="AH20" i="165"/>
  <c r="AE20" i="165"/>
  <c r="AD20" i="165"/>
  <c r="AB20" i="165"/>
  <c r="AA20" i="165"/>
  <c r="Y20" i="165"/>
  <c r="X20" i="165"/>
  <c r="V20" i="165"/>
  <c r="U20" i="165"/>
  <c r="S20" i="165"/>
  <c r="R20" i="165"/>
  <c r="P20" i="165"/>
  <c r="O20" i="165"/>
  <c r="M20" i="165"/>
  <c r="L20" i="165"/>
  <c r="J20" i="165"/>
  <c r="I20" i="165"/>
  <c r="G20" i="165"/>
  <c r="F20" i="165"/>
  <c r="E20" i="165"/>
  <c r="C20" i="165"/>
  <c r="P19" i="165"/>
  <c r="C19" i="165" s="1"/>
  <c r="C18" i="165"/>
  <c r="C17" i="165"/>
  <c r="AE16" i="165"/>
  <c r="C16" i="165"/>
  <c r="AE15" i="165"/>
  <c r="AB15" i="165"/>
  <c r="Y15" i="165"/>
  <c r="V15" i="165"/>
  <c r="S15" i="165"/>
  <c r="P15" i="165"/>
  <c r="M15" i="165"/>
  <c r="J15" i="165"/>
  <c r="G15" i="165"/>
  <c r="C15" i="165"/>
  <c r="AP14" i="165"/>
  <c r="AO14" i="165"/>
  <c r="AN14" i="165"/>
  <c r="AM14" i="165"/>
  <c r="AL14" i="165"/>
  <c r="AK14" i="165"/>
  <c r="AJ14" i="165"/>
  <c r="AI14" i="165"/>
  <c r="AH14" i="165"/>
  <c r="AG14" i="165"/>
  <c r="AF14" i="165"/>
  <c r="AE14" i="165"/>
  <c r="AD14" i="165"/>
  <c r="AC14" i="165"/>
  <c r="AB14" i="165"/>
  <c r="AA14" i="165"/>
  <c r="Z14" i="165"/>
  <c r="Y14" i="165"/>
  <c r="X14" i="165"/>
  <c r="W14" i="165"/>
  <c r="V14" i="165"/>
  <c r="U14" i="165"/>
  <c r="T14" i="165"/>
  <c r="S14" i="165"/>
  <c r="R14" i="165"/>
  <c r="Q14" i="165"/>
  <c r="P14" i="165"/>
  <c r="O14" i="165"/>
  <c r="N14" i="165"/>
  <c r="M14" i="165"/>
  <c r="L14" i="165"/>
  <c r="K14" i="165"/>
  <c r="J14" i="165"/>
  <c r="I14" i="165"/>
  <c r="H14" i="165"/>
  <c r="G14" i="165"/>
  <c r="F14" i="165"/>
  <c r="E14" i="165"/>
  <c r="D14" i="165"/>
  <c r="C14" i="165"/>
  <c r="AE13" i="165"/>
  <c r="C13" i="165"/>
  <c r="C12" i="165"/>
  <c r="C11" i="165"/>
  <c r="AV10" i="165"/>
  <c r="AS10" i="165"/>
  <c r="AM10" i="165"/>
  <c r="AE10" i="165"/>
  <c r="C10" i="165"/>
  <c r="AV9" i="165"/>
  <c r="AT9" i="165"/>
  <c r="AS9" i="165"/>
  <c r="AB9" i="165"/>
  <c r="Y9" i="165"/>
  <c r="V9" i="165"/>
  <c r="S9" i="165"/>
  <c r="P9" i="165"/>
  <c r="M9" i="165"/>
  <c r="J9" i="165"/>
  <c r="G9" i="165"/>
  <c r="C9" i="165"/>
  <c r="P8" i="165"/>
  <c r="P47" i="165" s="1"/>
  <c r="P48" i="165" s="1"/>
  <c r="S48" i="165" s="1"/>
  <c r="AV7" i="165"/>
  <c r="AT7" i="165"/>
  <c r="AR7" i="165"/>
  <c r="AM7" i="165"/>
  <c r="AL7" i="165"/>
  <c r="C7" i="165"/>
  <c r="AE6" i="165"/>
  <c r="AB6" i="165"/>
  <c r="Y6" i="165"/>
  <c r="V6" i="165"/>
  <c r="S6" i="165"/>
  <c r="P6" i="165"/>
  <c r="M6" i="165"/>
  <c r="J6" i="165"/>
  <c r="G6" i="165"/>
  <c r="C6" i="165"/>
  <c r="AX5" i="165"/>
  <c r="AU4" i="165"/>
  <c r="AT4" i="165"/>
  <c r="AS4" i="165"/>
  <c r="AR4" i="165"/>
  <c r="E4" i="165"/>
  <c r="AR1" i="165"/>
  <c r="K46" i="155"/>
  <c r="H46" i="155"/>
  <c r="C46" i="155"/>
  <c r="V40" i="155"/>
  <c r="S40" i="155"/>
  <c r="N40" i="155"/>
  <c r="M40" i="155"/>
  <c r="L40" i="155"/>
  <c r="K40" i="155"/>
  <c r="H40" i="155"/>
  <c r="C40" i="155"/>
  <c r="V39" i="155"/>
  <c r="S39" i="155"/>
  <c r="N39" i="155"/>
  <c r="M39" i="155"/>
  <c r="L39" i="155"/>
  <c r="K39" i="155"/>
  <c r="H39" i="155"/>
  <c r="C39" i="155"/>
  <c r="Z38" i="155"/>
  <c r="X38" i="155"/>
  <c r="W38" i="155"/>
  <c r="V38" i="155"/>
  <c r="S38" i="155"/>
  <c r="N38" i="155"/>
  <c r="M38" i="155"/>
  <c r="L38" i="155"/>
  <c r="K38" i="155"/>
  <c r="H38" i="155"/>
  <c r="C38" i="155"/>
  <c r="AA37" i="155"/>
  <c r="Z37" i="155"/>
  <c r="Y37" i="155"/>
  <c r="X37" i="155"/>
  <c r="W37" i="155"/>
  <c r="V37" i="155"/>
  <c r="U37" i="155"/>
  <c r="T37" i="155"/>
  <c r="S37" i="155"/>
  <c r="R37" i="155"/>
  <c r="Q37" i="155"/>
  <c r="P37" i="155"/>
  <c r="O37" i="155"/>
  <c r="N37" i="155"/>
  <c r="M37" i="155"/>
  <c r="L37" i="155"/>
  <c r="K37" i="155"/>
  <c r="J37" i="155"/>
  <c r="I37" i="155"/>
  <c r="H37" i="155"/>
  <c r="G37" i="155"/>
  <c r="F37" i="155"/>
  <c r="E37" i="155"/>
  <c r="D37" i="155"/>
  <c r="C37" i="155"/>
  <c r="Z36" i="155"/>
  <c r="X36" i="155"/>
  <c r="W36" i="155"/>
  <c r="V36" i="155"/>
  <c r="S36" i="155"/>
  <c r="N36" i="155"/>
  <c r="M36" i="155"/>
  <c r="L36" i="155"/>
  <c r="K36" i="155"/>
  <c r="H36" i="155"/>
  <c r="C36" i="155"/>
  <c r="Z35" i="155"/>
  <c r="X35" i="155"/>
  <c r="W35" i="155"/>
  <c r="V35" i="155"/>
  <c r="S35" i="155"/>
  <c r="N35" i="155"/>
  <c r="M35" i="155"/>
  <c r="L35" i="155"/>
  <c r="K35" i="155"/>
  <c r="H35" i="155"/>
  <c r="C35" i="155"/>
  <c r="Z34" i="155"/>
  <c r="X34" i="155"/>
  <c r="W34" i="155"/>
  <c r="V34" i="155"/>
  <c r="S34" i="155"/>
  <c r="N34" i="155"/>
  <c r="M34" i="155"/>
  <c r="L34" i="155"/>
  <c r="K34" i="155"/>
  <c r="H34" i="155"/>
  <c r="C34" i="155"/>
  <c r="AA33" i="155"/>
  <c r="Z33" i="155"/>
  <c r="Y33" i="155"/>
  <c r="X33" i="155"/>
  <c r="W33" i="155"/>
  <c r="V33" i="155"/>
  <c r="U33" i="155"/>
  <c r="T33" i="155"/>
  <c r="S33" i="155"/>
  <c r="R33" i="155"/>
  <c r="Q33" i="155"/>
  <c r="P33" i="155"/>
  <c r="O33" i="155"/>
  <c r="N33" i="155"/>
  <c r="M33" i="155"/>
  <c r="L33" i="155"/>
  <c r="K33" i="155"/>
  <c r="J33" i="155"/>
  <c r="I33" i="155"/>
  <c r="H33" i="155"/>
  <c r="G33" i="155"/>
  <c r="F33" i="155"/>
  <c r="E33" i="155"/>
  <c r="D33" i="155"/>
  <c r="C33" i="155"/>
  <c r="Z32" i="155"/>
  <c r="X32" i="155"/>
  <c r="W32" i="155"/>
  <c r="V32" i="155"/>
  <c r="S32" i="155"/>
  <c r="N32" i="155"/>
  <c r="M32" i="155"/>
  <c r="L32" i="155"/>
  <c r="K32" i="155"/>
  <c r="H32" i="155"/>
  <c r="C32" i="155"/>
  <c r="Z31" i="155"/>
  <c r="X31" i="155"/>
  <c r="W31" i="155"/>
  <c r="V31" i="155"/>
  <c r="S31" i="155"/>
  <c r="N31" i="155"/>
  <c r="M31" i="155"/>
  <c r="L31" i="155"/>
  <c r="K31" i="155"/>
  <c r="H31" i="155"/>
  <c r="C31" i="155"/>
  <c r="Z30" i="155"/>
  <c r="X30" i="155"/>
  <c r="W30" i="155"/>
  <c r="V30" i="155"/>
  <c r="S30" i="155"/>
  <c r="N30" i="155"/>
  <c r="M30" i="155"/>
  <c r="L30" i="155"/>
  <c r="K30" i="155"/>
  <c r="H30" i="155"/>
  <c r="C30" i="155"/>
  <c r="AA29" i="155"/>
  <c r="Z29" i="155"/>
  <c r="Y29" i="155"/>
  <c r="X29" i="155"/>
  <c r="W29" i="155"/>
  <c r="V29" i="155"/>
  <c r="U29" i="155"/>
  <c r="T29" i="155"/>
  <c r="S29" i="155"/>
  <c r="R29" i="155"/>
  <c r="Q29" i="155"/>
  <c r="P29" i="155"/>
  <c r="O29" i="155"/>
  <c r="N29" i="155"/>
  <c r="M29" i="155"/>
  <c r="L29" i="155"/>
  <c r="K29" i="155"/>
  <c r="J29" i="155"/>
  <c r="I29" i="155"/>
  <c r="H29" i="155"/>
  <c r="G29" i="155"/>
  <c r="F29" i="155"/>
  <c r="E29" i="155"/>
  <c r="D29" i="155"/>
  <c r="C29" i="155"/>
  <c r="Z28" i="155"/>
  <c r="X28" i="155"/>
  <c r="W28" i="155"/>
  <c r="V28" i="155"/>
  <c r="S28" i="155"/>
  <c r="N28" i="155"/>
  <c r="M28" i="155"/>
  <c r="L28" i="155"/>
  <c r="K28" i="155"/>
  <c r="H28" i="155"/>
  <c r="C28" i="155"/>
  <c r="Z27" i="155"/>
  <c r="X27" i="155"/>
  <c r="W27" i="155"/>
  <c r="V27" i="155"/>
  <c r="S27" i="155"/>
  <c r="N27" i="155"/>
  <c r="M27" i="155"/>
  <c r="L27" i="155"/>
  <c r="K27" i="155"/>
  <c r="H27" i="155"/>
  <c r="C27" i="155"/>
  <c r="Z26" i="155"/>
  <c r="X26" i="155"/>
  <c r="W26" i="155"/>
  <c r="V26" i="155"/>
  <c r="U26" i="155"/>
  <c r="S26" i="155"/>
  <c r="N26" i="155"/>
  <c r="M26" i="155"/>
  <c r="L26" i="155"/>
  <c r="K26" i="155"/>
  <c r="H26" i="155"/>
  <c r="C26" i="155"/>
  <c r="AA25" i="155"/>
  <c r="Z25" i="155"/>
  <c r="Y25" i="155"/>
  <c r="X25" i="155"/>
  <c r="W25" i="155"/>
  <c r="V25" i="155"/>
  <c r="U25" i="155"/>
  <c r="T25" i="155"/>
  <c r="S25" i="155"/>
  <c r="R25" i="155"/>
  <c r="Q25" i="155"/>
  <c r="P25" i="155"/>
  <c r="O25" i="155"/>
  <c r="N25" i="155"/>
  <c r="M25" i="155"/>
  <c r="L25" i="155"/>
  <c r="K25" i="155"/>
  <c r="J25" i="155"/>
  <c r="I25" i="155"/>
  <c r="H25" i="155"/>
  <c r="G25" i="155"/>
  <c r="F25" i="155"/>
  <c r="E25" i="155"/>
  <c r="D25" i="155"/>
  <c r="C25" i="155"/>
  <c r="Z24" i="155"/>
  <c r="X24" i="155"/>
  <c r="W24" i="155"/>
  <c r="V24" i="155"/>
  <c r="S24" i="155"/>
  <c r="N24" i="155"/>
  <c r="M24" i="155"/>
  <c r="L24" i="155"/>
  <c r="K24" i="155"/>
  <c r="H24" i="155"/>
  <c r="C24" i="155"/>
  <c r="Z23" i="155"/>
  <c r="X23" i="155"/>
  <c r="W23" i="155"/>
  <c r="V23" i="155"/>
  <c r="S23" i="155"/>
  <c r="N23" i="155"/>
  <c r="M23" i="155"/>
  <c r="L23" i="155"/>
  <c r="K23" i="155"/>
  <c r="H23" i="155"/>
  <c r="C23" i="155"/>
  <c r="AB22" i="155"/>
  <c r="Z22" i="155"/>
  <c r="X22" i="155"/>
  <c r="W22" i="155"/>
  <c r="V22" i="155"/>
  <c r="S22" i="155"/>
  <c r="N22" i="155"/>
  <c r="M22" i="155"/>
  <c r="L22" i="155"/>
  <c r="K22" i="155"/>
  <c r="H22" i="155"/>
  <c r="C22" i="155"/>
  <c r="AA21" i="155"/>
  <c r="Z21" i="155"/>
  <c r="Y21" i="155"/>
  <c r="X21" i="155"/>
  <c r="W21" i="155"/>
  <c r="V21" i="155"/>
  <c r="U21" i="155"/>
  <c r="T21" i="155"/>
  <c r="S21" i="155"/>
  <c r="R21" i="155"/>
  <c r="Q21" i="155"/>
  <c r="P21" i="155"/>
  <c r="O21" i="155"/>
  <c r="N21" i="155"/>
  <c r="M21" i="155"/>
  <c r="L21" i="155"/>
  <c r="K21" i="155"/>
  <c r="J21" i="155"/>
  <c r="I21" i="155"/>
  <c r="H21" i="155"/>
  <c r="G21" i="155"/>
  <c r="F21" i="155"/>
  <c r="E21" i="155"/>
  <c r="D21" i="155"/>
  <c r="C21" i="155"/>
  <c r="AA20" i="155"/>
  <c r="Z20" i="155"/>
  <c r="Y20" i="155"/>
  <c r="X20" i="155"/>
  <c r="W20" i="155"/>
  <c r="V20" i="155"/>
  <c r="U20" i="155"/>
  <c r="T20" i="155"/>
  <c r="S20" i="155"/>
  <c r="R20" i="155"/>
  <c r="Q20" i="155"/>
  <c r="P20" i="155"/>
  <c r="O20" i="155"/>
  <c r="N20" i="155"/>
  <c r="M20" i="155"/>
  <c r="L20" i="155"/>
  <c r="K20" i="155"/>
  <c r="J20" i="155"/>
  <c r="I20" i="155"/>
  <c r="H20" i="155"/>
  <c r="G20" i="155"/>
  <c r="F20" i="155"/>
  <c r="E20" i="155"/>
  <c r="D20" i="155"/>
  <c r="C20" i="155"/>
  <c r="AA19" i="155"/>
  <c r="Z19" i="155"/>
  <c r="Y19" i="155"/>
  <c r="X19" i="155"/>
  <c r="W19" i="155"/>
  <c r="V19" i="155"/>
  <c r="U19" i="155"/>
  <c r="T19" i="155"/>
  <c r="S19" i="155"/>
  <c r="R19" i="155"/>
  <c r="Q19" i="155"/>
  <c r="P19" i="155"/>
  <c r="O19" i="155"/>
  <c r="N19" i="155"/>
  <c r="M19" i="155"/>
  <c r="L19" i="155"/>
  <c r="K19" i="155"/>
  <c r="J19" i="155"/>
  <c r="I19" i="155"/>
  <c r="H19" i="155"/>
  <c r="G19" i="155"/>
  <c r="F19" i="155"/>
  <c r="E19" i="155"/>
  <c r="D19" i="155"/>
  <c r="C19" i="155"/>
  <c r="AA18" i="155"/>
  <c r="Z18" i="155"/>
  <c r="Y18" i="155"/>
  <c r="X18" i="155"/>
  <c r="W18" i="155"/>
  <c r="V18" i="155"/>
  <c r="U18" i="155"/>
  <c r="T18" i="155"/>
  <c r="S18" i="155"/>
  <c r="R18" i="155"/>
  <c r="Q18" i="155"/>
  <c r="P18" i="155"/>
  <c r="O18" i="155"/>
  <c r="N18" i="155"/>
  <c r="M18" i="155"/>
  <c r="L18" i="155"/>
  <c r="K18" i="155"/>
  <c r="J18" i="155"/>
  <c r="I18" i="155"/>
  <c r="H18" i="155"/>
  <c r="G18" i="155"/>
  <c r="F18" i="155"/>
  <c r="E18" i="155"/>
  <c r="D18" i="155"/>
  <c r="C18" i="155"/>
  <c r="AA17" i="155"/>
  <c r="Z17" i="155"/>
  <c r="Y17" i="155"/>
  <c r="X17" i="155"/>
  <c r="W17" i="155"/>
  <c r="V17" i="155"/>
  <c r="U17" i="155"/>
  <c r="T17" i="155"/>
  <c r="S17" i="155"/>
  <c r="R17" i="155"/>
  <c r="Q17" i="155"/>
  <c r="P17" i="155"/>
  <c r="O17" i="155"/>
  <c r="N17" i="155"/>
  <c r="M17" i="155"/>
  <c r="L17" i="155"/>
  <c r="K17" i="155"/>
  <c r="J17" i="155"/>
  <c r="I17" i="155"/>
  <c r="H17" i="155"/>
  <c r="G17" i="155"/>
  <c r="F17" i="155"/>
  <c r="E17" i="155"/>
  <c r="D17" i="155"/>
  <c r="C17" i="155"/>
  <c r="AA16" i="155"/>
  <c r="Z16" i="155"/>
  <c r="Y16" i="155"/>
  <c r="X16" i="155"/>
  <c r="W16" i="155"/>
  <c r="V16" i="155"/>
  <c r="U16" i="155"/>
  <c r="T16" i="155"/>
  <c r="S16" i="155"/>
  <c r="R16" i="155"/>
  <c r="Q16" i="155"/>
  <c r="P16" i="155"/>
  <c r="O16" i="155"/>
  <c r="N16" i="155"/>
  <c r="M16" i="155"/>
  <c r="L16" i="155"/>
  <c r="K16" i="155"/>
  <c r="J16" i="155"/>
  <c r="I16" i="155"/>
  <c r="H16" i="155"/>
  <c r="G16" i="155"/>
  <c r="F16" i="155"/>
  <c r="E16" i="155"/>
  <c r="D16" i="155"/>
  <c r="C16" i="155"/>
  <c r="C15" i="155"/>
  <c r="C14" i="155"/>
  <c r="C13" i="155"/>
  <c r="C12" i="155"/>
  <c r="D50" i="160"/>
  <c r="D48" i="160"/>
  <c r="D47" i="160"/>
  <c r="D46" i="160"/>
  <c r="F28" i="160"/>
  <c r="F23" i="160"/>
  <c r="C23" i="160"/>
  <c r="F21" i="160"/>
  <c r="C21" i="160"/>
  <c r="F20" i="160"/>
  <c r="C20" i="160"/>
  <c r="F19" i="160"/>
  <c r="C19" i="160"/>
  <c r="F18" i="160"/>
  <c r="C18" i="160"/>
  <c r="F17" i="160"/>
  <c r="C17" i="160"/>
  <c r="F16" i="160"/>
  <c r="C16" i="160"/>
  <c r="H15" i="160"/>
  <c r="G15" i="160"/>
  <c r="F15" i="160"/>
  <c r="E15" i="160"/>
  <c r="D15" i="160"/>
  <c r="C15" i="160"/>
  <c r="H14" i="160"/>
  <c r="F14" i="160"/>
  <c r="E14" i="160"/>
  <c r="C14" i="160"/>
  <c r="H13" i="160"/>
  <c r="F13" i="160"/>
  <c r="E13" i="160"/>
  <c r="C13" i="160"/>
  <c r="H12" i="160"/>
  <c r="G12" i="160"/>
  <c r="F12" i="160"/>
  <c r="E12" i="160"/>
  <c r="D12" i="160"/>
  <c r="C12" i="160"/>
  <c r="F11" i="160"/>
  <c r="C11" i="160"/>
  <c r="H10" i="160"/>
  <c r="G10" i="160"/>
  <c r="F10" i="160"/>
  <c r="E10" i="160"/>
  <c r="D10" i="160"/>
  <c r="C10" i="160"/>
  <c r="H9" i="160"/>
  <c r="G9" i="160"/>
  <c r="F9" i="160"/>
  <c r="E9" i="160"/>
  <c r="D9" i="160"/>
  <c r="C9" i="160"/>
  <c r="F8" i="160"/>
  <c r="C8" i="160"/>
  <c r="F7" i="160"/>
  <c r="C7" i="160"/>
  <c r="H6" i="160"/>
  <c r="G6" i="160"/>
  <c r="F6" i="160"/>
  <c r="E6" i="160"/>
  <c r="D6" i="160"/>
  <c r="C6" i="160"/>
  <c r="H5" i="160"/>
  <c r="G5" i="160"/>
  <c r="F5" i="160"/>
  <c r="E5" i="160"/>
  <c r="D5" i="160"/>
  <c r="C5" i="160"/>
  <c r="E33" i="145"/>
  <c r="E32" i="145"/>
  <c r="F31" i="145"/>
  <c r="E31" i="145"/>
  <c r="E30" i="145"/>
  <c r="E29" i="145"/>
  <c r="F28" i="145"/>
  <c r="E28" i="145"/>
  <c r="D28" i="145"/>
  <c r="E27" i="145"/>
  <c r="F26" i="145"/>
  <c r="E26" i="145"/>
  <c r="F25" i="145"/>
  <c r="E25" i="145"/>
  <c r="F24" i="145"/>
  <c r="E24" i="145"/>
  <c r="D24" i="145"/>
  <c r="F23" i="145"/>
  <c r="E23" i="145"/>
  <c r="D23" i="145"/>
  <c r="E20" i="145"/>
  <c r="E19" i="145"/>
  <c r="E18" i="145"/>
  <c r="E17" i="145"/>
  <c r="E16" i="145"/>
  <c r="E15" i="145"/>
  <c r="D15" i="145"/>
  <c r="F14" i="145"/>
  <c r="H12" i="145"/>
  <c r="F12" i="145"/>
  <c r="E12" i="145"/>
  <c r="F11" i="145"/>
  <c r="E11" i="145"/>
  <c r="F10" i="145"/>
  <c r="E10" i="145"/>
  <c r="D10" i="145"/>
  <c r="D9" i="145"/>
  <c r="D8" i="145"/>
  <c r="E7" i="145"/>
  <c r="D7" i="145"/>
  <c r="F6" i="145"/>
  <c r="E6" i="145"/>
  <c r="D6" i="145"/>
  <c r="R60" i="166"/>
  <c r="S58" i="166"/>
  <c r="R58" i="166"/>
  <c r="P58" i="166"/>
  <c r="O58" i="166"/>
  <c r="J48" i="166"/>
  <c r="H47" i="166"/>
  <c r="G47" i="166"/>
  <c r="F47" i="166"/>
  <c r="E47" i="166"/>
  <c r="E46" i="166"/>
  <c r="E45" i="166"/>
  <c r="E44" i="166"/>
  <c r="E40" i="166"/>
  <c r="L33" i="166"/>
  <c r="K33" i="166"/>
  <c r="F33" i="166"/>
  <c r="E33" i="166"/>
  <c r="C33" i="166"/>
  <c r="L25" i="166"/>
  <c r="K25" i="166"/>
  <c r="J25" i="166"/>
  <c r="I25" i="166"/>
  <c r="H25" i="166"/>
  <c r="F25" i="166"/>
  <c r="E25" i="166"/>
  <c r="L18" i="166"/>
  <c r="I18" i="166"/>
  <c r="H18" i="166"/>
  <c r="C18" i="166"/>
  <c r="L17" i="166"/>
  <c r="J17" i="166"/>
  <c r="I17" i="166"/>
  <c r="H17" i="166"/>
  <c r="D17" i="166"/>
  <c r="C17" i="166"/>
  <c r="L15" i="166"/>
  <c r="J15" i="166"/>
  <c r="I15" i="166"/>
  <c r="H15" i="166"/>
  <c r="D15" i="166"/>
  <c r="C15" i="166"/>
  <c r="L14" i="166"/>
  <c r="K14" i="166"/>
  <c r="J14" i="166"/>
  <c r="I14" i="166"/>
  <c r="H14" i="166"/>
  <c r="G14" i="166"/>
  <c r="F14" i="166"/>
  <c r="E14" i="166"/>
  <c r="D14" i="166"/>
  <c r="C14" i="166"/>
  <c r="B14" i="166"/>
  <c r="C13" i="166"/>
  <c r="C12" i="166"/>
  <c r="B12" i="166"/>
  <c r="C11" i="166"/>
  <c r="L9" i="166"/>
  <c r="K9" i="166"/>
  <c r="J9" i="166"/>
  <c r="I9" i="166"/>
  <c r="H9" i="166"/>
  <c r="G9" i="166"/>
  <c r="F9" i="166"/>
  <c r="E9" i="166"/>
  <c r="D9" i="166"/>
  <c r="C9" i="166"/>
  <c r="C8" i="166"/>
  <c r="C7" i="166"/>
  <c r="C6" i="166"/>
  <c r="R60" i="167"/>
  <c r="S58" i="167"/>
  <c r="R58" i="167"/>
  <c r="P58" i="167"/>
  <c r="O58" i="167"/>
  <c r="J48" i="167"/>
  <c r="G47" i="167"/>
  <c r="F47" i="167"/>
  <c r="E47" i="167"/>
  <c r="E46" i="167"/>
  <c r="E45" i="167"/>
  <c r="E44" i="167"/>
  <c r="E40" i="167"/>
  <c r="L33" i="167"/>
  <c r="K33" i="167"/>
  <c r="F33" i="167"/>
  <c r="E33" i="167"/>
  <c r="C33" i="167"/>
  <c r="L25" i="167"/>
  <c r="K25" i="167"/>
  <c r="J25" i="167"/>
  <c r="I25" i="167"/>
  <c r="F25" i="167"/>
  <c r="E25" i="167"/>
  <c r="L18" i="167"/>
  <c r="I18" i="167"/>
  <c r="N17" i="167"/>
  <c r="L17" i="167"/>
  <c r="J17" i="167"/>
  <c r="I17" i="167"/>
  <c r="D17" i="167"/>
  <c r="L15" i="167"/>
  <c r="J15" i="167"/>
  <c r="I15" i="167"/>
  <c r="D15" i="167"/>
  <c r="L14" i="167"/>
  <c r="K14" i="167"/>
  <c r="J14" i="167"/>
  <c r="I14" i="167"/>
  <c r="H14" i="167"/>
  <c r="G14" i="167"/>
  <c r="F14" i="167"/>
  <c r="E14" i="167"/>
  <c r="D14" i="167"/>
  <c r="C14" i="167"/>
  <c r="B14" i="167"/>
  <c r="C13" i="167"/>
  <c r="C12" i="167"/>
  <c r="B12" i="167"/>
  <c r="C11" i="167"/>
  <c r="L9" i="167"/>
  <c r="K9" i="167"/>
  <c r="J9" i="167"/>
  <c r="I9" i="167"/>
  <c r="G9" i="167"/>
  <c r="F9" i="167"/>
  <c r="E9" i="167"/>
  <c r="D9" i="167"/>
  <c r="H8" i="167"/>
  <c r="C8" i="167" s="1"/>
  <c r="C6" i="167"/>
  <c r="R60" i="169"/>
  <c r="S58" i="169"/>
  <c r="R58" i="169"/>
  <c r="P58" i="169"/>
  <c r="O58" i="169"/>
  <c r="J48" i="169"/>
  <c r="G47" i="169"/>
  <c r="F47" i="169"/>
  <c r="E47" i="169"/>
  <c r="E46" i="169"/>
  <c r="E45" i="169"/>
  <c r="E44" i="169"/>
  <c r="E40" i="169"/>
  <c r="L33" i="169"/>
  <c r="K33" i="169"/>
  <c r="F33" i="169"/>
  <c r="E33" i="169"/>
  <c r="C33" i="169"/>
  <c r="L25" i="169"/>
  <c r="K25" i="169"/>
  <c r="J25" i="169"/>
  <c r="I25" i="169"/>
  <c r="F25" i="169"/>
  <c r="E25" i="169"/>
  <c r="L18" i="169"/>
  <c r="I18" i="169"/>
  <c r="N17" i="169"/>
  <c r="L17" i="169"/>
  <c r="J17" i="169"/>
  <c r="I17" i="169"/>
  <c r="D17" i="169"/>
  <c r="L15" i="169"/>
  <c r="J15" i="169"/>
  <c r="I15" i="169"/>
  <c r="D15" i="169"/>
  <c r="L14" i="169"/>
  <c r="K14" i="169"/>
  <c r="J14" i="169"/>
  <c r="I14" i="169"/>
  <c r="H14" i="169"/>
  <c r="G14" i="169"/>
  <c r="F14" i="169"/>
  <c r="E14" i="169"/>
  <c r="D14" i="169"/>
  <c r="C14" i="169"/>
  <c r="B14" i="169"/>
  <c r="C13" i="169"/>
  <c r="C12" i="169"/>
  <c r="B12" i="169"/>
  <c r="C11" i="169"/>
  <c r="L9" i="169"/>
  <c r="K9" i="169"/>
  <c r="J9" i="169"/>
  <c r="I9" i="169"/>
  <c r="G9" i="169"/>
  <c r="F9" i="169"/>
  <c r="E9" i="169"/>
  <c r="D9" i="169"/>
  <c r="H8" i="169"/>
  <c r="C8" i="169" s="1"/>
  <c r="C6" i="169"/>
  <c r="H33" i="164"/>
  <c r="H31" i="164"/>
  <c r="G31" i="164"/>
  <c r="E30" i="164"/>
  <c r="D30" i="164"/>
  <c r="E29" i="164"/>
  <c r="H28" i="164"/>
  <c r="F28" i="164"/>
  <c r="E28" i="164"/>
  <c r="K26" i="164"/>
  <c r="E26" i="164"/>
  <c r="D26" i="164"/>
  <c r="K25" i="164"/>
  <c r="E25" i="164"/>
  <c r="D25" i="164"/>
  <c r="F24" i="164"/>
  <c r="E24" i="164"/>
  <c r="D24" i="164"/>
  <c r="F23" i="164"/>
  <c r="E23" i="164"/>
  <c r="F22" i="164"/>
  <c r="E22" i="164"/>
  <c r="K21" i="164"/>
  <c r="F21" i="164"/>
  <c r="E21" i="164"/>
  <c r="D21" i="164"/>
  <c r="K20" i="164"/>
  <c r="H20" i="164"/>
  <c r="F20" i="164"/>
  <c r="E20" i="164"/>
  <c r="D20" i="164"/>
  <c r="K19" i="164"/>
  <c r="H18" i="164"/>
  <c r="E17" i="164"/>
  <c r="E16" i="164"/>
  <c r="D16" i="164"/>
  <c r="H15" i="164"/>
  <c r="F15" i="164"/>
  <c r="F12" i="164"/>
  <c r="E12" i="164"/>
  <c r="F11" i="164"/>
  <c r="E11" i="164"/>
  <c r="F10" i="164"/>
  <c r="E10" i="164"/>
  <c r="D10" i="164"/>
  <c r="H9" i="164"/>
  <c r="E8" i="164"/>
  <c r="E7" i="164"/>
  <c r="F6" i="164"/>
  <c r="E6" i="164"/>
  <c r="D6" i="164"/>
  <c r="M13" i="149"/>
  <c r="G13" i="149"/>
  <c r="M12" i="149"/>
  <c r="G12" i="149"/>
  <c r="M11" i="149"/>
  <c r="G11" i="149"/>
  <c r="M10" i="149"/>
  <c r="G10" i="149"/>
  <c r="M9" i="149"/>
  <c r="G9" i="149"/>
  <c r="M8" i="149"/>
  <c r="A3" i="149"/>
  <c r="E52" i="144"/>
  <c r="E50" i="144"/>
  <c r="E10" i="144"/>
  <c r="E9" i="144"/>
  <c r="Z101" i="135"/>
  <c r="X101" i="135"/>
  <c r="Q101" i="135"/>
  <c r="J101" i="135"/>
  <c r="F101" i="135"/>
  <c r="C101" i="135"/>
  <c r="Y100" i="135"/>
  <c r="X100" i="135"/>
  <c r="Q100" i="135"/>
  <c r="Y99" i="135"/>
  <c r="X99" i="135"/>
  <c r="Q99" i="135"/>
  <c r="K99" i="135"/>
  <c r="J99" i="135"/>
  <c r="F99" i="135"/>
  <c r="C99" i="135"/>
  <c r="Y98" i="135"/>
  <c r="X98" i="135"/>
  <c r="Q98" i="135"/>
  <c r="J98" i="135"/>
  <c r="F98" i="135"/>
  <c r="C98" i="135"/>
  <c r="Z97" i="135"/>
  <c r="X97" i="135"/>
  <c r="Q97" i="135"/>
  <c r="J97" i="135"/>
  <c r="F97" i="135"/>
  <c r="C97" i="135"/>
  <c r="X96" i="135"/>
  <c r="Q96" i="135"/>
  <c r="L96" i="135"/>
  <c r="J96" i="135"/>
  <c r="F96" i="135"/>
  <c r="C96" i="135"/>
  <c r="Y95" i="135"/>
  <c r="X95" i="135"/>
  <c r="Q95" i="135"/>
  <c r="J95" i="135"/>
  <c r="F95" i="135"/>
  <c r="C95" i="135"/>
  <c r="X94" i="135"/>
  <c r="Q94" i="135"/>
  <c r="J94" i="135"/>
  <c r="F94" i="135"/>
  <c r="C94" i="135"/>
  <c r="Y93" i="135"/>
  <c r="X93" i="135"/>
  <c r="Q93" i="135"/>
  <c r="J93" i="135"/>
  <c r="H93" i="135"/>
  <c r="F93" i="135"/>
  <c r="C93" i="135"/>
  <c r="X92" i="135"/>
  <c r="Q92" i="135"/>
  <c r="J92" i="135"/>
  <c r="H92" i="135"/>
  <c r="F92" i="135"/>
  <c r="C92" i="135"/>
  <c r="Y91" i="135"/>
  <c r="X91" i="135"/>
  <c r="Q91" i="135"/>
  <c r="J91" i="135"/>
  <c r="F91" i="135"/>
  <c r="C91" i="135"/>
  <c r="X90" i="135"/>
  <c r="K90" i="135"/>
  <c r="K61" i="135" s="1"/>
  <c r="K11" i="135" s="1"/>
  <c r="J90" i="135"/>
  <c r="J61" i="135" s="1"/>
  <c r="J11" i="135" s="1"/>
  <c r="F90" i="135"/>
  <c r="C90" i="135"/>
  <c r="Y89" i="135"/>
  <c r="X89" i="135"/>
  <c r="Q89" i="135"/>
  <c r="J89" i="135"/>
  <c r="F89" i="135"/>
  <c r="C89" i="135"/>
  <c r="Y88" i="135"/>
  <c r="X88" i="135"/>
  <c r="Q88" i="135"/>
  <c r="J88" i="135"/>
  <c r="H88" i="135"/>
  <c r="F88" i="135"/>
  <c r="C88" i="135"/>
  <c r="Z87" i="135"/>
  <c r="X87" i="135"/>
  <c r="Q87" i="135"/>
  <c r="J87" i="135"/>
  <c r="F87" i="135"/>
  <c r="C87" i="135"/>
  <c r="X86" i="135"/>
  <c r="Q86" i="135"/>
  <c r="J86" i="135"/>
  <c r="F86" i="135"/>
  <c r="C86" i="135"/>
  <c r="Z85" i="135"/>
  <c r="X85" i="135"/>
  <c r="Q85" i="135"/>
  <c r="L85" i="135"/>
  <c r="J85" i="135"/>
  <c r="F85" i="135"/>
  <c r="C85" i="135"/>
  <c r="F84" i="135"/>
  <c r="Y83" i="135"/>
  <c r="X83" i="135"/>
  <c r="Q83" i="135"/>
  <c r="J83" i="135"/>
  <c r="F83" i="135"/>
  <c r="C83" i="135"/>
  <c r="Y82" i="135"/>
  <c r="X82" i="135"/>
  <c r="Q82" i="135"/>
  <c r="J82" i="135"/>
  <c r="H82" i="135"/>
  <c r="F82" i="135"/>
  <c r="C82" i="135"/>
  <c r="X81" i="135"/>
  <c r="Q81" i="135"/>
  <c r="L81" i="135"/>
  <c r="J81" i="135"/>
  <c r="H81" i="135"/>
  <c r="F81" i="135"/>
  <c r="C81" i="135"/>
  <c r="X80" i="135"/>
  <c r="Q80" i="135"/>
  <c r="J80" i="135"/>
  <c r="F80" i="135"/>
  <c r="C80" i="135"/>
  <c r="Y79" i="135"/>
  <c r="X79" i="135"/>
  <c r="Q79" i="135"/>
  <c r="L79" i="135"/>
  <c r="J79" i="135"/>
  <c r="F79" i="135"/>
  <c r="C79" i="135"/>
  <c r="AA78" i="135"/>
  <c r="X78" i="135"/>
  <c r="Y77" i="135"/>
  <c r="X77" i="135"/>
  <c r="Q77" i="135"/>
  <c r="J77" i="135"/>
  <c r="F77" i="135"/>
  <c r="C77" i="135"/>
  <c r="Z76" i="135"/>
  <c r="Y76" i="135"/>
  <c r="X76" i="135"/>
  <c r="Q76" i="135"/>
  <c r="L76" i="135"/>
  <c r="J76" i="135"/>
  <c r="H76" i="135"/>
  <c r="F76" i="135"/>
  <c r="C76" i="135"/>
  <c r="X75" i="135"/>
  <c r="Q75" i="135"/>
  <c r="J75" i="135"/>
  <c r="F75" i="135"/>
  <c r="C75" i="135"/>
  <c r="Y74" i="135"/>
  <c r="X74" i="135"/>
  <c r="Q74" i="135"/>
  <c r="J74" i="135"/>
  <c r="F74" i="135"/>
  <c r="C74" i="135"/>
  <c r="Y73" i="135"/>
  <c r="X73" i="135"/>
  <c r="Q73" i="135"/>
  <c r="J73" i="135"/>
  <c r="F73" i="135"/>
  <c r="C73" i="135"/>
  <c r="J72" i="135"/>
  <c r="X71" i="135"/>
  <c r="U71" i="135"/>
  <c r="Q71" i="135"/>
  <c r="J71" i="135"/>
  <c r="H71" i="135"/>
  <c r="F71" i="135"/>
  <c r="C71" i="135"/>
  <c r="X70" i="135"/>
  <c r="Q70" i="135"/>
  <c r="J70" i="135"/>
  <c r="H70" i="135"/>
  <c r="F70" i="135"/>
  <c r="C70" i="135"/>
  <c r="X69" i="135"/>
  <c r="M69" i="135"/>
  <c r="J69" i="135"/>
  <c r="C69" i="135"/>
  <c r="X68" i="135"/>
  <c r="N68" i="135"/>
  <c r="M68" i="135"/>
  <c r="J68" i="135"/>
  <c r="C68" i="135"/>
  <c r="X67" i="135"/>
  <c r="M67" i="135"/>
  <c r="J67" i="135"/>
  <c r="C67" i="135"/>
  <c r="X66" i="135"/>
  <c r="Q66" i="135"/>
  <c r="N66" i="135"/>
  <c r="M66" i="135"/>
  <c r="L66" i="135"/>
  <c r="J66" i="135"/>
  <c r="H66" i="135"/>
  <c r="F66" i="135"/>
  <c r="C66" i="135"/>
  <c r="X65" i="135"/>
  <c r="Q65" i="135"/>
  <c r="L65" i="135"/>
  <c r="H65" i="135"/>
  <c r="F65" i="135"/>
  <c r="X64" i="135"/>
  <c r="L64" i="135"/>
  <c r="H64" i="135"/>
  <c r="F64" i="135"/>
  <c r="X63" i="135"/>
  <c r="F63" i="135"/>
  <c r="Z62" i="135"/>
  <c r="Y62" i="135"/>
  <c r="X62" i="135"/>
  <c r="W62" i="135"/>
  <c r="V62" i="135"/>
  <c r="U62" i="135"/>
  <c r="T62" i="135"/>
  <c r="S62" i="135"/>
  <c r="R62" i="135"/>
  <c r="Q62" i="135"/>
  <c r="O62" i="135"/>
  <c r="N62" i="135"/>
  <c r="M62" i="135"/>
  <c r="L62" i="135"/>
  <c r="K62" i="135"/>
  <c r="J62" i="135"/>
  <c r="I62" i="135"/>
  <c r="H62" i="135"/>
  <c r="G62" i="135"/>
  <c r="F62" i="135"/>
  <c r="E62" i="135"/>
  <c r="D62" i="135"/>
  <c r="C62" i="135"/>
  <c r="Z61" i="135"/>
  <c r="Y61" i="135"/>
  <c r="X61" i="135"/>
  <c r="W61" i="135"/>
  <c r="V61" i="135"/>
  <c r="T61" i="135"/>
  <c r="S61" i="135"/>
  <c r="R61" i="135"/>
  <c r="O61" i="135"/>
  <c r="N61" i="135"/>
  <c r="M61" i="135"/>
  <c r="L61" i="135"/>
  <c r="I61" i="135"/>
  <c r="H61" i="135"/>
  <c r="G61" i="135"/>
  <c r="F61" i="135"/>
  <c r="E61" i="135"/>
  <c r="D61" i="135"/>
  <c r="C61" i="135"/>
  <c r="X60" i="135"/>
  <c r="U60" i="135"/>
  <c r="Q60" i="135"/>
  <c r="J60" i="135"/>
  <c r="F60" i="135"/>
  <c r="C60" i="135"/>
  <c r="Z59" i="135"/>
  <c r="Y59" i="135"/>
  <c r="X59" i="135"/>
  <c r="W59" i="135"/>
  <c r="V59" i="135"/>
  <c r="U59" i="135"/>
  <c r="T59" i="135"/>
  <c r="S59" i="135"/>
  <c r="R59" i="135"/>
  <c r="Q59" i="135"/>
  <c r="O59" i="135"/>
  <c r="M59" i="135"/>
  <c r="L59" i="135"/>
  <c r="K59" i="135"/>
  <c r="J59" i="135"/>
  <c r="I59" i="135"/>
  <c r="H59" i="135"/>
  <c r="G59" i="135"/>
  <c r="F59" i="135"/>
  <c r="E59" i="135"/>
  <c r="D59" i="135"/>
  <c r="C59" i="135"/>
  <c r="Z58" i="135"/>
  <c r="Y58" i="135"/>
  <c r="X58" i="135"/>
  <c r="W58" i="135"/>
  <c r="V58" i="135"/>
  <c r="U58" i="135"/>
  <c r="T58" i="135"/>
  <c r="S58" i="135"/>
  <c r="R58" i="135"/>
  <c r="Q58" i="135"/>
  <c r="O58" i="135"/>
  <c r="M58" i="135"/>
  <c r="L58" i="135"/>
  <c r="K58" i="135"/>
  <c r="J58" i="135"/>
  <c r="I58" i="135"/>
  <c r="H58" i="135"/>
  <c r="G58" i="135"/>
  <c r="F58" i="135"/>
  <c r="E58" i="135"/>
  <c r="D58" i="135"/>
  <c r="C58" i="135"/>
  <c r="Z57" i="135"/>
  <c r="X57" i="135"/>
  <c r="Q57" i="135"/>
  <c r="L57" i="135"/>
  <c r="J57" i="135"/>
  <c r="F57" i="135"/>
  <c r="Z56" i="135"/>
  <c r="X56" i="135"/>
  <c r="Q56" i="135"/>
  <c r="J56" i="135"/>
  <c r="F56" i="135"/>
  <c r="Q55" i="135"/>
  <c r="J55" i="135"/>
  <c r="F55" i="135"/>
  <c r="Z54" i="135"/>
  <c r="X54" i="135"/>
  <c r="Q54" i="135"/>
  <c r="J54" i="135"/>
  <c r="I54" i="135"/>
  <c r="F54" i="135"/>
  <c r="X53" i="135"/>
  <c r="J53" i="135"/>
  <c r="F53" i="135"/>
  <c r="Z52" i="135"/>
  <c r="X52" i="135"/>
  <c r="Q52" i="135"/>
  <c r="J52" i="135"/>
  <c r="F52" i="135"/>
  <c r="C52" i="135"/>
  <c r="Z51" i="135"/>
  <c r="X51" i="135"/>
  <c r="Q51" i="135"/>
  <c r="J51" i="135"/>
  <c r="F51" i="135"/>
  <c r="C51" i="135"/>
  <c r="Z50" i="135"/>
  <c r="X50" i="135"/>
  <c r="Q50" i="135"/>
  <c r="J50" i="135"/>
  <c r="F50" i="135"/>
  <c r="C50" i="135"/>
  <c r="Z49" i="135"/>
  <c r="X49" i="135"/>
  <c r="Q49" i="135"/>
  <c r="J49" i="135"/>
  <c r="F49" i="135"/>
  <c r="C49" i="135"/>
  <c r="Z48" i="135"/>
  <c r="X48" i="135"/>
  <c r="Q48" i="135"/>
  <c r="J48" i="135"/>
  <c r="F48" i="135"/>
  <c r="C48" i="135"/>
  <c r="Z47" i="135"/>
  <c r="X47" i="135"/>
  <c r="Q47" i="135"/>
  <c r="J47" i="135"/>
  <c r="F47" i="135"/>
  <c r="C47" i="135"/>
  <c r="Z46" i="135"/>
  <c r="X46" i="135"/>
  <c r="W46" i="135"/>
  <c r="V46" i="135"/>
  <c r="T46" i="135"/>
  <c r="Q46" i="135"/>
  <c r="O46" i="135"/>
  <c r="M46" i="135"/>
  <c r="L46" i="135"/>
  <c r="K46" i="135"/>
  <c r="J46" i="135"/>
  <c r="I46" i="135"/>
  <c r="H46" i="135"/>
  <c r="G46" i="135"/>
  <c r="F46" i="135"/>
  <c r="E46" i="135"/>
  <c r="D46" i="135"/>
  <c r="C46" i="135"/>
  <c r="Y45" i="135"/>
  <c r="X45" i="135"/>
  <c r="Q45" i="135"/>
  <c r="J45" i="135"/>
  <c r="F45" i="135"/>
  <c r="C45" i="135"/>
  <c r="Z44" i="135"/>
  <c r="Y44" i="135"/>
  <c r="X44" i="135"/>
  <c r="W44" i="135"/>
  <c r="V44" i="135"/>
  <c r="U44" i="135"/>
  <c r="T44" i="135"/>
  <c r="S44" i="135"/>
  <c r="R44" i="135"/>
  <c r="Q44" i="135"/>
  <c r="O44" i="135"/>
  <c r="M44" i="135"/>
  <c r="L44" i="135"/>
  <c r="K44" i="135"/>
  <c r="J44" i="135"/>
  <c r="I44" i="135"/>
  <c r="H44" i="135"/>
  <c r="G44" i="135"/>
  <c r="F44" i="135"/>
  <c r="E44" i="135"/>
  <c r="D44" i="135"/>
  <c r="C44" i="135"/>
  <c r="X43" i="135"/>
  <c r="V43" i="135"/>
  <c r="T43" i="135"/>
  <c r="R43" i="135"/>
  <c r="Q43" i="135"/>
  <c r="J43" i="135"/>
  <c r="F43" i="135"/>
  <c r="C43" i="135"/>
  <c r="AC42" i="135"/>
  <c r="X42" i="135"/>
  <c r="U42" i="135"/>
  <c r="Q42" i="135"/>
  <c r="K42" i="135"/>
  <c r="J42" i="135"/>
  <c r="F42" i="135"/>
  <c r="C42" i="135"/>
  <c r="X41" i="135"/>
  <c r="V41" i="135"/>
  <c r="Q41" i="135"/>
  <c r="J41" i="135"/>
  <c r="F41" i="135"/>
  <c r="C41" i="135"/>
  <c r="Z40" i="135"/>
  <c r="X40" i="135"/>
  <c r="W40" i="135"/>
  <c r="V40" i="135"/>
  <c r="U40" i="135"/>
  <c r="T40" i="135"/>
  <c r="S40" i="135"/>
  <c r="R40" i="135"/>
  <c r="Q40" i="135"/>
  <c r="O40" i="135"/>
  <c r="M40" i="135"/>
  <c r="L40" i="135"/>
  <c r="K40" i="135"/>
  <c r="J40" i="135"/>
  <c r="I40" i="135"/>
  <c r="H40" i="135"/>
  <c r="G40" i="135"/>
  <c r="F40" i="135"/>
  <c r="E40" i="135"/>
  <c r="D40" i="135"/>
  <c r="C40" i="135"/>
  <c r="Z39" i="135"/>
  <c r="Y39" i="135"/>
  <c r="X39" i="135"/>
  <c r="W39" i="135"/>
  <c r="V39" i="135"/>
  <c r="U39" i="135"/>
  <c r="T39" i="135"/>
  <c r="S39" i="135"/>
  <c r="R39" i="135"/>
  <c r="Q39" i="135"/>
  <c r="O39" i="135"/>
  <c r="N39" i="135"/>
  <c r="M39" i="135"/>
  <c r="L39" i="135"/>
  <c r="K39" i="135"/>
  <c r="J39" i="135"/>
  <c r="I39" i="135"/>
  <c r="H39" i="135"/>
  <c r="G39" i="135"/>
  <c r="F39" i="135"/>
  <c r="E39" i="135"/>
  <c r="D39" i="135"/>
  <c r="C39" i="135"/>
  <c r="Y38" i="135"/>
  <c r="X38" i="135"/>
  <c r="Q38" i="135"/>
  <c r="J38" i="135"/>
  <c r="F38" i="135"/>
  <c r="C38" i="135"/>
  <c r="Z37" i="135"/>
  <c r="Y37" i="135"/>
  <c r="X37" i="135"/>
  <c r="W37" i="135"/>
  <c r="V37" i="135"/>
  <c r="U37" i="135"/>
  <c r="T37" i="135"/>
  <c r="S37" i="135"/>
  <c r="R37" i="135"/>
  <c r="Q37" i="135"/>
  <c r="O37" i="135"/>
  <c r="M37" i="135"/>
  <c r="L37" i="135"/>
  <c r="K37" i="135"/>
  <c r="J37" i="135"/>
  <c r="I37" i="135"/>
  <c r="H37" i="135"/>
  <c r="G37" i="135"/>
  <c r="F37" i="135"/>
  <c r="E37" i="135"/>
  <c r="D37" i="135"/>
  <c r="C37" i="135"/>
  <c r="Z36" i="135"/>
  <c r="X36" i="135"/>
  <c r="W36" i="135"/>
  <c r="V36" i="135"/>
  <c r="T36" i="135"/>
  <c r="Q36" i="135"/>
  <c r="O36" i="135"/>
  <c r="M36" i="135"/>
  <c r="L36" i="135"/>
  <c r="K36" i="135"/>
  <c r="J36" i="135"/>
  <c r="I36" i="135"/>
  <c r="H36" i="135"/>
  <c r="G36" i="135"/>
  <c r="F36" i="135"/>
  <c r="E36" i="135"/>
  <c r="D36" i="135"/>
  <c r="C36" i="135"/>
  <c r="Y35" i="135"/>
  <c r="X35" i="135"/>
  <c r="Q35" i="135"/>
  <c r="J35" i="135"/>
  <c r="F35" i="135"/>
  <c r="C35" i="135"/>
  <c r="Z34" i="135"/>
  <c r="Y34" i="135"/>
  <c r="X34" i="135"/>
  <c r="W34" i="135"/>
  <c r="V34" i="135"/>
  <c r="U34" i="135"/>
  <c r="T34" i="135"/>
  <c r="S34" i="135"/>
  <c r="R34" i="135"/>
  <c r="Q34" i="135"/>
  <c r="O34" i="135"/>
  <c r="M34" i="135"/>
  <c r="L34" i="135"/>
  <c r="K34" i="135"/>
  <c r="J34" i="135"/>
  <c r="I34" i="135"/>
  <c r="H34" i="135"/>
  <c r="G34" i="135"/>
  <c r="F34" i="135"/>
  <c r="E34" i="135"/>
  <c r="D34" i="135"/>
  <c r="C34" i="135"/>
  <c r="Z33" i="135"/>
  <c r="X33" i="135"/>
  <c r="W33" i="135"/>
  <c r="V33" i="135"/>
  <c r="T33" i="135"/>
  <c r="Q33" i="135"/>
  <c r="O33" i="135"/>
  <c r="M33" i="135"/>
  <c r="L33" i="135"/>
  <c r="K33" i="135"/>
  <c r="J33" i="135"/>
  <c r="I33" i="135"/>
  <c r="H33" i="135"/>
  <c r="G33" i="135"/>
  <c r="F33" i="135"/>
  <c r="E33" i="135"/>
  <c r="D33" i="135"/>
  <c r="C33" i="135"/>
  <c r="Z32" i="135"/>
  <c r="X32" i="135"/>
  <c r="Q32" i="135"/>
  <c r="J32" i="135"/>
  <c r="F32" i="135"/>
  <c r="C32" i="135"/>
  <c r="Z31" i="135"/>
  <c r="Y31" i="135"/>
  <c r="X31" i="135"/>
  <c r="W31" i="135"/>
  <c r="V31" i="135"/>
  <c r="U31" i="135"/>
  <c r="T31" i="135"/>
  <c r="S31" i="135"/>
  <c r="R31" i="135"/>
  <c r="Q31" i="135"/>
  <c r="O31" i="135"/>
  <c r="M31" i="135"/>
  <c r="L31" i="135"/>
  <c r="K31" i="135"/>
  <c r="J31" i="135"/>
  <c r="I31" i="135"/>
  <c r="H31" i="135"/>
  <c r="G31" i="135"/>
  <c r="F31" i="135"/>
  <c r="E31" i="135"/>
  <c r="D31" i="135"/>
  <c r="C31" i="135"/>
  <c r="Z30" i="135"/>
  <c r="X30" i="135"/>
  <c r="O30" i="135"/>
  <c r="J30" i="135"/>
  <c r="F30" i="135"/>
  <c r="C30" i="135"/>
  <c r="X29" i="135"/>
  <c r="L29" i="135"/>
  <c r="J29" i="135"/>
  <c r="F29" i="135"/>
  <c r="C29" i="135"/>
  <c r="X28" i="135"/>
  <c r="O28" i="135"/>
  <c r="J28" i="135"/>
  <c r="F28" i="135"/>
  <c r="C28" i="135"/>
  <c r="Z27" i="135"/>
  <c r="X27" i="135"/>
  <c r="W27" i="135"/>
  <c r="V27" i="135"/>
  <c r="T27" i="135"/>
  <c r="Q27" i="135"/>
  <c r="O27" i="135"/>
  <c r="M27" i="135"/>
  <c r="L27" i="135"/>
  <c r="K27" i="135"/>
  <c r="J27" i="135"/>
  <c r="I27" i="135"/>
  <c r="H27" i="135"/>
  <c r="G27" i="135"/>
  <c r="F27" i="135"/>
  <c r="E27" i="135"/>
  <c r="D27" i="135"/>
  <c r="C27" i="135"/>
  <c r="Z26" i="135"/>
  <c r="X26" i="135"/>
  <c r="Q26" i="135"/>
  <c r="J26" i="135"/>
  <c r="F26" i="135"/>
  <c r="C26" i="135"/>
  <c r="X25" i="135"/>
  <c r="Q25" i="135"/>
  <c r="J25" i="135"/>
  <c r="F25" i="135"/>
  <c r="C25" i="135"/>
  <c r="Z24" i="135"/>
  <c r="X24" i="135"/>
  <c r="Q24" i="135"/>
  <c r="J24" i="135"/>
  <c r="F24" i="135"/>
  <c r="C24" i="135"/>
  <c r="Z23" i="135"/>
  <c r="X23" i="135"/>
  <c r="W23" i="135"/>
  <c r="V23" i="135"/>
  <c r="T23" i="135"/>
  <c r="Q23" i="135"/>
  <c r="O23" i="135"/>
  <c r="M23" i="135"/>
  <c r="L23" i="135"/>
  <c r="K23" i="135"/>
  <c r="J23" i="135"/>
  <c r="I23" i="135"/>
  <c r="H23" i="135"/>
  <c r="G23" i="135"/>
  <c r="F23" i="135"/>
  <c r="E23" i="135"/>
  <c r="D23" i="135"/>
  <c r="C23" i="135"/>
  <c r="Z22" i="135"/>
  <c r="X22" i="135"/>
  <c r="Q22" i="135"/>
  <c r="J22" i="135"/>
  <c r="F22" i="135"/>
  <c r="C22" i="135"/>
  <c r="Z21" i="135"/>
  <c r="Y21" i="135"/>
  <c r="X21" i="135"/>
  <c r="W21" i="135"/>
  <c r="V21" i="135"/>
  <c r="U21" i="135"/>
  <c r="T21" i="135"/>
  <c r="S21" i="135"/>
  <c r="R21" i="135"/>
  <c r="Q21" i="135"/>
  <c r="O21" i="135"/>
  <c r="M21" i="135"/>
  <c r="L21" i="135"/>
  <c r="K21" i="135"/>
  <c r="J21" i="135"/>
  <c r="I21" i="135"/>
  <c r="H21" i="135"/>
  <c r="G21" i="135"/>
  <c r="F21" i="135"/>
  <c r="E21" i="135"/>
  <c r="D21" i="135"/>
  <c r="C21" i="135"/>
  <c r="X20" i="135"/>
  <c r="K20" i="135"/>
  <c r="J20" i="135"/>
  <c r="C19" i="135"/>
  <c r="X18" i="135"/>
  <c r="J18" i="135"/>
  <c r="C18" i="135"/>
  <c r="X17" i="135"/>
  <c r="U17" i="135"/>
  <c r="Q17" i="135"/>
  <c r="K17" i="135"/>
  <c r="J17" i="135"/>
  <c r="F17" i="135"/>
  <c r="C17" i="135"/>
  <c r="X16" i="135"/>
  <c r="V16" i="135"/>
  <c r="Q16" i="135"/>
  <c r="J16" i="135"/>
  <c r="G16" i="135"/>
  <c r="F16" i="135"/>
  <c r="C16" i="135"/>
  <c r="Z15" i="135"/>
  <c r="X15" i="135"/>
  <c r="W15" i="135"/>
  <c r="V15" i="135"/>
  <c r="T15" i="135"/>
  <c r="Q15" i="135"/>
  <c r="O15" i="135"/>
  <c r="M15" i="135"/>
  <c r="L15" i="135"/>
  <c r="K15" i="135"/>
  <c r="J15" i="135"/>
  <c r="I15" i="135"/>
  <c r="H15" i="135"/>
  <c r="G15" i="135"/>
  <c r="F15" i="135"/>
  <c r="E15" i="135"/>
  <c r="D15" i="135"/>
  <c r="C15" i="135"/>
  <c r="Z14" i="135"/>
  <c r="Y14" i="135"/>
  <c r="X14" i="135"/>
  <c r="W14" i="135"/>
  <c r="V14" i="135"/>
  <c r="U14" i="135"/>
  <c r="T14" i="135"/>
  <c r="S14" i="135"/>
  <c r="R14" i="135"/>
  <c r="Q14" i="135"/>
  <c r="O14" i="135"/>
  <c r="N14" i="135"/>
  <c r="M14" i="135"/>
  <c r="L14" i="135"/>
  <c r="K14" i="135"/>
  <c r="J14" i="135"/>
  <c r="I14" i="135"/>
  <c r="H14" i="135"/>
  <c r="G14" i="135"/>
  <c r="F14" i="135"/>
  <c r="E14" i="135"/>
  <c r="D14" i="135"/>
  <c r="C14" i="135"/>
  <c r="AA13" i="135"/>
  <c r="Z13" i="135"/>
  <c r="Y13" i="135"/>
  <c r="X13" i="135"/>
  <c r="W13" i="135"/>
  <c r="V13" i="135"/>
  <c r="U13" i="135"/>
  <c r="T13" i="135"/>
  <c r="S13" i="135"/>
  <c r="R13" i="135"/>
  <c r="Q13" i="135"/>
  <c r="O13" i="135"/>
  <c r="N13" i="135"/>
  <c r="M13" i="135"/>
  <c r="L13" i="135"/>
  <c r="K13" i="135"/>
  <c r="J13" i="135"/>
  <c r="I13" i="135"/>
  <c r="H13" i="135"/>
  <c r="G13" i="135"/>
  <c r="F13" i="135"/>
  <c r="E13" i="135"/>
  <c r="D13" i="135"/>
  <c r="C13" i="135"/>
  <c r="AA12" i="135"/>
  <c r="Z12" i="135"/>
  <c r="Y12" i="135"/>
  <c r="X12" i="135"/>
  <c r="W12" i="135"/>
  <c r="V12" i="135"/>
  <c r="U12" i="135"/>
  <c r="T12" i="135"/>
  <c r="S12" i="135"/>
  <c r="R12" i="135"/>
  <c r="Q12" i="135"/>
  <c r="O12" i="135"/>
  <c r="N12" i="135"/>
  <c r="M12" i="135"/>
  <c r="L12" i="135"/>
  <c r="K12" i="135"/>
  <c r="J12" i="135"/>
  <c r="I12" i="135"/>
  <c r="H12" i="135"/>
  <c r="G12" i="135"/>
  <c r="F12" i="135"/>
  <c r="E12" i="135"/>
  <c r="D12" i="135"/>
  <c r="C12" i="135"/>
  <c r="AA11" i="135"/>
  <c r="Z11" i="135"/>
  <c r="Y11" i="135"/>
  <c r="X11" i="135"/>
  <c r="W11" i="135"/>
  <c r="V11" i="135"/>
  <c r="T11" i="135"/>
  <c r="S11" i="135"/>
  <c r="R11" i="135"/>
  <c r="O11" i="135"/>
  <c r="N11" i="135"/>
  <c r="M11" i="135"/>
  <c r="L11" i="135"/>
  <c r="I11" i="135"/>
  <c r="H11" i="135"/>
  <c r="G11" i="135"/>
  <c r="F11" i="135"/>
  <c r="E11" i="135"/>
  <c r="D11" i="135"/>
  <c r="C11" i="135"/>
  <c r="M12" i="136"/>
  <c r="J12" i="136" s="1"/>
  <c r="J11" i="136" s="1"/>
  <c r="G12" i="136"/>
  <c r="C12" i="136" s="1"/>
  <c r="C11" i="136" s="1"/>
  <c r="D12" i="136"/>
  <c r="R11" i="136"/>
  <c r="Q11" i="136"/>
  <c r="P11" i="136"/>
  <c r="N11" i="136"/>
  <c r="L11" i="136"/>
  <c r="K11" i="136"/>
  <c r="I11" i="136"/>
  <c r="H11" i="136"/>
  <c r="F11" i="136"/>
  <c r="E11" i="136"/>
  <c r="D11" i="136"/>
  <c r="A4" i="136"/>
  <c r="A3" i="144" s="1"/>
  <c r="N62" i="123"/>
  <c r="N56" i="123"/>
  <c r="N55" i="123"/>
  <c r="M55" i="123"/>
  <c r="M52" i="123"/>
  <c r="N51" i="123"/>
  <c r="N50" i="123"/>
  <c r="O49" i="123"/>
  <c r="O48" i="123"/>
  <c r="N48" i="123"/>
  <c r="O47" i="123"/>
  <c r="Z8" i="123"/>
  <c r="X8" i="123"/>
  <c r="W8" i="123"/>
  <c r="Q8" i="123"/>
  <c r="H8" i="123"/>
  <c r="D8" i="123"/>
  <c r="C8" i="123"/>
  <c r="D51" i="139"/>
  <c r="F49" i="139"/>
  <c r="E49" i="139"/>
  <c r="E48" i="139"/>
  <c r="F47" i="139"/>
  <c r="E47" i="139"/>
  <c r="F46" i="139"/>
  <c r="E46" i="139"/>
  <c r="D46" i="139"/>
  <c r="C46" i="139"/>
  <c r="F45" i="139"/>
  <c r="E45" i="139"/>
  <c r="F44" i="139"/>
  <c r="E44" i="139"/>
  <c r="D44" i="139"/>
  <c r="C44" i="139"/>
  <c r="F43" i="139"/>
  <c r="E43" i="139"/>
  <c r="G42" i="139"/>
  <c r="F42" i="139"/>
  <c r="E42" i="139"/>
  <c r="D42" i="139"/>
  <c r="C42" i="139"/>
  <c r="F38" i="139"/>
  <c r="E38" i="139"/>
  <c r="D38" i="139"/>
  <c r="C38" i="139"/>
  <c r="F37" i="139"/>
  <c r="E37" i="139"/>
  <c r="D37" i="139"/>
  <c r="C37" i="139"/>
  <c r="E36" i="139"/>
  <c r="H35" i="139"/>
  <c r="F35" i="139"/>
  <c r="E35" i="139"/>
  <c r="H34" i="139"/>
  <c r="F34" i="139"/>
  <c r="E34" i="139"/>
  <c r="H33" i="139"/>
  <c r="E33" i="139"/>
  <c r="D33" i="139"/>
  <c r="C33" i="139"/>
  <c r="F32" i="139"/>
  <c r="E32" i="139"/>
  <c r="F31" i="139"/>
  <c r="E31" i="139"/>
  <c r="F30" i="139"/>
  <c r="E30" i="139"/>
  <c r="D30" i="139"/>
  <c r="C30" i="139"/>
  <c r="H29" i="139"/>
  <c r="F29" i="139"/>
  <c r="E29" i="139"/>
  <c r="D29" i="139"/>
  <c r="C29" i="139"/>
  <c r="H28" i="139"/>
  <c r="F28" i="139"/>
  <c r="E28" i="139"/>
  <c r="D28" i="139"/>
  <c r="C28" i="139"/>
  <c r="H27" i="139"/>
  <c r="E27" i="139"/>
  <c r="G26" i="139"/>
  <c r="E26" i="139"/>
  <c r="H25" i="139"/>
  <c r="F25" i="139"/>
  <c r="E25" i="139"/>
  <c r="G24" i="139"/>
  <c r="E24" i="139"/>
  <c r="F23" i="139"/>
  <c r="E23" i="139"/>
  <c r="F22" i="139"/>
  <c r="E22" i="139"/>
  <c r="F21" i="139"/>
  <c r="E21" i="139"/>
  <c r="D21" i="139"/>
  <c r="C21" i="139"/>
  <c r="F20" i="139"/>
  <c r="E20" i="139"/>
  <c r="D20" i="139"/>
  <c r="C20" i="139"/>
  <c r="G19" i="139"/>
  <c r="E19" i="139"/>
  <c r="E18" i="139"/>
  <c r="E17" i="139"/>
  <c r="E16" i="139"/>
  <c r="G15" i="139"/>
  <c r="F15" i="139"/>
  <c r="E15" i="139"/>
  <c r="D15" i="139"/>
  <c r="F14" i="139"/>
  <c r="E14" i="139"/>
  <c r="C14" i="139"/>
  <c r="F13" i="139"/>
  <c r="E13" i="139"/>
  <c r="D13" i="139"/>
  <c r="C13" i="139"/>
  <c r="E12" i="139"/>
  <c r="E11" i="139"/>
  <c r="F10" i="139"/>
  <c r="E10" i="139"/>
  <c r="D10" i="139"/>
  <c r="F9" i="139"/>
  <c r="E9" i="139"/>
  <c r="D9" i="139"/>
  <c r="C9" i="139"/>
  <c r="A1" i="139"/>
  <c r="S9" i="122"/>
  <c r="P9" i="122"/>
  <c r="O9" i="122"/>
  <c r="M9" i="122"/>
  <c r="J9" i="122"/>
  <c r="D9" i="122"/>
  <c r="C9" i="122"/>
  <c r="S8" i="122"/>
  <c r="R8" i="122"/>
  <c r="Q8" i="122"/>
  <c r="P8" i="122"/>
  <c r="O8" i="122"/>
  <c r="N8" i="122"/>
  <c r="M8" i="122"/>
  <c r="L8" i="122"/>
  <c r="K8" i="122"/>
  <c r="J8" i="122"/>
  <c r="I8" i="122"/>
  <c r="H8" i="122"/>
  <c r="G8" i="122"/>
  <c r="F8" i="122"/>
  <c r="E8" i="122"/>
  <c r="D8" i="122"/>
  <c r="C8" i="122"/>
  <c r="N62" i="137"/>
  <c r="N56" i="137"/>
  <c r="N55" i="137"/>
  <c r="M55" i="137"/>
  <c r="M52" i="137"/>
  <c r="N51" i="137"/>
  <c r="N50" i="137"/>
  <c r="O49" i="137"/>
  <c r="O48" i="137"/>
  <c r="N48" i="137"/>
  <c r="O47" i="137"/>
  <c r="Z8" i="137"/>
  <c r="X8" i="137"/>
  <c r="W8" i="137"/>
  <c r="Q8" i="137"/>
  <c r="H8" i="137"/>
  <c r="D8" i="137"/>
  <c r="C8" i="137"/>
  <c r="A22" i="133"/>
  <c r="A19" i="133"/>
  <c r="A17" i="133"/>
  <c r="L22" i="134"/>
  <c r="J22" i="134"/>
  <c r="I22" i="134"/>
  <c r="G22" i="134"/>
  <c r="C22" i="134"/>
  <c r="L21" i="134"/>
  <c r="J21" i="134"/>
  <c r="I21" i="134"/>
  <c r="G21" i="134"/>
  <c r="C21" i="134"/>
  <c r="L20" i="134"/>
  <c r="K20" i="134"/>
  <c r="J20" i="134"/>
  <c r="I20" i="134"/>
  <c r="G20" i="134"/>
  <c r="C20" i="134"/>
  <c r="L19" i="134"/>
  <c r="K19" i="134"/>
  <c r="J19" i="134"/>
  <c r="I19" i="134"/>
  <c r="H19" i="134"/>
  <c r="G19" i="134"/>
  <c r="F19" i="134"/>
  <c r="E19" i="134"/>
  <c r="D19" i="134"/>
  <c r="C19" i="134"/>
  <c r="G18" i="134"/>
  <c r="C18" i="134"/>
  <c r="K17" i="134"/>
  <c r="J17" i="134"/>
  <c r="I17" i="134"/>
  <c r="G17" i="134"/>
  <c r="C17" i="134"/>
  <c r="L16" i="134"/>
  <c r="K16" i="134"/>
  <c r="J16" i="134"/>
  <c r="I16" i="134"/>
  <c r="H16" i="134"/>
  <c r="G16" i="134"/>
  <c r="C16" i="134"/>
  <c r="L15" i="134"/>
  <c r="K15" i="134"/>
  <c r="J15" i="134"/>
  <c r="I15" i="134"/>
  <c r="H15" i="134"/>
  <c r="G15" i="134"/>
  <c r="F15" i="134"/>
  <c r="E15" i="134"/>
  <c r="D15" i="134"/>
  <c r="C15" i="134"/>
  <c r="L14" i="134"/>
  <c r="K14" i="134"/>
  <c r="J14" i="134"/>
  <c r="I14" i="134"/>
  <c r="H14" i="134"/>
  <c r="G14" i="134"/>
  <c r="F14" i="134"/>
  <c r="E14" i="134"/>
  <c r="D14" i="134"/>
  <c r="C14" i="134"/>
  <c r="L13" i="134"/>
  <c r="I13" i="134"/>
  <c r="G13" i="134"/>
  <c r="C13" i="134"/>
  <c r="L12" i="134"/>
  <c r="K12" i="134"/>
  <c r="J12" i="134"/>
  <c r="G12" i="134"/>
  <c r="C12" i="134"/>
  <c r="L11" i="134"/>
  <c r="K11" i="134"/>
  <c r="J11" i="134"/>
  <c r="I11" i="134"/>
  <c r="H11" i="134"/>
  <c r="G11" i="134"/>
  <c r="F11" i="134"/>
  <c r="E11" i="134"/>
  <c r="D11" i="134"/>
  <c r="C11" i="134"/>
  <c r="L10" i="134"/>
  <c r="K10" i="134"/>
  <c r="J10" i="134"/>
  <c r="I10" i="134"/>
  <c r="H10" i="134"/>
  <c r="G10" i="134"/>
  <c r="F10" i="134"/>
  <c r="E10" i="134"/>
  <c r="D10" i="134"/>
  <c r="C10" i="134"/>
  <c r="L9" i="134"/>
  <c r="K9" i="134"/>
  <c r="J9" i="134"/>
  <c r="I9" i="134"/>
  <c r="H9" i="134"/>
  <c r="G9" i="134"/>
  <c r="F9" i="134"/>
  <c r="E9" i="134"/>
  <c r="D9" i="134"/>
  <c r="C9" i="134"/>
  <c r="E101" i="74"/>
  <c r="E100" i="74"/>
  <c r="E99" i="74"/>
  <c r="E98" i="74"/>
  <c r="E97" i="74"/>
  <c r="E96" i="74"/>
  <c r="E95" i="74"/>
  <c r="E94" i="74"/>
  <c r="E93" i="74"/>
  <c r="E92" i="74"/>
  <c r="E91" i="74"/>
  <c r="E87" i="74"/>
  <c r="E86" i="74"/>
  <c r="E85" i="74"/>
  <c r="E83" i="74"/>
  <c r="E78" i="74"/>
  <c r="E77" i="74"/>
  <c r="E62" i="74"/>
  <c r="E61" i="74"/>
  <c r="E60" i="74"/>
  <c r="E59" i="74"/>
  <c r="E58" i="74"/>
  <c r="E57" i="74"/>
  <c r="E56" i="74"/>
  <c r="E55" i="74"/>
  <c r="E54" i="74"/>
  <c r="E52" i="74"/>
  <c r="E51" i="74"/>
  <c r="E50" i="74"/>
  <c r="E49" i="74"/>
  <c r="E48" i="74"/>
  <c r="E41" i="74"/>
  <c r="E38" i="74"/>
  <c r="E37" i="74"/>
  <c r="E36" i="74"/>
  <c r="E35" i="74"/>
  <c r="E34" i="74"/>
  <c r="E33" i="74"/>
  <c r="E32" i="74"/>
  <c r="E31" i="74"/>
  <c r="E30" i="74"/>
  <c r="E29" i="74"/>
  <c r="E28" i="74"/>
  <c r="E27" i="74"/>
  <c r="E26" i="74"/>
  <c r="E25" i="74"/>
  <c r="E24" i="74"/>
  <c r="E23" i="74"/>
  <c r="E22" i="74"/>
  <c r="E21" i="74"/>
  <c r="E20" i="74"/>
  <c r="E19" i="74"/>
  <c r="E18" i="74"/>
  <c r="E17" i="74"/>
  <c r="E15" i="74"/>
  <c r="E14" i="74"/>
  <c r="E13" i="74"/>
  <c r="E12" i="74"/>
  <c r="E11" i="74"/>
  <c r="E9" i="74"/>
  <c r="E8" i="74"/>
  <c r="E7" i="74"/>
  <c r="E6" i="74"/>
  <c r="A3" i="135" l="1"/>
  <c r="A3" i="157"/>
  <c r="A3" i="120"/>
  <c r="A3" i="143" s="1"/>
  <c r="A3" i="142" s="1"/>
  <c r="A3" i="154"/>
  <c r="F9" i="60"/>
  <c r="H14" i="60"/>
  <c r="G25" i="60"/>
  <c r="G30" i="60"/>
  <c r="H26" i="60"/>
  <c r="H31" i="60"/>
  <c r="E11" i="60"/>
  <c r="E10" i="60" s="1"/>
  <c r="A3" i="161"/>
  <c r="A4" i="83"/>
  <c r="A4" i="62"/>
  <c r="I20" i="159"/>
  <c r="I19" i="159" s="1"/>
  <c r="I18" i="159" s="1"/>
  <c r="I13" i="159" s="1"/>
  <c r="I12" i="159" s="1"/>
  <c r="R21" i="159"/>
  <c r="N21" i="159" s="1"/>
  <c r="R22" i="159"/>
  <c r="X22" i="159" s="1"/>
  <c r="J20" i="159"/>
  <c r="J19" i="159" s="1"/>
  <c r="J18" i="159" s="1"/>
  <c r="J13" i="159" s="1"/>
  <c r="J12" i="159" s="1"/>
  <c r="J11" i="159" s="1"/>
  <c r="C22" i="159"/>
  <c r="D20" i="159"/>
  <c r="D19" i="159" s="1"/>
  <c r="D18" i="159" s="1"/>
  <c r="D13" i="159" s="1"/>
  <c r="D12" i="159" s="1"/>
  <c r="C21" i="159"/>
  <c r="J14" i="151"/>
  <c r="H18" i="60"/>
  <c r="H28" i="60"/>
  <c r="E23" i="60"/>
  <c r="G23" i="60" s="1"/>
  <c r="G24" i="60"/>
  <c r="G29" i="60"/>
  <c r="H32" i="60"/>
  <c r="G33" i="60"/>
  <c r="G34" i="60"/>
  <c r="D11" i="60"/>
  <c r="D10" i="60"/>
  <c r="D9" i="60" s="1"/>
  <c r="J11" i="60"/>
  <c r="C10" i="60"/>
  <c r="C21" i="119"/>
  <c r="I21" i="119" s="1"/>
  <c r="J18" i="119"/>
  <c r="C18" i="119"/>
  <c r="I18" i="119" s="1"/>
  <c r="C20" i="119"/>
  <c r="I20" i="119" s="1"/>
  <c r="D10" i="119"/>
  <c r="I72" i="159"/>
  <c r="I71" i="159" s="1"/>
  <c r="I70" i="159" s="1"/>
  <c r="I69" i="159" s="1"/>
  <c r="I68" i="159" s="1"/>
  <c r="S77" i="159"/>
  <c r="N77" i="159" s="1"/>
  <c r="S78" i="159"/>
  <c r="N78" i="159" s="1"/>
  <c r="D49" i="160"/>
  <c r="K12" i="159"/>
  <c r="K11" i="159" s="1"/>
  <c r="X72" i="159"/>
  <c r="S75" i="159"/>
  <c r="C74" i="159"/>
  <c r="C73" i="159" s="1"/>
  <c r="F27" i="159"/>
  <c r="V45" i="159"/>
  <c r="O12" i="136"/>
  <c r="S12" i="136" s="1"/>
  <c r="S11" i="136" s="1"/>
  <c r="M11" i="136"/>
  <c r="H23" i="159"/>
  <c r="H18" i="159" s="1"/>
  <c r="H13" i="159" s="1"/>
  <c r="F26" i="159"/>
  <c r="F23" i="159" s="1"/>
  <c r="F18" i="159" s="1"/>
  <c r="F13" i="159" s="1"/>
  <c r="H27" i="159"/>
  <c r="D71" i="159"/>
  <c r="D70" i="159" s="1"/>
  <c r="C72" i="159"/>
  <c r="N72" i="159"/>
  <c r="N71" i="159" s="1"/>
  <c r="N70" i="159" s="1"/>
  <c r="D74" i="159"/>
  <c r="D73" i="159" s="1"/>
  <c r="H7" i="167"/>
  <c r="C7" i="167" s="1"/>
  <c r="H7" i="169"/>
  <c r="D62" i="119"/>
  <c r="F23" i="119"/>
  <c r="F9" i="119" s="1"/>
  <c r="J9" i="180"/>
  <c r="G8" i="119"/>
  <c r="H61" i="119"/>
  <c r="H8" i="119" s="1"/>
  <c r="K8" i="119" s="1"/>
  <c r="K9" i="180"/>
  <c r="J150" i="180" s="1"/>
  <c r="J151" i="180" s="1"/>
  <c r="J155" i="180" s="1"/>
  <c r="A3" i="145"/>
  <c r="A3" i="162"/>
  <c r="A3" i="164"/>
  <c r="Q90" i="135"/>
  <c r="A3" i="159"/>
  <c r="E9" i="60" l="1"/>
  <c r="F45" i="60"/>
  <c r="H11" i="60"/>
  <c r="G11" i="60"/>
  <c r="I11" i="159"/>
  <c r="R20" i="159"/>
  <c r="R19" i="159" s="1"/>
  <c r="R18" i="159" s="1"/>
  <c r="R13" i="159" s="1"/>
  <c r="R12" i="159" s="1"/>
  <c r="R11" i="159" s="1"/>
  <c r="C20" i="159"/>
  <c r="C19" i="159" s="1"/>
  <c r="C18" i="159" s="1"/>
  <c r="C13" i="159" s="1"/>
  <c r="C12" i="159" s="1"/>
  <c r="N22" i="159"/>
  <c r="N20" i="159" s="1"/>
  <c r="N19" i="159" s="1"/>
  <c r="N18" i="159" s="1"/>
  <c r="N13" i="159" s="1"/>
  <c r="N12" i="159" s="1"/>
  <c r="J7" i="151"/>
  <c r="L14" i="151"/>
  <c r="L7" i="151" s="1"/>
  <c r="H23" i="60"/>
  <c r="H10" i="60"/>
  <c r="G10" i="60"/>
  <c r="C9" i="60"/>
  <c r="C10" i="119"/>
  <c r="D9" i="119"/>
  <c r="J9" i="119" s="1"/>
  <c r="J10" i="119"/>
  <c r="O11" i="136"/>
  <c r="F12" i="159"/>
  <c r="F11" i="159" s="1"/>
  <c r="H12" i="159"/>
  <c r="H11" i="159" s="1"/>
  <c r="D69" i="159"/>
  <c r="D68" i="159" s="1"/>
  <c r="D11" i="159" s="1"/>
  <c r="S72" i="159"/>
  <c r="S71" i="159" s="1"/>
  <c r="S70" i="159" s="1"/>
  <c r="C71" i="159"/>
  <c r="C70" i="159" s="1"/>
  <c r="C69" i="159" s="1"/>
  <c r="C68" i="159" s="1"/>
  <c r="V27" i="159"/>
  <c r="V12" i="159" s="1"/>
  <c r="V11" i="159" s="1"/>
  <c r="U45" i="159"/>
  <c r="U27" i="159" s="1"/>
  <c r="U12" i="159" s="1"/>
  <c r="U11" i="159" s="1"/>
  <c r="N75" i="159"/>
  <c r="N74" i="159" s="1"/>
  <c r="N73" i="159" s="1"/>
  <c r="N69" i="159" s="1"/>
  <c r="N68" i="159" s="1"/>
  <c r="S74" i="159"/>
  <c r="S73" i="159" s="1"/>
  <c r="X23" i="159"/>
  <c r="N9" i="167"/>
  <c r="H9" i="167"/>
  <c r="H25" i="167" s="1"/>
  <c r="N9" i="169"/>
  <c r="H9" i="169"/>
  <c r="C7" i="169"/>
  <c r="C62" i="119"/>
  <c r="J11" i="180"/>
  <c r="J8" i="180"/>
  <c r="E44" i="60"/>
  <c r="E45" i="60" s="1"/>
  <c r="F61" i="119"/>
  <c r="F8" i="119" s="1"/>
  <c r="U90" i="135"/>
  <c r="U61" i="135" s="1"/>
  <c r="U11" i="135" s="1"/>
  <c r="Q61" i="135"/>
  <c r="Q11" i="135" s="1"/>
  <c r="C9" i="167" l="1"/>
  <c r="C11" i="159"/>
  <c r="H15" i="167"/>
  <c r="C15" i="167" s="1"/>
  <c r="N11" i="159"/>
  <c r="H9" i="60"/>
  <c r="G9" i="60"/>
  <c r="D8" i="119"/>
  <c r="J8" i="119" s="1"/>
  <c r="I10" i="119"/>
  <c r="C9" i="119"/>
  <c r="I9" i="119" s="1"/>
  <c r="S69" i="159"/>
  <c r="S68" i="159" s="1"/>
  <c r="S11" i="159" s="1"/>
  <c r="H25" i="169"/>
  <c r="C9" i="169"/>
  <c r="H15" i="169"/>
  <c r="H45" i="60"/>
  <c r="H17" i="167" l="1"/>
  <c r="C17" i="167" s="1"/>
  <c r="G45" i="60"/>
  <c r="C8" i="119"/>
  <c r="I8" i="119" s="1"/>
  <c r="H17" i="169"/>
  <c r="C15" i="169"/>
  <c r="H18" i="167"/>
  <c r="C18" i="167" l="1"/>
  <c r="H47" i="167"/>
  <c r="C17" i="169"/>
  <c r="H18" i="169"/>
  <c r="H47" i="169" l="1"/>
  <c r="C18" i="169"/>
  <c r="G51" i="139" l="1"/>
  <c r="F11" i="173"/>
  <c r="F15" i="145"/>
  <c r="F16" i="164"/>
</calcChain>
</file>

<file path=xl/comments1.xml><?xml version="1.0" encoding="utf-8"?>
<comments xmlns="http://schemas.openxmlformats.org/spreadsheetml/2006/main">
  <authors>
    <author>TCKH</author>
  </authors>
  <commentList>
    <comment ref="V42" authorId="0">
      <text>
        <r>
          <rPr>
            <b/>
            <sz val="9"/>
            <color indexed="81"/>
            <rFont val="Tahoma"/>
            <family val="2"/>
          </rPr>
          <t>TCKH:</t>
        </r>
        <r>
          <rPr>
            <sz val="9"/>
            <color indexed="81"/>
            <rFont val="Tahoma"/>
            <family val="2"/>
          </rPr>
          <t xml:space="preserve">
Rã bản 1812
Rã bản: 1đ
</t>
        </r>
      </text>
    </comment>
    <comment ref="Z50" authorId="0">
      <text>
        <r>
          <rPr>
            <b/>
            <sz val="9"/>
            <color indexed="81"/>
            <rFont val="Tahoma"/>
            <family val="2"/>
          </rPr>
          <t>TCKH:</t>
        </r>
        <r>
          <rPr>
            <sz val="9"/>
            <color indexed="81"/>
            <rFont val="Tahoma"/>
            <family val="2"/>
          </rPr>
          <t xml:space="preserve">
Tồng của xã Đông Viên</t>
        </r>
      </text>
    </comment>
  </commentList>
</comments>
</file>

<file path=xl/comments2.xml><?xml version="1.0" encoding="utf-8"?>
<comments xmlns="http://schemas.openxmlformats.org/spreadsheetml/2006/main">
  <authors>
    <author>hai_pc</author>
  </authors>
  <commentList>
    <comment ref="AT9" authorId="0">
      <text>
        <r>
          <rPr>
            <b/>
            <sz val="9"/>
            <color indexed="81"/>
            <rFont val="Tahoma"/>
            <family val="2"/>
          </rPr>
          <t>hai_pc:</t>
        </r>
        <r>
          <rPr>
            <sz val="9"/>
            <color indexed="81"/>
            <rFont val="Tahoma"/>
            <family val="2"/>
          </rPr>
          <t xml:space="preserve">
Huyện Ba Bể</t>
        </r>
      </text>
    </comment>
    <comment ref="AS10" authorId="0">
      <text>
        <r>
          <rPr>
            <b/>
            <sz val="9"/>
            <color indexed="81"/>
            <rFont val="Tahoma"/>
            <family val="2"/>
          </rPr>
          <t>hai_pc:</t>
        </r>
        <r>
          <rPr>
            <sz val="9"/>
            <color indexed="81"/>
            <rFont val="Tahoma"/>
            <family val="2"/>
          </rPr>
          <t xml:space="preserve">
Huyện NS tăng thu 2021 so với năm 2020, nên sẽ phân bổ vào các lĩnh vực chi cho phù hợp</t>
        </r>
      </text>
    </comment>
    <comment ref="G21" authorId="0">
      <text>
        <r>
          <rPr>
            <b/>
            <sz val="9"/>
            <color indexed="81"/>
            <rFont val="Tahoma"/>
            <family val="2"/>
          </rPr>
          <t>hai_pc:</t>
        </r>
        <r>
          <rPr>
            <sz val="9"/>
            <color indexed="81"/>
            <rFont val="Tahoma"/>
            <family val="2"/>
          </rPr>
          <t xml:space="preserve">
Bao gồm 10% thu tiền sử dụng đất cho công tác đo đạc lập bản đô, cấp GCNQSD đất</t>
        </r>
      </text>
    </comment>
  </commentList>
</comments>
</file>

<file path=xl/comments3.xml><?xml version="1.0" encoding="utf-8"?>
<comments xmlns="http://schemas.openxmlformats.org/spreadsheetml/2006/main">
  <authors>
    <author>Admin</author>
    <author>Administrator</author>
    <author>Hoàng Hiệu</author>
  </authors>
  <commentList>
    <comment ref="D22" authorId="0">
      <text>
        <r>
          <rPr>
            <b/>
            <sz val="9"/>
            <color indexed="81"/>
            <rFont val="Tahoma"/>
            <family val="2"/>
          </rPr>
          <t>Admin:</t>
        </r>
        <r>
          <rPr>
            <sz val="9"/>
            <color indexed="81"/>
            <rFont val="Tahoma"/>
            <family val="2"/>
          </rPr>
          <t xml:space="preserve">
đã bao gồm phân bổ lại từ thu kết dư của các xã về 
</t>
        </r>
      </text>
    </comment>
    <comment ref="K38" authorId="0">
      <text>
        <r>
          <rPr>
            <b/>
            <sz val="9"/>
            <color indexed="81"/>
            <rFont val="Tahoma"/>
            <family val="2"/>
          </rPr>
          <t>Admin:</t>
        </r>
        <r>
          <rPr>
            <sz val="9"/>
            <color indexed="81"/>
            <rFont val="Tahoma"/>
            <family val="2"/>
          </rPr>
          <t xml:space="preserve">
giáo dục: 
LĐ: 
TTGDNN: </t>
        </r>
      </text>
    </comment>
    <comment ref="F65" authorId="1">
      <text>
        <r>
          <rPr>
            <b/>
            <sz val="9"/>
            <color indexed="81"/>
            <rFont val="Tahoma"/>
            <family val="2"/>
          </rPr>
          <t>Administrator:</t>
        </r>
        <r>
          <rPr>
            <sz val="9"/>
            <color indexed="81"/>
            <rFont val="Tahoma"/>
            <family val="2"/>
          </rPr>
          <t xml:space="preserve">
Dư tại huyện chưa phân bổ</t>
        </r>
      </text>
    </comment>
    <comment ref="B102" authorId="2">
      <text>
        <r>
          <rPr>
            <b/>
            <sz val="9"/>
            <color indexed="81"/>
            <rFont val="Tahoma"/>
            <family val="2"/>
          </rPr>
          <t>Hoàng Hiệu:</t>
        </r>
        <r>
          <rPr>
            <sz val="9"/>
            <color indexed="81"/>
            <rFont val="Tahoma"/>
            <family val="2"/>
          </rPr>
          <t xml:space="preserve">
QĐ QĐ 283, 
2377, 3210</t>
        </r>
      </text>
    </comment>
    <comment ref="B131" authorId="2">
      <text>
        <r>
          <rPr>
            <b/>
            <sz val="9"/>
            <color indexed="81"/>
            <rFont val="Tahoma"/>
            <family val="2"/>
          </rPr>
          <t>Hoàng Hiệu:</t>
        </r>
        <r>
          <rPr>
            <sz val="9"/>
            <color indexed="81"/>
            <rFont val="Tahoma"/>
            <family val="2"/>
          </rPr>
          <t xml:space="preserve">
Xem lại nguồn
QĐ 2372</t>
        </r>
      </text>
    </comment>
    <comment ref="B133" authorId="2">
      <text>
        <r>
          <rPr>
            <b/>
            <sz val="9"/>
            <color indexed="81"/>
            <rFont val="Tahoma"/>
            <family val="2"/>
          </rPr>
          <t>Hoàng Hiệu:</t>
        </r>
        <r>
          <rPr>
            <sz val="9"/>
            <color indexed="81"/>
            <rFont val="Tahoma"/>
            <family val="2"/>
          </rPr>
          <t xml:space="preserve">
QĐ 3295</t>
        </r>
      </text>
    </comment>
  </commentList>
</comments>
</file>

<file path=xl/comments4.xml><?xml version="1.0" encoding="utf-8"?>
<comments xmlns="http://schemas.openxmlformats.org/spreadsheetml/2006/main">
  <authors>
    <author>Hoàng Hiệu</author>
  </authors>
  <commentList>
    <comment ref="B89" authorId="0">
      <text>
        <r>
          <rPr>
            <b/>
            <sz val="9"/>
            <color indexed="81"/>
            <rFont val="Tahoma"/>
            <family val="2"/>
          </rPr>
          <t>Hoàng Hiệu:</t>
        </r>
        <r>
          <rPr>
            <sz val="9"/>
            <color indexed="81"/>
            <rFont val="Tahoma"/>
            <family val="2"/>
          </rPr>
          <t xml:space="preserve">
QĐ QĐ 283, 
2377, 3210</t>
        </r>
      </text>
    </comment>
  </commentList>
</comments>
</file>

<file path=xl/comments5.xml><?xml version="1.0" encoding="utf-8"?>
<comments xmlns="http://schemas.openxmlformats.org/spreadsheetml/2006/main">
  <authors>
    <author>longqlns</author>
  </authors>
  <commentList>
    <comment ref="A5" authorId="0">
      <text>
        <r>
          <rPr>
            <b/>
            <sz val="9"/>
            <color indexed="81"/>
            <rFont val="Tahoma"/>
            <family val="2"/>
          </rPr>
          <t>longqlns:</t>
        </r>
        <r>
          <rPr>
            <sz val="9"/>
            <color indexed="81"/>
            <rFont val="Tahoma"/>
            <family val="2"/>
          </rPr>
          <t xml:space="preserve">
</t>
        </r>
      </text>
    </comment>
  </commentList>
</comments>
</file>

<file path=xl/comments6.xml><?xml version="1.0" encoding="utf-8"?>
<comments xmlns="http://schemas.openxmlformats.org/spreadsheetml/2006/main">
  <authors>
    <author>longqlns</author>
  </authors>
  <commentList>
    <comment ref="A5" authorId="0">
      <text>
        <r>
          <rPr>
            <b/>
            <sz val="9"/>
            <color indexed="81"/>
            <rFont val="Tahoma"/>
            <family val="2"/>
          </rPr>
          <t>longqlns:</t>
        </r>
        <r>
          <rPr>
            <sz val="9"/>
            <color indexed="81"/>
            <rFont val="Tahoma"/>
            <family val="2"/>
          </rPr>
          <t xml:space="preserve">
</t>
        </r>
      </text>
    </comment>
  </commentList>
</comments>
</file>

<file path=xl/comments7.xml><?xml version="1.0" encoding="utf-8"?>
<comments xmlns="http://schemas.openxmlformats.org/spreadsheetml/2006/main">
  <authors>
    <author>Hoàng Hiệu</author>
  </authors>
  <commentList>
    <comment ref="B102" authorId="0">
      <text>
        <r>
          <rPr>
            <b/>
            <sz val="9"/>
            <color indexed="81"/>
            <rFont val="Tahoma"/>
            <family val="2"/>
          </rPr>
          <t>Hoàng Hiệu:</t>
        </r>
        <r>
          <rPr>
            <sz val="9"/>
            <color indexed="81"/>
            <rFont val="Tahoma"/>
            <family val="2"/>
          </rPr>
          <t xml:space="preserve">
QĐ QĐ 283, 
2377, 3210</t>
        </r>
      </text>
    </comment>
  </commentList>
</comments>
</file>

<file path=xl/sharedStrings.xml><?xml version="1.0" encoding="utf-8"?>
<sst xmlns="http://schemas.openxmlformats.org/spreadsheetml/2006/main" count="44900" uniqueCount="4927">
  <si>
    <t>Dùng cho:
- Đơn vị sự nghiệp công tự bảo đảm chi thường xuyên và chi đầu tư báo cáo cơ quan quản lý cấp trên
- Đơn vị dự toán cấp I báo cáo cơ quan tài chính cùng cấp</t>
  </si>
  <si>
    <t>Dùng cho:
- Đơn vị sự nghiệp công tự bảo đảm chi thường xuyên báo cáo cơ quan quản lý cấp trên
- Đơn vị dự toán cấp I báo cáo cơ quan tài chính cùng cấp</t>
  </si>
  <si>
    <t>Dùng cho:
- Đơn vị sự nghiệp công tự bảo đảm một phần chi thường xuyên báo cáo cơ quan quản lý cấp trên
- Đơn vị dự toán cấp I báo cáo cơ quan tài chính cùng cấp</t>
  </si>
  <si>
    <t>Dùng cho:
- Đơn vị sự nghiệp công do Nhà nước bảo đảm chi thường xuyên báo cáo cơ quan quản lý cấp trên
- Đơn vị dự toán cấp I báo cáo cơ quan tài chính cùng cấp</t>
  </si>
  <si>
    <t>Dùng cho:
- Cơ quan lao động - thương binh và xã hội các cấp để báo cáo cơ quan lao động- thương binh và xã hội cấp trên
- Bộ Lao động-Thương binh và Xã hội báo cáo Bộ Tài chính</t>
  </si>
  <si>
    <t>Dùng cho:
- Đơn vị sử dụng ngân sách ở trung ương báo cáo đơn vị dự toán cấp trên
- Đơn vị dự toán cấp I thuộc ngân sách trung ương báo cáo Bộ Tài chính, Bộ Kế hoạch và Đầu tư</t>
  </si>
  <si>
    <t>- Đơn vị dự toán cấp I các cấp báo cáo cơ quan tài chính cùng cấp.
- Dùng cho Ủy ban nhân dân báo cáo cơ quan tài chính cấp trên trực tiếp</t>
  </si>
  <si>
    <t>Sử dụng phục vụ lập báo cáo địa phương</t>
  </si>
  <si>
    <t>Các mẫu biểu</t>
  </si>
  <si>
    <t>CQ báo cáo và nhận báo cáo</t>
  </si>
  <si>
    <t>Dự toán chi tiết thu, chi Quỹ bảo hiểm thất nghiệp năm…</t>
  </si>
  <si>
    <t xml:space="preserve">DANH MỤC MẪU BIỂU KÈM THEO THÔNG TƯ SỐ 342/2016/TT-BTC
NGÀY 30/12/2016 CỦA BỘ TÀI CHÍNH </t>
  </si>
  <si>
    <t>Nội dung (1)</t>
  </si>
  <si>
    <t>Quyết toán</t>
  </si>
  <si>
    <t>So sánh</t>
  </si>
  <si>
    <t>Tuyệt đối</t>
  </si>
  <si>
    <t>Tương đối (%)</t>
  </si>
  <si>
    <t>4=2/1</t>
  </si>
  <si>
    <t>TỔNG NGUỒN THU NSĐP</t>
  </si>
  <si>
    <t>Thu NSĐP hưởng 100%</t>
  </si>
  <si>
    <t>Thu NSĐP hưởng từ các khoản thu phân chia</t>
  </si>
  <si>
    <t xml:space="preserve">Thu bổ sung từ ngân sách cấp trên </t>
  </si>
  <si>
    <t xml:space="preserve">Tổng chi cân đối NSĐP </t>
  </si>
  <si>
    <t>Chi trả nợ lãi các khoản do chính quyền địa phương vay</t>
  </si>
  <si>
    <t>Chi tạo nguồn, điều chỉnh tiền lương</t>
  </si>
  <si>
    <t>Chi các chương trình mục tiêu</t>
  </si>
  <si>
    <t>Chi các chương trình mục tiêu quốc gia</t>
  </si>
  <si>
    <t>Chi các chương trình mục tiêu, nhiệm vụ</t>
  </si>
  <si>
    <t>So sánh (%)</t>
  </si>
  <si>
    <t>Nguồn thu ngân sách</t>
  </si>
  <si>
    <t>Thu ngân sách được hưởng theo phân cấp</t>
  </si>
  <si>
    <t>Bổ sung cân đối ngân sách</t>
  </si>
  <si>
    <t>Chi ngân sách</t>
  </si>
  <si>
    <t>Chi bổ sung cho ngân sách cấp dưới</t>
  </si>
  <si>
    <t>Kết dư</t>
  </si>
  <si>
    <t>Tổng thu NSNN</t>
  </si>
  <si>
    <t>Thu NSĐP</t>
  </si>
  <si>
    <t>Tổng số được sử dụng trong năm (05= 01+ 04)</t>
  </si>
  <si>
    <t>Kinh phí thực nhận trong năm</t>
  </si>
  <si>
    <t>Kinh phí giảm trong năm (08= 09+10+11)</t>
  </si>
  <si>
    <t>- Còn phải nộp NSNN (10=02+06-07-09-13)</t>
  </si>
  <si>
    <t>- Dự toán bị hủy (11= 03+04-06-14)</t>
  </si>
  <si>
    <t>Kênh mương nội đồng Nà Lin xã Bằng Phúc</t>
  </si>
  <si>
    <t>Cầu tràn Khuổi Én thôn Bản Mới,xã Bằng Phúc</t>
  </si>
  <si>
    <t>Đường trục thôn Khuổi Áng (Đoạn 2), xã Bình Trung</t>
  </si>
  <si>
    <t>Tu sửa nhà văn hóa thôn Bản Pèo, xã Bình Trung</t>
  </si>
  <si>
    <t>Nhà văn hóa thôn Khuổi Đẩy, xã Bình Trung</t>
  </si>
  <si>
    <t>Nhà văn hóa thôn Vằng Dọoc, xã Bình Trung</t>
  </si>
  <si>
    <t>Đường nội thôn thôn Vằng Quân xã Bình Trung</t>
  </si>
  <si>
    <t>Đường trục thôn Bản Ca đoạn từ nhà ông Đặng Văn Thắng xã Bình Trung</t>
  </si>
  <si>
    <t>Hạ thấp đỉnh dốc Khuổi Dun, Khuổi Đẩy, xã Bình Trung</t>
  </si>
  <si>
    <t>Đường từ Nà Đeng đi Vằng Doọc xã Bình Trung</t>
  </si>
  <si>
    <t>Đập kênh mương thôn Bản Pèo,xã Bình Trung</t>
  </si>
  <si>
    <t>Đường liên thôn Phiêng Cà Nà Khảo đoạn từ nhà ông Hùng đến hết tuyến đường xã Đại Sảo huyện Chợ Đồn tỉnh Bắc Kạn</t>
  </si>
  <si>
    <t>Nhà lớp học 2 phòng Mầm Non phân trường Nà Luông xã Đại Sảo</t>
  </si>
  <si>
    <t>Dự án: Công trình cung cấp nước sinh hoạt Thôm Phả</t>
  </si>
  <si>
    <t>Dự án: Công trình Đường giao thông trục thôn Thôm Phả</t>
  </si>
  <si>
    <t>Dự án: Kiên cố hóa kênh mương nội đồng Vằng Keng, thôn Khau Chủ, xã  Đông Viên</t>
  </si>
  <si>
    <t xml:space="preserve"> Nhà văn hóa thôn Nà Cọ</t>
  </si>
  <si>
    <t>Đường GTNTNà tràng Kéo điểm đoạn 4 Xã Phong Huân</t>
  </si>
  <si>
    <t>Đường GTNTCốc lộc -Pác khoang xã Phong Huân</t>
  </si>
  <si>
    <t>Đường trục thôn Bản Mòn Lương Bằng đoạn từ nhà ông Thuyên đến nhà ông Quốc Lương bằng</t>
  </si>
  <si>
    <t>Đường trục thôn Bản Vèn đoạn 2 Lương Bằng</t>
  </si>
  <si>
    <t>Đường Giao thông Nà Lùng đoạn 2 xã Lương Bằng</t>
  </si>
  <si>
    <t>Đường trục thôn Nà Lếch đoạn 2 xã Lương Bằng</t>
  </si>
  <si>
    <t>Đường giao thông nông thôn bản vèn, Búc Ruộng Lương Bằng</t>
  </si>
  <si>
    <t>Đường giao thông trục thôn Nà Bưa xã Lương Bằng</t>
  </si>
  <si>
    <t>Đường GTNT Bản Vèn Búc Ruộng Lương Bằng</t>
  </si>
  <si>
    <t>Đường trục thôn Bản Mạ - Khuổi Piang,xã Quảng Bạch</t>
  </si>
  <si>
    <t>Bê tông hoá đường GT nông thôn Bản Khắt xã Quảng Bạch</t>
  </si>
  <si>
    <t>Bê tông hoá đường GT nông thôn Khuổi Vùa xã Quảng Bạch</t>
  </si>
  <si>
    <t>Đường giao thông trục thôn nà Mỏ thôn Bản Lác xã Quảng Bạch</t>
  </si>
  <si>
    <t>Đường liên thôn Pác kéo - Nà Mặn đoạn 2 xã Phương Viên</t>
  </si>
  <si>
    <t>Đường xómBản Mới đoạn 2 thôn Nà Làng,xã Phương Viên,</t>
  </si>
  <si>
    <t>Đường xóm Cốc Pái nà Quang Khuổi Đải xã Phương Viên</t>
  </si>
  <si>
    <t>Đường trục thôn Khuôn Toong đoạn 2 xã Yên Nhuận</t>
  </si>
  <si>
    <t>Nhà văn hóa thôn Bản Lanh xã Yên Nhuận</t>
  </si>
  <si>
    <t>Kênh mương Vằng Hồ Bản Tắm đoạn 3 xã Yên Nhuận</t>
  </si>
  <si>
    <t>Kênh mương thôn Phiêng Quắc xã Yên Nhuận</t>
  </si>
  <si>
    <t>Kênh mương Cốc Cuồng thôn Bản Lẹng,xã Yên Nhuận</t>
  </si>
  <si>
    <t>Kênh Khuổi Đá thôn Pác Đá xã Yên Nhuận</t>
  </si>
  <si>
    <t>Đường giao thông trục thôn Khuôn Toong, từ nhà ông CHấn đến nhà ông Hoà xã Yên Nhuận</t>
  </si>
  <si>
    <t>Kênh mương Vằng Hồ Bản Tắm xã Yên Nhuận</t>
  </si>
  <si>
    <t>Đường trục thôn Nà Cà đoạn Khuổi Ngun Khuổi Khít Nghĩa Tá</t>
  </si>
  <si>
    <t>Đường trục thôn Nà Đẹng từ đường 254 đi Khuổi Linh xã Nghĩa Tá</t>
  </si>
  <si>
    <t>Đường trục thôn Nà Đẩy đoạn từ nhà Bà Tâm đến cầu treo Nà Phắng xã Nghĩa Tá</t>
  </si>
  <si>
    <t>Thuỷ lợi Nà Khằn, Nà Đẩy xã Nghĩa Tá</t>
  </si>
  <si>
    <t>Đường giao thông trục thôn từ đường 254 đi Khuổi Linh xã Nghĩa Tá</t>
  </si>
  <si>
    <t>Đường bê tông Khuổi Dạ, Bản Bẳng xã Nghĩa Tá</t>
  </si>
  <si>
    <t>SC nâng cấp nhà văn hóa và sân thể thao xã Rã Bản</t>
  </si>
  <si>
    <t>Kiên cố hoá kênh mương cánh đồng Nà Viển thôn Khuổi Giả xã Rã bản</t>
  </si>
  <si>
    <t>Kiên cố hoá kênh mương Kéo Hấy - Nà Pa xã Rã Bản</t>
  </si>
  <si>
    <t>Đường giao thông trục thôn Khuổi Già xã Rã Bản</t>
  </si>
  <si>
    <t>Đường giao thông liên thôn Bản Eng Nà Dạ xã Xuân Lạ</t>
  </si>
  <si>
    <t>Đường giao thông trục thôn Bản Ó Xuân Lạc</t>
  </si>
  <si>
    <t>Đường giao thông nông thôn Bản He Xuân Lạc</t>
  </si>
  <si>
    <t>Đường giao thông trục thôn từ trụ sở cũ đến khu Tẩn cưởm tà han xã Xuân lạc</t>
  </si>
  <si>
    <t>Nâng cấp tuyến đường từ trung tâm thôn Nà Dạ đến bản Eng Xuân Lạc</t>
  </si>
  <si>
    <t>Đường liên thôn Phai Điểng Nà Lịn Tân Lập</t>
  </si>
  <si>
    <t>Đường Lồng Tồng đến Bản Chang xã Tân Lập</t>
  </si>
  <si>
    <t>Mở tiếp đường GTNT Phiêng Đén, xã Tân Lập</t>
  </si>
  <si>
    <t>Đổ bê tông mặt đường GTNT Nà Lin, xã Tân Lập</t>
  </si>
  <si>
    <t>Đường giao thông trục xã Nà Kiếng Nà Hán xã Tân Lập</t>
  </si>
  <si>
    <t>Cứng hoá mặt đường GTNT Nà Lin, xã Tân Lập</t>
  </si>
  <si>
    <t>…., ngày    tháng    năm....</t>
  </si>
  <si>
    <t>Chi đảm bảo xã hội</t>
  </si>
  <si>
    <t>Số kiến nghị của</t>
  </si>
  <si>
    <t>2.4. Số dư kinh phí được phép chuyển sang năm sau sử dụng và quyết toán:</t>
  </si>
  <si>
    <t>III. Nguồn hoạt động khác được để lại</t>
  </si>
  <si>
    <t>1. Tên nguồn kinh phí được để lại:…………………………………………….</t>
  </si>
  <si>
    <t>Kinh phí được để lại theo…….. Số……ngày……của…………………………..</t>
  </si>
  <si>
    <t>2. Số thu trong năm………………………………………………………….</t>
  </si>
  <si>
    <t>- Số nộp NSNN:…………………</t>
  </si>
  <si>
    <t>- Số nộp cấp trên:…………..</t>
  </si>
  <si>
    <t>- Số được để lại đơn vị:……………………</t>
  </si>
  <si>
    <t>3. Dự toán được giao năm nay:</t>
  </si>
  <si>
    <t>IV. Thuyết minh khác</t>
  </si>
  <si>
    <t>1. Chi tiền lương:…………………………………………………..</t>
  </si>
  <si>
    <t>1.1. Chi từ nguồn NSNN trong nước:……………</t>
  </si>
  <si>
    <t>- Chi lương cho công chức, viên chức (số lượng vị trí việc làm):………….</t>
  </si>
  <si>
    <t>- Chi lương cho người lao động theo hợp đồng 68:……………………..</t>
  </si>
  <si>
    <t>1.2. Chi từ nguồn viện trợ, vay nợ nước ngoài:……………</t>
  </si>
  <si>
    <t>1.3. Chi từ nguồn phí được khấu trừ, để lại:……………………….</t>
  </si>
  <si>
    <t>1.4. Chi từ hoạt động sản xuất kinh doanh, dịch vụ:………………….</t>
  </si>
  <si>
    <t>1.5. Chi từ nguồn khác:……………………</t>
  </si>
  <si>
    <t>2. Trích lập và sử dụng nguồn kinh phí cải cách tiền lương:</t>
  </si>
  <si>
    <t>Nguồn NSNN</t>
  </si>
  <si>
    <t>Nguồn phí được khấu trừ, để lại</t>
  </si>
  <si>
    <t>Nguồn sản xuất kinh doanh, dịch vụ</t>
  </si>
  <si>
    <t>Nguồn khác</t>
  </si>
  <si>
    <t>3. Chi NSNN bằng ngoại tệ (nếu có):</t>
  </si>
  <si>
    <t>KP Bảo vệ rừng và khoanh nuôi tái sinh rừng năm 2017</t>
  </si>
  <si>
    <t>Cấp KP cho huyện phòng trừ bệnh lùn sọc đen</t>
  </si>
  <si>
    <t>KP quản lý, tổ chức triển khai thực hiện chính sách hỗ trợ nhà ở đối với hộ nghèo</t>
  </si>
  <si>
    <t>KP thực hiện tuyên truyền, đấu tranh, xóa bỏ tổ chức bất hợp pháp Dương Văn Mình</t>
  </si>
  <si>
    <t>KP hỗ trợ hộ nghèo tiền điện</t>
  </si>
  <si>
    <t>Cấp bổ sung kinh phí hỗ trợ cán bộ luân chuyển</t>
  </si>
  <si>
    <t>Kinh phí hỗ trợ trẻ ăn trưa 3-4-5 tuổi</t>
  </si>
  <si>
    <t>Kinh phí thực hiện NĐ 86</t>
  </si>
  <si>
    <t>KP thực hiện NĐ 136</t>
  </si>
  <si>
    <t>QĐ về việc cấp bổ sung kinh phí  cho  các đơn vị để thực hiên chính sách  theo nghị điịnh 108/2014/NĐ-CP đợt I,II năm 2015</t>
  </si>
  <si>
    <t>QĐ vv cấp bổ sung kp cho các đơn vị để chi trả đối với cán bộ thuộc diện nghỉ hưu trước tuổi theo Nghị định số 26/2015/NĐ-CP của chính phủ</t>
  </si>
  <si>
    <t>QĐ  về việc cấp kinh phí cho Ủy ban nhân dân các huyện, thàh phố để hỗ trợ hoạt động của đội công tác xã hội tình nguyện tại xã, phường, thị trấn năm 2016</t>
  </si>
  <si>
    <t>Cấp BS KP chi trả trợ cấp 1 lần theo QĐ 24/2016/QĐ-TTg</t>
  </si>
  <si>
    <t>KP hỗ trợ đóng bảo hiểm xã hội cho các đối tượng được hưởng chính sách theo Nghị quyết số 19/2015/NQ-HĐND đợt III năm 2016</t>
  </si>
  <si>
    <t xml:space="preserve">kinh phí hỗ trợ phụ nữ thuộc hộ nghèo là người dân tộc thiểu số sinh con đúng chính sách dân số </t>
  </si>
  <si>
    <t>Các vấn đề khác liên quan cần giải trình</t>
  </si>
  <si>
    <t>Đơn vị tính: Triệu đồng</t>
  </si>
  <si>
    <t>Năm trước (năm liền kề)</t>
  </si>
  <si>
    <t>Năm báo cáo</t>
  </si>
  <si>
    <t>Năm báo cáo so với năm liền kề</t>
  </si>
  <si>
    <t>Giải trình</t>
  </si>
  <si>
    <t>Số tuyệt đối</t>
  </si>
  <si>
    <t>Số tương đối</t>
  </si>
  <si>
    <t>3=2-1</t>
  </si>
  <si>
    <t>4=3/1</t>
  </si>
  <si>
    <t>Kinh phí được giao tự chủ của các đơn vị sự nghiệp công lập và các cơ quan nhà nước; các khoản viện trợ không hoàn lại đã xác định cụ thể nhiệm vụ chi</t>
  </si>
  <si>
    <t>Phần thứ nhất</t>
  </si>
  <si>
    <t>Mẫu biểu lập dự toán thu ngân sách nhà nước</t>
  </si>
  <si>
    <t>Mẫu biểu số 01:</t>
  </si>
  <si>
    <t>Tổng hợp dự toán thu ngân sách nhà nước năm....</t>
  </si>
  <si>
    <t>Dùng cho cơ quan thuế các cấp báo cáo: Cơ quan thuế cấp trên, UBND, cơ quan tài chính, cơ quan kế hoạch và đầu tư cùng cấp</t>
  </si>
  <si>
    <t>Mẫu biểu số 02:</t>
  </si>
  <si>
    <t xml:space="preserve"> </t>
  </si>
  <si>
    <t>Kinh phí Tuyên truyền</t>
  </si>
  <si>
    <t>1.1.3</t>
  </si>
  <si>
    <t>1.1.4</t>
  </si>
  <si>
    <t>Truyền thông về giảm nghèo</t>
  </si>
  <si>
    <t>Nâng cao nănglực đánh giá giám sát CT</t>
  </si>
  <si>
    <t>Phòng Lao động TB&amp;XH</t>
  </si>
  <si>
    <t>Chương trình 135</t>
  </si>
  <si>
    <t>CT GNBV (CT 135)</t>
  </si>
  <si>
    <t>Vốn năm 2017</t>
  </si>
  <si>
    <t>Vốn năm 2016 chuyển sang</t>
  </si>
  <si>
    <t>3.1</t>
  </si>
  <si>
    <t>1.1.1</t>
  </si>
  <si>
    <t>PTSX đa dạng hóa mô hình sinh  kế</t>
  </si>
  <si>
    <t>1.1.2</t>
  </si>
  <si>
    <t>Nhân rộng mô hình giảm nghèo</t>
  </si>
  <si>
    <t>1.2.3</t>
  </si>
  <si>
    <t>Kinh phí Ban chỉ đạo Nông thôn mới</t>
  </si>
  <si>
    <t>1.2.4</t>
  </si>
  <si>
    <t>NĂM ….. CHUYỂN SANG NĂM.....</t>
  </si>
  <si>
    <t xml:space="preserve">ĐƯỢC CHUYỂN NGUỒN SANG NĂM SAU CỦA CÁC ĐƠN VỊ THUỘC NGÂN SÁCH CÁC CẤP </t>
  </si>
  <si>
    <t>SỐ DƯ TÀI KHOẢN TIỀN GỬI KINH PHÍ NGÂN SÁCH CẤP CỦA ĐƠN VỊ DỰ TOÁN</t>
  </si>
  <si>
    <t>MÃ KBNN GIAO DỊCH:…..</t>
  </si>
  <si>
    <t>MÃ CHƯƠNG:……</t>
  </si>
  <si>
    <t>ĐƠN VỊ …………….……, MÃ SỐ:….</t>
  </si>
  <si>
    <t>ĐƠN VỊ (hoặc CHỦ ĐẦU TƯ)….……, MÃ SỐ:….</t>
  </si>
  <si>
    <t>MÃ CHƯƠNG:….</t>
  </si>
  <si>
    <t>MÃ KBNN GIAO DỊCH:….</t>
  </si>
  <si>
    <t>NĂM… CHUYỂN SANG NĂM .....</t>
  </si>
  <si>
    <t>Đơn vị: Đồng</t>
  </si>
  <si>
    <t>Đơn vị</t>
  </si>
  <si>
    <r>
      <t xml:space="preserve">Tính chất nguồn kinh phí </t>
    </r>
    <r>
      <rPr>
        <b/>
        <vertAlign val="superscript"/>
        <sz val="10"/>
        <rFont val="Times New Roman"/>
        <family val="1"/>
        <charset val="163"/>
      </rPr>
      <t>(1)</t>
    </r>
  </si>
  <si>
    <t>Dự toán năm được chi</t>
  </si>
  <si>
    <t>Dự toán đã sử dụng đến 31/01 năm sau</t>
  </si>
  <si>
    <t>Số dư tại thời điểm 31/01 được chuyển sang năm sau</t>
  </si>
  <si>
    <r>
      <t xml:space="preserve">Dự toán năm trước chuyển sang </t>
    </r>
    <r>
      <rPr>
        <b/>
        <vertAlign val="superscript"/>
        <sz val="10"/>
        <rFont val="Times New Roman"/>
        <family val="1"/>
        <charset val="163"/>
      </rPr>
      <t>(2)</t>
    </r>
  </si>
  <si>
    <t>Dự toán giao đầu năm</t>
  </si>
  <si>
    <r>
      <t xml:space="preserve">Dự toán điều chỉnh </t>
    </r>
    <r>
      <rPr>
        <b/>
        <vertAlign val="superscript"/>
        <sz val="10"/>
        <rFont val="Times New Roman"/>
        <family val="1"/>
        <charset val="163"/>
      </rPr>
      <t>(3)</t>
    </r>
  </si>
  <si>
    <t>Số dư dự toán</t>
  </si>
  <si>
    <t>Số dư tạm ứng</t>
  </si>
  <si>
    <t>Cam kết chi</t>
  </si>
  <si>
    <t>5=6+7+8</t>
  </si>
  <si>
    <t>10=5-9</t>
  </si>
  <si>
    <r>
      <t>CHI THƯỜNG XUYÊN</t>
    </r>
    <r>
      <rPr>
        <b/>
        <vertAlign val="superscript"/>
        <sz val="10"/>
        <rFont val="Times New Roman"/>
        <family val="1"/>
        <charset val="163"/>
      </rPr>
      <t>(4)</t>
    </r>
  </si>
  <si>
    <t>Kinh phí chương trình MTQG và Chương trình mục tiêu (chi tết từng chương trình)</t>
  </si>
  <si>
    <t>CHI ĐẦU TƯ PHÁT TRIỂN (5)</t>
  </si>
  <si>
    <t>.....</t>
  </si>
  <si>
    <t>Ghi chú: Mẫu biểu sử dụng cho cả chi thường xuyên, chi đầu tư phát triển.</t>
  </si>
  <si>
    <t>(1) Do Kho bạc Nhà nước thực hiện.</t>
  </si>
  <si>
    <t>(2) Dự toán năm trước chuyển sang, gồm: số dư dự toán và số dư tạm ứng năm trước được chuyển sang năm sau.</t>
  </si>
  <si>
    <t>(3) Dự toán điều chỉnh là hiệu số giữa số bổ sung với số giảm dự toán trong năm; nếu dương thì ghi dấu cộng (+), nếu âm thì ghi dấu trừ (-).</t>
  </si>
  <si>
    <t>QUYẾT TOÁN CHI CHƯƠNG TRÌNH MỤC TIÊU QUỐC GIA NĂM 2017</t>
  </si>
  <si>
    <t>(4) Chi tiết theo từng nội dung được phép chuyển nguồn sang năm sau theo quy định của Luật NSNN và Nghị định số 163/2016/NĐ-CP ngày 21/12/2016 của Chính phủ.</t>
  </si>
  <si>
    <t>Cơ sở tính chi các hoạt động kinh tế năm...</t>
  </si>
  <si>
    <t>Mẫu biểu số 13.9:</t>
  </si>
  <si>
    <t>Chi tiết chi các hoạt động kinh tế theo chương trình/dự án năm...</t>
  </si>
  <si>
    <t>Mẫu biểu số 13.10:</t>
  </si>
  <si>
    <t>Cơ sở tính chi thực hiện chính sách đối với các đối tượng thuộc lĩnh vực bảo đảm xã hội năm...</t>
  </si>
  <si>
    <t>Mẫu biểu số 13.11:</t>
  </si>
  <si>
    <t>Cơ sở tính chi thực hiện chính sách ưu đãi người có công với cách mạng năm...</t>
  </si>
  <si>
    <t>Mẫu biểu số 13.12:</t>
  </si>
  <si>
    <t>Cơ sở tính chi thực hiện chính sách trợ giúp xã hội năm...</t>
  </si>
  <si>
    <t>Dùng cho cơ quan lao động - thương binh và xã hội báo cáo cơ quan tài chính cùng cấp</t>
  </si>
  <si>
    <t>Mẫu biểu số 14:</t>
  </si>
  <si>
    <t>Cơ sở tính chi hoạt động của các cơ quan quản lý nhà nước, đảng, đoàn thể năm...</t>
  </si>
  <si>
    <t>Mẫu biểu số 15.1:</t>
  </si>
  <si>
    <t>Báo cáo biên chế - tiền lương của các cơ quan quản lý nhà nước, đảng, đoàn thể năm...</t>
  </si>
  <si>
    <t>Mẫu biểu số 15.2:</t>
  </si>
  <si>
    <t>Báo cáo lao động - tiền lương - nguồn kinh phí đảm bảo của các đơn vị sự nghiệp năm...</t>
  </si>
  <si>
    <t>Mẫu biểu số 16:</t>
  </si>
  <si>
    <t>Cơ sở tính chi mua bổ sung hàng dự trữ quốc gia năm...</t>
  </si>
  <si>
    <t>Mẫu biểu số 17:</t>
  </si>
  <si>
    <t>Dự toán chi cấp bù chênh lệch lãi suất và phí quản lý năm...</t>
  </si>
  <si>
    <t>Dùng cho đơn vị được giao nhiệm vụ huy động vốn để cho vay ưu đãi theo quy định của Chính phủ, quyết định của Thủ tướng Chính phủ để báo cáo Bộ Tài chính, Bộ Kế hoạch và Đầu tư</t>
  </si>
  <si>
    <t>Mẫu biểu số 18:</t>
  </si>
  <si>
    <t>Kế hoạch tài chính của các quỹ tài chính nhà nước ngoài ngân sách năm...</t>
  </si>
  <si>
    <t>Dùng cho các bộ, cơ quan trung ương và các cơ quan, đơn vị ở địa phương báo cáo cơ quan tài chính cùng cấp</t>
  </si>
  <si>
    <t>Phần thứ ba</t>
  </si>
  <si>
    <t>Mẫu biểu lập dự toán thu, chi của hệ thống bảo hiểm xã hội Việt Nam</t>
  </si>
  <si>
    <t>Mẫu biểu số 19:</t>
  </si>
  <si>
    <t>Tổng hợp dự toán thu, chi các quỹ bảo hiểm năm...</t>
  </si>
  <si>
    <t>Mẫu biểu số 20:</t>
  </si>
  <si>
    <t>I. Kiến nghị của kiểm toán, thanh tra, cơ quan tài chính các năm trước còn tồn tại chưa xử lý</t>
  </si>
  <si>
    <t>a. Nộp trả ngân sách nhà nước:</t>
  </si>
  <si>
    <t>Trong đó: - XDCB</t>
  </si>
  <si>
    <t>b. Cơ quan tài chính giảm trừ cấp phát</t>
  </si>
  <si>
    <t>Mã chương:</t>
  </si>
  <si>
    <t>Đơn vị báo cáo:</t>
  </si>
  <si>
    <t>Mã ĐV có QH với NS:</t>
  </si>
  <si>
    <t>THUYẾT MINH BÁO CÁO QUYẾT TOÁN</t>
  </si>
  <si>
    <t>Năm……..</t>
  </si>
  <si>
    <t>A. TÌNH HÌNH CHUNG</t>
  </si>
  <si>
    <t>2. Thực hiện các chỉ tiêu của nhiệm vụ cơ bản:</t>
  </si>
  <si>
    <t>2.1. Đánh giá kết quả thực hiện nhiệm vụ thu, chi:</t>
  </si>
  <si>
    <t>3. Những công việc phát sinh đột xuất trong năm:</t>
  </si>
  <si>
    <t>……………………………………………………………………………………………………………………</t>
  </si>
  <si>
    <t>2. Nguồn NSNN trong nước</t>
  </si>
  <si>
    <t xml:space="preserve">       Trong đó:</t>
  </si>
  <si>
    <t>2.2. Dự toán giao năm nay:</t>
  </si>
  <si>
    <t xml:space="preserve">     a) Kinh phí thường xuyên/tự chủ:</t>
  </si>
  <si>
    <t xml:space="preserve">     b) Kinh phí không thường xuyên/không tự chủ:</t>
  </si>
  <si>
    <t>2.3. Kinh phí thực nhận trong năm:</t>
  </si>
  <si>
    <t xml:space="preserve">       + Nhận từ rút dự toán ngân sách được giao:……………………….</t>
  </si>
  <si>
    <t xml:space="preserve">       + Nhận từ Lệnh chi tiền cấp vào tài khoản tiền gửi:……………………….</t>
  </si>
  <si>
    <t xml:space="preserve">         Trong đó:</t>
  </si>
  <si>
    <t xml:space="preserve">      - Số dư tạm ứng bằng lệnh chi tiền:……………………………..………………………………</t>
  </si>
  <si>
    <t>3. Nguồn viện trợ</t>
  </si>
  <si>
    <t>3.1. Dự toán giao năm nay:</t>
  </si>
  <si>
    <t>3.2. Tổng kinh phí đã nhận viện trợ trong năm:</t>
  </si>
  <si>
    <t xml:space="preserve">      - Nhận viện trợ bằng tiền về đơn vị:……………………………..………………………………</t>
  </si>
  <si>
    <t xml:space="preserve">      - Nhận viện trợ bằng hàng hóa:……………………………..………………………………</t>
  </si>
  <si>
    <t>4. Nguồn vay nợ nước ngoài</t>
  </si>
  <si>
    <t>D. NHẬN XÉT VÀ KIẾN NGHỊ</t>
  </si>
  <si>
    <t>Mã số</t>
  </si>
  <si>
    <t>- Kinh phí thường xuyên/tự chủ</t>
  </si>
  <si>
    <t>- Kinh phí không thường xuyên/không tự chủ</t>
  </si>
  <si>
    <t>- Kinh phí không thường xuyên/không tự chủ (13=05+10)</t>
  </si>
  <si>
    <t>- Kinh phí đã ghi tạm ứng</t>
  </si>
  <si>
    <t>- Số dư dự toán</t>
  </si>
  <si>
    <t>- Số đã ghi vay, ghi tạm ứng NSNN</t>
  </si>
  <si>
    <t>Mã chương …………….…</t>
  </si>
  <si>
    <t>Đơn vị báo cáo: ……………</t>
  </si>
  <si>
    <t>Mã ĐVQHNS: ………………</t>
  </si>
  <si>
    <t xml:space="preserve">BÁO CÁO QUYẾT TOÁN KINH PHÍ HOẠT ĐỘNG </t>
  </si>
  <si>
    <t>Năm ....</t>
  </si>
  <si>
    <t>CHỈ TIÊU</t>
  </si>
  <si>
    <t>MÃ SỐ</t>
  </si>
  <si>
    <t>LOẠI</t>
  </si>
  <si>
    <t>KHOẢN …</t>
  </si>
  <si>
    <t xml:space="preserve">KHOẢN … </t>
  </si>
  <si>
    <t>NGÂN SÁCH NHÀ NƯỚC</t>
  </si>
  <si>
    <t xml:space="preserve">     - Kinh phí không thường xuyên/không tự chủ:……………Trong đó nguồn CK……………</t>
  </si>
  <si>
    <t>2.4. Kinh phí giảm trong năm:…………………………………………………………..</t>
  </si>
  <si>
    <t>-Nguồn NSNN giảm:………………. Lý do giảm: ……………………………………………………………………………………………</t>
  </si>
  <si>
    <t>Phí và lệ phí trung ương</t>
  </si>
  <si>
    <t>3=2/1</t>
  </si>
  <si>
    <t xml:space="preserve">Chi đầu tư cho các dự án </t>
  </si>
  <si>
    <t>Trong đó: Chia theo lĩnh vực</t>
  </si>
  <si>
    <t>CHI CÁC CHƯƠNG TRÌNH MỤC TIÊU</t>
  </si>
  <si>
    <t>Đường Hợp Tiến - Phia Khao (đoạn 2)</t>
  </si>
  <si>
    <t>Đường liên thôn Kéo Nàng - Khuổi Kẹn (đoạn 3)</t>
  </si>
  <si>
    <t>Đường bê tông thôn Kéo Nàng</t>
  </si>
  <si>
    <t>Đường bê tông thôn Phia Khao</t>
  </si>
  <si>
    <t>Đường bê tông Khuổi Kẹn, xã bản Thi</t>
  </si>
  <si>
    <t>Kênh mương nội đồng nà Chạo xã Bằng Lãng, Chợ Đồn</t>
  </si>
  <si>
    <t>Kênh mương nội đồng Nà kíu thôn nà Loọc xã bằng lãng Chợ Đồn</t>
  </si>
  <si>
    <t>Kênh mương nội đồng Tổng Mụ, thôn Tổng mụ xã Bằng Lãng, Chợ Đồn</t>
  </si>
  <si>
    <t xml:space="preserve">Đường Bê tông Khu c Xã Bằng Lãng </t>
  </si>
  <si>
    <t>Kênh mương nội đồng Bó Khuế xã bằng Lãng</t>
  </si>
  <si>
    <t>Đường bê tông thôn Nà Duồng, xã Bằng Lãng</t>
  </si>
  <si>
    <t xml:space="preserve">Đường trục thôn Bản khiếu, xã Bằng Phúc, Chợ Đồn, Bắc Kạn </t>
  </si>
  <si>
    <t xml:space="preserve">Đường trục thôn Nà Hồng, xã Bằng Phúc, Chợ Đồn, Bắc Kạn </t>
  </si>
  <si>
    <t xml:space="preserve">Đường trục thôn Bản Quân, xã Bằng Phúc, Chợ Đồn, Bắc Kạn </t>
  </si>
  <si>
    <t xml:space="preserve"> Nhà văn hóa thôn Bản Chang, xã Bằng Phúc, Chợ Đồn, Bắc Kạn </t>
  </si>
  <si>
    <t xml:space="preserve"> Nhà văn hóa thôn Bản Mới, xã Bằng Phúc, Chợ Đồn, Bắc Kạn </t>
  </si>
  <si>
    <t xml:space="preserve"> Nhà văn hóa thôn Phiêng Phung, xã Bằng Phúc, Chợ Đồn, Bắc Kạn </t>
  </si>
  <si>
    <t>QUYẾT TOÁN CHI CHƯƠNG TRÌNH MỤC TIÊU QUỐC GIA THEO MỤC LỤC NSNN NĂM 2017</t>
  </si>
  <si>
    <t>Chương trình MTQG Nông thôn mới</t>
  </si>
  <si>
    <t>010</t>
  </si>
  <si>
    <t>012</t>
  </si>
  <si>
    <t>011</t>
  </si>
  <si>
    <t>016</t>
  </si>
  <si>
    <t>Dự án: Kiên cố hóa kênh mương nội đồng Nà Va, thôn Nà Va, xã  Đồng Lạc</t>
  </si>
  <si>
    <t>Dự án: Kiên cố hóa kênh mương nội đồng Nà Lèo, thôn Nà Dầu, xã  Đồng Lạc</t>
  </si>
  <si>
    <t>00395</t>
  </si>
  <si>
    <t>Chương trình giảm nghèo bền vững</t>
  </si>
  <si>
    <t>00010</t>
  </si>
  <si>
    <t>Hoạt động giám sát đánh giá</t>
  </si>
  <si>
    <t>Dự án hỗ trợ nâng cao năng lựcgiảm nghèo truyền thông và giám sát đánh giá chương trình</t>
  </si>
  <si>
    <t>Dự án đầu tư cơ sở hạ tầng các xã đặc biệt khó khăn</t>
  </si>
  <si>
    <t>CHƯƠNG TRÌNH 135</t>
  </si>
  <si>
    <t>00023</t>
  </si>
  <si>
    <t>00021</t>
  </si>
  <si>
    <t>014</t>
  </si>
  <si>
    <t>013</t>
  </si>
  <si>
    <t>00292</t>
  </si>
  <si>
    <t>Thời gian khởi công - hoàn thành</t>
  </si>
  <si>
    <t>Chia theo nguồn vốn</t>
  </si>
  <si>
    <t>Ngân sách trung ương</t>
  </si>
  <si>
    <t>Dự án A</t>
  </si>
  <si>
    <t>Sự nghiệp giáo dục - đào tạo và dạy nghề</t>
  </si>
  <si>
    <t>Bằng Phúc</t>
  </si>
  <si>
    <t>Phương Viên</t>
  </si>
  <si>
    <t>Đông Viên</t>
  </si>
  <si>
    <t>Đại Sảo</t>
  </si>
  <si>
    <t>Yên Mỹ</t>
  </si>
  <si>
    <t>Yên Nhuận</t>
  </si>
  <si>
    <t>Phong Huân</t>
  </si>
  <si>
    <t>Bình Trung</t>
  </si>
  <si>
    <t>Nghĩa Tá</t>
  </si>
  <si>
    <t>Lương Bằng</t>
  </si>
  <si>
    <t>Bằng Lãng</t>
  </si>
  <si>
    <t>Ngọc Phái</t>
  </si>
  <si>
    <t>Yên Thượng</t>
  </si>
  <si>
    <t>Nhà Văn hóa thôn Bản Liên xã Yên Thượng</t>
  </si>
  <si>
    <t>Nhà văn hóa thôn Nà Cà Yên Thượng</t>
  </si>
  <si>
    <t>Nhà văn hóa thôn Bản Bây Yên Thượng</t>
  </si>
  <si>
    <t>Nhà văn hóa thôn Che Ngù Yên Thượng</t>
  </si>
  <si>
    <t>Nhà Văn hóa thôn Nà Huống Yên Thượng</t>
  </si>
  <si>
    <t>Nhà văn hóa thôn Nà Khuất Yên Thượng</t>
  </si>
  <si>
    <t>Nhà văn hóa thôn Nà Mòn Yên Thượng</t>
  </si>
  <si>
    <t>Nhà Văn hóa thôn Nà Nhàm Yên Thượng</t>
  </si>
  <si>
    <t>Xây dựng trường đạt chuẩn ( tường bao nhà hoạt động đội) xã Yên Thượng</t>
  </si>
  <si>
    <t>Nhà văn hoá sân thể thao xã Yên Thượng</t>
  </si>
  <si>
    <t>Đường trục thôn Nà Huống ( kè bảo vệ mở rộng từ nhà ông Ương) xã Yên Thượng</t>
  </si>
  <si>
    <t>Trường tiểu học ( kè bảo vệ mở rộng sân trường) xã Yên Thượng</t>
  </si>
  <si>
    <t>Cầu đương Nặm Bó thôn Che Ngù, xã Yên Thượng</t>
  </si>
  <si>
    <t>ĐƯờng trục thôn Nà Liền đoạn 2 xã Nam Cường</t>
  </si>
  <si>
    <t>ĐƯờng trục thôn Nà Lình đoạn 1 xã Nam Cường</t>
  </si>
  <si>
    <t>Đường giao thông trục thôn Nà Liền đoạn từ Kênh thuỷ nông vào thôm áng xã Nam Cường</t>
  </si>
  <si>
    <t>Nâng cấp đường giao thông Lũng Noong, xã Nam Cường</t>
  </si>
  <si>
    <t>Đường trục thôn Nà lẹng đoạn từ nhà ông Kai đến nhà ông Viện xã Yên Mỹ</t>
  </si>
  <si>
    <t>Đườngtrục thôn Nà Lẹng đoạn từ nhà ông Tập đến nhà ông khiêm xã Yên Mỹ</t>
  </si>
  <si>
    <t>Đương trục thôn Nà Lẹng đoạn từ đường 259 đến suối xã Yên Mỹ</t>
  </si>
  <si>
    <t>Thanh tra</t>
  </si>
  <si>
    <t>Kiểm toán</t>
  </si>
  <si>
    <t>Bổ sung quyết toán ngân sách năm nay</t>
  </si>
  <si>
    <t>Số chi sai chế độ phải xuất toán</t>
  </si>
  <si>
    <t>Chuyển quyết toán ngân sách năm sau</t>
  </si>
  <si>
    <t>Đường trục thôn Nà Giỏ đoạn từ nhà ông May đến Nà Tầu xã Yên Mỹ</t>
  </si>
  <si>
    <t>Đường trục thôn Pác Khoang đoạn từ nhà ông Phố đến Bản Giàng xã Yên Mỹ</t>
  </si>
  <si>
    <t>Đường trục thôn Bản Lự, đoạn từ nhà họp thôn đến Kéo Mèng, xã Yên Mỹ</t>
  </si>
  <si>
    <t>Kênh mương Khoai Sát xã Yên Mỹ</t>
  </si>
  <si>
    <t>Đập kênh Nà Ú xã Yên Mỹ</t>
  </si>
  <si>
    <t>ĐƯờng giao thông trục thôn Bản Lự từ nhà ông Dư đến nhà họp thôn Bản Lự xã Yên Mỹ</t>
  </si>
  <si>
    <t>Đường giao thông trục thôn nà giỏ từ nhà ông Tài đên nhà ông May thuốc thôn Nà Giỏ xã Yên Mỹ</t>
  </si>
  <si>
    <t>Đập kênh Nà Pis, xi phông Phiêng Dìa,xã Yên Mỹ</t>
  </si>
  <si>
    <t>Đươờng trục thôn Bản Vay, đoạn từ nhà ông Hùng đến nhà ông Thức xã Yên Thịnh</t>
  </si>
  <si>
    <t xml:space="preserve"> Đường trục thôn Khuổi Lịa đoạn từ nhà bà Tân đến dốc Nà Lạc xã yên Thịnh</t>
  </si>
  <si>
    <t>Kênh mương Tông Mu- kênh Thuôn Mòn xã Yên Thịnh</t>
  </si>
  <si>
    <t>Đường giao thông trục thôn Bản Cậu xã Yên Thịnh</t>
  </si>
  <si>
    <t>Đường trục thôn Bản Đồn Yên thịnh</t>
  </si>
  <si>
    <t>Đường trục thôn Bản Loàn Yên Thịnh</t>
  </si>
  <si>
    <t>Đường giao thông trục thôn Bản Diếu xã Ngọc Phái</t>
  </si>
  <si>
    <t>Cấp nước sinh hoạt thôn bản Ỏm xã Ngọc Phái</t>
  </si>
  <si>
    <t>Thị trấn Bằng Lũng</t>
  </si>
  <si>
    <t>Nâng cấp đường giao thông trong thôn Bản Duồng I, thị trấn Bằng Lũng</t>
  </si>
  <si>
    <t>Xây dựng kênh mương thôn Bản Tàn TT Bằng Lũng</t>
  </si>
  <si>
    <t>Xây nhà văn hoá thôn Bản Duồng II thị trấn Bằng Lũng</t>
  </si>
  <si>
    <t>Xây nhà văn hoá thôn nà Pài thị trấn bằng lũng</t>
  </si>
  <si>
    <t>Kênh khu A thôn Bản Tàn thị trấn Bằng Lũng</t>
  </si>
  <si>
    <t>Chợ Đồn, ngày   tháng 6 năm 2018</t>
  </si>
  <si>
    <t>Số dư kinh phí năm trước chuyển sang</t>
  </si>
  <si>
    <t>Sửa chữa, cải tạo trụ sở xã Tân Lập (cũ) thành lớp học+ xây dựng thêm nhà bếp, nhà vệ sinh trường mầm non Tân Lập</t>
  </si>
  <si>
    <t>03 nhà bia ghi tên liệt sỹ tại các xã Đại Sảo, Yên Mỹ, Yên Nhuận</t>
  </si>
  <si>
    <t>Cầu tràn thôn Nà Tải xã Rã Bản</t>
  </si>
  <si>
    <t>Bến xe khách Bằng Lũng, huyện CĐ-BK</t>
  </si>
  <si>
    <t>Sửa chữa nâng cấp vỉa hè+ đèn tín hiệu đường trục dọc nội thị thị trấn Bằng Lũng (Đoạn từ ngã ba Kiểm Lâm đến đỉnh dốc cấp 2)</t>
  </si>
  <si>
    <t>Đập Nà Tâu thôn Nà Niếng xã Bằng Lãng</t>
  </si>
  <si>
    <t>- Trường hợp đơn vị nhận đặt hàng dưới hình thức ký hợp đồng dịch vụ thì không tổng hợp số liệu báo cáo quyết toán theo mẫu này, mà số liệu được tổng hợp vào doanh thu, chi phí của hoạt động sản xuất kinh doanh, dịch vụ và số liệu được phản ánh trên các báo cáo tài chính.</t>
  </si>
  <si>
    <t>Năm ………….</t>
  </si>
  <si>
    <t>NGUỒN NSNN</t>
  </si>
  <si>
    <t>NGUỒN PHÍ ĐƯỢC KHẤU TRỪ, ĐỂ LẠI</t>
  </si>
  <si>
    <t>NSNN trong nước</t>
  </si>
  <si>
    <t>I. Kinh phí thường xuyên/ tự chủ</t>
  </si>
  <si>
    <t>II. Kinh phí không thường xuyên/không tự chủ</t>
  </si>
  <si>
    <t>NGƯỜI LẬP BIỂU         KẾ TOÁN TRƯỞNG             THỦ TRƯỞNG ĐƠN VỊ</t>
  </si>
  <si>
    <t xml:space="preserve">       (Ký, họ tên)                          (Ký, họ tên)                           (Ký, họ tên, đóng dấu)</t>
  </si>
  <si>
    <t>Mã chương …</t>
  </si>
  <si>
    <t>Đơn vị báo cáo: …</t>
  </si>
  <si>
    <t>Mã ĐVQHNS: …</t>
  </si>
  <si>
    <t>Năm…………</t>
  </si>
  <si>
    <t xml:space="preserve">I. SỐ LIỆU TỔNG HỢP </t>
  </si>
  <si>
    <t>Khoản …</t>
  </si>
  <si>
    <t>Số dư kinh phí năm trước chuyển sang (01=02+03)</t>
  </si>
  <si>
    <t xml:space="preserve">     (Ký, họ tên)                                                                     (Ký, họ tên)                                                                          (Ký, họ tên, đóng dấu)</t>
  </si>
  <si>
    <t xml:space="preserve">BÁO CÁO THỰC HIỆN XỬ LÝ </t>
  </si>
  <si>
    <t>Năm………….</t>
  </si>
  <si>
    <r>
      <t xml:space="preserve">Chỉ tiêu                               </t>
    </r>
    <r>
      <rPr>
        <sz val="13"/>
        <color indexed="8"/>
        <rFont val="Times New Roman"/>
        <family val="1"/>
      </rPr>
      <t>(Chi tiết theo mục lục NSNN)</t>
    </r>
  </si>
  <si>
    <t>Số đã xử lý trong năm nay</t>
  </si>
  <si>
    <t>10=2-6</t>
  </si>
  <si>
    <t>11=3-7</t>
  </si>
  <si>
    <t>Các khoản thu phải nộp NSNN</t>
  </si>
  <si>
    <t>Chi tiết:...</t>
  </si>
  <si>
    <t>Các khoản ghi thu, ghi chi vào NSNN</t>
  </si>
  <si>
    <t>- Chi hoạt động</t>
  </si>
  <si>
    <t>Kiến nghị của kiểm toán, thanh tra, cơ quan quan tài chính năm nay</t>
  </si>
  <si>
    <t>0024</t>
  </si>
  <si>
    <t>0405</t>
  </si>
  <si>
    <t>0250</t>
  </si>
  <si>
    <t>Chương trình MTQG về việc làm</t>
  </si>
  <si>
    <t>Đường liên thôn Phiêng cà - Nà Khảo đoạn từ trụ sở UBND xã Đại Sảo</t>
  </si>
  <si>
    <t>Lợi nhuận sau thuế được chia của Chính phủ Việt Nam</t>
  </si>
  <si>
    <t>Dầu lãi được chia của Chính phủ Việt Nam</t>
  </si>
  <si>
    <t>Thu về khí thiên nhiên (không bao gồm doanh nghiệp có vốn đầu tư nước ngoài)</t>
  </si>
  <si>
    <t>Thu Viện trợ</t>
  </si>
  <si>
    <t>Các khoản huy động, đóng góp</t>
  </si>
  <si>
    <t>Các khoản huy động đóng góp xây dựng cơ sở hạ tầng</t>
  </si>
  <si>
    <t>Các khoản huy động đóng góp khác</t>
  </si>
  <si>
    <t>Thu từ bán cổ phần, vốn góp của Nhà nước nộp ngân sách</t>
  </si>
  <si>
    <t>Thu từ các khoản cho vay của ngân sách</t>
  </si>
  <si>
    <t>Thu nợ gốc cho vay</t>
  </si>
  <si>
    <t>Thu lãi cho vay</t>
  </si>
  <si>
    <t>THU CHUYỂN GIAO NGÂN SÁCH</t>
  </si>
  <si>
    <t>Bổ sung có mục tiêu</t>
  </si>
  <si>
    <t>Bổ sung có mục tiêu bằng nguồn vốn ngoài nước</t>
  </si>
  <si>
    <t>Thu từ ngân sách cấp dưới nộp lên</t>
  </si>
  <si>
    <t>THU CHUYỂN NGUỒN</t>
  </si>
  <si>
    <t>THU KẾT DƯ NGÂN SÁCH</t>
  </si>
  <si>
    <t xml:space="preserve">Ngày    tháng    năm  </t>
  </si>
  <si>
    <t>GIÁM ĐỐC KBNN…………</t>
  </si>
  <si>
    <t>8=3/1</t>
  </si>
  <si>
    <t>9=3/2</t>
  </si>
  <si>
    <t>Nội dung chi</t>
  </si>
  <si>
    <t>So sánh QT/DT(%)</t>
  </si>
  <si>
    <t>CHI CÂN ĐỐI NGÂN SÁCH</t>
  </si>
  <si>
    <t>Chi đầu tư phát triển cho chương trình, dự án theo lĩnh vực</t>
  </si>
  <si>
    <t>Chi Giáo dục - đào tạo và dạy nghề</t>
  </si>
  <si>
    <t>Chi Khoa học và công nghệ</t>
  </si>
  <si>
    <t>Chi Y tế, dân số và gia đình</t>
  </si>
  <si>
    <t>1.7</t>
  </si>
  <si>
    <t>Chi Phát thanh, truyền hình, thông tấn</t>
  </si>
  <si>
    <t>1.8</t>
  </si>
  <si>
    <t>1.9</t>
  </si>
  <si>
    <t>Chi Bảo vệ môi trường</t>
  </si>
  <si>
    <t>1.10</t>
  </si>
  <si>
    <t>1.11</t>
  </si>
  <si>
    <t>2.4</t>
  </si>
  <si>
    <t>2.5</t>
  </si>
  <si>
    <t>2.6</t>
  </si>
  <si>
    <t>2.7</t>
  </si>
  <si>
    <t>2.8</t>
  </si>
  <si>
    <t>2.9</t>
  </si>
  <si>
    <t>2.10</t>
  </si>
  <si>
    <t>2.11</t>
  </si>
  <si>
    <t>2.12</t>
  </si>
  <si>
    <t>2.13</t>
  </si>
  <si>
    <t>CHI BỔ SUNG CHO NGÂN SÁCH CẤP DƯỚI</t>
  </si>
  <si>
    <t>Bổ sung cân đối</t>
  </si>
  <si>
    <t>CHI NỘP NGÂN SÁCH CẤP TRÊN</t>
  </si>
  <si>
    <t>Đơn vị: đồng</t>
  </si>
  <si>
    <t>Chương</t>
  </si>
  <si>
    <t>Mục</t>
  </si>
  <si>
    <t>Tiểu mục</t>
  </si>
  <si>
    <t>NSNN</t>
  </si>
  <si>
    <t>NS cấp tỉnh</t>
  </si>
  <si>
    <t>NS cấp huyện</t>
  </si>
  <si>
    <t>NS xã</t>
  </si>
  <si>
    <t>Ngày   tháng    năm</t>
  </si>
  <si>
    <t>Loại</t>
  </si>
  <si>
    <t>Khoản</t>
  </si>
  <si>
    <t>Số QT</t>
  </si>
  <si>
    <t>Tên chương trình mục tiêu</t>
  </si>
  <si>
    <t>CÁN BỘ TRÌNH</t>
  </si>
  <si>
    <t>(Ký tên, ghi rõ họ tên)</t>
  </si>
  <si>
    <t xml:space="preserve">….., ngày    tháng    năm…. </t>
  </si>
  <si>
    <t>4</t>
  </si>
  <si>
    <t xml:space="preserve">       Trong đó nguồn CK giảm:……………… Lý do giảm: …………………………………………………………………………………………………</t>
  </si>
  <si>
    <t>2.5. Kinh phí được phép chuyển sang năm sau sử dụng và quyết toán:</t>
  </si>
  <si>
    <t xml:space="preserve">       + Tiền đã nhận nhưng chưa chi:……………….</t>
  </si>
  <si>
    <t xml:space="preserve">       + Kinh phí đã rút dự toán NSNN để tạm ứng cho nhà cung cấp:…………….…..</t>
  </si>
  <si>
    <t>- DT giao đầu năm:……………………………………………………………………………</t>
  </si>
  <si>
    <t>- DT bổ sung, điều chỉnh trong năm:…………………………………………………………..</t>
  </si>
  <si>
    <t xml:space="preserve">      - Nhận viện trợ chuyển thẳng cho nhà cung cấp:……………………………..………………………………</t>
  </si>
  <si>
    <t xml:space="preserve">      - Nhận viện trợ khác:……………………………..………………………………</t>
  </si>
  <si>
    <t>4.1. Dự toán được giao trong năm:</t>
  </si>
  <si>
    <t>4.2. Số đã giải ngân, rút vốn chưa hạch toán NSNN (chi tiết)</t>
  </si>
  <si>
    <t>II. Tình hình thu phí, lệ phí và sử dụng nguồn phí được khấu trừ, để lại</t>
  </si>
  <si>
    <t>1. Tình hình thu phí, lệ phí:</t>
  </si>
  <si>
    <t>Số phải nộp NSNN</t>
  </si>
  <si>
    <t>Số phí được khấu trừ, để lại</t>
  </si>
  <si>
    <t>Phí</t>
  </si>
  <si>
    <t>Phí…</t>
  </si>
  <si>
    <r>
      <t xml:space="preserve">Lệ phí </t>
    </r>
    <r>
      <rPr>
        <sz val="13"/>
        <color indexed="8"/>
        <rFont val="Times New Roman"/>
        <family val="1"/>
      </rPr>
      <t>(nộp NSNN 100%)</t>
    </r>
  </si>
  <si>
    <t>-Số phí được khấu trừ, để lại phân bổ cho chi thường xuyên:…………………………..</t>
  </si>
  <si>
    <t>-Số phí được khấu trừ, để lại phân bổ cho chi không thường xuyên:……………………</t>
  </si>
  <si>
    <t>2. Tình hình thực hiện chi từ nguồn phí được khấu trừ, để lại</t>
  </si>
  <si>
    <t>2.1. Số dư kinh phí chưa sử dụng năm trước chuyển sang:</t>
  </si>
  <si>
    <t>- Kinh phí thường xuyên/tự chủ:……………………………………………………</t>
  </si>
  <si>
    <t>- Kinh phí  không thường xuyên/không tự chủ:……………………………………………………</t>
  </si>
  <si>
    <t>Trong đó: Kinh phí chưa được cấp có thẩm quyền giao:……………………………….</t>
  </si>
  <si>
    <t>2.2. Dự toán được giao năm nay:</t>
  </si>
  <si>
    <t>- DT giao đầu năm:……………...………………………………………</t>
  </si>
  <si>
    <t>- DT bổ sung, điều chỉnh trong năm:………….. …………………………</t>
  </si>
  <si>
    <t>- DT giao đầu năm:……………....………………………………………</t>
  </si>
  <si>
    <t>2.3. Kinh phí đã sử dụng đề nghị quyết toán:</t>
  </si>
  <si>
    <t>- Kinh phí thường xuyên/tự chủ:…………………………………………..</t>
  </si>
  <si>
    <t>- Sử dụng phục vụ thu phí:…………………………………………….</t>
  </si>
  <si>
    <t>- Sử dụng cho hoạt động khác của đơn vị:…………………………………..</t>
  </si>
  <si>
    <t>- Kinh phí không thường xuyên/không tự chủ:</t>
  </si>
  <si>
    <t>(Chi tiết theo từng chương trình mục tiêu, nhiệm vụ)</t>
  </si>
  <si>
    <t>CHI CHUYỂN NGUỒN SANG NĂM SAU</t>
  </si>
  <si>
    <t>Chi phát thanh, truyền hình, thông tấn</t>
  </si>
  <si>
    <t>Ngân sách địa phương</t>
  </si>
  <si>
    <t>7=4/1</t>
  </si>
  <si>
    <t>8=5/2</t>
  </si>
  <si>
    <t>9=6/3</t>
  </si>
  <si>
    <t>Chi giao thông</t>
  </si>
  <si>
    <t>Chi nông nghiệp, lâm nghiệp, thủy lợi, thủy sản</t>
  </si>
  <si>
    <t>Nguồn còn lại</t>
  </si>
  <si>
    <t>Dự toán đầu năm</t>
  </si>
  <si>
    <t>Hủy bỏ</t>
  </si>
  <si>
    <t>Yên Thịnh</t>
  </si>
  <si>
    <t>Bản Thi</t>
  </si>
  <si>
    <t>Quảng Bạch</t>
  </si>
  <si>
    <t>Tân Lập</t>
  </si>
  <si>
    <t>Đồng Lạc</t>
  </si>
  <si>
    <t>Xuân Lạc</t>
  </si>
  <si>
    <t>Thu ngân sách cấp dưới nộp lên</t>
  </si>
  <si>
    <t>Chi nộp ngân sách cấp trên</t>
  </si>
  <si>
    <t>Xã (phường, thị trấn) .....................</t>
  </si>
  <si>
    <t>BIỂU CÂN ĐỐI QUYẾT TOÁN NGÂN SÁCH XÃ NĂM...</t>
  </si>
  <si>
    <t>Nội dung thu</t>
  </si>
  <si>
    <t>I. Các khoản thu xã hưởng 100%</t>
  </si>
  <si>
    <t>I. Chi đầu tư phát triển</t>
  </si>
  <si>
    <t>II. Chi thường xuyên</t>
  </si>
  <si>
    <t>III. Thu bổ sung</t>
  </si>
  <si>
    <t>- Bổ sung cân đối ngân sách</t>
  </si>
  <si>
    <t>- Bổ sung có mục tiêu</t>
  </si>
  <si>
    <t>III. Chi chuyển nguồn của ngân sách xã sang năm sau (nếu có)</t>
  </si>
  <si>
    <t>IV. Thu kết dư ngân sách năm trước</t>
  </si>
  <si>
    <t>V. Thu viện trợ</t>
  </si>
  <si>
    <t>VI. Thu chuyển nguồn từ năm trước sang của ngân sách xã (nếu có)</t>
  </si>
  <si>
    <t>IV. Chi nộp trả ngân sách cấp trên</t>
  </si>
  <si>
    <t>Kết dư ngân sách</t>
  </si>
  <si>
    <t>Bộ phận tài chính, kế toán xã</t>
  </si>
  <si>
    <t>Ngày ...... tháng ...... năm .................</t>
  </si>
  <si>
    <t>TM.UBND xã, phường, thị trấn</t>
  </si>
  <si>
    <t>Chủ tịch</t>
  </si>
  <si>
    <t>(ký tên và đóng dấu)</t>
  </si>
  <si>
    <t>TỔNG HỢP QUYẾT TOÁN THU NGÂN SÁCH XÃ NĂM...</t>
  </si>
  <si>
    <t>Thu NSNN</t>
  </si>
  <si>
    <t>Thu NSX</t>
  </si>
  <si>
    <t>5= 3/1</t>
  </si>
  <si>
    <t>6= 4/2</t>
  </si>
  <si>
    <t>Tổng thu</t>
  </si>
  <si>
    <t>I. Các khoản thu 100%</t>
  </si>
  <si>
    <t>- Phí, lệ phí</t>
  </si>
  <si>
    <t>- Thu từ quỹ đất công ích và thu hoa lợi công sản khác</t>
  </si>
  <si>
    <t>- Thu từ hoạt động kinh tế và sự nghiệp</t>
  </si>
  <si>
    <t>- Thu phạt, tịch thu khác theo quy định</t>
  </si>
  <si>
    <t>- Thu từ tài sản được xác lập quyền sở hữu của nhà nước theo quy định</t>
  </si>
  <si>
    <t>- Đóng góp của nhân dân theo quy định</t>
  </si>
  <si>
    <t>- Đóng góp tự nguyện của các tổ chức, cá nhân</t>
  </si>
  <si>
    <t>- Thu khác</t>
  </si>
  <si>
    <t>II. Các khoản thu phân chia theo tỷ lệ phần trăm (%)</t>
  </si>
  <si>
    <t>1. Các khoản thu phân chia</t>
  </si>
  <si>
    <t>- Thuế sử dụng đất nông nghiệp thu từ hộ gia đình</t>
  </si>
  <si>
    <t>- Lệ phí môn bài thu từ cá nhân, hộ kinh doanh</t>
  </si>
  <si>
    <t>- Lệ phí trước bạ nhà, đất</t>
  </si>
  <si>
    <t>2. Các khoản thu phân chia khác do cấp tỉnh quy định</t>
  </si>
  <si>
    <t>III. Thu viện trợ không hoàn lại trực tiếp cho xã (nếu có)</t>
  </si>
  <si>
    <t>IV. Thu chuyển nguồn</t>
  </si>
  <si>
    <t>V. Thu kết dư ngân sách năm trước</t>
  </si>
  <si>
    <t>VI. Thu bổ sung từ ngân sách cấp trên</t>
  </si>
  <si>
    <t>TỔNG HỢP QUYẾT TOÁN CHI NGÂN SÁCH XÃ NĂM...</t>
  </si>
  <si>
    <t>ĐTPT</t>
  </si>
  <si>
    <t>TX</t>
  </si>
  <si>
    <t>8= 5/2</t>
  </si>
  <si>
    <t>9= 6/3</t>
  </si>
  <si>
    <t>10= 7/4</t>
  </si>
  <si>
    <t>Tổng chi</t>
  </si>
  <si>
    <t>1. Chi cho công tác dân quân tự vệ, trật tự an toàn xã hội</t>
  </si>
  <si>
    <t>- Chi dân quân tự vệ</t>
  </si>
  <si>
    <t>- Chi trật tự an toàn xã hội</t>
  </si>
  <si>
    <t>2. Chi giáo dục</t>
  </si>
  <si>
    <t>3. Chi ứng dụng, chuyển giao công nghệ</t>
  </si>
  <si>
    <t>4. Chi y tế</t>
  </si>
  <si>
    <t>5. Chi văn hóa, thông tin</t>
  </si>
  <si>
    <t>6. Chi phát thanh, truyền thanh</t>
  </si>
  <si>
    <t>7. Chi thể dục, thể thao</t>
  </si>
  <si>
    <t>8. Chi bảo vệ môi trường</t>
  </si>
  <si>
    <t>9. Chi các hoạt động kinh tế</t>
  </si>
  <si>
    <t>- Giao thông</t>
  </si>
  <si>
    <t>- Nông - lâm - thủy lợi - hải sản</t>
  </si>
  <si>
    <t>- Thị chính</t>
  </si>
  <si>
    <t>- Thương mại, du lịch</t>
  </si>
  <si>
    <t>- Các hoạt động kinh tế khác</t>
  </si>
  <si>
    <t>Chợ Đồn, ngày     tháng 6 năm 2018</t>
  </si>
  <si>
    <t>Tên dự án: ........mã số………….. thuộc chương trình ………..khởi đầu ………kết thúc…………………</t>
  </si>
  <si>
    <t>Cơ quan thực hiện dự án: ………………………………………………………………………………</t>
  </si>
  <si>
    <t>Ngày ...... tháng ...... năm …</t>
  </si>
  <si>
    <t>..., ngày... tháng... năm....</t>
  </si>
  <si>
    <t xml:space="preserve">                                                                                           ..., ngày …. tháng …. năm ….</t>
  </si>
  <si>
    <t>UBND các huyện, thành phố:</t>
  </si>
  <si>
    <t xml:space="preserve"> TM. ỦY BAN NHÂN DÂN </t>
  </si>
  <si>
    <t>CHỦ TỊCH</t>
  </si>
  <si>
    <t>PHÒNG TC-KH HUYỆN, TP</t>
  </si>
  <si>
    <t>UBND XÃ, PHƯỜNG, THỊ TRẤN:</t>
  </si>
  <si>
    <t>Tên đơn vị:</t>
  </si>
  <si>
    <t>TÌNH HÌNH THỰC HIỆN DỰ TOÁN  CÁC NHIỆM VỤ ĐƯỢC CHUYỂN NGUỒN SANG NĂM SAU CỦA CÁC ĐƠN VỊ THUỘC NGÂN SÁCH CÁC CẤP THEO HÌNH THỨC RÚT DỰ TOÁN</t>
  </si>
  <si>
    <t>TT Bằng Lũng</t>
  </si>
  <si>
    <t>Xã Nam Cường</t>
  </si>
  <si>
    <t>Xã Xuân Lạc</t>
  </si>
  <si>
    <t>Xã Đồng Lạc</t>
  </si>
  <si>
    <t>Xã Tân Lập</t>
  </si>
  <si>
    <t>Xã Bản Thi</t>
  </si>
  <si>
    <t>Xã Quảng Bạch</t>
  </si>
  <si>
    <t>Xã Bằng Phúc</t>
  </si>
  <si>
    <t>Xã Yên Thịnh</t>
  </si>
  <si>
    <t>Xã Yên Thượng</t>
  </si>
  <si>
    <t>Xã Phương Viên</t>
  </si>
  <si>
    <t>Xã Ngọc Phái</t>
  </si>
  <si>
    <t>Xã Rã Bản</t>
  </si>
  <si>
    <t>Xã Đông Viên</t>
  </si>
  <si>
    <t>Xã Lương Bằng</t>
  </si>
  <si>
    <t>Xã Bằng Lãng</t>
  </si>
  <si>
    <t>Xã Đại Sảo</t>
  </si>
  <si>
    <t>Xã Nghĩa Tá</t>
  </si>
  <si>
    <t>Xã Phong Huân</t>
  </si>
  <si>
    <t>Xã Yên Mỹ</t>
  </si>
  <si>
    <t>Xã Bình Trung</t>
  </si>
  <si>
    <t>Xã Yên Nhuận</t>
  </si>
  <si>
    <t>Hà Sỹ Huân</t>
  </si>
  <si>
    <t>10. Chi quản lý Nhà nước, Đảng, đoàn thể</t>
  </si>
  <si>
    <t>Trong đó: Quỹ lương</t>
  </si>
  <si>
    <t>10.1. Quản lý Nhà nước</t>
  </si>
  <si>
    <t>10.2. Đảng Cộng sản Việt Nam</t>
  </si>
  <si>
    <t>10.3. Mặt trận Tổ quốc Việt Nam</t>
  </si>
  <si>
    <t>10.4. Đoàn Thanh niên Cộng sản HCM</t>
  </si>
  <si>
    <t>10.5. Hội Liên hiệp Phụ nữ</t>
  </si>
  <si>
    <t>10.6. Hội Cựu chiến binh</t>
  </si>
  <si>
    <t>10.7. Hội Nông dân</t>
  </si>
  <si>
    <t>10.8. Chi hỗ trợ khác (nếu có)</t>
  </si>
  <si>
    <t>11. Chi cho công tác xã hội</t>
  </si>
  <si>
    <t>- Trợ cấp hàng tháng cho cán bộ xã nghỉ việc theo chế độ quy định và trợ cấp khác</t>
  </si>
  <si>
    <t>- Trẻ mồ côi, người già không nơi nương tựa</t>
  </si>
  <si>
    <t>- Trợ cấp xã hội</t>
  </si>
  <si>
    <t>- Khác</t>
  </si>
  <si>
    <t>12. Chi khác</t>
  </si>
  <si>
    <t>13. Dự phòng</t>
  </si>
  <si>
    <t>14. Chi chuyển nguồn sang ngân sách năm sau</t>
  </si>
  <si>
    <t>QUYẾT TOÁN THU NGÂN SÁCH XÃ THEO MỤC LỤC NSNN NĂM...</t>
  </si>
  <si>
    <t>Diễn giải</t>
  </si>
  <si>
    <t>Tổng quyết toán thu ngân sách xã (bằng số):</t>
  </si>
  <si>
    <t>Tổng quyết toán thu ngân sách xã (bằng chữ):</t>
  </si>
  <si>
    <t>QUYẾT TOÁN CHI NGÂN SÁCH XÃ THEO MỤC LỤC NSNN NĂM...</t>
  </si>
  <si>
    <t>Tổng quyết toán chi ngân sách xã (bằng số):</t>
  </si>
  <si>
    <t>Tổng quyết toán chi ngân sách xã (bằng chữ):</t>
  </si>
  <si>
    <t>Tên công trình</t>
  </si>
  <si>
    <t>Tổng dự toán được duyệt</t>
  </si>
  <si>
    <t>Giá trị thực hiện từ 01/01 đến 31/12/...</t>
  </si>
  <si>
    <t>Giá trị đã thanh toán năm...</t>
  </si>
  <si>
    <t>Trong đó thanh toán khối lượng năm trước</t>
  </si>
  <si>
    <t>Tr.đó: Nguồn đóng góp</t>
  </si>
  <si>
    <t>Nguồn cân đối ngân sách</t>
  </si>
  <si>
    <t>Nguồn đóng góp</t>
  </si>
  <si>
    <t>1. Công trình chuyển tiếp</t>
  </si>
  <si>
    <t>Trong đó: hoàn thành trong năm</t>
  </si>
  <si>
    <t>2. Công trình khởi công mới</t>
  </si>
  <si>
    <t>Ghi chú: (1) Theo phân cấp của cấp tỉnh</t>
  </si>
  <si>
    <t>Dư dự toán</t>
  </si>
  <si>
    <t>Dư tạm ứng</t>
  </si>
  <si>
    <t>Số tiền</t>
  </si>
  <si>
    <t>Vốn đầu tư</t>
  </si>
  <si>
    <t>Nguồn địa phương cân đối</t>
  </si>
  <si>
    <t>Kinh phí thường xuyên</t>
  </si>
  <si>
    <t>Nguồn ngân sách Trung ương bổ sung có mục tiêu</t>
  </si>
  <si>
    <t xml:space="preserve"> -</t>
  </si>
  <si>
    <t xml:space="preserve">Nguồn ngân sách địa phương cân đối </t>
  </si>
  <si>
    <t>Chương trình mục tiêu quốc gia (chi tiết từng chương trình)</t>
  </si>
  <si>
    <t>Chương trình mục tiêu (chi tiết từng chương trình)</t>
  </si>
  <si>
    <t>Các chế độ, chính sách (chi tiết từng chính sách)</t>
  </si>
  <si>
    <t>Các nhiệm vụ (chi tiết từng nhiệm vụ)</t>
  </si>
  <si>
    <t>Nguồn phân cấp đầu năm</t>
  </si>
  <si>
    <t>Nguồn tăng thu</t>
  </si>
  <si>
    <t>Nguồn kết dư</t>
  </si>
  <si>
    <t>Nguồn dự phòng</t>
  </si>
  <si>
    <t>Nguồn xổ số kiến thiết</t>
  </si>
  <si>
    <t>Nguồn vốn đầu tư khác</t>
  </si>
  <si>
    <t>Nguồn Trung ương bổ sung có mục tiêu</t>
  </si>
  <si>
    <t>(Chi tiết theo từng lĩnh vực chi)</t>
  </si>
  <si>
    <t>Cấp huyện</t>
  </si>
  <si>
    <t>Cấp xã</t>
  </si>
  <si>
    <t>KẾT DƯ NSĐP</t>
  </si>
  <si>
    <t>NGÂN SÁCH CẤP HUYỆN</t>
  </si>
  <si>
    <t xml:space="preserve">Kết dư </t>
  </si>
  <si>
    <t>Ngân sách cấp huyện</t>
  </si>
  <si>
    <t>Ngân sách xã</t>
  </si>
  <si>
    <t xml:space="preserve">Ngân sách cấp huyện </t>
  </si>
  <si>
    <t>Ngân sách cấp xã</t>
  </si>
  <si>
    <t>Trong đó: - Thu từ cơ sở kinh doanh nhập khẩu tiếp tục bán ra trong nước</t>
  </si>
  <si>
    <t>Tiền sử dụng đất</t>
  </si>
  <si>
    <t>Trong đó: - Thu do cơ quan, tổ chức, đơn vị thuộc Trung ương quản lý</t>
  </si>
  <si>
    <t>- Thu do cơ quan, tổ chức, đơn vị thuộc địa phương quản lý</t>
  </si>
  <si>
    <t>12</t>
  </si>
  <si>
    <t>Thu tiền sử dụng khu vực biển</t>
  </si>
  <si>
    <t>Trong đó: - Thuộc thẩm quyền giao của trung ương</t>
  </si>
  <si>
    <t>- Thuộc thẩm quyền giao của địa phương</t>
  </si>
  <si>
    <t>Thu tiền cho thuê và bán nhà ở thuộc sở hữu nhà nước</t>
  </si>
  <si>
    <t>Thuế xuất khẩu</t>
  </si>
  <si>
    <t>CHI CÂN ĐỐI NGÂN SÁCH ĐỊA PHƯƠNG</t>
  </si>
  <si>
    <t>Chi đầu tư và hỗ trợ vốn cho các doanh nghiệp cung cấp sản phẩm, dịch vụ công ích do Nhà nước đặt hàng, các tổ chức kinh tế, các tổ chức tài chính của địa phương theo quy định của pháp luật</t>
  </si>
  <si>
    <t>Vốn ngoài nước</t>
  </si>
  <si>
    <t>3=4+5</t>
  </si>
  <si>
    <t>Trong đó thuyết minh các nội dung chi từ nguồn NSNN bằng ngoại tệ như: Chi hoạt động của các cơ quan đại diện Việt Nam ở nước ngoài, chi đoàn ra, chi đóng niên liẽm, chi đào tạo ở nước ngoài, chi mua sắm thiết bị nhập khẩu, chi các vụ kiện:</t>
  </si>
  <si>
    <t>……………………………………………………………………………………………………………………………………………………………………………………</t>
  </si>
  <si>
    <t>4.Thuyết minh khác: …………………………………………………………………………………………………. ……………………………………………………………………………….</t>
  </si>
  <si>
    <t>NGƯỜI LẬP BIỂU           KẾ TOÁN TRƯỞNG                THỦ TRƯỞNG ĐƠN VỊ</t>
  </si>
  <si>
    <t xml:space="preserve">    (Ký, họ tên)                            (Ký, họ tên)                               (Ký, họ tên, đóng dấu)</t>
  </si>
  <si>
    <r>
      <t xml:space="preserve">Ghi chú: </t>
    </r>
    <r>
      <rPr>
        <sz val="13"/>
        <color indexed="8"/>
        <rFont val="Times New Roman"/>
        <family val="1"/>
      </rPr>
      <t>Đơn vị thuyết minh báo cáo quyết toán đối với từng nguồn kinh phí thực tế phát sinh tại đơn vị (trường hợp không có phát sinh thì không phải thuyết minh báo cáo).</t>
    </r>
  </si>
  <si>
    <t>TỔNG HỢP SỐ THU DỊCH VỤ CỦA ĐƠN VỊ SỰ NGHIỆP CÔNG LẬP NĂM… (KHÔNG BAO GỒM NGUỒN NGÂN SÁCH NHÀ NƯỚC)</t>
  </si>
  <si>
    <t>TÊN ĐƠN VỊ</t>
  </si>
  <si>
    <t>Đầu tư phát triển</t>
  </si>
  <si>
    <t>Kinh phí sự nghiệp</t>
  </si>
  <si>
    <t>Chia ra</t>
  </si>
  <si>
    <t>16=5/1</t>
  </si>
  <si>
    <t>17=6/2</t>
  </si>
  <si>
    <t>18=7/3</t>
  </si>
  <si>
    <t>19=8/4</t>
  </si>
  <si>
    <t>Tổng hợp dự toán thu ngân sách nhà nước theo sắc thuế năm...</t>
  </si>
  <si>
    <t>Mẫu biểu số 03:</t>
  </si>
  <si>
    <t>Dự kiến số thuế giá trị gia tăng phải hoàn năm....</t>
  </si>
  <si>
    <t>Mẫu biểu số 04:</t>
  </si>
  <si>
    <t>Tổng hợp dự toán thu từ hoạt động xuất nhập khẩu năm...</t>
  </si>
  <si>
    <t>Dùng cho cơ quan hải quan các cấp báo cáo: Cơ quan hải quan cấp trên, UBND, cơ quan tài chính, cơ quan kế hoạch và đầu tư cùng cấp</t>
  </si>
  <si>
    <t>Phần thứ hai</t>
  </si>
  <si>
    <t>Mẫu biểu lập dự toán thu, chi ngân sách nhà nước</t>
  </si>
  <si>
    <t>Mẫu biểu số 05:</t>
  </si>
  <si>
    <t>Dự toán thu, chi ngân sách nhà nước năm...</t>
  </si>
  <si>
    <t>Mẫu biểu số 06:</t>
  </si>
  <si>
    <t>KẾ HOẠCH NĂM…</t>
  </si>
  <si>
    <t>THỰC HIỆN NĂM…</t>
  </si>
  <si>
    <t>SO SÁNH (%)</t>
  </si>
  <si>
    <t>Cơ sở Giáo dục - đào tạo</t>
  </si>
  <si>
    <t>- Trường…</t>
  </si>
  <si>
    <t>- Trung tâm…</t>
  </si>
  <si>
    <t>Cơ sở Giáo dục nghề nghiệp</t>
  </si>
  <si>
    <t>Cơ sở khám bệnh, chữa bệnh</t>
  </si>
  <si>
    <t>-Bệnh viện…</t>
  </si>
  <si>
    <t>- Viện…</t>
  </si>
  <si>
    <t>-Trung tâm y tế…</t>
  </si>
  <si>
    <t>Cở sở Y tế dự phòng</t>
  </si>
  <si>
    <t>Cở sở điều dưỡng và phục hồi chức năng</t>
  </si>
  <si>
    <t>Cơ sở khác</t>
  </si>
  <si>
    <t>-….</t>
  </si>
  <si>
    <t>Sự nghiệp kinh tế</t>
  </si>
  <si>
    <t>Sự nghiệp khoa học công nghệ</t>
  </si>
  <si>
    <t>Sự nghiệp….</t>
  </si>
  <si>
    <t>NGƯỜI LẬP BIỂU                                                                THỦ TRƯỞNG ĐƠN VỊ</t>
  </si>
  <si>
    <t xml:space="preserve">    (Ký, họ tên)                                                                            (Ký, họ tên, đóng dấu)</t>
  </si>
  <si>
    <t>Tổng số kinh phí được duyệt toàn dự án …………………….. số kinh phí được duyệt kỳ này ………</t>
  </si>
  <si>
    <t>Vốn 2016 chuyển sang</t>
  </si>
  <si>
    <t>3.2</t>
  </si>
  <si>
    <t>Dự án hỗ trợ PTSX</t>
  </si>
  <si>
    <t>Đuờng trục thôn Bản Đó Lương Bằng</t>
  </si>
  <si>
    <t>Cải thiện VSMT</t>
  </si>
  <si>
    <t>KP ban chỉ đạo</t>
  </si>
  <si>
    <t>Rã Bản</t>
  </si>
  <si>
    <t>TTBằng Lũng</t>
  </si>
  <si>
    <t xml:space="preserve">Nam Cường </t>
  </si>
  <si>
    <t>Duy tu bảo dưỡng</t>
  </si>
  <si>
    <t>Hỗ trợ PTSX</t>
  </si>
  <si>
    <t>Nguồn vốn Ailen</t>
  </si>
  <si>
    <t>TRƯỞNG PHÒNG</t>
  </si>
  <si>
    <t>Nông Đình Thắng</t>
  </si>
  <si>
    <t>Dự toán thu, chi ngân sách nhà nước năm... chi tiết theo đơn vị trực thuộc</t>
  </si>
  <si>
    <t>Mẫu biểu số 07:</t>
  </si>
  <si>
    <t>Dự toán thu, chi, nộp ngân sách nhà nước từ các khoản phí và lệ phí năm...</t>
  </si>
  <si>
    <t>Mẫu biểu số 08:</t>
  </si>
  <si>
    <t>Tổng hợp dự toán thu, chi từ nguồn vay nợ nước ngoài và vốn đối ứng năm...</t>
  </si>
  <si>
    <t>Mẫu biểu số 09:</t>
  </si>
  <si>
    <t>Tổng hợp dự toán thu, chi từ nguồn viện trợ và vốn đối ứng năm...</t>
  </si>
  <si>
    <t>Mẫu biểu số 10:</t>
  </si>
  <si>
    <t>Dự toán chi bằng ngoại tệ năm...</t>
  </si>
  <si>
    <t>Mẫu biểu số 11.1:</t>
  </si>
  <si>
    <t>Dự toán chi các chương trình mục tiêu quốc gia, chương trình mục tiêu năm...</t>
  </si>
  <si>
    <t>Mẫu biểu số 11.2:</t>
  </si>
  <si>
    <t>Mẫu biểu số 12.1:</t>
  </si>
  <si>
    <t>Dự toán thu, chi theo lĩnh vực sự nghiệp năm...</t>
  </si>
  <si>
    <t>Dự toán thu, chi đơn vị sự nghiệp lĩnh vực năm...</t>
  </si>
  <si>
    <t>Mẫu biểu số 12.3:</t>
  </si>
  <si>
    <t>Mẫu biểu số 12.4:</t>
  </si>
  <si>
    <t>Mẫu biểu số 12.5:</t>
  </si>
  <si>
    <t>Mẫu biểu số 13.1:</t>
  </si>
  <si>
    <t>Cơ sở tính chi sự nghiệp giáo dục - đào tạo và dạy nghề năm...</t>
  </si>
  <si>
    <t>Mẫu biểu số 13.2:</t>
  </si>
  <si>
    <t>Cơ sở tính chi sự nghiệp y tế, dân số và gia đình năm...</t>
  </si>
  <si>
    <t>Mẫu biểu số 13.3:</t>
  </si>
  <si>
    <t>Cơ sở tính chi sự nghiệp khoa học và công nghệ năm...</t>
  </si>
  <si>
    <t>Mẫu biểu số 13.4:</t>
  </si>
  <si>
    <t>Cơ sở tính chi sự nghiệp văn hóa thông tin năm...</t>
  </si>
  <si>
    <t>Mẫu biểu số 13.5:</t>
  </si>
  <si>
    <t>Cơ sở tính chi sự nghiệp phát thanh, truyền hình, thông tấn năm...</t>
  </si>
  <si>
    <t>Mẫu biểu số 13.6:</t>
  </si>
  <si>
    <t>Cơ sở tính chi sự nghiệp thể dục thể thao năm...</t>
  </si>
  <si>
    <t>Mẫu biểu số 13.7:</t>
  </si>
  <si>
    <t>Cơ sở tính chi sự nghiệp bảo vệ môi trường năm...</t>
  </si>
  <si>
    <t>Mẫu biểu số 13.8:</t>
  </si>
  <si>
    <t>UBND HUYỆN CHỢ ĐỒN</t>
  </si>
  <si>
    <t>Đơn vị: Triệu đồng</t>
  </si>
  <si>
    <t>STT</t>
  </si>
  <si>
    <t>Nội dung</t>
  </si>
  <si>
    <t>Dự toán</t>
  </si>
  <si>
    <t>A</t>
  </si>
  <si>
    <t>B</t>
  </si>
  <si>
    <t>I</t>
  </si>
  <si>
    <t>Thu nội địa</t>
  </si>
  <si>
    <t>1.1</t>
  </si>
  <si>
    <t>Thu từ khu vực doanh nghiệp nhà nước do Trung ương quản lý</t>
  </si>
  <si>
    <t>- Thuế giá trị gia tăng</t>
  </si>
  <si>
    <t>- Thuế thu nhập doanh nghiệp</t>
  </si>
  <si>
    <t>- Thuế tài nguyên</t>
  </si>
  <si>
    <t>Trong đó: Thuế tài nguyên dầu, khí</t>
  </si>
  <si>
    <t>Trong đó: Thu từ hoạt động thăm dò và khai thác dầu, khí</t>
  </si>
  <si>
    <t>- Thuế tiêu thụ đặc biệt</t>
  </si>
  <si>
    <t>Thu từ khu vực kinh tế ngoài quốc doanh</t>
  </si>
  <si>
    <t>Thuế thu nhập cá nhân</t>
  </si>
  <si>
    <t>Thuế bảo vệ môi trường</t>
  </si>
  <si>
    <t>Lệ phí trước bạ</t>
  </si>
  <si>
    <t>- Thuế sử dụng đất phi nông nghiệp</t>
  </si>
  <si>
    <t>Thu khác ngân sách</t>
  </si>
  <si>
    <t>Thu từ quỹ đất công ích và thu hoa lợi công sản khác</t>
  </si>
  <si>
    <t>II</t>
  </si>
  <si>
    <t>(Ký tên, đóng dấu)</t>
  </si>
  <si>
    <t>Tổng số</t>
  </si>
  <si>
    <t>Bao gồm</t>
  </si>
  <si>
    <t>Thuế thu nhập doanh nghiệp</t>
  </si>
  <si>
    <t>Thuế tài nguyên</t>
  </si>
  <si>
    <t>III</t>
  </si>
  <si>
    <t>IV</t>
  </si>
  <si>
    <t>Thuế sử dụng đất phi nông nghiệp</t>
  </si>
  <si>
    <t>Thuế sử dụng đất nông nghiệp</t>
  </si>
  <si>
    <t>Thu tiền sử dụng đất</t>
  </si>
  <si>
    <t>V</t>
  </si>
  <si>
    <t>Thu khác</t>
  </si>
  <si>
    <t>Thuế nhập khẩu</t>
  </si>
  <si>
    <t>Thuế tiêu thụ đặc biệt hàng nhập khẩu</t>
  </si>
  <si>
    <t>Thuế giá trị gia tăng hàng nhập khẩu</t>
  </si>
  <si>
    <t>-</t>
  </si>
  <si>
    <t>Chi đầu tư phát triển khác</t>
  </si>
  <si>
    <t>Chi đầu tư phát triển</t>
  </si>
  <si>
    <t>Chi thường xuyên</t>
  </si>
  <si>
    <t>TỔNG SỐ</t>
  </si>
  <si>
    <t>a</t>
  </si>
  <si>
    <t>b</t>
  </si>
  <si>
    <t>Chi hoạt động của các cơ quan quản lý nhà nước, đảng, đoàn thể</t>
  </si>
  <si>
    <t>…</t>
  </si>
  <si>
    <t>...</t>
  </si>
  <si>
    <t>Chi giáo dục - đào tạo và dạy nghề</t>
  </si>
  <si>
    <t>1=2+3</t>
  </si>
  <si>
    <t>4=5+6</t>
  </si>
  <si>
    <t>….</t>
  </si>
  <si>
    <t>…………</t>
  </si>
  <si>
    <t>1.2</t>
  </si>
  <si>
    <t>1.3</t>
  </si>
  <si>
    <t>1.4</t>
  </si>
  <si>
    <t>1.5</t>
  </si>
  <si>
    <t>1.6</t>
  </si>
  <si>
    <t>2.1</t>
  </si>
  <si>
    <t>2.2</t>
  </si>
  <si>
    <t>C</t>
  </si>
  <si>
    <t>Ghi chú:</t>
  </si>
  <si>
    <t>Mẫu biểu số 12.2</t>
  </si>
  <si>
    <t>Trong đó</t>
  </si>
  <si>
    <t>Trong đó:</t>
  </si>
  <si>
    <t>VI</t>
  </si>
  <si>
    <t>2.3</t>
  </si>
  <si>
    <t>Tên đơn vị</t>
  </si>
  <si>
    <t>……….</t>
  </si>
  <si>
    <t>Năng lực thiết kế</t>
  </si>
  <si>
    <t>Thời gian KC-HT</t>
  </si>
  <si>
    <t>Ghi chú</t>
  </si>
  <si>
    <t>NSTW</t>
  </si>
  <si>
    <t>Vốn trong nước</t>
  </si>
  <si>
    <t>Thu bổ sung từ ngân sách cấp trên</t>
  </si>
  <si>
    <t>Thu bổ sung cân đối ngân sách</t>
  </si>
  <si>
    <t>Thu bổ sung có mục tiêu</t>
  </si>
  <si>
    <t>Thu kết dư</t>
  </si>
  <si>
    <t>Thu chuyển nguồn từ năm trước chuyển sang</t>
  </si>
  <si>
    <t>TỔNG CHI NGÂN SÁCH ĐỊA PHƯƠNG</t>
  </si>
  <si>
    <t>Dự phòng ngân sách</t>
  </si>
  <si>
    <t>Chi chuyển nguồn sang năm sau</t>
  </si>
  <si>
    <t>Thu NSĐP được hưởng theo phân cấp</t>
  </si>
  <si>
    <t>D</t>
  </si>
  <si>
    <t>Trong đó: Thu từ cơ sở kinh doanh nhập khẩu tiếp tục bán ra trong nước</t>
  </si>
  <si>
    <t>Dự toán chi tiết thu, chi Quỹ bảo hiểm xã hội năm...</t>
  </si>
  <si>
    <t>Mẫu biểu số 21:</t>
  </si>
  <si>
    <t>Dự toán chi tiết thu, chi Quỹ bảo hiểm y tế năm...</t>
  </si>
  <si>
    <t>Mẫu biểu số 22:</t>
  </si>
  <si>
    <t>Phần thứ tư</t>
  </si>
  <si>
    <t>Mẫu biểu lập dự toán chi đầu tư phát triển</t>
  </si>
  <si>
    <t>Mẫu biểu số 23:</t>
  </si>
  <si>
    <t>Dự toán chi đầu tư nguồn NSNN (vốn trong nước) năm...</t>
  </si>
  <si>
    <t>Mẫu biểu số 24:</t>
  </si>
  <si>
    <t>Dự toán chi đầu tư từ nguồn vốn ODA và vốn vay ưu đãi theo phương thức cấp phát từ NSTW (không bao gồm vốn nước ngoài giải ngân theo cơ chế tài chính trong nước) năm...</t>
  </si>
  <si>
    <t>Mẫu biểu số 25:</t>
  </si>
  <si>
    <t>Dự toán chi đầu tư từ nguồn vốn ODA và vốn vay ưu đãi theo phương thức cấp phát (giải ngân theo cơ chế tài chính trong nước) năm....</t>
  </si>
  <si>
    <t>Mẫu biểu số 26:</t>
  </si>
  <si>
    <t>Dự toán chi đầu tư từ nguồn vốn NSTW bổ sung có mục tiêu cho NSĐP (vốn trong nước) năm....</t>
  </si>
  <si>
    <t>Mẫu biểu số 27:</t>
  </si>
  <si>
    <t>Tổng hợp dự toán chi đầu tư phát triển năm ...</t>
  </si>
  <si>
    <t>Chi đầu tư từ nguồn thu tiền sử dụng đất</t>
  </si>
  <si>
    <t>Chi đầu tư từ nguồn thu xổ số kiến thiết</t>
  </si>
  <si>
    <t>Chi quốc phòng</t>
  </si>
  <si>
    <t>Chi y tế, dân số và gia đình</t>
  </si>
  <si>
    <t>Chi văn hóa thông tin</t>
  </si>
  <si>
    <t>Chi bảo vệ môi trường</t>
  </si>
  <si>
    <t>Chi khác</t>
  </si>
  <si>
    <t>Sự nghiệp y tế</t>
  </si>
  <si>
    <t>Chi sự nghiệp kinh tế</t>
  </si>
  <si>
    <t>Duy tu bảo dưỡng vốn Ailen</t>
  </si>
  <si>
    <t>CT MTQG Việc làm và dạy nghề</t>
  </si>
  <si>
    <t>Vốn Ai Len đầu tư</t>
  </si>
  <si>
    <r>
      <t xml:space="preserve">Mẫu biểu số 40 </t>
    </r>
    <r>
      <rPr>
        <i/>
        <sz val="12"/>
        <color indexed="8"/>
        <rFont val="Times New Roman"/>
        <family val="1"/>
      </rPr>
      <t>(gồm mẫu biểu số 40.1 và 40.2):</t>
    </r>
  </si>
  <si>
    <t>Thuyết minh phân bổ chi sự nghiệp y tế</t>
  </si>
  <si>
    <t>Mẫu biểu số 41:</t>
  </si>
  <si>
    <t>Thuyết minh phân bổ chi sự nghiệp văn hóa thông tin</t>
  </si>
  <si>
    <t>Mẫu biểu số 42:</t>
  </si>
  <si>
    <t>Thuyết minh phân bổ chi sự nghiệp phát thanh, truyền hình, thông tấn</t>
  </si>
  <si>
    <t>Mẫu biểu số 43:</t>
  </si>
  <si>
    <t>Thuyết minh phân bổ chi sự nghiệp thể dục thể thao</t>
  </si>
  <si>
    <r>
      <t xml:space="preserve">Mẫu biểu số 44 </t>
    </r>
    <r>
      <rPr>
        <i/>
        <sz val="12"/>
        <color indexed="8"/>
        <rFont val="Times New Roman"/>
        <family val="1"/>
      </rPr>
      <t>(gồm mẫu biểu số 44.1 và 44.2):</t>
    </r>
  </si>
  <si>
    <t>Thuyết minh phân bổ chi sự nghiệp bảo vệ môi trường</t>
  </si>
  <si>
    <r>
      <t xml:space="preserve">Mẫu biểu số 45 </t>
    </r>
    <r>
      <rPr>
        <i/>
        <sz val="12"/>
        <color indexed="8"/>
        <rFont val="Times New Roman"/>
        <family val="1"/>
      </rPr>
      <t>(gồm mẫu biểu số 45.1; 45.2 và 45.3):</t>
    </r>
  </si>
  <si>
    <t>Thuyết minh phân bổ chi hoạt động kinh tế</t>
  </si>
  <si>
    <r>
      <t xml:space="preserve">Mẫu biểu số 46 </t>
    </r>
    <r>
      <rPr>
        <i/>
        <sz val="12"/>
        <color indexed="8"/>
        <rFont val="Times New Roman"/>
        <family val="1"/>
      </rPr>
      <t>(gồm mẫu biểu số 46.1; 46.2 và 46.3):</t>
    </r>
  </si>
  <si>
    <t>Thuyết minh phân bổ chi quản lý hành chính</t>
  </si>
  <si>
    <r>
      <t xml:space="preserve">Mẫu biểu số 47 </t>
    </r>
    <r>
      <rPr>
        <i/>
        <sz val="12"/>
        <color indexed="8"/>
        <rFont val="Times New Roman"/>
        <family val="1"/>
      </rPr>
      <t>(gồm mẫu biểu số 47.1; 47.2 và 47.3)</t>
    </r>
  </si>
  <si>
    <t>Thuyết minh phân bổ chi đảm bảo xã hội</t>
  </si>
  <si>
    <t>Mẫu biểu số 48:</t>
  </si>
  <si>
    <t>Thu về dầu thô</t>
  </si>
  <si>
    <t xml:space="preserve">Thu từ khu vực DNNN do trung ương quản lý </t>
  </si>
  <si>
    <t xml:space="preserve"> - Thuế thu nhập doanh nghiệp</t>
  </si>
  <si>
    <t xml:space="preserve"> - Thuế tài nguyên</t>
  </si>
  <si>
    <t xml:space="preserve"> - Thuế giá trị gia tăng</t>
  </si>
  <si>
    <t xml:space="preserve"> - Thu khác</t>
  </si>
  <si>
    <t xml:space="preserve">Thu từ khu vực DNNN do địa phương quản lý </t>
  </si>
  <si>
    <t xml:space="preserve"> - Thuế tiêu thụ đặc biệt</t>
  </si>
  <si>
    <t xml:space="preserve">Thu từ khu vực doanh nghiệp có vốn đầu tư nước ngoài </t>
  </si>
  <si>
    <t>Thu phí, lệ phí</t>
  </si>
  <si>
    <t>Thu các khoản đóng góp</t>
  </si>
  <si>
    <t>Thanh tra huyện</t>
  </si>
  <si>
    <t>Phòng Tài chính - Kế hoạch</t>
  </si>
  <si>
    <t>Phòng Nội vụ</t>
  </si>
  <si>
    <t>Huyện ủy</t>
  </si>
  <si>
    <t>Kinh phí đề nghị quyết toán</t>
  </si>
  <si>
    <t>Số dư kinh phí được phép chuyển sang năm sau sử dụng và quyết toán (43=41-42)</t>
  </si>
  <si>
    <t>NGUỒN VAY NỢ NƯỚC NGOÀI</t>
  </si>
  <si>
    <t>Số dư kinh phí năm trước chuyển sang (44=45+46)</t>
  </si>
  <si>
    <t>Tổng số được sử dụng trong năm (48= 44+47)</t>
  </si>
  <si>
    <t>Tổng kinh phí đã vay trong năm (49= 50+51)</t>
  </si>
  <si>
    <t>- Số đã ghi vay, ghi chi NSNN</t>
  </si>
  <si>
    <t>Kinh phí đơn vị đã sử dụng đề nghị quyết toán</t>
  </si>
  <si>
    <t>Kinh phí giảm trong năm (53=54+55+56)</t>
  </si>
  <si>
    <t>- Còn phải nộp NSNN (55= 45+49-52- 54-58)</t>
  </si>
  <si>
    <t>55</t>
  </si>
  <si>
    <t>- Dự toán bị hủy (56= 46+47-49-59)</t>
  </si>
  <si>
    <t>56</t>
  </si>
  <si>
    <t>Kinh phí được phép chuyển sang năm sau sử dụng và quyết toán (57= 58+59)</t>
  </si>
  <si>
    <t>Số đã giải ngân, rút vốn chưa hạch toán NSNN</t>
  </si>
  <si>
    <t>Số dư kinh phí chưa sử dụng năm trước chuyển sang (61=62+63)</t>
  </si>
  <si>
    <t>Dự toán được giao trong năm (64=65+66)</t>
  </si>
  <si>
    <t>Số thu được trong năm (67=68+69)</t>
  </si>
  <si>
    <t>Tổng số kinh phí được sử dụng trong năm (70=71+72)</t>
  </si>
  <si>
    <t>- Kinh phí thường xuyên/tự chủ (71=62+68)</t>
  </si>
  <si>
    <t>71</t>
  </si>
  <si>
    <t>- Kinh phí không thường xuyên/không tự chủ (72=63+69)</t>
  </si>
  <si>
    <t>72</t>
  </si>
  <si>
    <t>Số kinh phí đã sử dụng đề nghị quyết toán (73=74+75)</t>
  </si>
  <si>
    <t>Số dư kinh phí được phép chuyển sang năm sau sử dụng và quyết toán (76= 77+78)</t>
  </si>
  <si>
    <t>Dùng cho các Sở và cơ quan cấp tỉnh; Phòng và các cơ quan cấp huyện, báo cáo cơ quan tài chính cùng cấp, kho bạc nhà nước (kèm theo mẫu B, C phụ lục 2)</t>
  </si>
  <si>
    <t>Mẫu biểu số 49:</t>
  </si>
  <si>
    <t>Mẫu biểu cáo cáo chấp hành ngân sách nhà nước</t>
  </si>
  <si>
    <t>Mẫu biểu số 50:</t>
  </si>
  <si>
    <t>Tình hình cân đối NSNN tháng... năm....</t>
  </si>
  <si>
    <t>Dùng cho Bộ Tài chính báo cáo Chính phủ, các cơ quan liên quan</t>
  </si>
  <si>
    <t>Mẫu biểu số 51:</t>
  </si>
  <si>
    <t>Ước thực hiện thu NSNN tháng... năm....</t>
  </si>
  <si>
    <t>Mẫu biểu số 52:</t>
  </si>
  <si>
    <t>Ước thực hiện chi NSNN tháng... năm....</t>
  </si>
  <si>
    <t>Mẫu biểu số 53:</t>
  </si>
  <si>
    <t>Dùng cho cơ quan thuế, hải quan báo cáo cơ quan tài chính cùng cấp và cơ quan liên quan</t>
  </si>
  <si>
    <t>Mẫu biểu số 54:</t>
  </si>
  <si>
    <t>Thực hiện dự toán thu, chi NSNN quý... năm....</t>
  </si>
  <si>
    <t>Dùng cho đơn vị dự toán cấp I thuộc ngân sách trung ương báo cáo Bộ Tài chính</t>
  </si>
  <si>
    <t>Mẫu biểu số 55:</t>
  </si>
  <si>
    <t>Tình hình cân đối NSĐP tháng... năm....</t>
  </si>
  <si>
    <t>Dùng cho Ủy ban nhân dân tỉnh, thành phố trực thuộc trung ương báo cáo Bộ Tài chính</t>
  </si>
  <si>
    <t>Mẫu biểu số 56:</t>
  </si>
  <si>
    <t>Mẫu biểu số 57:</t>
  </si>
  <si>
    <t>Ước thực hiện chi NSĐP tháng... năm....</t>
  </si>
  <si>
    <t>Phần thứ bảy</t>
  </si>
  <si>
    <t>Mẫu biểu báo cáo quyết toán ngân sách nhà nước</t>
  </si>
  <si>
    <t>Mẫu biểu số 58:</t>
  </si>
  <si>
    <t>Số dư tài khoản tiền gửi kinh phí ngân sách cấp của đơn vị dự toán được chuyển nguồn sang năm sau của các đơn vị thuộc ngân sách các cấp năm...chuyển sang năm....</t>
  </si>
  <si>
    <t>Dùng cho các đơn vị dự toán ngân sách thuộc ngân sách các cấp báo cáo cơ quan kho bạc nhà nước</t>
  </si>
  <si>
    <t>Mẫu biểu số 59:</t>
  </si>
  <si>
    <t>Quyết toán thu NSNN, vay NSĐP theo mục lục ngân sách nhà nước năm...</t>
  </si>
  <si>
    <t>Dùng cho cơ quan tài chính cấp dưới báo cáo cơ quan tài chính cấp trên trực tiếp</t>
  </si>
  <si>
    <t>Mẫu biểu số 64:</t>
  </si>
  <si>
    <t>Quyết toán chi, trả nợ NSĐP theo mục lục ngân sách nhà nước năm...</t>
  </si>
  <si>
    <t>Mẫu biểu số 65:</t>
  </si>
  <si>
    <t>Quyết toán chi chương trình mục tiêu theo mục lục ngân sách nhà nước năm....</t>
  </si>
  <si>
    <t>Mẫu biểu số 66:</t>
  </si>
  <si>
    <t>Thuyết minh tăng, giảm chi quản lý hành chính, Đảng, đoàn thể năm....</t>
  </si>
  <si>
    <t>Mẫu biểu số 67:</t>
  </si>
  <si>
    <t>Thuyết minh chi khắc phục hậu quả thiên tai năm....</t>
  </si>
  <si>
    <t>Mẫu biểu số 68:</t>
  </si>
  <si>
    <t>Thuyết minh tình hình sử dụng nguồn dự phòng, tăng thu và thưởng vượt dự toán thu ngân sách năm....</t>
  </si>
  <si>
    <t>Mẫu biểu số 69:</t>
  </si>
  <si>
    <t>Báo cáo tình hình kiểm toán, thanh tra năm....</t>
  </si>
  <si>
    <t>Mẫu biểu số 70:</t>
  </si>
  <si>
    <t>Báo cáo chi chuyển nguồn sang năm sau năm....</t>
  </si>
  <si>
    <t>Dùng cho đơn vị dự toán cấp I báo cáo cơ quan tài chính và cơ quan kế hoạch và đầu tư cùng cấp</t>
  </si>
  <si>
    <t>Phần thứ năm</t>
  </si>
  <si>
    <t>Mẫu biểu lập dự toán ngân sách địa phương</t>
  </si>
  <si>
    <t>Mẫu biểu số 28:</t>
  </si>
  <si>
    <t>Một số chỉ tiêu kinh tế - xã hội cơ bản năm...</t>
  </si>
  <si>
    <t>Dùng cho Ủy ban nhân dân tỉnh, thành phố trực thuộc Trung ương báo cáo Bộ Tài chính</t>
  </si>
  <si>
    <t>Mẫu biểu số 29.1:</t>
  </si>
  <si>
    <t>Cân đối NSĐP năm... (dùng cho năm đầu thời kỳ ổn định ngân sách)</t>
  </si>
  <si>
    <t>Mẫu biểu số 29.2:</t>
  </si>
  <si>
    <t>Cân đối NSĐP năm... (dùng cho các năm trong thời kỳ ổn định ngân sách)</t>
  </si>
  <si>
    <t>Mẫu biểu số 30:</t>
  </si>
  <si>
    <t>Kế hoạch vay và trả nợ ngân sách tỉnh, thành phố trực thuộc trung ương năm...</t>
  </si>
  <si>
    <t>Mẫu biểu số 31:</t>
  </si>
  <si>
    <t>Biểu tổng hợp dự toán thu NSNN năm...</t>
  </si>
  <si>
    <t>Mẫu biểu số 32:</t>
  </si>
  <si>
    <t>Biểu tổng hợp dự toán chi NSĐP năm....</t>
  </si>
  <si>
    <t>Mẫu biểu số 33:</t>
  </si>
  <si>
    <t>Tình hình thực hiện các dự án đầu tư sử dụng vốn NSTW bổ sung có mục tiêu cho NSĐP (vốn trong nước) năm... và dự kiến kế hoạch năm...</t>
  </si>
  <si>
    <t>Mẫu biểu số 34:</t>
  </si>
  <si>
    <t>Tình hình thực hiện các dự án đầu tư từ vốn ODA và vốn vay ưu đãi kế hoạch năm... và dự kiến kế hoạch năm....</t>
  </si>
  <si>
    <t>Mẫu biểu số 35:</t>
  </si>
  <si>
    <t>Dự toán thu từ hoạt động cung cấp dịch vụ của đơn vị sự nghiệp công lập năm...</t>
  </si>
  <si>
    <t>Phần thứ sáu</t>
  </si>
  <si>
    <t>Mẫu biểu phân bổ, thuyết minh phân bổ và chấp hành ngân sách nhà nước</t>
  </si>
  <si>
    <t>Mẫu biểu phân bổ, thuyết minh phân bổ</t>
  </si>
  <si>
    <t>Mẫu biểu số 36:</t>
  </si>
  <si>
    <t>Dùng cho các bộ, cơ quan trung ương báo cáo Bộ Tài chính (kèm theo mẫu A phụ lục 2)</t>
  </si>
  <si>
    <t>Mẫu biểu số 37:</t>
  </si>
  <si>
    <t>Phân bổ dự toán thu, chi ngân sách nhà nước năm...</t>
  </si>
  <si>
    <t>Mẫu biểu số 38:</t>
  </si>
  <si>
    <t>Thuyết minh phân bổ chi sự nghiệp giáo dục - đào tạo và dạy nghề</t>
  </si>
  <si>
    <r>
      <t xml:space="preserve">Mẫu biểu số 39 </t>
    </r>
    <r>
      <rPr>
        <i/>
        <sz val="12"/>
        <color indexed="8"/>
        <rFont val="Times New Roman"/>
        <family val="1"/>
      </rPr>
      <t>(gồm mẫu biểu số 39.1 và 39.2):</t>
    </r>
  </si>
  <si>
    <t>Thuyết minh phân bổ chi sự nghiệp khoa học và công nghệ</t>
  </si>
  <si>
    <t>Dự toán được giao trong năm</t>
  </si>
  <si>
    <t>Tổng kinh phí đã nhận viện trợ trong năm (38=39+4(3)</t>
  </si>
  <si>
    <t>- Số đã ghi thu, ghi tạm ứng</t>
  </si>
  <si>
    <t>- Số đã ghi thu, ghi chi</t>
  </si>
  <si>
    <t>Kinh phí được sử dụng trong năm (41= 36+38)</t>
  </si>
  <si>
    <t>UBND tỉnh bổ sung khắc phục thiên tai (Vốn đầu tư)</t>
  </si>
  <si>
    <t>Vốn Sự nghiệp</t>
  </si>
  <si>
    <t>Dự toán năm 2017</t>
  </si>
  <si>
    <t>2.14</t>
  </si>
  <si>
    <t>2.15</t>
  </si>
  <si>
    <t>2.16</t>
  </si>
  <si>
    <t>2.17</t>
  </si>
  <si>
    <t>2.18</t>
  </si>
  <si>
    <t>Kinh phí thực hiện kiểm tra, rà soát việc cấp thẻ BHYT cho các đối tượng được ngân sách nhà nước đóng, hỗ trợ tiền đóng thẻ BHYT năm 2017 trên địa bàn tỉnh</t>
  </si>
  <si>
    <t>QUYẾT TOÁN CHI NGÂN SÁCH ĐỊA PHƯƠNG, CHI NGÂN SÁCH CẤP HUYỆN VÀ CHI NGÂN SÁCH XÃ THEO CƠ CẤU CHI NĂM 2017</t>
  </si>
  <si>
    <t>Chương trình MTQG việc làm và dạy nghề</t>
  </si>
  <si>
    <t>Xây dựng mô hinh PTSX gắn với liên kết theo chuỗi giá trị</t>
  </si>
  <si>
    <t>Duy tu bảo dưỡng ( năm 2016 chuyển sang)</t>
  </si>
  <si>
    <t xml:space="preserve">Vốn Ailen </t>
  </si>
  <si>
    <t>Vốn Ailen (Duy tu bảo dưỡng)</t>
  </si>
  <si>
    <t>Vốn Ailen ( Đầu tư)</t>
  </si>
  <si>
    <t>Mở rộng và nâng cấp đoạn II đường Bản mới Phiêng Phung xã Bằng Phúc</t>
  </si>
  <si>
    <t>Đường giao thông Bản Eng,Bản Tưn, Xuân Lạc</t>
  </si>
  <si>
    <t xml:space="preserve"> Nâng cấp và mở rộng đường Bản Mới - Phiêng Phung xã Bằng Phúc</t>
  </si>
  <si>
    <t>Tổng cộng</t>
  </si>
  <si>
    <t>2300</t>
  </si>
  <si>
    <t>2400</t>
  </si>
  <si>
    <t>2418</t>
  </si>
  <si>
    <t>4250</t>
  </si>
  <si>
    <t>4252</t>
  </si>
  <si>
    <t>4263</t>
  </si>
  <si>
    <t>2700</t>
  </si>
  <si>
    <t>2701</t>
  </si>
  <si>
    <t>1000</t>
  </si>
  <si>
    <t>1001</t>
  </si>
  <si>
    <t>1700</t>
  </si>
  <si>
    <t>1701</t>
  </si>
  <si>
    <t>2850</t>
  </si>
  <si>
    <t>2864</t>
  </si>
  <si>
    <t>1550</t>
  </si>
  <si>
    <t>1553</t>
  </si>
  <si>
    <t>2600</t>
  </si>
  <si>
    <t>2625</t>
  </si>
  <si>
    <t>1558</t>
  </si>
  <si>
    <t>1599</t>
  </si>
  <si>
    <t>1050</t>
  </si>
  <si>
    <t>1052</t>
  </si>
  <si>
    <t>4900</t>
  </si>
  <si>
    <t>4902</t>
  </si>
  <si>
    <t>2800</t>
  </si>
  <si>
    <t>2805</t>
  </si>
  <si>
    <t>605</t>
  </si>
  <si>
    <t>614</t>
  </si>
  <si>
    <t>2716</t>
  </si>
  <si>
    <t>2750</t>
  </si>
  <si>
    <t>2771</t>
  </si>
  <si>
    <t>618</t>
  </si>
  <si>
    <t>2852</t>
  </si>
  <si>
    <t>3350</t>
  </si>
  <si>
    <t>3399</t>
  </si>
  <si>
    <t>4917</t>
  </si>
  <si>
    <t>620</t>
  </si>
  <si>
    <t>2853</t>
  </si>
  <si>
    <t>622</t>
  </si>
  <si>
    <t>624</t>
  </si>
  <si>
    <t>625</t>
  </si>
  <si>
    <t>626</t>
  </si>
  <si>
    <t>4949</t>
  </si>
  <si>
    <t>637</t>
  </si>
  <si>
    <t>1555</t>
  </si>
  <si>
    <t>1557</t>
  </si>
  <si>
    <t>2802</t>
  </si>
  <si>
    <t>2862</t>
  </si>
  <si>
    <t>2863</t>
  </si>
  <si>
    <t>4254</t>
  </si>
  <si>
    <t>4268</t>
  </si>
  <si>
    <t>4272</t>
  </si>
  <si>
    <t>4918</t>
  </si>
  <si>
    <t>4927</t>
  </si>
  <si>
    <t>4931</t>
  </si>
  <si>
    <t>4944</t>
  </si>
  <si>
    <t>756</t>
  </si>
  <si>
    <t>757</t>
  </si>
  <si>
    <t>1003</t>
  </si>
  <si>
    <t>1400</t>
  </si>
  <si>
    <t>1401</t>
  </si>
  <si>
    <t>2824</t>
  </si>
  <si>
    <t>2618</t>
  </si>
  <si>
    <t>760</t>
  </si>
  <si>
    <t>0900</t>
  </si>
  <si>
    <t>4299</t>
  </si>
  <si>
    <t>4650</t>
  </si>
  <si>
    <t>4651</t>
  </si>
  <si>
    <t>4654</t>
  </si>
  <si>
    <t>4700</t>
  </si>
  <si>
    <t>4701</t>
  </si>
  <si>
    <t>4702</t>
  </si>
  <si>
    <t>4800</t>
  </si>
  <si>
    <t>4801</t>
  </si>
  <si>
    <t>799</t>
  </si>
  <si>
    <t>4500</t>
  </si>
  <si>
    <t>1006</t>
  </si>
  <si>
    <t>1300</t>
  </si>
  <si>
    <t>1302</t>
  </si>
  <si>
    <t>1600</t>
  </si>
  <si>
    <t>1602</t>
  </si>
  <si>
    <t>2801</t>
  </si>
  <si>
    <t>1603</t>
  </si>
  <si>
    <t>2301</t>
  </si>
  <si>
    <t>2715</t>
  </si>
  <si>
    <t xml:space="preserve">CTMT QG Nông thôn mới </t>
  </si>
  <si>
    <t>Vốn CTMT QG giảm nghèo bền vững năm 2017</t>
  </si>
  <si>
    <t>Kết dư từ năm trước chưa phân  bổ</t>
  </si>
  <si>
    <t>Kết dư từ ngân sách tỉnh trả hoàn nguồn kinh phí thực hiện các nhiệm vụ (Đảm bảo xã hội, chế độ CS của học sinh)</t>
  </si>
  <si>
    <t>Kết dư thu hồi các khoản chi năm trước</t>
  </si>
  <si>
    <t>Tên đơn vị: UBND HUYỆN CHỢ ĐỒN</t>
  </si>
  <si>
    <t>Nguồn năm trước chuyển sang</t>
  </si>
  <si>
    <t>Dự toán giao trong năm</t>
  </si>
  <si>
    <t>Kinh phí thu hồi về ngân sách tỉnh</t>
  </si>
  <si>
    <t>Kinh phí còn dư</t>
  </si>
  <si>
    <t>Chuyển nguồn sang ngân sách năm sau</t>
  </si>
  <si>
    <t>Chương trình MTQG</t>
  </si>
  <si>
    <t>Chương trình MTQG Giảm nghèo bền vững</t>
  </si>
  <si>
    <t>Vốn ĐTPT</t>
  </si>
  <si>
    <t>Năm 2017</t>
  </si>
  <si>
    <t>Hỗ trợ phát triển sản xuất</t>
  </si>
  <si>
    <t>Nguồn năm trước</t>
  </si>
  <si>
    <t>Ngân sách huyện bổ sung</t>
  </si>
  <si>
    <t>Phát triển sản xuất, đa dạng hoá mô hình sinh kế</t>
  </si>
  <si>
    <t>Dự án 4</t>
  </si>
  <si>
    <t>Dự án 5</t>
  </si>
  <si>
    <t>Nâng cao năng lực, giám sát, đánh giá chương trình</t>
  </si>
  <si>
    <t>Chương trình MTQG Xây dựng nông thôn mới</t>
  </si>
  <si>
    <t>Mô hình phát triển sản xuất gắn với liên kết theo chuỗi giá trị sản phẩm</t>
  </si>
  <si>
    <t>Ban chỉ đạo (cấp huyện)</t>
  </si>
  <si>
    <t>Ban chỉ đạo (cấp xã)</t>
  </si>
  <si>
    <t>Phân bổ lại từ nguồn Nghị định 42 còn dư</t>
  </si>
  <si>
    <t>Chương trình 135 không thuộc CTMTQG Giảm nghèo</t>
  </si>
  <si>
    <t>1.3.1</t>
  </si>
  <si>
    <t>Chương trình 135 Ailen</t>
  </si>
  <si>
    <t>Dự án nâng cao năng lực và truyền thông</t>
  </si>
  <si>
    <t>Các chương trình, nhiệm vụ khác</t>
  </si>
  <si>
    <t>Nghị định bảo trợ xã hội 136</t>
  </si>
  <si>
    <t>Kinh phí thực hiện chính sách hỗ trợ chi phí học tập, miễn giảm học phí theo Nghị định 86</t>
  </si>
  <si>
    <t>Hỗ trợ chi phí học tập</t>
  </si>
  <si>
    <t>Miễn giảm học phí</t>
  </si>
  <si>
    <t>Trích 40% chuyển sang nguồn CCTL</t>
  </si>
  <si>
    <t>Chính sách hỗ trợ học sinh và trường phổ thông ở xã thôn ĐBKK theo QĐ 85/2010, QĐ 12/2013/QĐ-TTg và Nghị định 116/2016/NĐ-CP:</t>
  </si>
  <si>
    <t>Chính sách hỗ trợ học sinh khuyết tật theo Thông tư liên tịch số 42</t>
  </si>
  <si>
    <t>Chính sách hỗ trợ chi phí học tập cho sinh viên dân tộc thiểu số thuộc hộ nghèo, cận nghèo theo QĐ 66/2013/QĐ-TTg</t>
  </si>
  <si>
    <t xml:space="preserve">Phụ nữ sinh con đúng chính sách </t>
  </si>
  <si>
    <t>Chính sách hỗ trợ trực tiếp người dân thuộc hộ nghèo ở vùng khó khăn</t>
  </si>
  <si>
    <t>Bán trú theo NQ54</t>
  </si>
  <si>
    <t>Kinh phí chi trả trợ cấp một lần theo QĐ 24/2016/QĐ-TTg</t>
  </si>
  <si>
    <t>Kinh phí xây dựng cuốn lịch sử Đảng bộ các xã, thị trấn</t>
  </si>
  <si>
    <t>2.19</t>
  </si>
  <si>
    <t>2.20</t>
  </si>
  <si>
    <t>2.21</t>
  </si>
  <si>
    <t>2.22</t>
  </si>
  <si>
    <t>2.23</t>
  </si>
  <si>
    <t>2.25</t>
  </si>
  <si>
    <t>2.26</t>
  </si>
  <si>
    <t>KP miễn thu thủy lợi phí</t>
  </si>
  <si>
    <t>2.27</t>
  </si>
  <si>
    <t>2.28</t>
  </si>
  <si>
    <t>2.29</t>
  </si>
  <si>
    <t>2.30</t>
  </si>
  <si>
    <t>Biểu 5.9</t>
  </si>
  <si>
    <t>Biểu 5.14</t>
  </si>
  <si>
    <t>Nguồn thu tiền sử dụng đất</t>
  </si>
  <si>
    <t>1.2.1</t>
  </si>
  <si>
    <t>1.2.2</t>
  </si>
  <si>
    <t>Nâng cao năng lực đánh giá giám sát CT</t>
  </si>
  <si>
    <t>Vốn Ailen</t>
  </si>
  <si>
    <t>Vốn Ai len 2017 tồn chưa phân bổ</t>
  </si>
  <si>
    <t>Vốn Ai len</t>
  </si>
  <si>
    <t>Huyện: CHỢ ĐỒN</t>
  </si>
  <si>
    <t>Chênh lệch</t>
  </si>
  <si>
    <t>Thu trong năm 2017</t>
  </si>
  <si>
    <t>10% chi thường xuyên 7 tháng cuối năm</t>
  </si>
  <si>
    <t>Bổ sung trong năm (tăng thu NS xã)</t>
  </si>
  <si>
    <t>Chi chuyển nguồn năm trước sang</t>
  </si>
  <si>
    <t>Chi cấp giấy chứng nhận quyền sử dụng đất</t>
  </si>
  <si>
    <t>Nộp trả về ngân sách</t>
  </si>
  <si>
    <t>Dự toán bị hủy</t>
  </si>
  <si>
    <t>Chi chuyển nguồn sang năm sau (tạm ứng)</t>
  </si>
  <si>
    <t xml:space="preserve">Kết dư ngân sách </t>
  </si>
  <si>
    <t>1=2+5+6+7</t>
  </si>
  <si>
    <t>2=3+4</t>
  </si>
  <si>
    <t>9=1-8</t>
  </si>
  <si>
    <t>Tiền đất</t>
  </si>
  <si>
    <t>Nguồn thực hiện cải cách tiền lương</t>
  </si>
  <si>
    <t>Số đã quyết toán</t>
  </si>
  <si>
    <t>Dư toán còn dư năm 2013</t>
  </si>
  <si>
    <t>Phần tiết kiệm</t>
  </si>
  <si>
    <t>40% thu học phí</t>
  </si>
  <si>
    <t>40 % miễn giảm học phí</t>
  </si>
  <si>
    <t>thu hồi của các trường về ngân sách huyện</t>
  </si>
  <si>
    <t>10% chi thường xuyên</t>
  </si>
  <si>
    <t>40%thu sự nghiệp</t>
  </si>
  <si>
    <t>50% tăng thu dự toán 2013 so với dự toán 2012</t>
  </si>
  <si>
    <t>50% tăng thu thực hiện 2014 so với dự toán 2013</t>
  </si>
  <si>
    <t>50% tăng thu quyết toán 2017</t>
  </si>
  <si>
    <t>Bù hụt thu</t>
  </si>
  <si>
    <t>Số đã phân bổ đầu năm</t>
  </si>
  <si>
    <t>Số phân bổ trong năm</t>
  </si>
  <si>
    <t>Số quyết toán</t>
  </si>
  <si>
    <t>Số hoàn trả ngân sách cấp tỉnh</t>
  </si>
  <si>
    <t>1=2+5+6+12</t>
  </si>
  <si>
    <t>6=7+8+9+10+11</t>
  </si>
  <si>
    <t>13=14+15+16</t>
  </si>
  <si>
    <t>17=1-13</t>
  </si>
  <si>
    <t>Kinh phí cải cách tiền lương</t>
  </si>
  <si>
    <t>Lập Biểu</t>
  </si>
  <si>
    <t>Hoàng Thị Thảo</t>
  </si>
  <si>
    <t>dư</t>
  </si>
  <si>
    <t xml:space="preserve">Số quyết toán CCTL 2017 </t>
  </si>
  <si>
    <t>Tổng nhu cầu theo QĐ 2789</t>
  </si>
  <si>
    <t xml:space="preserve">bổ sung cctl do thu học phí cao hơn </t>
  </si>
  <si>
    <t>Dư xã</t>
  </si>
  <si>
    <t>Dư huyện</t>
  </si>
  <si>
    <t>Quuyết toán</t>
  </si>
  <si>
    <t>Dư tiền gửi tại đơn vị</t>
  </si>
  <si>
    <t>Ngân sách huyện</t>
  </si>
  <si>
    <t>KP Trung tâm HTCĐ năm 2017 còn dư</t>
  </si>
  <si>
    <t>\</t>
  </si>
  <si>
    <t xml:space="preserve">Kinh phí hỗ trợ phụ nữ thuộc hộ nghèo là người dân tộc thiểu số sinh con đúng chính sách dân số </t>
  </si>
  <si>
    <t>*</t>
  </si>
  <si>
    <t>1.2.5</t>
  </si>
  <si>
    <t>1.2.6</t>
  </si>
  <si>
    <t>1.2.7</t>
  </si>
  <si>
    <t>1.2.8</t>
  </si>
  <si>
    <t>1.2.9</t>
  </si>
  <si>
    <t>1.2.10</t>
  </si>
  <si>
    <t>1.2.11</t>
  </si>
  <si>
    <t>1.2.12</t>
  </si>
  <si>
    <t>1.2.13</t>
  </si>
  <si>
    <t>1.2.14</t>
  </si>
  <si>
    <t>1.2.15</t>
  </si>
  <si>
    <t>Nguồn UBND tỉnh cấp bổ sung khắc phục thiên tai</t>
  </si>
  <si>
    <t>Kinh phí UBND tỉnh bổ sung khắc phục thiệt hại sau thiên tai</t>
  </si>
  <si>
    <t>2.1.1</t>
  </si>
  <si>
    <t>2.1.2</t>
  </si>
  <si>
    <t>NGUỒN NGÂN SÁCH TRONG NƯỚC</t>
  </si>
  <si>
    <t>Số dư kinh phí năm trước chuyển sang (01=02+05)</t>
  </si>
  <si>
    <t>Kinh phí thường xuyên/tự chủ (02=03+04)</t>
  </si>
  <si>
    <t>- Kinh phí đã nhận</t>
  </si>
  <si>
    <t>- Dự toán còn dư ở Kho bạc</t>
  </si>
  <si>
    <t>Kinh phí không thường xuyên/không tự chủ (05=06+07)</t>
  </si>
  <si>
    <t>Dự toán được giao trong năm (08=09+10)</t>
  </si>
  <si>
    <t>Tổng số được sử dụng trong năm (11=12+ 13)</t>
  </si>
  <si>
    <t>- Kinh phí thường xuyên/tự chủ (12=02+09)</t>
  </si>
  <si>
    <t>Kinh phí thực nhận trong năm (14=15+16)</t>
  </si>
  <si>
    <t>Kinh phí đề nghị quyết toán (17=18+19)</t>
  </si>
  <si>
    <t>Kinh phí giảm trong năm (20=21+25)</t>
  </si>
  <si>
    <t>6.1</t>
  </si>
  <si>
    <t>- Kinh phí thường xuyên/tự chủ  (77=71-74)</t>
  </si>
  <si>
    <t>77</t>
  </si>
  <si>
    <t>- Kinh phí không thường xuyên/không tự chủ (78=72-75)</t>
  </si>
  <si>
    <t>78</t>
  </si>
  <si>
    <t>NGUỒN HOẠT ĐỘNG KHÁC ĐƯỢC ĐỂ LẠI</t>
  </si>
  <si>
    <t>Số dư kinh phí chưa sử dụng năm trước chuyển sang (79=80+81)</t>
  </si>
  <si>
    <t>Dự toán được giao trong năm (82=83+84)</t>
  </si>
  <si>
    <t>Số thu được trong năm (85=86+87)</t>
  </si>
  <si>
    <t>Tổng số kinh phí được sử dụng trong năm (88=89+90)</t>
  </si>
  <si>
    <t>- Kinh phí thường xuyên/tự chủ (89=80+86)</t>
  </si>
  <si>
    <t>89</t>
  </si>
  <si>
    <t>- Kinh phí không thường xuyên/không tự chủ (90=81+87)</t>
  </si>
  <si>
    <t>90</t>
  </si>
  <si>
    <t>Số kinh phí đã sử dụng đề nghị quyết toán (91=92+93)</t>
  </si>
  <si>
    <t>Số dư kinh phí được phép chuyển sang năm sau sử dụng và quyết toán (94=95+96)</t>
  </si>
  <si>
    <t>- Kinh phí thường xuyên/tự chủ (95=89-92)</t>
  </si>
  <si>
    <t>95</t>
  </si>
  <si>
    <t>- Kinh phí không thường xuyên/không tự chủ (96=90-93)</t>
  </si>
  <si>
    <t>96</t>
  </si>
  <si>
    <t>Lập, ngày... tháng... năm....</t>
  </si>
  <si>
    <t>NGƯỜI LẬP BIỂU                                      KẾ TOÁN TRƯỞNG                                              THỦ TRƯỞNG ĐƠN VỊ</t>
  </si>
  <si>
    <t xml:space="preserve">     (Ký, họ tên)                                                           (Ký, họ tên)                                                             (Ký, họ tên, đóng dấu)</t>
  </si>
  <si>
    <t>Đối với đơn vị có hoạt động dịch vụ sự nghiệp công:</t>
  </si>
  <si>
    <t>- Trường hợp được Nhà nước đặt hàng, giao nhiệm vụ, kinh phí thực hiện các chương trình, dự án bằng hình thức giao dự toán để thực hiện thì phải lập báo cáo quyết toán theo mẫu này.</t>
  </si>
  <si>
    <t>Tình hình thực hiện dự toán của các nhiệm vụ được chuyển nguồn sang năm sau của các đơn vị thuộc ngân sách các cấp năm... chuyển sang năm...</t>
  </si>
  <si>
    <t>Mẫu biểu số 60:</t>
  </si>
  <si>
    <t>Cân đối quyết toán ngân sách địa phương năm....</t>
  </si>
  <si>
    <t>Dùng cho Ủy ban nhân dân cấp dưới báo cáo cơ quan tài chính cấp trên trực tiếp</t>
  </si>
  <si>
    <t>Mẫu biểu số 61:</t>
  </si>
  <si>
    <t>Số dư kinh phí được phép chuyển sang năm sau sử dụng và quyết toán (12=13+14)</t>
  </si>
  <si>
    <t>Tổng kinh phí đã nhận viện trợ trong năm (17=18+19)</t>
  </si>
  <si>
    <t>Kinh phí được sử dụng trong năm (20=15+17)</t>
  </si>
  <si>
    <t>Số dư kinh phí được phép chuyển sang năm sau sử dụng và quyết toán (22 = 20-21)</t>
  </si>
  <si>
    <t>Số dư kinh phí năm trước chuyển sang (23=24+25)</t>
  </si>
  <si>
    <t>Tổng số được sử dụng trong năm (27=23+26)</t>
  </si>
  <si>
    <t>Tổng kinh phí đã vay trong năm (28=29+30)</t>
  </si>
  <si>
    <t>Kinh phí đơn vị đã sử dụng đề nghị quyết toán trong năm</t>
  </si>
  <si>
    <t>Kinh phí giảm trong năm (32=33+34+35)</t>
  </si>
  <si>
    <t>- Còn phải nộp NSNN (34=24+28-31-33-37)</t>
  </si>
  <si>
    <t>34</t>
  </si>
  <si>
    <t>- Dự toán bị hủy (35=25+26- 28-38)</t>
  </si>
  <si>
    <t>35</t>
  </si>
  <si>
    <t>Kinh phí được phép chuyển sang năm sau sử dụng và quyết toán (36= 37+38)</t>
  </si>
  <si>
    <t>II. CHI TIẾT CHI THEO MỤC LỤC NSNN</t>
  </si>
  <si>
    <t>1. Mục tiêu, nội dung theo tiến độ đã quy định: ………………………………………………………………………………………………….</t>
  </si>
  <si>
    <t>2. Khối lượng đã thực hiện: ………………………………………………………………………………………………………………………</t>
  </si>
  <si>
    <t>3. Thuyết minh khác ……………………………………………………………………………………………………………………………..</t>
  </si>
  <si>
    <t>NGƯỜI LẬP BIỂU                                                   KẾ TOÁN TRƯỞNG                                                           THỦ TRƯỞNG ĐƠN VỊ</t>
  </si>
  <si>
    <t>Dùng cho cơ quan tài chính báo cáo cơ quan tài chính cấp trên trực tiếp</t>
  </si>
  <si>
    <t>Phụ lục</t>
  </si>
  <si>
    <t>x</t>
  </si>
  <si>
    <t>Dùng cho:
- Đơn vị sử dụng ngân sách báo cáo đơn vị dự toán cấp trên
- Đơn vị dự toán cấp I báo cáo cơ quan tài chính cùng cấp</t>
  </si>
  <si>
    <t>Dùng cho:
- Cơ quan bảo hiểm xã hội các cấp báo cáo cơ quan bảo hiểm xã hội cấp trên
- Bảo hiểm xã hội Việt Nam báo cáo Bộ Tài chính</t>
  </si>
  <si>
    <t>Dùng cho:
- Đơn vị sử dụng ngân sách báo cáo đơn vị dự toán cấp trên
- Đơn vị dự toán cấp I báo cáo cơ quan tài chính và cơ quan kế hoạch và đầu tư cùng cấp</t>
  </si>
  <si>
    <t>Dùng cho:
- Đơn vị sử dụng ngân sách báo cáo đơn vị dự toán cấp trên
- Đơn vị dự toán cấp I báo cáo cơ quan tài chính và cơ quan kế hoạch và đầu tư cùng cấp
- UBND cấp tỉnh báo cáo Bộ Tài chính, Bộ Kế hoạch và Đầu tư</t>
  </si>
  <si>
    <t>Dùng cho:
- Đơn vị dự toán cấp trên tổng hợp dự toán của các đơn vị sử dụng ngân sách
- Đơn vị dự toán cấp I báo cáo cơ quan tài chính, cơ quan kế hoạch và đầu tư cùng cấp</t>
  </si>
  <si>
    <t>Dùng cho:
- Đơn vị sử dụng ngân sách báo cáo đơn vị dự toán cấp trên
- Đơn vị dự toán cấp I báo cáo cơ quan tài chính, cơ quan kế hoạch và đầu tư cùng cấp
- UBND cấp tỉnh báo cáo Bộ Tài chính, Bộ Kế hoạch và Đầu tư</t>
  </si>
  <si>
    <t>Dùng cho:
- Đơn vị sử dụng ngân sách trung ương báo cáo đơn vị dự toán cấp trên
- Đơn vị dự toán cấp I thuộc ngân sách trung ương báo cáo Bộ Tài chính</t>
  </si>
  <si>
    <t>Dùng cho:
- Đơn vị sử dụng ngân sách báo cáo đơn vị dự toán cấp trên
- Đơn vị dự toán cấp I ở địa phương báo cáo cơ quan tài chính, cơ quan kế hoạch và đầu tư cùng cấp</t>
  </si>
  <si>
    <t>Dùng cho:
- Các bộ, cơ quan trung ương và UBND các địa phương báo cáo cơ quan quản lý chương trình mục tiêu quốc gia, chương trình mục tiêu
- Cơ quan quản lý chương trình mục tiêu quốc gia, chương trình mục tiêu báo cáo Bộ Tài chính, Bộ Kế hoạch và Đầu tư</t>
  </si>
  <si>
    <t>Dùng cho:
- Đơn vị sử dụng ngân sách báo cáo cơ quan quản lý cấp trên
- Đơn vị dự toán cấp I báo cáo cơ quan tài chính cùng cấp</t>
  </si>
  <si>
    <t>1. Tình hình người lao động:</t>
  </si>
  <si>
    <t>1.1. Người lao động có mặt tại thời điểm báo cáo:……………..……………………..    Người</t>
  </si>
  <si>
    <t>- Công chức, viên chức (số lượng vị trí việc làm):……………………..…………….     Người</t>
  </si>
  <si>
    <t>- Người lao động theo hợp đồng 68:…………………………………………...…….     Người</t>
  </si>
  <si>
    <t>1.2. Tăng trong năm:………………………………..……..     Người</t>
  </si>
  <si>
    <t>1.3. Giảm trong năm:…………………………………………………………..……..     Người</t>
  </si>
  <si>
    <t>a. Đánh giá chung:………………………………………………………………………………</t>
  </si>
  <si>
    <t>b. Đánh giá kết quả thực hiện chương trình, đề án, dự án lớn, CTMT quốc gia, CTMT:…………………………………………………………………………………………..</t>
  </si>
  <si>
    <t>2.2. Đánh giá tình hình thực hiện nhiệm vụ cung cấp dịch vụ công:</t>
  </si>
  <si>
    <t>…………………………………………………………………………………………………………………………………………………………………………………………………….</t>
  </si>
  <si>
    <t>…………………………………………………………………………………………………..</t>
  </si>
  <si>
    <t>B. THUYẾT MINH CHI TIẾT</t>
  </si>
  <si>
    <t>I. Tình hình sử dụng NSNN trong năm</t>
  </si>
  <si>
    <r>
      <t xml:space="preserve">1. Nguyên nhân của các biến động quyết toán tăng, giảm so với dự toán được giao </t>
    </r>
    <r>
      <rPr>
        <i/>
        <sz val="13"/>
        <color indexed="8"/>
        <rFont val="Times New Roman"/>
        <family val="1"/>
      </rPr>
      <t>(</t>
    </r>
    <r>
      <rPr>
        <sz val="13"/>
        <color indexed="8"/>
        <rFont val="Times New Roman"/>
        <family val="1"/>
      </rPr>
      <t>kinh phí năm trước chuyển sang, dự toán hủy bỏ không thực hiện, chi sai  chế độ phải xuất toán,…):</t>
    </r>
  </si>
  <si>
    <t>2.1. Kinh phí đã nhận năm trước chuyển sang:</t>
  </si>
  <si>
    <t>a) Kinh phí thường xuyên/tự chủ:……………………………………………………………</t>
  </si>
  <si>
    <t>+Tiền đã nhận nhưng chưa chi:…………………………………………………………………………..</t>
  </si>
  <si>
    <t>+Kinh phí đã rút dự toán NSNN để tạm ứng cho nhà cung cấp:………………………………..</t>
  </si>
  <si>
    <t>+ Số dư tạm ứng bằng lệnh chi tiền:……………………………………………………………</t>
  </si>
  <si>
    <t>Nguồn CK:……………………………………………………………………………………..</t>
  </si>
  <si>
    <t>b) Kinh phí không thường xuyên/không tự chủ:…………………………………………………</t>
  </si>
  <si>
    <t xml:space="preserve">       Trong đó: </t>
  </si>
  <si>
    <t>Nguồn tài trợ, biếu tặng nhỏ lẻ không theo nội dung, địa chỉ sử dụng cụ thể:………………………………………………………………………………………………</t>
  </si>
  <si>
    <t>- DT giao đầu năm:…………….... Trong đó nguồn CK………………………………………</t>
  </si>
  <si>
    <t>- DT bổ sung, điều chỉnh trong năm:………….. Trong đó nguồn CK…………………………</t>
  </si>
  <si>
    <t xml:space="preserve">       + Điều chỉnh tăng:………………………………………………………………….……..</t>
  </si>
  <si>
    <t xml:space="preserve">       + Điều chỉnh giảm:………………………………………………………………….……..</t>
  </si>
  <si>
    <t>- Nguồn tài trợ, biếu tặng nhỏ lẻ không theo nội dung, địa chỉ sử dụng cụ thể:……………………………………………………………………………………………..</t>
  </si>
  <si>
    <t xml:space="preserve">     - Kinh phí thường xuyên/tự chủ:………………………… Trong đó nguồn CK………………</t>
  </si>
  <si>
    <t>Chương trình mục tiêu quốc gia Nông thôn mới</t>
  </si>
  <si>
    <t>Chương trình mục tiêu quốc gia Giảm nghèobền vững</t>
  </si>
  <si>
    <t>Chương trình mục tiêu quốc gia CTGNBV (không bao gồm 135)</t>
  </si>
  <si>
    <t>Phòng Nông nghiệp &amp; PTNT</t>
  </si>
  <si>
    <t>PHÒNG TÀI CHÍNH - KẾ HOẠCH</t>
  </si>
  <si>
    <t>PHÒNG TÀI CHÍNH - KẾ HOẠCH HUYỆN</t>
  </si>
  <si>
    <t>PHÒNG TÀI CHÍNH KẾ HOẠCH HUYỆN</t>
  </si>
  <si>
    <t>(ký tên, đóng dấu)</t>
  </si>
  <si>
    <t>(Ghi rõ tổng số tiền ở cột số 4)</t>
  </si>
  <si>
    <t>Thủ trưởng đơn vị</t>
  </si>
  <si>
    <t>KBNN nơi giao dịch xác nhận về số dư tài khoản tiền gửi của đơn vị</t>
  </si>
  <si>
    <t>…., ngày … tháng … năm.…</t>
  </si>
  <si>
    <t>(2) Chi tiết theo từng nội dung được phép chuyển nguồn sang năm sau theo quy định của Luật NSNN và Nghị định số 163/2016/NĐ-CP ngày 21/12/2016 của Chính phủ.</t>
  </si>
  <si>
    <t>(1) Do Kho bạc Nhà nước thực hiện;</t>
  </si>
  <si>
    <t>.</t>
  </si>
  <si>
    <t>  </t>
  </si>
  <si>
    <t>Kinh phí chương trình MTQG và Chương trình mục tiêu (chi tiết từng chương trình)</t>
  </si>
  <si>
    <t>....</t>
  </si>
  <si>
    <t>- Kinh phí được bổ sung sau ngày 30 tháng 9 năm......</t>
  </si>
  <si>
    <t>- Kinh phí được giao tự chủ</t>
  </si>
  <si>
    <r>
      <t>Kinh phí thường xuyên</t>
    </r>
    <r>
      <rPr>
        <b/>
        <vertAlign val="superscript"/>
        <sz val="11"/>
        <rFont val="Times New Roman"/>
        <family val="1"/>
        <charset val="163"/>
      </rPr>
      <t>(2)</t>
    </r>
  </si>
  <si>
    <t>Số dư tài khoản tiền gửi</t>
  </si>
  <si>
    <t>Mục, Tiểu mục</t>
  </si>
  <si>
    <t>Loại, Khoản</t>
  </si>
  <si>
    <r>
      <t xml:space="preserve">Mã tính chất nguồn kinh phí </t>
    </r>
    <r>
      <rPr>
        <b/>
        <vertAlign val="superscript"/>
        <sz val="11"/>
        <rFont val="Times New Roman"/>
        <family val="1"/>
        <charset val="163"/>
      </rPr>
      <t>(1)</t>
    </r>
  </si>
  <si>
    <t>Đơn vị tính: Đồng</t>
  </si>
  <si>
    <t>KP Ban chỉ đạo cấp huyện</t>
  </si>
  <si>
    <t>CT Nông thôn mới</t>
  </si>
  <si>
    <t>KP tuyên truyền</t>
  </si>
  <si>
    <t>KP Ban chỉ đạo cấp xã</t>
  </si>
  <si>
    <t>Hỗ trợ PTSX, cải thiện VSMT</t>
  </si>
  <si>
    <t>Vốn PTSX cho các xã không nằm trong 135</t>
  </si>
  <si>
    <t>Dự án hỗ trợ nâng cao năng lực giảm nghèo truyền thông và GSĐG CT</t>
  </si>
  <si>
    <t>Duy tu bảo dưỡng (Vốn 2016 chuyển sang)</t>
  </si>
  <si>
    <t xml:space="preserve">Vốn đầu tư </t>
  </si>
  <si>
    <t>Vốn sự nghiệp</t>
  </si>
  <si>
    <t>Thu từ khu vực doanh nghiệp có vốn đầu tư nước ngoài</t>
  </si>
  <si>
    <t>TỔNG CHI NSĐP</t>
  </si>
  <si>
    <t>CHI CÂN ĐỐI NSĐP</t>
  </si>
  <si>
    <t>Chi đầu tư cho các dự án</t>
  </si>
  <si>
    <t>Chi an ninh và trật tự an toàn xã hội</t>
  </si>
  <si>
    <t>Chi thể dục thể thao</t>
  </si>
  <si>
    <t>Chi các hoạt động kinh tế</t>
  </si>
  <si>
    <t>VII</t>
  </si>
  <si>
    <t>Phần thu</t>
  </si>
  <si>
    <t>Thu NS cấp tỉnh</t>
  </si>
  <si>
    <t>Thu NS xã</t>
  </si>
  <si>
    <t>Phần chi</t>
  </si>
  <si>
    <t>Chi NS xã</t>
  </si>
  <si>
    <t>Tổng số thu</t>
  </si>
  <si>
    <t>Tổng số chi</t>
  </si>
  <si>
    <t>Quyết toán năm</t>
  </si>
  <si>
    <t>Phân chia theo từng cấp ngân sách</t>
  </si>
  <si>
    <t>Cấp trên giao</t>
  </si>
  <si>
    <t>HĐND quyết định</t>
  </si>
  <si>
    <t>Thu NS TW</t>
  </si>
  <si>
    <t>3.4</t>
  </si>
  <si>
    <t>3.3</t>
  </si>
  <si>
    <t>3.5</t>
  </si>
  <si>
    <t>3.6</t>
  </si>
  <si>
    <t>TỔNG SỐ (A+B+C + D)</t>
  </si>
  <si>
    <t>Quyết toán thu NSNN, vay NSĐP năm...</t>
  </si>
  <si>
    <t>Mẫu biểu số 62:</t>
  </si>
  <si>
    <t>Quyết toán chi ngân sách địa phương năm....</t>
  </si>
  <si>
    <t>Mẫu biểu số 63:</t>
  </si>
  <si>
    <t>(5) Đối với chi đầu tư phát triển, số dư dự toán, số dư tạm ứng (chưa thanh toán) chi đầu tư phát triển được chuyển sang năm sau theo quy định của Luật ngân sách nhà nước.</t>
  </si>
  <si>
    <t>….., ngày … tháng … năm ……</t>
  </si>
  <si>
    <t>KBNN nơi giao dịch xác nhận về sử dụng dự toán của đơn vị</t>
  </si>
  <si>
    <t>(Ghi rõ tổng số của các chỉ tiêu ở cột số 5,9,10,11)</t>
  </si>
  <si>
    <t>Chi thuộc nhiệm vụ của ngân sách cấp xã</t>
  </si>
  <si>
    <r>
      <t>II. Các khoản thu phân chia theo tỷ lệ </t>
    </r>
    <r>
      <rPr>
        <vertAlign val="superscript"/>
        <sz val="11"/>
        <color indexed="8"/>
        <rFont val="Times New Roman"/>
        <family val="1"/>
      </rPr>
      <t>(1)</t>
    </r>
  </si>
  <si>
    <r>
      <t>Ghi chú: </t>
    </r>
    <r>
      <rPr>
        <sz val="11"/>
        <color indexed="8"/>
        <rFont val="Times New Roman"/>
        <family val="1"/>
      </rPr>
      <t>(1) Bao gồm 4 khoản thu từ thuế, lệ phí Luật NSNN quy định cho ngân sách xã hưởng và những khoản thu ngân sách địa phương được hưởng có phân chia theo tỷ lệ phần trăm (%) cho xã</t>
    </r>
  </si>
  <si>
    <t>Xã (phường, thị trấn) ...............</t>
  </si>
  <si>
    <r>
      <t>QUYẾT TOÁN CHI ĐẦU TƯ PHÁT TRIỂN</t>
    </r>
    <r>
      <rPr>
        <b/>
        <vertAlign val="superscript"/>
        <sz val="11"/>
        <color indexed="8"/>
        <rFont val="Times New Roman"/>
        <family val="1"/>
      </rPr>
      <t>(1)</t>
    </r>
    <r>
      <rPr>
        <b/>
        <sz val="11"/>
        <color indexed="8"/>
        <rFont val="Times New Roman"/>
        <family val="1"/>
      </rPr>
      <t> NĂM...</t>
    </r>
  </si>
  <si>
    <t>THUYẾT MINH KẾT DƯ NGÂN SÁCH XÃ NĂM …..</t>
  </si>
  <si>
    <t>BÁO CÁO CHI TIẾT CHI TỪ NGUỒN NSNN VÀ NGUỒN PHÍ ĐƯỢC KHẤU TRỪ, ĐỂ LẠI</t>
  </si>
  <si>
    <t>Viện trợ</t>
  </si>
  <si>
    <t>Vay nợ nước ngoài</t>
  </si>
  <si>
    <t>NGUỒN PHÍ ĐƯỢC KHẤU TRỪ ĐỂ LẠI</t>
  </si>
  <si>
    <t>E</t>
  </si>
  <si>
    <t>TỔNG CỘNG</t>
  </si>
  <si>
    <t>BÁO CÁO CHI TIẾT KINH PHÍ CHƯƠNG TRÌNH, DỰ ÁN</t>
  </si>
  <si>
    <t>Chỉ tiêu</t>
  </si>
  <si>
    <t>Năm nay</t>
  </si>
  <si>
    <t>Lũy kế từ khi khởi đầu</t>
  </si>
  <si>
    <t>10</t>
  </si>
  <si>
    <t>11</t>
  </si>
  <si>
    <t>13</t>
  </si>
  <si>
    <t>NS trong nước</t>
  </si>
  <si>
    <t>III. THUYẾT MINH</t>
  </si>
  <si>
    <t>KIẾN NGHỊ CỦA KIỂM TOÁN, THANH TRA, TÀI CHÍNH</t>
  </si>
  <si>
    <t>Số còn phải xử lý</t>
  </si>
  <si>
    <t>CTMT QG Nông thôn mới</t>
  </si>
  <si>
    <t xml:space="preserve"> +</t>
  </si>
  <si>
    <t>Vốn đầu tư nông thôn mới 2016</t>
  </si>
  <si>
    <t>Vốn đầu tư nông thôn mới 2017</t>
  </si>
  <si>
    <t>Vốn CTMT QG giảm nghèo bền vững năm 2016</t>
  </si>
  <si>
    <t>Vốn 135 năm 2016</t>
  </si>
  <si>
    <t>Vốn Ai len 2016</t>
  </si>
  <si>
    <t>Dự án hỗ trợ PTSX năm 2017</t>
  </si>
  <si>
    <t>Năm 2011</t>
  </si>
  <si>
    <t>Năm 2012</t>
  </si>
  <si>
    <t>Kinh phí quản lý tuyên truyền</t>
  </si>
  <si>
    <t>Năm 2013</t>
  </si>
  <si>
    <t>Năm 2014</t>
  </si>
  <si>
    <t>Năm 2015</t>
  </si>
  <si>
    <t>Năm 2016</t>
  </si>
  <si>
    <t>Kinh phí hỗ trợ phát triển sản xuất</t>
  </si>
  <si>
    <t>Kinh phí Ban chỉ đạo</t>
  </si>
  <si>
    <t>Vốn Ailen phân bổ lại duy tu bảo dưỡngcác CT</t>
  </si>
  <si>
    <t>Hỗ trợ kinh phí Ban Chỉ đạo thuộc Chương trình 135</t>
  </si>
  <si>
    <t>KP Quản lý năm 2015+2016</t>
  </si>
  <si>
    <t xml:space="preserve">KP thực hiện CS đối với người có uy tín trong đồng bào dân tộc thiểu số </t>
  </si>
  <si>
    <t>KP hỗ trợ trực tiếp cho người dân thuộc hộ nghèo ở vùng khó khăn theo Quyết định 102/2009/QĐ-TTg</t>
  </si>
  <si>
    <t>Hỗ trợ người có công với cách mạng về nhà ở</t>
  </si>
  <si>
    <t>Kinh phí thực hiện đảm bảo TTATGT</t>
  </si>
  <si>
    <t>Kinh phí hỗ trợ học sinh bán trú và trường phổ thông DT bán trú theo QĐ 85</t>
  </si>
  <si>
    <t>Kinh phí thực hiện Nghị định 35</t>
  </si>
  <si>
    <t>KP Đào tạo nguồn ns huyện hỗ trợ cho các lớp đào tạo của huyện</t>
  </si>
  <si>
    <t>Vốn NS huyện hỗ trợ các xã thực hiện CTMTQG Nông thôn mới</t>
  </si>
  <si>
    <t>Kinh phí sự nghiệp GDĐT</t>
  </si>
  <si>
    <t>Nguồn dự phòng NS</t>
  </si>
  <si>
    <t>Phí bảo trì đường bộ</t>
  </si>
  <si>
    <t>Hội Chữ thập đỏ</t>
  </si>
  <si>
    <t>Hội Người cao tuổi</t>
  </si>
  <si>
    <t>Kinh phí thường xuyên/tự chủ (21 =22+23+24)</t>
  </si>
  <si>
    <t>- Đã nộp NSNN</t>
  </si>
  <si>
    <t>- Còn phải nộp NSNN (23=03+15-18- 22-31)</t>
  </si>
  <si>
    <t>23</t>
  </si>
  <si>
    <t>- Dự toán bị hủy (24=04+09-15-32)</t>
  </si>
  <si>
    <t>24</t>
  </si>
  <si>
    <t>6.2</t>
  </si>
  <si>
    <t>Kinh phí không thường xuyên/không tự chủ (25=26+27+28)</t>
  </si>
  <si>
    <t>- Còn phải nộp NSNN (27=06+16-19- 26-34)</t>
  </si>
  <si>
    <t>27</t>
  </si>
  <si>
    <t>- Dự toán bị hủy (28=07+10-16-35)</t>
  </si>
  <si>
    <t>28</t>
  </si>
  <si>
    <t>Số dư kinh phí được phép chuyển sang năm sau sử dụng và quyết toán (29=30+33)</t>
  </si>
  <si>
    <t>7.1</t>
  </si>
  <si>
    <t>Kinh phí thường xuyên/tự chủ (30=31+32)</t>
  </si>
  <si>
    <t>7.2</t>
  </si>
  <si>
    <t>7.2. Kinh phí không thường xuyên/không tự chủ (33=34+35)</t>
  </si>
  <si>
    <t>NGUỒN VỐN VIỆN TRỢ</t>
  </si>
  <si>
    <t>TT</t>
  </si>
  <si>
    <t>Tổng</t>
  </si>
  <si>
    <t>Số kiến nghị theo kết luận Kiểm toán ngân sách năm 2017</t>
  </si>
  <si>
    <t>Tổng số tiền kết dư ngân sách huyện</t>
  </si>
  <si>
    <t>Số kinh phí giảm</t>
  </si>
  <si>
    <t>Số kinh phí sau điều chỉnh</t>
  </si>
  <si>
    <t>Kinh phí thực hiện CCTL</t>
  </si>
  <si>
    <t>Hoàn nguồn CCTL giảm trừ nguồn kết dư thường xuyên</t>
  </si>
  <si>
    <t>THUYẾT MINH KẾT DƯ NGÂN SÁCH HUYỆN NĂM 2017 (SAU KẾT LUẬN KIỂM TOÁN NĂM 2017)</t>
  </si>
  <si>
    <t>Trưởng Phòng</t>
  </si>
  <si>
    <t>Năm 2018</t>
  </si>
  <si>
    <t>Kết dư ngân sách huyện</t>
  </si>
  <si>
    <t>Kết dư ngân sách xã</t>
  </si>
  <si>
    <t>Tổng Chuyển nguồn</t>
  </si>
  <si>
    <t>Chuyển nguồn NS huyện</t>
  </si>
  <si>
    <t>Chuyển nguồn sang ngân sách năm sau ngân sách xã</t>
  </si>
  <si>
    <t>Kinh phí tuyên truyền cấp xã</t>
  </si>
  <si>
    <t>Kinh phí xử lý, cải thiện môi trường (năm 2018</t>
  </si>
  <si>
    <t>ghi thu ghi chi đóng góp</t>
  </si>
  <si>
    <t>Ngoài CT135</t>
  </si>
  <si>
    <t>Truyền thông và giảm nghèo về thông tin</t>
  </si>
  <si>
    <t>Dự toán năm 2018</t>
  </si>
  <si>
    <t>Chi trong năm 2018</t>
  </si>
  <si>
    <t>Dư toán còn dư năm 2018</t>
  </si>
  <si>
    <t>Chi chuyển nguồn sang năm sau (Dự toán)</t>
  </si>
  <si>
    <t>Tổng số chuyển nguồn</t>
  </si>
  <si>
    <t>BÁO CÁO QUYẾT TOÁN NGUỒN TIỀN SỬ DỤNG ĐẤT NĂM 2018</t>
  </si>
  <si>
    <t>Nâng cao chất lượng đào tạo nghề cho lao động SX</t>
  </si>
  <si>
    <t>Kinh phí thực hiện chính sách hỗ trợ người quản lý học sinh theo NQ54</t>
  </si>
  <si>
    <t>Kinh phí thực hiện hỗ trợ học sinh theo Nghị định 57/2017/NĐ-CP (học sinh dân tộc thiểu số ít người) - Ngân sách huyện</t>
  </si>
  <si>
    <t>Chính sách hỗ trợ tiền ăn trưa cho trẻ em 3-5 tuổi theo Nghị quyết 06</t>
  </si>
  <si>
    <t>Chương trình PTLN bền vững (Khoán KN-BV)</t>
  </si>
  <si>
    <t>Nguồn tỉnh</t>
  </si>
  <si>
    <t>Nguồn Trung ương</t>
  </si>
  <si>
    <t>Biểu số</t>
  </si>
  <si>
    <t>BÁO CÁO KẾT QUẢ RÚT TRỢ CẤP NGÂN SÁCH CẤP TỈNH CHO NGÂN SÁCH CẤP HUYỆN NĂM 2018</t>
  </si>
  <si>
    <t>(Kèm theo Báo cáo số            /BC-UBND ngày            tháng 6 năm 2019 của Ủy ban nhân dân huyện Chợ Đồn)</t>
  </si>
  <si>
    <t>Số QĐ</t>
  </si>
  <si>
    <t>Ngày</t>
  </si>
  <si>
    <t>Mã Nhiệm vụ chi</t>
  </si>
  <si>
    <t>Mã CTMT</t>
  </si>
  <si>
    <t>Các Sở, đơn vị khác cấp tỉnh</t>
  </si>
  <si>
    <t>Sở GD</t>
  </si>
  <si>
    <t>Sở Y tế</t>
  </si>
  <si>
    <t>Sở LĐ</t>
  </si>
  <si>
    <t>Ban tỉnh</t>
  </si>
  <si>
    <t>Trường CĐ nghề DTNT</t>
  </si>
  <si>
    <t>Sở KH</t>
  </si>
  <si>
    <t>Sở Công thương</t>
  </si>
  <si>
    <t>Ban Dân vận</t>
  </si>
  <si>
    <t>số dư PN (bao giờ hết số dư thì mới phải nhập cho PN)</t>
  </si>
  <si>
    <t>Số kinh phí rút</t>
  </si>
  <si>
    <t>Số chưa rút</t>
  </si>
  <si>
    <t>TỔNG</t>
  </si>
  <si>
    <t>BS CÂN ĐỐI</t>
  </si>
  <si>
    <t>BS CÓ MỤC TIÊU</t>
  </si>
  <si>
    <t>Chi tiết</t>
  </si>
  <si>
    <t>Giao dự toán đầu năm</t>
  </si>
  <si>
    <t>08/12/2018</t>
  </si>
  <si>
    <t>00000</t>
  </si>
  <si>
    <t>nhập thừa QĐ 2088,ko rút dự toán về dc</t>
  </si>
  <si>
    <t>Hỗ trợ xã NTM</t>
  </si>
  <si>
    <t>LN 00620</t>
  </si>
  <si>
    <t>06A40K2012K104</t>
  </si>
  <si>
    <t>Giảm nghèo bền vững - CT 135 2018</t>
  </si>
  <si>
    <t>06A40K2012K105</t>
  </si>
  <si>
    <t>Pác nặm chưa rút 800tr về được</t>
  </si>
  <si>
    <t>NTM năm 2018 (Vốn ĐT)</t>
  </si>
  <si>
    <t>00390</t>
  </si>
  <si>
    <t>Cấp bổ sung kinh phí cho các đơn vị, địa phương thực hiện chính sách theo Nghị định số 108/2014/NĐ-CP đợt I năm 2018</t>
  </si>
  <si>
    <t>Điều chỉnh kinh phí thực hiện Dự án Phát triển hệ thống bảo vệ trẻ em thuộc CTMT phát triển hệ thống trợ giúp xã hội đã giao tại Quyết định số 2274/QĐ-UBND ngày 29 tháng 12 năm 2017 và Quyết định số 301/QĐ-UBND ngày 28 tháng 02 năm 2018 của UBND tỉnh</t>
  </si>
  <si>
    <t>00710</t>
  </si>
  <si>
    <t>Cấp kinh phí Chương trình mục tiêu đảm bảo trật tự an toàn giao thông, phòng cháy chữa cháy, phòng chống tội phạm và ma túy năm 2018</t>
  </si>
  <si>
    <t>00660</t>
  </si>
  <si>
    <t>nhiều đơn vị nên chưa nhập chi tiết</t>
  </si>
  <si>
    <t>phân bổ kinh phí của Công ty TNHH một thành viên Kim loại màu Bắc Kạn – TMC tài trợ cho lĩnh vực giáo dục của tỉnh</t>
  </si>
  <si>
    <t xml:space="preserve">kinh phí cho các đơn vị và UBND các huyện, thành phố thực hiện Chương trình mục tiêu Đảm bảo trật tự an toàn giao thông, phòng cháy, chữa cháy, phòng chống tội phạm và ma túy năm 2017 </t>
  </si>
  <si>
    <t>Về việc cấp bổ sung kinh phí thực hiện hỗ trợ sản xuất nông nghiệp để khôi phục sản xuất vùng bị thiệt hại do thiên tai, dịch bệnh năm 2017 cho UBND các huyện, thành phố</t>
  </si>
  <si>
    <t>Cấp KP cho UBND các huyện, thành phố để thực hiện chi trả trợ cấp một lần cho các đối tượng theo Quyết định số 24/2016/QĐ-TTg (Đợt 2 năm 2017)</t>
  </si>
  <si>
    <t>cấp bổ sung, đồng thời thu hồi kinh phí đã tạm ứng cho UBND các huyện năm 2017 đối với chính sách hỗ trợ học sinh và trường phổ thông ở xã, thôn ĐBKK năm 2017 theo Nghị định 116/2016/NĐ-CP + điều chỉnh hủy dự toán TƯ 2017</t>
  </si>
  <si>
    <t>Phân bổ vốn SN thực hiện CTMTQG GNBV năm 2018 (ko bao gồm CT135)</t>
  </si>
  <si>
    <t> phân bổ chi tiết kinh phí sự nghiệp Chương trình mục tiêu quốc gia xây dựng Nông thôn mới năm 2018 (đợt 1) cho các đơn vị và Ủy ban nhân dân các huyện, thành phố</t>
  </si>
  <si>
    <t>giao chi tiết kế hoạch vốn hỗ trợ nhà ở cho người có công theo Quyết định 22/2013/QĐ-TTg của Thủ tướng Chính phủ cho các địa phương từ nguồn vốn ngân sách trung ương năm 2018</t>
  </si>
  <si>
    <t>Pắc Nặm giảm 40tr, Ba Bể tăng 40tr</t>
  </si>
  <si>
    <t>CT đảm bảo chất lượng giáo dục trường học (SEQAP) nguồn vốn CĐNS 2018</t>
  </si>
  <si>
    <t>00330</t>
  </si>
  <si>
    <t>phân bổ chi tiết vốn sự nghiệp Chương trình 135 thuộc Chương trình mục tiêu quốc gia Giảm nghèo bền vững, năm 2018</t>
  </si>
  <si>
    <t>432</t>
  </si>
  <si>
    <t>cấp bổ sung, đồng thời thu hồi kinh phí đã cấp tạm ứng cho UBND các huyện, thành phố năm 2017 thực hiện chính sách hỗ trợ tiền điện cho hộ nghèo và hộ chính sách xã hội năm 2016</t>
  </si>
  <si>
    <t>99999</t>
  </si>
  <si>
    <t>Do cuối năm 2017 chị Tươi đã thu hồi tạm ứng, nhưng 2018 cấp bổ sung chưa trừ số tạm ứng</t>
  </si>
  <si>
    <t>cấp bổ sung kinh phí cho các đơn vị để thực hiện đào tạo các lớp trong năm 2018</t>
  </si>
  <si>
    <t>cấp KP cho UBND các huyện, thành phố để thực hiện chính sách hỗ trợ trực tiếp cho người dân thuộc hộ nghèo ở vùng khó khăn theo Quyết định số 102/2009/QĐ-TTg năm 2018</t>
  </si>
  <si>
    <t> phân bổ chi tiết kinh phí sự nghiệp Chương trình mục tiêu quốc gia xây dựng Nông thôn mới năm 2018 (đợt 2) cho các đơn vị và Ủy ban nhân dân các huyện, thành phố</t>
  </si>
  <si>
    <t>phân bổ kinh phí nâng cao chất lượng đào tạo nghề tại QĐ 984 bên trên</t>
  </si>
  <si>
    <t>cấp kinh phí cho UBND các huyện, thành phố để thực hiện chính sách hỗ trợ trực tiếp cho người dân thuộc hộ nghèo ở vùng khó khăn theo Quyết định 102/2009/QĐ-TTg năm 2017</t>
  </si>
  <si>
    <t>cấp kinh phí cho Ủy ban nhân dân các huyện, thành phố để thực hiện hỗ trợ công tác quản lý về giảm nghèo ở cấp xã</t>
  </si>
  <si>
    <t>cấp kinh phí thực hiện cải cách tiền lương cho các đơn vị, địa phương năm 2017 (đợt 2)</t>
  </si>
  <si>
    <t>cấp hỗ trợ kinh phí cho các đơn vị, địa phương thực hiện khắc phục hậu quả hạn hán vụ Đông Xuân, năm 2017-2018</t>
  </si>
  <si>
    <t>cấp bổ sung kinh phí cho các huyện, thành phố thực hiện chính sách bảo trợ xã hội theo Nghị định số 136/2013/NĐ-CP ngày 21/10/2013 của Chính phủ năm 2017</t>
  </si>
  <si>
    <t>cấp bổ sung kinh phí còn dư để thực hiện chính sách hỗ trợ học bổng và phương tiện học tập cho người khuyết tật năm 2017</t>
  </si>
  <si>
    <t>cấp bổ sung kinh phí cho UBND các huyện để thực hiện chính sách hỗ trợ tiền ăn trưa cho trẻ em 3, 4, 5 tuổi năm 2017</t>
  </si>
  <si>
    <t>Cấp BS KP thực hiện nhiệm vụ tuyên truyền đấu tranh, xóa bỏ tổ chức bất hợp pháp Dương Văn Mình năm 2018</t>
  </si>
  <si>
    <t>cấp bổ sung kinh phí cho các đơn vị, địa phương thực hiện chính sách theo Nghị định 108/2014/NĐ-CP ngày 20/11/2014 của Chính phủ đợt II năm 2018</t>
  </si>
  <si>
    <t>Các đơn vị có Trợ cấp tìm việc làm nhập mã DP 200 (Trừ SYT)</t>
  </si>
  <si>
    <t>Cấp bổ sung CS miễn giảm học phí, hỗ trợ chi phí học tập năm 2017 cho các đơn vị địa phương</t>
  </si>
  <si>
    <t>cấp bổ sung cho UBND các huyện, thành phố để chi trả trợ cấp một lần cho các đối tượng theo QĐ số 24/2016/QĐ-TTg đợt I năm 2018</t>
  </si>
  <si>
    <t>Cấp kinh phí quản lý cho các đơn vị để triển khai chính sách hỗ trợ người có công với cách mạng về nhà ở</t>
  </si>
  <si>
    <t>Cấp bổ sung kinh phí cho UBND các huyện, thành phố để thực hiện Cuộc vận động Toàn dân đoàn kết xây dựng nông thôn mới đô thị văn minh năm 2018</t>
  </si>
  <si>
    <t>Đính chính Vốn đầu tư</t>
  </si>
  <si>
    <t>24/10/2010</t>
  </si>
  <si>
    <t>Cấp kinh phí quản lý , tổ chức thực hiện chính sách hỗ trợ nhà ở cho các hộ nghèo</t>
  </si>
  <si>
    <t>Cấp bổ sung kinh phí thực hiện hỗ trợ sản xuất nông nghiệp để khôi phục sản xuất vùng bị thiệt hại do thiên tai, dịch bệnh năm 2018 cho UBND các huyện, thành phố</t>
  </si>
  <si>
    <t>Cấp kinh phí thực hiện Đề án hỗ trợ người có công với CM về nhà ở cho UBND các huyện, thành phố</t>
  </si>
  <si>
    <t>Cấp CCTL</t>
  </si>
  <si>
    <t>Cấp kp CTMTQG xây dựng NTM năm 2018</t>
  </si>
  <si>
    <t>QĐ Mật (Dương văn Mình)</t>
  </si>
  <si>
    <t>Cấp kp CTMT phát triển lâm nghiêp bền vững năm 2018</t>
  </si>
  <si>
    <t>00620</t>
  </si>
  <si>
    <t>Cấp kp CTMT phát triển lâm nghiêp bền vững năm 2018 điều chỉnh</t>
  </si>
  <si>
    <t>Cấp BS cho UBND huyện Chợ Đồn luân chuyển cán bộ</t>
  </si>
  <si>
    <t>Cấp BS cho UBND huyện theo QĐ số 24/QĐ-TTg</t>
  </si>
  <si>
    <t>Nông Thôn mới</t>
  </si>
  <si>
    <t>CT Giảm nghèo bền vững 135</t>
  </si>
  <si>
    <t>CTMT Phát triển LNBV</t>
  </si>
  <si>
    <t>CTMT đảm bảo trật tự an toàn giao thông, phòng cháy, chữa cháy, phòng chống tội phạm</t>
  </si>
  <si>
    <t>Chương trình mục tiêu phát triển trợ giúp xã hội (trẻ em)</t>
  </si>
  <si>
    <t>Vốn Sự nghiệp (Trẻ em)</t>
  </si>
  <si>
    <t>Vốn đầu tư SEQAP</t>
  </si>
  <si>
    <t>Kinh phí thực hiện các nhiệm vụ trong năm</t>
  </si>
  <si>
    <t>Vốn sự nghiệp (nguồn tỉnh)</t>
  </si>
  <si>
    <t>Vốn sự nghiệp (nguồn huyện)</t>
  </si>
  <si>
    <t xml:space="preserve">Huyện </t>
  </si>
  <si>
    <t>Xã</t>
  </si>
  <si>
    <t>QĐ về việc cấp bổ sung kinh phí  cho  các đơn vị để thực hiên chính sách  theo nghị định 108/2014/NĐ-CP đợt I,II năm 2015</t>
  </si>
  <si>
    <t>Biểu 5.1</t>
  </si>
  <si>
    <t>Cấp kinh phí năm 2018</t>
  </si>
  <si>
    <t>Cấp trả nợ đã sử dụng nguồn ns huyện chi trả và huyện đã QT vào năm 2017</t>
  </si>
  <si>
    <t>KP thực hiện CS đối với người có uy tín trong đồng bào dân tộc thiểu số (Nguồn tỉnh)</t>
  </si>
  <si>
    <t>KP thực hiện CS đối với người có uy tín trong đồng bào dân tộc thiểu số (Nguồn huyện)</t>
  </si>
  <si>
    <t>Nguồn huyện</t>
  </si>
  <si>
    <t>2.24</t>
  </si>
  <si>
    <t>Hoàn nguồn</t>
  </si>
  <si>
    <t>Ngân sách tỉnh cấp trả nợ năm 2018</t>
  </si>
  <si>
    <t>Kết dư Phong huân</t>
  </si>
  <si>
    <t>KD xã Đông Viên</t>
  </si>
  <si>
    <t>Thu hồi</t>
  </si>
  <si>
    <t>2.31</t>
  </si>
  <si>
    <t xml:space="preserve">Kinh phí thực hiện Dự án Phát triển hệ thống bảo vệ trẻ em thuộc CTMT phát triển hệ thống trợ giúp xã hội đã giao </t>
  </si>
  <si>
    <t>Kinh phí cho Ủy ban nhân dân các huyện, thành phố để thực hiện hỗ trợ công tác quản lý về giảm nghèo ở cấp xã</t>
  </si>
  <si>
    <t>Biểu 5.17</t>
  </si>
  <si>
    <t>KẾ TOÁN        KẾ TOÁN TRƯỞNG            GIÁM ĐỐC</t>
  </si>
  <si>
    <t>Triệu Huy Chung</t>
  </si>
  <si>
    <t xml:space="preserve">Vốn Sự nghiệp </t>
  </si>
  <si>
    <t>Vốn Sự nghiệp (NS)</t>
  </si>
  <si>
    <t>Vốn Sự nghiệp (ghi thu ghi chi)</t>
  </si>
  <si>
    <t>UBND các huyện, thành phố: Chợ Đồn</t>
  </si>
  <si>
    <t>BÁO CÁO TÌNH HÌNH THỰC HIỆN CHƯƠNG TRÌNH MỤC TIÊU QUỐC GIA NĂM 2019</t>
  </si>
  <si>
    <t>Dự toán giao năm 2019</t>
  </si>
  <si>
    <t>Dự kiến kinh phí còn dư đến hết năm 2019</t>
  </si>
  <si>
    <t>Giải trình nguyên nhân không thực hiện được</t>
  </si>
  <si>
    <t>Nguồn năm 2018 chuyển sang</t>
  </si>
  <si>
    <t xml:space="preserve">Dự toán giao đầu năm </t>
  </si>
  <si>
    <t xml:space="preserve">Dự toán bổ sung trong năm </t>
  </si>
  <si>
    <t>Thực hiện từ nguồn 2018 chuyển sang</t>
  </si>
  <si>
    <t>Thực hiện từ DT 2019 (ước đến hết 31/1/2020)</t>
  </si>
  <si>
    <t>Được phép chuyển nguồn theo quy định</t>
  </si>
  <si>
    <t>Không được phép chuyển nguồn (Hủy bỏ tại KBNN)</t>
  </si>
  <si>
    <t>Chương trình mục tiêu quốc gia giảm nghèo bền vững (Gồm CT 135 và Ngoài CT 135)</t>
  </si>
  <si>
    <t>Chương trình mục tiêu quốc gia Xây dựng nông thôn mới</t>
  </si>
  <si>
    <t xml:space="preserve">Nguồn tỉnh </t>
  </si>
  <si>
    <t xml:space="preserve">Vốn sự nghiệp </t>
  </si>
  <si>
    <t>Xin chuyển nguồn do các dự án được duyệt 2 năm</t>
  </si>
  <si>
    <t>quyết toán năm 2019</t>
  </si>
  <si>
    <t>Trạm Y tế xã Xuân Lạc</t>
  </si>
  <si>
    <t>Vốn năm 2019 (ngân sách trung ương)</t>
  </si>
  <si>
    <t>Kinh phí quản lý chương trình</t>
  </si>
  <si>
    <t>Phát triển sản xuất theo liên kết chuỗi gắn với tiêu thụ sản phẩm</t>
  </si>
  <si>
    <t>Chương trình MTQG xây dựng NTM</t>
  </si>
  <si>
    <t>Dự án: Phát triển giáo dục ở nông thôn</t>
  </si>
  <si>
    <t>Kiểm tra giám sát đào tạo nghề cho lao động nông thôn</t>
  </si>
  <si>
    <t>Chính sách hỗ trợ cho học sinh và trường phổ thông ở xã, thôn đặc biệt khó khăn theo Nghị định số 116/2016/NĐ-CP</t>
  </si>
  <si>
    <t>Tiền điện hộ nghèo</t>
  </si>
  <si>
    <t>TÌNH HÌNH PHÂN BỔ CẢI CÁCH TIỀN LƯƠNG NĂM 2018</t>
  </si>
  <si>
    <t>Chính sách hỗ trợ phụ nữ nghèo sinh con đúng chính sách</t>
  </si>
  <si>
    <t>Kinh phí quản lý và sử dụng đất trồng lúa theo Nghị định 35/2015/NĐ-CP</t>
  </si>
  <si>
    <t>Kinh phí thực hiện cuộc vận động toàn dân đoàn kết xây dựng đời sông văn hóa ở khu dân cư</t>
  </si>
  <si>
    <t>Hỗ trợ công tác giảm nghèo cấp xã</t>
  </si>
  <si>
    <t>Hỗ trợ nhà ở cho người có công với cách mạng</t>
  </si>
  <si>
    <t>Kinh phí thực hiện thống kê, rà soát, cập nhật dữ liệu thông tin thị trường lao động</t>
  </si>
  <si>
    <t>Kinh phí đào tạo, bồi dưỡng cán bộ, công chức</t>
  </si>
  <si>
    <t>Kinh phí sửa xe ô tô</t>
  </si>
  <si>
    <t>Hỗ trợ khác</t>
  </si>
  <si>
    <t>Điều chỉnh  KP cho UBND các huyện, tp thực hiện kiểm kê đất đai lập bản đồ hiệ trạng sử dụng đất theo QĐ 2224</t>
  </si>
  <si>
    <t>1</t>
  </si>
  <si>
    <t>2</t>
  </si>
  <si>
    <t>Chi đầu tư phát triển cho chương trình dự án theo lĩnh vực</t>
  </si>
  <si>
    <t>3</t>
  </si>
  <si>
    <t>Chi bổ sung quỹ dự trữ tài chính</t>
  </si>
  <si>
    <t>Tên chương</t>
  </si>
  <si>
    <t>Chi an ninh trật tự an toàn xã hội</t>
  </si>
  <si>
    <t xml:space="preserve">Chi hoạt động của cơ quan quản lí nhà nước, Đảng, đoàn thể </t>
  </si>
  <si>
    <t xml:space="preserve">Chi khác </t>
  </si>
  <si>
    <t>5</t>
  </si>
  <si>
    <t>6</t>
  </si>
  <si>
    <t>8</t>
  </si>
  <si>
    <t>9</t>
  </si>
  <si>
    <t>14</t>
  </si>
  <si>
    <t>15</t>
  </si>
  <si>
    <t>16</t>
  </si>
  <si>
    <t>17</t>
  </si>
  <si>
    <t>18</t>
  </si>
  <si>
    <t>Văn phòng Hội đồng nhân dân và Ủy ban nhân dân</t>
  </si>
  <si>
    <t>Phòng Nông nghiệp và Phát triển nông thôn</t>
  </si>
  <si>
    <t>Phòng Tư pháp</t>
  </si>
  <si>
    <t>Phòng Kinh tế và Hạ tầng</t>
  </si>
  <si>
    <t>Phòng Giáo dục và Đào tạo</t>
  </si>
  <si>
    <t>Phòng Lao động - Thương binh và Xã hội</t>
  </si>
  <si>
    <t>Phòng Văn hóa và Thông tin</t>
  </si>
  <si>
    <t>Phòng Tài nguyên và Môi trường</t>
  </si>
  <si>
    <t>Ủy ban Mặt trận Tổ quốc huyện</t>
  </si>
  <si>
    <t>Huyện Đoàn Thanh niên Cộng sản Hồ Chí Minh</t>
  </si>
  <si>
    <t>Hội Liên hiệp Phụ nữ huyện</t>
  </si>
  <si>
    <t>Hội Nông dân huyện</t>
  </si>
  <si>
    <t>Hội Cựu chiến binh huyện</t>
  </si>
  <si>
    <t>Hội Đông y</t>
  </si>
  <si>
    <t>Hội Nạn nhân chất độc da cam/dioxin</t>
  </si>
  <si>
    <t>Hội Cựu thanh niên xung phong</t>
  </si>
  <si>
    <t>Hội Khuyến học</t>
  </si>
  <si>
    <t>Hợp tác xã</t>
  </si>
  <si>
    <t>Các quan hệ khác của ngân sách</t>
  </si>
  <si>
    <t>Các đơn vị khác</t>
  </si>
  <si>
    <t xml:space="preserve">Chi các chương trình mục tiêu, </t>
  </si>
  <si>
    <t>Kế toán            Kế toán trưởng           Giám đốc</t>
  </si>
  <si>
    <t>-  Chi Khoa học và công nghệ</t>
  </si>
  <si>
    <t>Chi trả nợ gốc vay của ngân sách địa phương</t>
  </si>
  <si>
    <t/>
  </si>
  <si>
    <t>KP  thực hiện cuộc vận động "toàn dân đoàn kết xây dựng NTM, đô thị văn minh" năm 2019</t>
  </si>
  <si>
    <t>Kinh phí ANTT cấp đầu năm + Kinh phí đèn xanh đèn đỏ, huyện cấp BS hoạt động</t>
  </si>
  <si>
    <t>Kinh phí diễn tập huyện cấp Bổ sung</t>
  </si>
  <si>
    <t>Kinh phí duy tu bảo dưỡng đường bộ (LRAM)</t>
  </si>
  <si>
    <t>KP ban thanh tra nhân dân</t>
  </si>
  <si>
    <t>Kinh phí tăng thu năm 2019 thực hiện CCTL</t>
  </si>
  <si>
    <t>Ban quản lý dự án đầu tư xây dựng</t>
  </si>
  <si>
    <t>QUYẾT TOÁN VỐN ĐẦU TƯ CÁC CHƯƠNG TRÌNH, DỰ ÁN SỬ DỤNG VỐN NGÂN SÁCH NHÀ NƯỚC NĂM 2019</t>
  </si>
  <si>
    <t>2768</t>
  </si>
  <si>
    <t>612</t>
  </si>
  <si>
    <t>709</t>
  </si>
  <si>
    <t>1750</t>
  </si>
  <si>
    <t>1754</t>
  </si>
  <si>
    <t>4934</t>
  </si>
  <si>
    <t>1250</t>
  </si>
  <si>
    <t>1252</t>
  </si>
  <si>
    <t>1757</t>
  </si>
  <si>
    <t>4933</t>
  </si>
  <si>
    <t>7450</t>
  </si>
  <si>
    <t>7455</t>
  </si>
  <si>
    <t>0911</t>
  </si>
  <si>
    <t>0914</t>
  </si>
  <si>
    <t>0915</t>
  </si>
  <si>
    <t>0918</t>
  </si>
  <si>
    <t>2767</t>
  </si>
  <si>
    <t>4278</t>
  </si>
  <si>
    <t>1601</t>
  </si>
  <si>
    <t>0913</t>
  </si>
  <si>
    <t>0917</t>
  </si>
  <si>
    <t>4549</t>
  </si>
  <si>
    <t>340</t>
  </si>
  <si>
    <t>341</t>
  </si>
  <si>
    <t>6000</t>
  </si>
  <si>
    <t>6001</t>
  </si>
  <si>
    <t>6003</t>
  </si>
  <si>
    <t>6050</t>
  </si>
  <si>
    <t>6051</t>
  </si>
  <si>
    <t>6100</t>
  </si>
  <si>
    <t>6101</t>
  </si>
  <si>
    <t>6102</t>
  </si>
  <si>
    <t>6105</t>
  </si>
  <si>
    <t>6111</t>
  </si>
  <si>
    <t>6113</t>
  </si>
  <si>
    <t>6124</t>
  </si>
  <si>
    <t>6200</t>
  </si>
  <si>
    <t>6201</t>
  </si>
  <si>
    <t>6300</t>
  </si>
  <si>
    <t>6301</t>
  </si>
  <si>
    <t>6302</t>
  </si>
  <si>
    <t>6303</t>
  </si>
  <si>
    <t>6304</t>
  </si>
  <si>
    <t>6400</t>
  </si>
  <si>
    <t>6404</t>
  </si>
  <si>
    <t>6500</t>
  </si>
  <si>
    <t>6501</t>
  </si>
  <si>
    <t>6502</t>
  </si>
  <si>
    <t>6503</t>
  </si>
  <si>
    <t>6504</t>
  </si>
  <si>
    <t>6550</t>
  </si>
  <si>
    <t>6551</t>
  </si>
  <si>
    <t>6552</t>
  </si>
  <si>
    <t>6599</t>
  </si>
  <si>
    <t>6600</t>
  </si>
  <si>
    <t>6601</t>
  </si>
  <si>
    <t>6603</t>
  </si>
  <si>
    <t>6605</t>
  </si>
  <si>
    <t>6606</t>
  </si>
  <si>
    <t>6608</t>
  </si>
  <si>
    <t>6618</t>
  </si>
  <si>
    <t>6650</t>
  </si>
  <si>
    <t>6652</t>
  </si>
  <si>
    <t>6658</t>
  </si>
  <si>
    <t>6699</t>
  </si>
  <si>
    <t>6700</t>
  </si>
  <si>
    <t>6702</t>
  </si>
  <si>
    <t>6703</t>
  </si>
  <si>
    <t>6704</t>
  </si>
  <si>
    <t>6750</t>
  </si>
  <si>
    <t>6751</t>
  </si>
  <si>
    <t>6799</t>
  </si>
  <si>
    <t>6900</t>
  </si>
  <si>
    <t>6901</t>
  </si>
  <si>
    <t>6905</t>
  </si>
  <si>
    <t>6907</t>
  </si>
  <si>
    <t>6912</t>
  </si>
  <si>
    <t>6913</t>
  </si>
  <si>
    <t>6949</t>
  </si>
  <si>
    <t>6950</t>
  </si>
  <si>
    <t>6956</t>
  </si>
  <si>
    <t>6999</t>
  </si>
  <si>
    <t>7000</t>
  </si>
  <si>
    <t>7001</t>
  </si>
  <si>
    <t>7004</t>
  </si>
  <si>
    <t>7049</t>
  </si>
  <si>
    <t>7150</t>
  </si>
  <si>
    <t>7162</t>
  </si>
  <si>
    <t>7750</t>
  </si>
  <si>
    <t>7756</t>
  </si>
  <si>
    <t>7757</t>
  </si>
  <si>
    <t>7761</t>
  </si>
  <si>
    <t>7799</t>
  </si>
  <si>
    <t>8000</t>
  </si>
  <si>
    <t>8006</t>
  </si>
  <si>
    <t>280</t>
  </si>
  <si>
    <t>281</t>
  </si>
  <si>
    <t>6701</t>
  </si>
  <si>
    <t>6749</t>
  </si>
  <si>
    <t>7100</t>
  </si>
  <si>
    <t>7103</t>
  </si>
  <si>
    <t>6651</t>
  </si>
  <si>
    <t>6655</t>
  </si>
  <si>
    <t>6657</t>
  </si>
  <si>
    <t>6921</t>
  </si>
  <si>
    <t>6115</t>
  </si>
  <si>
    <t>6249</t>
  </si>
  <si>
    <t>292</t>
  </si>
  <si>
    <t>6922</t>
  </si>
  <si>
    <t>070</t>
  </si>
  <si>
    <t>071</t>
  </si>
  <si>
    <t>6103</t>
  </si>
  <si>
    <t>6107</t>
  </si>
  <si>
    <t>6112</t>
  </si>
  <si>
    <t>6121</t>
  </si>
  <si>
    <t>6149</t>
  </si>
  <si>
    <t>6150</t>
  </si>
  <si>
    <t>6151</t>
  </si>
  <si>
    <t>6157</t>
  </si>
  <si>
    <t>6250</t>
  </si>
  <si>
    <t>6254</t>
  </si>
  <si>
    <t>6349</t>
  </si>
  <si>
    <t>6401</t>
  </si>
  <si>
    <t>6449</t>
  </si>
  <si>
    <t>6549</t>
  </si>
  <si>
    <t>6649</t>
  </si>
  <si>
    <t>6955</t>
  </si>
  <si>
    <t>7766</t>
  </si>
  <si>
    <t>072</t>
  </si>
  <si>
    <t>6116</t>
  </si>
  <si>
    <t>073</t>
  </si>
  <si>
    <t>081</t>
  </si>
  <si>
    <t>6156</t>
  </si>
  <si>
    <t>092</t>
  </si>
  <si>
    <t>370</t>
  </si>
  <si>
    <t>398</t>
  </si>
  <si>
    <t>7152</t>
  </si>
  <si>
    <t>7199</t>
  </si>
  <si>
    <t>7250</t>
  </si>
  <si>
    <t>7257</t>
  </si>
  <si>
    <t>7451</t>
  </si>
  <si>
    <t>7456</t>
  </si>
  <si>
    <t>7499</t>
  </si>
  <si>
    <t>6199</t>
  </si>
  <si>
    <t>7050</t>
  </si>
  <si>
    <t>7053</t>
  </si>
  <si>
    <t>250</t>
  </si>
  <si>
    <t>278</t>
  </si>
  <si>
    <t>310</t>
  </si>
  <si>
    <t>332</t>
  </si>
  <si>
    <t>8150</t>
  </si>
  <si>
    <t>8154</t>
  </si>
  <si>
    <t>635</t>
  </si>
  <si>
    <t>6123</t>
  </si>
  <si>
    <t>7012</t>
  </si>
  <si>
    <t>351</t>
  </si>
  <si>
    <t>6299</t>
  </si>
  <si>
    <t>6754</t>
  </si>
  <si>
    <t>6902</t>
  </si>
  <si>
    <t>7850</t>
  </si>
  <si>
    <t>7854</t>
  </si>
  <si>
    <t>710</t>
  </si>
  <si>
    <t>361</t>
  </si>
  <si>
    <t>711</t>
  </si>
  <si>
    <t>6654</t>
  </si>
  <si>
    <t>712</t>
  </si>
  <si>
    <t>713</t>
  </si>
  <si>
    <t>714</t>
  </si>
  <si>
    <t>717</t>
  </si>
  <si>
    <t>362</t>
  </si>
  <si>
    <t>718</t>
  </si>
  <si>
    <t>720</t>
  </si>
  <si>
    <t>721</t>
  </si>
  <si>
    <t>371</t>
  </si>
  <si>
    <t>722</t>
  </si>
  <si>
    <t>724</t>
  </si>
  <si>
    <t>400</t>
  </si>
  <si>
    <t>428</t>
  </si>
  <si>
    <t>7252</t>
  </si>
  <si>
    <t>040</t>
  </si>
  <si>
    <t>041</t>
  </si>
  <si>
    <t>283</t>
  </si>
  <si>
    <t>6923</t>
  </si>
  <si>
    <t>7149</t>
  </si>
  <si>
    <t>404</t>
  </si>
  <si>
    <t>8950</t>
  </si>
  <si>
    <t>8999</t>
  </si>
  <si>
    <t>430</t>
  </si>
  <si>
    <t>431</t>
  </si>
  <si>
    <t>7300</t>
  </si>
  <si>
    <t>7301</t>
  </si>
  <si>
    <t>7304</t>
  </si>
  <si>
    <t>433</t>
  </si>
  <si>
    <t>7700</t>
  </si>
  <si>
    <t>7702</t>
  </si>
  <si>
    <t>434</t>
  </si>
  <si>
    <t>0950</t>
  </si>
  <si>
    <t>0961</t>
  </si>
  <si>
    <t>0964</t>
  </si>
  <si>
    <t>0965</t>
  </si>
  <si>
    <t>9300</t>
  </si>
  <si>
    <t>9301</t>
  </si>
  <si>
    <t>9400</t>
  </si>
  <si>
    <t>9401</t>
  </si>
  <si>
    <t>9402</t>
  </si>
  <si>
    <t>9449</t>
  </si>
  <si>
    <t>9200</t>
  </si>
  <si>
    <t>9203</t>
  </si>
  <si>
    <t>075</t>
  </si>
  <si>
    <t>085</t>
  </si>
  <si>
    <t>6758</t>
  </si>
  <si>
    <t>098</t>
  </si>
  <si>
    <t>130</t>
  </si>
  <si>
    <t>132</t>
  </si>
  <si>
    <t>160</t>
  </si>
  <si>
    <t>161</t>
  </si>
  <si>
    <t>6903</t>
  </si>
  <si>
    <t>9250</t>
  </si>
  <si>
    <t>9251</t>
  </si>
  <si>
    <t>9253</t>
  </si>
  <si>
    <t>190</t>
  </si>
  <si>
    <t>191</t>
  </si>
  <si>
    <t>9350</t>
  </si>
  <si>
    <t>9351</t>
  </si>
  <si>
    <t>220</t>
  </si>
  <si>
    <t>221</t>
  </si>
  <si>
    <t>261</t>
  </si>
  <si>
    <t>6757</t>
  </si>
  <si>
    <t>282</t>
  </si>
  <si>
    <t>311</t>
  </si>
  <si>
    <t>312</t>
  </si>
  <si>
    <t>6918</t>
  </si>
  <si>
    <t>800</t>
  </si>
  <si>
    <t>6350</t>
  </si>
  <si>
    <t>6353</t>
  </si>
  <si>
    <t>6399</t>
  </si>
  <si>
    <t>7262</t>
  </si>
  <si>
    <t>8049</t>
  </si>
  <si>
    <t>6553</t>
  </si>
  <si>
    <t>7102</t>
  </si>
  <si>
    <t>321</t>
  </si>
  <si>
    <t>6099</t>
  </si>
  <si>
    <t>7161</t>
  </si>
  <si>
    <t>7851</t>
  </si>
  <si>
    <t>7899</t>
  </si>
  <si>
    <t>7853</t>
  </si>
  <si>
    <t>7157</t>
  </si>
  <si>
    <t>374</t>
  </si>
  <si>
    <t>7251</t>
  </si>
  <si>
    <t>7701</t>
  </si>
  <si>
    <t>0963</t>
  </si>
  <si>
    <t>0967</t>
  </si>
  <si>
    <t>0968</t>
  </si>
  <si>
    <t>Biểu số 01/CĐT</t>
  </si>
  <si>
    <t>Tổng mức đầu tư</t>
  </si>
  <si>
    <t>Lũy kế vốn đã thanh toán từ K/C đến hết niên độ năm trước năm quyết toán</t>
  </si>
  <si>
    <t>Số vốn tạm ứng theo chế độ chưa thu hồi của các năm trước nộp điều chỉnh giảm trong năm 2019</t>
  </si>
  <si>
    <t>Thanh toán KLHT trong năm của phần vốn tạm ứng theo chế độ chưa thu hồi từ K/C đến hết niên độ ngân sách năm trước 2019</t>
  </si>
  <si>
    <t>Kế hoạch và thanh toán vốn đầu tư các năm trước được kéo dài thời gian thực hiện và thanh toán sang năm 2019</t>
  </si>
  <si>
    <t>Kế hoạch và thanh toán vốn đầu tư năm 2019</t>
  </si>
  <si>
    <t>Tổng cộng vốn đã thanh toán KLHT quyết toán trong năm 2019 (2)</t>
  </si>
  <si>
    <t>Lũy kế số vốn tạm ứng theo chế độ chưa thu hồi đến hết năm quyết toán chuyển sang năm sau quyết toán (3)</t>
  </si>
  <si>
    <t>Lũy kế số vốn đã thanh từ K/C đến hết năm 2019 (4)</t>
  </si>
  <si>
    <t>Tr.đó: Vốn tạm ứng theo chế độ chưa thu hồi (1)</t>
  </si>
  <si>
    <t>Kế hoạch vốn được kéo dài</t>
  </si>
  <si>
    <t>Thanh toán</t>
  </si>
  <si>
    <t>Kế hoạch vốn được phép kéo dài sang năm sau (nếu có)</t>
  </si>
  <si>
    <t>Số vốn còn lại chưa thanh toán hủy bỏ (nếu có)</t>
  </si>
  <si>
    <t>Kế hoạch vốn đầu tư năm 2019</t>
  </si>
  <si>
    <t>Số vốn thanh toán KLHT</t>
  </si>
  <si>
    <t>Số vốn tạm ứng theo chế độ chưa thu hồi</t>
  </si>
  <si>
    <t>Lĩnh vực giáo dục đào tạo</t>
  </si>
  <si>
    <t>Dự án khởi công giai đoạn 2016-2020</t>
  </si>
  <si>
    <t>Lĩnh vực quản lý nhà nước</t>
  </si>
  <si>
    <t>Trả nợ quyết toán</t>
  </si>
  <si>
    <t>Công trình hoàn thành và đang thi công</t>
  </si>
  <si>
    <t>Trụ sở xã Quảng Bạch</t>
  </si>
  <si>
    <t>c</t>
  </si>
  <si>
    <t>Lĩnh vực Quốc Phòng</t>
  </si>
  <si>
    <t>Tường bao và một số công trình phụ trợ BCH Quân Sự huyện Chợ Đồn</t>
  </si>
  <si>
    <t>Nộp trả VĐT</t>
  </si>
  <si>
    <t>Xây dựng mới nhà đa năng BCH Quân Sự huyện Chợ Đồn</t>
  </si>
  <si>
    <t>XD trường Mầm non Đông Viên</t>
  </si>
  <si>
    <t>Lĩnh vực kinh tế</t>
  </si>
  <si>
    <t>XD nhà cấp IV, nhà chờ, nhà vệ sinh Bến xe khách Bằng Lũng</t>
  </si>
  <si>
    <t>Sửa chữa đập Vằng Keng, xã Đông Viên</t>
  </si>
  <si>
    <t>Đường giao thông trục chính thị trấn Bằng Lũng</t>
  </si>
  <si>
    <t>d</t>
  </si>
  <si>
    <t>Lĩnh vực bảo đảm xã hội</t>
  </si>
  <si>
    <t>Công trình quyết toán</t>
  </si>
  <si>
    <t>Xây mới 03 nhà bia ghi tên liệt sỹ tại các xã Rã Bản, Quảng Bạch, Phong Huân</t>
  </si>
  <si>
    <t>Nguồn dự phòng thực hiện CT mục tiêu giai đoạn 2016-2020</t>
  </si>
  <si>
    <t>Dự án khởi công mới</t>
  </si>
  <si>
    <t>Nguồn UBND tỉnh cấp bổ sung có mục tiêu</t>
  </si>
  <si>
    <t>Dự án khởi công mới giai đoạn 2016-2020</t>
  </si>
  <si>
    <t>Cải tạo trường tiểu học Yên Thượng, trường mầm non Yên Thượng</t>
  </si>
  <si>
    <t>Nguồn tài trợ của công ty TNHH MTV Kim Loại màu Bắc Kạn- TMC</t>
  </si>
  <si>
    <t>Trường tiểu học Bản Thi (HM: XD NLH 05 phòng+ 01 phòng vệ sinh)</t>
  </si>
  <si>
    <t>Trường Mầm non Đồng Lạc, huyện Chợ Đồn, tỉnh Bắc Kạn (GĐ 2)</t>
  </si>
  <si>
    <t>Đường vành đai nội thị thị trấn Bằng Lũng (Đoạn từ Huyện Ủy- trường MN Liên Cơ)</t>
  </si>
  <si>
    <t>Nộp NSNN (giảm dư TƯ chi phí đền bù: 22.458.000)</t>
  </si>
  <si>
    <t>A2</t>
  </si>
  <si>
    <t>Các dự án không ghi kế hoạch năm 2019 còn dư vốn tạm ứng chưa thu hồi từ các năm trước chuyển sang năm 2019</t>
  </si>
  <si>
    <t>Nguồn phân cấp huyện điều hành</t>
  </si>
  <si>
    <t>Lĩnh vức giáo dục đào tạo</t>
  </si>
  <si>
    <t>Cấp xã quản lý</t>
  </si>
  <si>
    <t>Địa điểm XD</t>
  </si>
  <si>
    <t>Số QĐ ngày tháng</t>
  </si>
  <si>
    <t>Chợ Đồn, ngày          tháng 6 năm 2020</t>
  </si>
  <si>
    <t>UBND xã Quảng Bạch</t>
  </si>
  <si>
    <t>UBND xã Lương Bằng</t>
  </si>
  <si>
    <t>UBND xã Tân Lập</t>
  </si>
  <si>
    <t>UBND xã Phương Viên</t>
  </si>
  <si>
    <t>Tên Chương Trình Mục Tiêu Quốc gia</t>
  </si>
  <si>
    <t>Mã Chương</t>
  </si>
  <si>
    <t>Mã Loại</t>
  </si>
  <si>
    <t>Mã Khoản</t>
  </si>
  <si>
    <t>Mã Mục</t>
  </si>
  <si>
    <t>Mã Tiểu Mục</t>
  </si>
  <si>
    <t>Số Quyết Toán</t>
  </si>
  <si>
    <t xml:space="preserve">Chương trình MTQG </t>
  </si>
  <si>
    <t>Chương trình MTQG giảm nghèo</t>
  </si>
  <si>
    <t>Các nội dung về hỗ trợ phát triển sản xuất  gắn với tái cơ cấu ngành nông nghiệp, chuyển dịch cơ cấu kinh tế nông thôn, nâng cao thu nhập người dân</t>
  </si>
  <si>
    <t>Hỗ trợ phát triển sản xuất, đa dạng hóa sinh kế và nhân rộng mô hình nghèo trên địa bàn các xã ngoài Chương trình 30a và Chương trình 135</t>
  </si>
  <si>
    <t>Nâng cao năng lực và giám sát, đánh giá thực hiện Chương trình</t>
  </si>
  <si>
    <t>Nâng cao năng lực xây dựng nông thôn mới và công tác giám sát, đánh giá thực hiện Chương trình; truyền thông về xây dựng nông thôn mới</t>
  </si>
  <si>
    <t>Phát triển giáo dục ở nông thôn</t>
  </si>
  <si>
    <t>Phát triển hạ tầng kinh tế - xã hội</t>
  </si>
  <si>
    <t>Vệ sinh môi trường nông thôn, khắc phục, xử lý ô  nhiễm và cải thiện môi trường tại các làng nghề</t>
  </si>
  <si>
    <t>Chuong trình MTQG xây dựng nông thôn mới</t>
  </si>
  <si>
    <t>Các nội dung về đào tạo nghề cho lao động nông thôn, bồi dưỡng cán bộ HTX phục vụ phát triển sản xuất gắn với tái cơ cấu ngành nông nghiệp, chuyển dịch cơ cấu kinh tế nông thôn, nâng cao thu nhập người dân</t>
  </si>
  <si>
    <t>Dự toán năm trước chuyển sang</t>
  </si>
  <si>
    <t>Dự toán bổ sung</t>
  </si>
  <si>
    <t>Dự toán giảm trừ</t>
  </si>
  <si>
    <t>Chuyển nguồn</t>
  </si>
  <si>
    <t>Trường Mầm non Nam Cường</t>
  </si>
  <si>
    <t>Biểu 5.30</t>
  </si>
  <si>
    <t>Chợ Đồn, ngày         tháng 6 năm 2020</t>
  </si>
  <si>
    <t>(Kèm theo Báo cáo số             /BC-UBND ngày         tháng  6 năm 2020 của UBND huyện Chợ Đồn)</t>
  </si>
  <si>
    <t>2. Các khoản thu phân chia theo tỷ lệ %</t>
  </si>
  <si>
    <t>1. Các khoản thu NSĐP hưởng 100%</t>
  </si>
  <si>
    <t>3. Thu từ quỹ dự trữ tài chính</t>
  </si>
  <si>
    <t>5. Thu chuyển nguồn từ năm trước sang</t>
  </si>
  <si>
    <t>7. Thu bổ sung từ ngân sách cấp trên</t>
  </si>
  <si>
    <t>A. Tổng số chi cân đối ngân sách</t>
  </si>
  <si>
    <t>1. Chi đầu tư phát triển</t>
  </si>
  <si>
    <t>2. Chi trả nợ lãi, phí tiền vay</t>
  </si>
  <si>
    <t>Chợ Đồn, ngày         tháng  6 năm 2020</t>
  </si>
  <si>
    <t>Biểu 5.25</t>
  </si>
  <si>
    <t xml:space="preserve">PHÒNG TÀI CHÍNH - KẾ HOẠCH </t>
  </si>
  <si>
    <t xml:space="preserve"> KHO BẠC NHÀ NƯỚC</t>
  </si>
  <si>
    <t>NGƯỜI LẬP BIỂU</t>
  </si>
  <si>
    <t>BÁO CÁO THUYẾT MINH KẾT DƯ NĂM 2019 CỦA UBND CÁC XÃ, THỊ TRẤN</t>
  </si>
  <si>
    <t>Tên xã</t>
  </si>
  <si>
    <t>Chương trình MTQG Giảm nghèo bền vững 2019</t>
  </si>
  <si>
    <t>Chương trình MTQG Xây dựng NTM 2018</t>
  </si>
  <si>
    <t>CTMT các năm trước không chi hết</t>
  </si>
  <si>
    <t>KP thực hiện hỗ trợ công tác quản lý về giảm nghèo ở cấp xã</t>
  </si>
  <si>
    <t>Kinh phí rà soát thẻ BHYT tỉnh cấp bổ sung</t>
  </si>
  <si>
    <t>Kinh phí thực hiện cải cách tiền lương tỉnh cấp bổ sung</t>
  </si>
  <si>
    <t>Kinh phí tỉnh cấp bổ sung thực hiện sắp xếp xã, thôn chưa đạt chuẩn</t>
  </si>
  <si>
    <t>Kinh phí tự chủ (nguồn 13)</t>
  </si>
  <si>
    <t>NS huyện cấp, KP thu hồi chưa nộp NS cấp trên</t>
  </si>
  <si>
    <t>Kinh phí thực hiện chính sách hỗ trợ nhà ở người có công theo QĐ 22/2013/QĐ-TTg ngày 26/4/2013 của Thủ tướng Chính phủ năm 2019</t>
  </si>
  <si>
    <t xml:space="preserve">Dự phòng năm 2019, tăng thu, tiết kiệm hoạt động chi thường xuyên và kết dư từ các năm trước </t>
  </si>
  <si>
    <t>Kết dư CCTL năm trước</t>
  </si>
  <si>
    <t>Kinh phí thực hiện CCTL  năm 2017 (Tính từ 50% tăng thu)</t>
  </si>
  <si>
    <t>Dự án 2: Chương trình 135</t>
  </si>
  <si>
    <t>Dự án 3: hỗ trợ PTSX đa dạng hóa sinh kế và nhân rộng MH GN trên địa bàn các xã ngoài CT30a và CT135</t>
  </si>
  <si>
    <t>Sự nghiệp</t>
  </si>
  <si>
    <t>Vốn đầu tư năm 2019</t>
  </si>
  <si>
    <t xml:space="preserve">Tiểu dự án 1: Duy tu bảo dưỡng </t>
  </si>
  <si>
    <t>Tiểu dự án 2: Hỗ trợ PTSX, đa dạng hóa sinh kế</t>
  </si>
  <si>
    <t>Tiểu dự án 3: Nhân rộng mô hình giảm nghèo</t>
  </si>
  <si>
    <t>Năm 2019</t>
  </si>
  <si>
    <t>Năm 2018 chuyển sang</t>
  </si>
  <si>
    <t>Hỗ trợ PTSX liên kết theo chuỗi giá trị nâng cao thu nhập - NTM</t>
  </si>
  <si>
    <t>Kinh phí xử lý cải thiện môi trường (NTM)</t>
  </si>
  <si>
    <t>Nguồn vốn sự nghiệp tỉnh bổ sung cho xd NTM</t>
  </si>
  <si>
    <t>Nguồn vốn sự nghiệp huyện bổ sung cho các xã xd NTM</t>
  </si>
  <si>
    <t>KP Đảng</t>
  </si>
  <si>
    <t>KP hoạt động</t>
  </si>
  <si>
    <t>Năm 2019 (nguồn 12)</t>
  </si>
  <si>
    <t>Năm 2018 (nguồn 43)</t>
  </si>
  <si>
    <t>xã Nam Cường</t>
  </si>
  <si>
    <t>Cộng</t>
  </si>
  <si>
    <t>Nông Thu Thủy</t>
  </si>
  <si>
    <t>QUYẾT TOÁN CÂN ĐỐI NGÂN SÁCH ĐỊA PHƯƠNG NĂM 2020</t>
  </si>
  <si>
    <t>(Kèm theo Báo cáo số           /BC-UBND ngày            tháng 6 năm 2021 của UBND huyện Chợ Đồn)</t>
  </si>
  <si>
    <t>Nguồn trung ương</t>
  </si>
  <si>
    <t>Kinh phí theo QĐ 2085 (Vốn đầu tư)</t>
  </si>
  <si>
    <t>Dự toán năm 2020</t>
  </si>
  <si>
    <t>TỔNG THU NSNN</t>
  </si>
  <si>
    <t>Trước bạ đất</t>
  </si>
  <si>
    <t>Phí và lệ phí địa phương</t>
  </si>
  <si>
    <t>Đơn vị: Triệu Đồng</t>
  </si>
  <si>
    <t>Chi chương trình MTQG</t>
  </si>
  <si>
    <t>Chi chuyển nguồn sang ngân sách năm sau</t>
  </si>
  <si>
    <t>CHI CHUYỂN NGUỒN SANG NGÂN SÁCH NĂM SAU</t>
  </si>
  <si>
    <t xml:space="preserve">Ghi chú: </t>
  </si>
  <si>
    <t>(1) Dự toán chi ngân sách địa phương chi tiết theo các chỉ tiêu tương ứng phần quyết toán chi ngân sách địa phương.</t>
  </si>
  <si>
    <t>(2) Ngân sách xã không có nhiệm vụ chi bổ sung có mục tiêu cho ngân sách cấp dưới.</t>
  </si>
  <si>
    <t>Ban chỉ huy Quân sự huyện</t>
  </si>
  <si>
    <t>Công an huyện</t>
  </si>
  <si>
    <t>Trung tâm Văn hóa thể thao và Truyền thông</t>
  </si>
  <si>
    <t>Ban quản lý Chợ thị trấn</t>
  </si>
  <si>
    <t>Chợ Đồn, ngày          tháng 6 năm 2021</t>
  </si>
  <si>
    <t>Ngày        tháng  6 năm 2021</t>
  </si>
  <si>
    <t>Chợ Đồn, ngày        tháng 6  năm 2021</t>
  </si>
  <si>
    <t>Ngày      tháng  6 năm  2021</t>
  </si>
  <si>
    <t>372</t>
  </si>
  <si>
    <t>338</t>
  </si>
  <si>
    <t>Giảm nghèo và an sinh xã hội</t>
  </si>
  <si>
    <t>Nâng cao chất lượng đời sống văn hóa của người dân nông thôn</t>
  </si>
  <si>
    <t>171</t>
  </si>
  <si>
    <t>QUYẾT TOÁN CHI CHƯƠNG TRÌNH MỤC TIÊU QUỐC GIA THEO MỤC LỤC NSNN NĂM 2020</t>
  </si>
  <si>
    <t>7852</t>
  </si>
  <si>
    <t>8153</t>
  </si>
  <si>
    <t>6152</t>
  </si>
  <si>
    <t>093</t>
  </si>
  <si>
    <t>6653</t>
  </si>
  <si>
    <t>7900</t>
  </si>
  <si>
    <t>7903</t>
  </si>
  <si>
    <t>9299</t>
  </si>
  <si>
    <t>6155</t>
  </si>
  <si>
    <t>7200</t>
  </si>
  <si>
    <t>7201</t>
  </si>
  <si>
    <t>1014</t>
  </si>
  <si>
    <t>1411</t>
  </si>
  <si>
    <t>1749</t>
  </si>
  <si>
    <t>2150</t>
  </si>
  <si>
    <t>2153</t>
  </si>
  <si>
    <t>2550</t>
  </si>
  <si>
    <t>2561</t>
  </si>
  <si>
    <t>2626</t>
  </si>
  <si>
    <t>3365</t>
  </si>
  <si>
    <t>4279</t>
  </si>
  <si>
    <t>4300</t>
  </si>
  <si>
    <t>4349</t>
  </si>
  <si>
    <t>4914</t>
  </si>
  <si>
    <t>4922</t>
  </si>
  <si>
    <t>QUYẾT TOÁN THU NSNN, VAY NSĐP THEO MỤC LỤC NSNN NĂM 2020</t>
  </si>
  <si>
    <t>QUYẾT TOÁN CHI THƯỜNG XUYÊN CỦA NGÂN SÁCH CẤP HUYỆN CHO TỪNG CƠ QUAN, TỔ CHỨC THEO LĨNH VỰC NĂM 2020</t>
  </si>
  <si>
    <t>BÁO CÁO QUYẾT TOÁN NGUỒN TIỀN SỬ DỤNG ĐẤT NĂM 2020</t>
  </si>
  <si>
    <t>Chi trong năm 2020</t>
  </si>
  <si>
    <t>QUYẾT TOÁN CHI CHƯƠNG TRÌNH MỤC TIÊU QUỐC GIA, CHƯƠNG TRÌNH MỤC TIÊU VÀ CHƯƠNG TRÌNH, NHIỆM VỤ KHÁC NĂM 2020</t>
  </si>
  <si>
    <t>CHƯƠNG TRÌNH MỤC TIÊU QUỐC GIA GIẢM NGHÈO (CHƯƠNG TRÌNH 135) NĂM 2020</t>
  </si>
  <si>
    <t>Kinh phí năm (kỳ) trước chuyển sang năm nay</t>
  </si>
  <si>
    <t>Kinh phí được giao năm nay</t>
  </si>
  <si>
    <t>Tổng số được sử dụng trong năm (kỳ)</t>
  </si>
  <si>
    <t>Kinh phí quyết toán chi trong năm (kỳ)</t>
  </si>
  <si>
    <t>Kinh phí đã nộp trả trong năm (kỳ)</t>
  </si>
  <si>
    <t>Kinh phí còn dư chuyển năm (kỳ) sau</t>
  </si>
  <si>
    <t>Từ nguồn năm trước chuyển sang</t>
  </si>
  <si>
    <t>Từ nguồn được giao trong năm</t>
  </si>
  <si>
    <t>Kp 2019 hết nhiệm vụ chi</t>
  </si>
  <si>
    <t>Kp 2020 hết nhiệm vụ chi</t>
  </si>
  <si>
    <t>KP được phép chuyển nguồn</t>
  </si>
  <si>
    <t>8=2.2+5</t>
  </si>
  <si>
    <t>9=3.2+6</t>
  </si>
  <si>
    <t>Ban Dân tộc</t>
  </si>
  <si>
    <t>Tiểu dự án 3: Nâng cao năng lục cho cộng đồng và cán bộ cơ sở các xã ĐBKK, xã biên giới, các thôn bản ĐBKK</t>
  </si>
  <si>
    <t>Huyện Chợ Đồn</t>
  </si>
  <si>
    <t>Tiểu dự án 1: Hỗ trợ đầu tư cơ sở hạ tầng các xã ĐBKK, xã biên giới, các thôn, bản ĐBKK</t>
  </si>
  <si>
    <t>Tiểu dự án 2: Hỗ trợ phát triển sản xuất, đa dạng hóa sinh kế và nhân rộng mô hình giảm nghèo trên địa bàn các xã ĐBKK, xã biên giới, các thôn ĐBKK</t>
  </si>
  <si>
    <t>Dự án 3: Hỗ trợ PTSX đa dạng hóa sinh kế và nhân rộng mô hình giảm nghèo trên địa bàn các xã ngoài Chương trình 30a và Chương trình 135</t>
  </si>
  <si>
    <t>Dự án 4: Truyền thông và giảm nghèo về thông tin</t>
  </si>
  <si>
    <t>Dự án 5: Nâng cao năng lực và giám sát đánh giá thực hiện Chương trình</t>
  </si>
  <si>
    <t>Ghi chú: Số liệu báo cáo chi tiết theo từng Tiều dự án của Chương trình và chi tiết các nguồn kinh phí được giao (bao gồm: NSTW, NSĐP, nguồn khác)</t>
  </si>
  <si>
    <t>CHƯƠNG TRÌNH MỤC TIÊU QUỐC GIA VỀ XÂY DỰNG NÔNG THÔN MỚI NĂM 2020</t>
  </si>
  <si>
    <t>Các đơn vị khối tỉnh</t>
  </si>
  <si>
    <t>Sở,  ngành</t>
  </si>
  <si>
    <t>Chương trình, nội dung</t>
  </si>
  <si>
    <t>Các huyện, thành phố</t>
  </si>
  <si>
    <t>Ngân sách tỉnh</t>
  </si>
  <si>
    <t>Phát triển hạ tầng KT-XH</t>
  </si>
  <si>
    <t>Xử lý, cải thiện môi trường nông thôn</t>
  </si>
  <si>
    <t>Kinh phí kiểm tra, giám sát, đánh giá đào tạo nghề cho lao động nông thôn</t>
  </si>
  <si>
    <t>Phát triển giáo dục nông thôn</t>
  </si>
  <si>
    <t>Kinh phí hoạt động của ban chỉ đạo Chương trình</t>
  </si>
  <si>
    <t>Hỗ trợ xây dựng xã đạt chuẩn nông thôn mới</t>
  </si>
  <si>
    <t>Hỗ trợ xây dựng xã nông thôn mới nâng cao</t>
  </si>
  <si>
    <t>Hỗ trợ thôn xây dựng NTM</t>
  </si>
  <si>
    <t>Hỗ trợ kinh phí xây dựng đề án, kế hoạch Chương trình OCOP cấp huyện</t>
  </si>
  <si>
    <t>Ghi chú: Số liệu báo cáo chi tiết theo từng nội dung của Chương trình và chi tiết các nguồn kinh phí được giao (bao gồm: NSTW, NSĐP, nguồn khác)</t>
  </si>
  <si>
    <t>Vốn ĐTPT năm 2019 chuyển sang</t>
  </si>
  <si>
    <t>Vốn năm 2020 (Nguồn trung ương)</t>
  </si>
  <si>
    <t>Vốn năm 2020 (Nguồn tỉnh)</t>
  </si>
  <si>
    <t xml:space="preserve">Chương trình MTQG Giảm nghèo bền vững </t>
  </si>
  <si>
    <t>Hỗ trợ HTX theo NQ 08</t>
  </si>
  <si>
    <t>Nghị định bảo trợ xã hội 136 (Năm 2019)</t>
  </si>
  <si>
    <t>Kinh phí thực hiện chính sách hỗ trợ chi phí học tập, miễn giảm học phí theo Nghị định 86 (trích nguồn cctl)</t>
  </si>
  <si>
    <t>Vốn chưa phân bổ nguồn TW (nước ngoài)</t>
  </si>
  <si>
    <t>Vốn chưa phân bổ nguồn TW (Trong nước)</t>
  </si>
  <si>
    <t>Vốn chưa phân bổ nguồn cân đối ngân sách tỉnh</t>
  </si>
  <si>
    <t>Kinh phí hỗ trợ chi phí học tập đối với sinh viên là người dân tộc thiểu số tại các cơ sở giáo dục đại học</t>
  </si>
  <si>
    <t>Kinh phí thực hiện chính sách học bổng cho HS DTNT thực hiện chính sách học bổng theo QĐ 82/2006/QĐ-TTG NĂM 2020</t>
  </si>
  <si>
    <t xml:space="preserve">Chi khác cho HS Nội trú (Nguồn tỉnh) </t>
  </si>
  <si>
    <t>Kinh phí hỗ trợ sản phẩm, dịch vụ công ích thủy lợi năm 2020- mã DP 115</t>
  </si>
  <si>
    <t>Kinh phí hỗ trợ sản phẩm, dịch vụ công ích thủy lợi năm 2020- mã DP 215</t>
  </si>
  <si>
    <t>Kinh phí hỗ trợ sản phẩm, dịch vụ công ích thủy lợi năm 2020- mã DP 315</t>
  </si>
  <si>
    <t>Kinh phí thực hiện nhiệm vụ</t>
  </si>
  <si>
    <t>Chênh cao chênh thấp</t>
  </si>
  <si>
    <t>Cấp bs kinh phí thực hiện truy đóng BHXH bắt buộc đối với GVMN ngoài công lập</t>
  </si>
  <si>
    <t xml:space="preserve">Kinh phí tổ chức Đại hội Đảng </t>
  </si>
  <si>
    <t>Hỗ trợ tiền lương và chi khác cho viên chức của Trung tâm Dịch vụ nông nghiệp chuyển từ tỉnh về huyện</t>
  </si>
  <si>
    <t>Cấp kp hỗ trợ Tết vì người nghèo của tỉnh Bắc Ninh</t>
  </si>
  <si>
    <t>NĐ 108,26,113</t>
  </si>
  <si>
    <t>Bảo trì đường bộ</t>
  </si>
  <si>
    <t>Hỗ trợ người dân, người lao động gặp khó khăn trong Covid</t>
  </si>
  <si>
    <t>DA PTSX liên kết theo chuỗi giá trị</t>
  </si>
  <si>
    <t>Xử lý cải thiện môi trường nông thôn</t>
  </si>
  <si>
    <t>Các chương trình, nhiệm vụ khác TW cấp kinh phí</t>
  </si>
  <si>
    <t>Kinh phí thực hiện hỗ trợ cho chủ vật nuôi có lợn bị tiêu hủy</t>
  </si>
  <si>
    <t>KP thực hiện QĐ 2085/QĐ-TTg</t>
  </si>
  <si>
    <t>Các chương trình, nhiệm vụ khác tỉnh cấp kinh phí</t>
  </si>
  <si>
    <t>Công tác xã hội tình nguyện</t>
  </si>
  <si>
    <t>KP hỗ trợ công tác AN-QP</t>
  </si>
  <si>
    <t>KP tổ chức ĐH Đảng</t>
  </si>
  <si>
    <t>KP hỗ trợ gặp khó khăn do đại dịch Covid</t>
  </si>
  <si>
    <t>Kinh phí duy tu, bảo dưỡng, vận hành công trình</t>
  </si>
  <si>
    <t>Các chương trình, nhiệm vụ khác huyện cấp kinh phí</t>
  </si>
  <si>
    <t>KP tuần tra đảm bảo ANTT</t>
  </si>
  <si>
    <t>Kinh phí cấp tiền điện đèn giao thông</t>
  </si>
  <si>
    <t>KP ban thanh tra ND</t>
  </si>
  <si>
    <t>KP thực hiện DA LRAMP</t>
  </si>
  <si>
    <t>Kinh phí sửa chữa, làm nhà họp thôn, công trình tập thể</t>
  </si>
  <si>
    <t>Kinh phí sửa chữa các khu di tích</t>
  </si>
  <si>
    <t>Vốn sự nghiệp ngoài CT 135</t>
  </si>
  <si>
    <t>Kinh phí tổ chức lễ công bố xã yên thượng đạt chuẩn Nông thôn mới</t>
  </si>
  <si>
    <t>Kinh phjí trợ cấp 1 lần</t>
  </si>
  <si>
    <t>Kinh phí nâng cấp sửa chữa tuyến đường từ cống thoát nước tổ 11B đến Quốc lộ 3B</t>
  </si>
  <si>
    <t>Kinh phí hỗ trợ xã thực hiện chế độ</t>
  </si>
  <si>
    <t>Kinh phí hỗ trợ cho chủ vật nuôi có lợn bị tiêu hủy</t>
  </si>
  <si>
    <t>Thu trong năm 2020</t>
  </si>
  <si>
    <t>THỰC HIỆN KINH PHÍ DỰ PHÒNG NGÂN SÁCH CẤP HUYỆN NĂM 2020</t>
  </si>
  <si>
    <t>Văn bản của UBND huyện /ngày, tháng</t>
  </si>
  <si>
    <t>Đơn vị sử dụng</t>
  </si>
  <si>
    <t>Dự phòng năm 2019 chuyển sang</t>
  </si>
  <si>
    <t xml:space="preserve">Dự phòng giao trong DT đầu năm </t>
  </si>
  <si>
    <t>3500/20-12-2020</t>
  </si>
  <si>
    <t>Bổ sung nguồn dự phòng trong năm</t>
  </si>
  <si>
    <t>Tổng nguồn dự phòng 2020</t>
  </si>
  <si>
    <t>Đã phân bổ sử dụng và quyết toán</t>
  </si>
  <si>
    <t>Cấp kinh phí cho Trung tâm y tế thực hiện công tác phòng, chống dịch corona năm 2020</t>
  </si>
  <si>
    <t>717/23-3-2020</t>
  </si>
  <si>
    <t>Trung tâm Y tế huyện</t>
  </si>
  <si>
    <t>Về việc cấp kinh phí cho Trung tâm Y tế Chợ Đồn mua máy đo thân nhiệt cầm tay thực hiện công tác phòng chống dịch Covid-19</t>
  </si>
  <si>
    <t>835/31-3-2020</t>
  </si>
  <si>
    <t>Về việc cấp kinh phí mua sắm trang thiết bị, vật tư, công cụ dụng cụ phục vụ các chốt kiểm dịch y tế liên ngành để phòng, chống dịch bệnh Covid-19 trên địa bàn huyện Chợ Đồn</t>
  </si>
  <si>
    <t>1204/07-5-2020</t>
  </si>
  <si>
    <t>Kinh phí hỗ trợ Ban chỉ đạo và Đội phản ứng nhanh phòng, chống bệnh dịch tả lợn Châu phi trên địa bàn huyện Chợ Đồn năm 2020</t>
  </si>
  <si>
    <t>2372/21-8-2020</t>
  </si>
  <si>
    <t>Trung tâm dịch vụ nông nghiệp</t>
  </si>
  <si>
    <t>Công trình: Sửa chữa trường Mần non Ngọc Phái, xã Ngọc Phái, huyện Chợ Đồn, tỉnh Bắc Kạn</t>
  </si>
  <si>
    <t>Phòng Nông nghiệp và phát triển nông thôn</t>
  </si>
  <si>
    <t>Công trình: Sửa chữa lớp mẫu giáo ghép 5 tuổi thôn Bản Pèo, xã Bình Trung, huyện Chợ Đồn, tỉnh Bắc Kạn</t>
  </si>
  <si>
    <t>Công trình: Kè bảo vệ cánh đồng Tông Chầu, thôn Nà Piat, xã Yên Thịnh, huyện Chợ Đồn, tỉnh Bắc Kạn</t>
  </si>
  <si>
    <t>Sửa chữa cấp bách nhà tập thể giáo viên, công trình phụ trợ Trường Trung học cơ sở Nam Cường, huyện Chợ Đồn, tình Bắc Kạn</t>
  </si>
  <si>
    <t>3295/13-11-2020</t>
  </si>
  <si>
    <t>Sửa chữa cấp bách trường tiểu học, trường mầm non và trạm Y tế xã Tân Lập, huyện Chợ Đồn, tỉnh Bắc Kạn</t>
  </si>
  <si>
    <t>Sửa chữa cấp bách 01 lớp học trường tiểu học Ngọc Phái (Phân trường Bẩn Cuôn)</t>
  </si>
  <si>
    <t>Sửa chữa 08 nhà Văn hóa thôn (Nà Cà, Nà Kiến, Kéo Tôm, Nà Tông, Nà Đẩy, Nà Khằn, Bản Lạp, Bản Bẳng) xã Nghĩa Tá, huyện Chợ Đồn, tỉnh Bắc Kạn</t>
  </si>
  <si>
    <t>hỗ trợ cho các hộ bị thiệt hại do thiên tai gây ra trong năm 2020 theo Nghị định số 02/2017/NĐ-CP ngày 09/01/2017 của Chính phủ</t>
  </si>
  <si>
    <t>3824/16-12-2020</t>
  </si>
  <si>
    <t>UBND xã Nghĩa Tá</t>
  </si>
  <si>
    <t>UBND xã TT Bằng Lũng</t>
  </si>
  <si>
    <t>UBND xã Bằng Phúc</t>
  </si>
  <si>
    <t>UBND xã Xuân Lạc</t>
  </si>
  <si>
    <t>UBND xã Ngọc Phái</t>
  </si>
  <si>
    <t>UBND xã Đồng Thắng</t>
  </si>
  <si>
    <t>UBND xã Nam Cường</t>
  </si>
  <si>
    <t>Về việc cấp kinh phí cho Uỷ ban nhân dân các xã, thị trấn thực hiện hỗ trợ cho chủ vật nuôi có lợn bị tiêu hủy do dịch tả lợn Châu Phi bị tiêu hủynăm 2020 (từ ngày 09/4/2020 đến hết ngày 30/9/2020)</t>
  </si>
  <si>
    <t>3845/21-12-2020</t>
  </si>
  <si>
    <t>UBND xã Đồng Lạc</t>
  </si>
  <si>
    <t>UBND xã Bản Thi</t>
  </si>
  <si>
    <t>UBND xã Yên Phong</t>
  </si>
  <si>
    <t>UBND xã Bình Trung</t>
  </si>
  <si>
    <t>UBND xã Đại Sảo</t>
  </si>
  <si>
    <t>Sửa chữa và nâng cấp một số hạng mục nhà chợ xã Đông viên</t>
  </si>
  <si>
    <t>2921/19-10-2020</t>
  </si>
  <si>
    <t>Cải tạo, sửa chữa trụ sở xã Đông viên cũ thành nhà Văn hóa xã Đông Viên</t>
  </si>
  <si>
    <t>Nâng cấp sân thể thao xã Đông Viên, huyện Chợ Đồn</t>
  </si>
  <si>
    <t xml:space="preserve">Nhà văn hóa xã Xuân Lạc, huyện Chợ Đồn, tỉnh Bắc Kạn    </t>
  </si>
  <si>
    <t>Dự phòng còn lại chuyển 2021</t>
  </si>
  <si>
    <t xml:space="preserve">Đã chi chuyển nguồn </t>
  </si>
  <si>
    <t>Để kết dư ngân sách huyện</t>
  </si>
  <si>
    <t>Phụ biểu số 04</t>
  </si>
  <si>
    <t>Văn bản của UBND Huyện /ngày, tháng</t>
  </si>
  <si>
    <t>Số báo cáo</t>
  </si>
  <si>
    <t>Số kiểm toán</t>
  </si>
  <si>
    <t xml:space="preserve"> Ngân sách cấp huyện chuyển nguồn sang</t>
  </si>
  <si>
    <t xml:space="preserve">Quyết định số 636/QĐ-UBND ngày13/3/2020 </t>
  </si>
  <si>
    <t xml:space="preserve"> Ngân sách các xã chuyển nguồn sang</t>
  </si>
  <si>
    <t xml:space="preserve"> Ngân sách các xã kết dư nguồn sang</t>
  </si>
  <si>
    <t>Để dư tại tiền gửi các đơn vị dự toán (Trường hoc)</t>
  </si>
  <si>
    <t xml:space="preserve"> Trích 50% từ tăng thu NS năm 2020 so DT 2020</t>
  </si>
  <si>
    <t>Tiết kiệm 10 % chi thường xuyên</t>
  </si>
  <si>
    <t>Trích 40% từ cấp bù, miễn giảm</t>
  </si>
  <si>
    <t>QĐ 108/QĐ ngày 14/7/2020</t>
  </si>
  <si>
    <t>Trích 40% từ thu phí, lệ phí</t>
  </si>
  <si>
    <t>STC cấp KP CCTL trong năm</t>
  </si>
  <si>
    <t>Quyết định số /QĐ-UBND ngày</t>
  </si>
  <si>
    <t>Nguồn CCTL trích từ 70% kết dư cấp xã</t>
  </si>
  <si>
    <t>Nguồn CCTL trích từ 70% kết dư cấp huyện</t>
  </si>
  <si>
    <t>5.1</t>
  </si>
  <si>
    <t>5.2</t>
  </si>
  <si>
    <t>5.3</t>
  </si>
  <si>
    <t>5.4</t>
  </si>
  <si>
    <t>5.5</t>
  </si>
  <si>
    <t>5.9</t>
  </si>
  <si>
    <t>KP CCTL còn lại chuyển 2021</t>
  </si>
  <si>
    <t>Đã chi chuyển nguồn NS cấp huyện</t>
  </si>
  <si>
    <t xml:space="preserve">Quyết định số494/QĐ-UBND ngày15/3/2021 </t>
  </si>
  <si>
    <t>Đã chi chuyển nguồn NSX</t>
  </si>
  <si>
    <t>Để kết dư NS cấp huyện</t>
  </si>
  <si>
    <t>Để dư tại các đơn vị dự toán</t>
  </si>
  <si>
    <t>Để dư tại các tiền gửi (học phí)</t>
  </si>
  <si>
    <t>Tổng tiền</t>
  </si>
  <si>
    <t>Thành phố</t>
  </si>
  <si>
    <t>Bạch thông</t>
  </si>
  <si>
    <t>Chợ Mới</t>
  </si>
  <si>
    <t>Số cấp trên bổ sung cấp dưới sau thu hồi</t>
  </si>
  <si>
    <t>Giao đầu năm (431)</t>
  </si>
  <si>
    <t>Cấp kp cho các đơn vị thực hiện NĐ 108 và NĐ 113</t>
  </si>
  <si>
    <t>Cấp kp cho UBND các huyện thực hiện NĐ 108 và NĐ 26</t>
  </si>
  <si>
    <t>Cấp kp cho UBND các huyện thực hiện nghị định 26</t>
  </si>
  <si>
    <t>15/6/2020</t>
  </si>
  <si>
    <t>Cấp kp cho các đơn vị thực hiện Chính sách theo NĐ 108 và NĐ 113; chính sách theo NĐ 26</t>
  </si>
  <si>
    <t>Nguồn CCTL chưa phân bổ</t>
  </si>
  <si>
    <t>Kinh phí của Cục Kỹ thuật Hải quân tài trợ cho UBND huyện Chợ Đồn  (Vốn tài trợ)</t>
  </si>
  <si>
    <t>TỔNG CÂP XÃ</t>
  </si>
  <si>
    <t>Các khoản dự toán được cấp có thẩm quyền bổ sung sau ngày 30 tháng 9 năm thực hiện dự toán, không bao gồm các khoản bổ sung do các đơn vị dự toán cấp trên điều chỉnh dự toán đã giao của các đơn vị dự toán trực thuộc</t>
  </si>
  <si>
    <t>Các khoản tăng thu, tiết kiệm chi được sử dụng theo quy định tại khoản 2 Điều 59 của Luật ngân sách nhà nước được cấp có thẩm quyền quyết định cho phép sử dụng vào năm sau</t>
  </si>
  <si>
    <t>Vốn ĐTPT năm 2020 (nguồn 98)</t>
  </si>
  <si>
    <t>Tiểu Dự án 2: Hỗ trợ PTSX, đa dạng hóa mô hình sinh kế +  nhân rộng mô hình giảm nghèo</t>
  </si>
  <si>
    <t xml:space="preserve">Vốn ĐTPT năm 2020 </t>
  </si>
  <si>
    <t>Nguồn ngân sách Trung ương (vốn nước ngoài)</t>
  </si>
  <si>
    <t>Nguồn ngân sách tỉnh</t>
  </si>
  <si>
    <t>Nguồn TW</t>
  </si>
  <si>
    <t>Kinh phí duy tu, bảo dưỡng công trình (nguồn huyện cân đối)</t>
  </si>
  <si>
    <t>Kinh phí thực hiện chính sách theo Nghị định số 108/2014/NĐ-CP;
Nghị định số 113/2018/NĐ-CP và Nghị định số 26/2015/NĐ-CP</t>
  </si>
  <si>
    <t>KP thực hiện chính sách theo Nghị định số 108/2014/NĐ-CP, Nghị định 113/2018/NĐ-CP và Nghị định 26/2015/NĐ-CP</t>
  </si>
  <si>
    <t>kinh phí thực hiện chính sách theo Nghị định số 26/2015/NĐ-CP (đợt nghỉ từ 01/5;01/6; 01/7 năm 2020)</t>
  </si>
  <si>
    <t>Kinh phí bổ sung giải quyết chế độ NQ 05</t>
  </si>
  <si>
    <t>Cấp bổ sung KP thực hiện NQ 16/2020</t>
  </si>
  <si>
    <t>Kinh phí mua sắm cho hội trường mới xây</t>
  </si>
  <si>
    <t>Kinh phí sửa chữa, làm nhà họp thôn</t>
  </si>
  <si>
    <t>Kinh phí sửa chữa cấp bổ sung cho UBND thị trấn Bằng Lũng</t>
  </si>
  <si>
    <t>Cấp kinh phí chi trả trợ cấp một lần cho Phó trưởng CA xã, chỉ huy phó Ban chỉ huy quân sự xã nghỉ việc</t>
  </si>
  <si>
    <t>KP trợ cấp 1 lần cho phó trưởng CA xã và CAV, Phó BCHQS xã nghỉ việc</t>
  </si>
  <si>
    <t>Kinh phí cấp bổ sung UBND thị trấn Bằng Lũng thực hiện nhiệm vụ</t>
  </si>
  <si>
    <t>Kinh phí cấp bổ sung UBND các xã, thị trấn thực hiện nhiệm vụ</t>
  </si>
  <si>
    <t>KP hỗ trợ cho các hộ bị thiệt hại do thiên tai gây ra trong năm 2020 theo Nghị định số 02/NĐ-CP</t>
  </si>
  <si>
    <t>4.1</t>
  </si>
  <si>
    <t>4.2</t>
  </si>
  <si>
    <t>Chợ Đồn, ngày         tháng  6 năm 2021</t>
  </si>
  <si>
    <t>Kinh phí khôi phục SX bị thiệt hại do thiên tai (Hoàn nguồn năm 2019 huyện chi tại QĐ 3654 ngày 31/12/2019)</t>
  </si>
  <si>
    <t>Uỷ ban Mặt trận Tổ quốc huyện</t>
  </si>
  <si>
    <t>Ban quản lý các dự án huyện</t>
  </si>
  <si>
    <t>BQL CTMT triển lâm nghiệp bền vững</t>
  </si>
  <si>
    <t>Tòa an nhân dân huyện</t>
  </si>
  <si>
    <t>Hội Luật gia</t>
  </si>
  <si>
    <t>Ban an toàn giao thông huyện Chợ Đồn</t>
  </si>
  <si>
    <t>Chi cục thi hành án dân sự</t>
  </si>
  <si>
    <t>Văn phòng Khối MTTQ huyện</t>
  </si>
  <si>
    <t>Trung tâm Bồi dưỡng chính trị</t>
  </si>
  <si>
    <t>Trung tâm y tế huyện</t>
  </si>
  <si>
    <t xml:space="preserve">Phòng Giao dịch ngân hàng chính sách </t>
  </si>
  <si>
    <t>Viện kiểm sát nhân dân huyện</t>
  </si>
  <si>
    <t>Hạt Kiểm lâm huyện</t>
  </si>
  <si>
    <t>Hợp tác xã Rượu men lá Thanh Tâm</t>
  </si>
  <si>
    <t>Hợp Tác xã Quỳnh Trang</t>
  </si>
  <si>
    <t>Hợp tác xã Hoà Thịnh</t>
  </si>
  <si>
    <t>Hợp tác xã Hồng Luân</t>
  </si>
  <si>
    <t>Công ty TNHH phát triển nông nghiệp và chế biến dược liệu Ngọc Thắng</t>
  </si>
  <si>
    <t>Trung tâm Giáo dục TX huyện</t>
  </si>
  <si>
    <t>Trung tâm học tập Cộng đồng xã Đồng Lạc</t>
  </si>
  <si>
    <t>Trung tâm học tập Cộng đồng xã Ngọc Phái</t>
  </si>
  <si>
    <t>Trung tâm học tập Cộng đồng xã Tân Lập</t>
  </si>
  <si>
    <t>Trung tâm học tập Cộng đồng xã Quảng Bạch</t>
  </si>
  <si>
    <t>Trung tâm học tập Cộng đồng xã Xuân Lạc</t>
  </si>
  <si>
    <t xml:space="preserve">Trung tâm học tập Cộng đồng xã Nam Cường </t>
  </si>
  <si>
    <t>Trung tâm học tập Cộng đồng xã Bằng Phúc</t>
  </si>
  <si>
    <t>Trung tâm học tập Cộng đồng xã Phương Viên</t>
  </si>
  <si>
    <t>Trung tâm học tập Cộng đồng xã Đồng Thắng</t>
  </si>
  <si>
    <t>Trung tâm học tập Cộng đồng xã Đại Sảo</t>
  </si>
  <si>
    <t>Trung tâm học tập Cộng đồng xã Bằng Lãng</t>
  </si>
  <si>
    <t>Trung tâm học tập Cộng đồng xã Lương Bằng</t>
  </si>
  <si>
    <t>Trung tâm học tập Cộng đồng xã Nghĩa Tá</t>
  </si>
  <si>
    <t>Trung tâm học tập Cộng đồng xã Bình Trung</t>
  </si>
  <si>
    <t>Trung tâm học tập Cộng đồng xã Yên Phong</t>
  </si>
  <si>
    <t>Trung tâm học tập Cộng đồng xã TT Bằng Lũng</t>
  </si>
  <si>
    <t>Trung tâm học tập Cộng đồng xã Yên Mỹ</t>
  </si>
  <si>
    <t>Trung tâm học tập Cộng đồng xã Bản Thi</t>
  </si>
  <si>
    <t>Trung tâm học tập Cộng đồng xã Yên thịnh</t>
  </si>
  <si>
    <t>Trung tâm học tập Cộng đồng xã Yên Thượng</t>
  </si>
  <si>
    <t>Dự toán giữ lại theo QĐ</t>
  </si>
  <si>
    <t>3.7</t>
  </si>
  <si>
    <t>3.8</t>
  </si>
  <si>
    <t>3.9</t>
  </si>
  <si>
    <t>3.10</t>
  </si>
  <si>
    <t>3.11</t>
  </si>
  <si>
    <t>3.12</t>
  </si>
  <si>
    <t>3.13</t>
  </si>
  <si>
    <t>3.14</t>
  </si>
  <si>
    <t>3.15</t>
  </si>
  <si>
    <t>3.16</t>
  </si>
  <si>
    <t>3.17</t>
  </si>
  <si>
    <t>3.18</t>
  </si>
  <si>
    <t>3.19</t>
  </si>
  <si>
    <t>3.20</t>
  </si>
  <si>
    <t>4.3</t>
  </si>
  <si>
    <t>4.4</t>
  </si>
  <si>
    <t>4.5</t>
  </si>
  <si>
    <t>4.6</t>
  </si>
  <si>
    <t>4.7</t>
  </si>
  <si>
    <t>4.8</t>
  </si>
  <si>
    <t>5.6</t>
  </si>
  <si>
    <t>5.7</t>
  </si>
  <si>
    <t>5.8</t>
  </si>
  <si>
    <t>ĐVT: Đồng</t>
  </si>
  <si>
    <t>Dư toán còn dư năm 2020</t>
  </si>
  <si>
    <t>BÁO CÁO NGUỒN KINH PHÍ UBND TỈNH CẤP CHO UBND HUYỆN NĂM 2021</t>
  </si>
  <si>
    <t>Biểu PL 01</t>
  </si>
  <si>
    <t>Biểu PL 02</t>
  </si>
  <si>
    <t>Biểu PL 03</t>
  </si>
  <si>
    <t>Biểu PL 05</t>
  </si>
  <si>
    <t>Phụ biểu số 06</t>
  </si>
  <si>
    <t>Biểu PL 07</t>
  </si>
  <si>
    <t>Chợ Đồn, ngày       tháng 6   năm 2021</t>
  </si>
  <si>
    <t>Mẫu biểu số 63</t>
  </si>
  <si>
    <t>Cấp</t>
  </si>
  <si>
    <t>Mã chương</t>
  </si>
  <si>
    <t>Cấp I</t>
  </si>
  <si>
    <t>009</t>
  </si>
  <si>
    <t>024</t>
  </si>
  <si>
    <t>123</t>
  </si>
  <si>
    <t>124</t>
  </si>
  <si>
    <t>141</t>
  </si>
  <si>
    <t>158</t>
  </si>
  <si>
    <t>176</t>
  </si>
  <si>
    <t>Cấp II</t>
  </si>
  <si>
    <t>412</t>
  </si>
  <si>
    <t>414</t>
  </si>
  <si>
    <t>422</t>
  </si>
  <si>
    <t>423</t>
  </si>
  <si>
    <t>426</t>
  </si>
  <si>
    <t>554</t>
  </si>
  <si>
    <t>555</t>
  </si>
  <si>
    <t>558</t>
  </si>
  <si>
    <t>560</t>
  </si>
  <si>
    <t>Cấp III</t>
  </si>
  <si>
    <t>754</t>
  </si>
  <si>
    <t>755</t>
  </si>
  <si>
    <t>Cấp IV</t>
  </si>
  <si>
    <t>805</t>
  </si>
  <si>
    <t>857</t>
  </si>
  <si>
    <t>860</t>
  </si>
  <si>
    <t>QUYẾT TOÁN CHI, TRẢ NỢ NSĐP THEO MỤC LỤC NSNN NĂM 2020</t>
  </si>
  <si>
    <t>Đơn vị : Đồng</t>
  </si>
  <si>
    <t>01.8126.7799.3.1037048.064.709.351.00000.2316.12.300</t>
  </si>
  <si>
    <t>Trich 70% từ kết dư:</t>
  </si>
  <si>
    <t>Triích 70% từ tăng thu (Số thu của 2020 so với dự toán 2020)</t>
  </si>
  <si>
    <t>Cộng bổ sung cấp huyện: 128,575tr</t>
  </si>
  <si>
    <t>BÁO CÁO NGUỒN KINH PHÍ UBND TỈNH CẤP CHO UBND HUYỆN NĂM 2021 THỰC HiỆN NĐ 108</t>
  </si>
  <si>
    <t>Tổng kinh phí cấp</t>
  </si>
  <si>
    <t>uyết toán</t>
  </si>
  <si>
    <t>Ngân sách Cấp huyện</t>
  </si>
  <si>
    <t>Tổng số ngân sách huyện</t>
  </si>
  <si>
    <t>Mẫu biểu số 5.24</t>
  </si>
  <si>
    <t>TỔNG HỢP QUYẾT TOÁN CHI THƯỜNG XUYÊN NGÂN SÁCH CẤP HUYỆN CỦA TỪNG CƠ QUAN, TỔ CHỨC THEO NGUỒN VỐN NĂM 2021</t>
  </si>
  <si>
    <t>(Kèm theo Báo cáo số            /BC-UBND ngày         tháng 5 năm 2022 của UBND huyện Chợ Đồn)</t>
  </si>
  <si>
    <t>Tổng Dự toán được cấp năm 2021</t>
  </si>
  <si>
    <t>Kinh phí quyết toán năm 2021</t>
  </si>
  <si>
    <t>Quyết toán năm 2021</t>
  </si>
  <si>
    <t>Hợp tác xã Việt Hoàng</t>
  </si>
  <si>
    <t>HTX Nông nghiệp Ngọc Hải</t>
  </si>
  <si>
    <t>HTX Sơn Lâm</t>
  </si>
  <si>
    <t xml:space="preserve">UBND Xã Bản Thi </t>
  </si>
  <si>
    <t>UBND Xã Bằng Lãng</t>
  </si>
  <si>
    <t>UBND Xã Bằng Phúc</t>
  </si>
  <si>
    <t>UBND Xã Bình Trung</t>
  </si>
  <si>
    <t>UBND Xã Đại Sảo</t>
  </si>
  <si>
    <t>UBND Xã Đồng Lạc</t>
  </si>
  <si>
    <t>UBND Xã Đồng Thắng</t>
  </si>
  <si>
    <t>UBND Xã Lương Bằng</t>
  </si>
  <si>
    <t>UBND Xã Nam Cường</t>
  </si>
  <si>
    <t>UBND Xã Nghĩa Tá</t>
  </si>
  <si>
    <t>UBND Xã Ngọc Phái</t>
  </si>
  <si>
    <t>UBND Xã Phương Viên</t>
  </si>
  <si>
    <t>UBND Xã Quảng Bạch</t>
  </si>
  <si>
    <t>UBND Xã Tân Lập</t>
  </si>
  <si>
    <t>UBND Thị trấn Bằng Lũng</t>
  </si>
  <si>
    <t>UBND Xã Xuân Lạc</t>
  </si>
  <si>
    <t>UBND Xã Yên Mỹ</t>
  </si>
  <si>
    <t>UBND Xã Yên Phong</t>
  </si>
  <si>
    <t>UBND Xã Yên Thịnh</t>
  </si>
  <si>
    <t>UBND Xã Yên Thượng</t>
  </si>
  <si>
    <t>Chi GDĐT và dạy nghề</t>
  </si>
  <si>
    <t>BQL Bến xe</t>
  </si>
  <si>
    <t>Chi Cục Thuế</t>
  </si>
  <si>
    <t>Kho bạc nhà nước</t>
  </si>
  <si>
    <t>Ghi thu - ghi chi</t>
  </si>
  <si>
    <t>Trung tâm y tế</t>
  </si>
  <si>
    <t>Đơn vị cấp lệnh chi</t>
  </si>
  <si>
    <t>Đơn vị dự toán cấp huyện</t>
  </si>
  <si>
    <t>QUYẾT TOÁN CHI CHƯƠNG TRÌNH MỤC TIÊU QUỐC GIA, CHƯƠNG TRÌNH MỤC TIÊU VÀ CHƯƠNG TRÌNH, NHIỆM VỤ KHÁC NĂM 2021</t>
  </si>
  <si>
    <t>CHƯƠNG TRÌNH MỤC TIÊU QUỐC GIA VỀ XÂY DỰNG NÔNG THÔN MỚI NĂM 2021</t>
  </si>
  <si>
    <t>Kinh phí được giao năm nay 2022</t>
  </si>
  <si>
    <t>Tổng số được sử dụng trong năm 2022 (kỳ)</t>
  </si>
  <si>
    <t>Kinh phí quyết toán chi trong năm 2022(kỳ)</t>
  </si>
  <si>
    <t>Kp 2022 hết nhiệm vụ chi</t>
  </si>
  <si>
    <t>CHƯƠNG TRÌNH MỤC TIÊU QUỐC GIA GIẢM NGHÈO (CHƯƠNG TRÌNH 135) NĂM 2021</t>
  </si>
  <si>
    <t>Phụ lục 03</t>
  </si>
  <si>
    <t>Mã CTMTQG</t>
  </si>
  <si>
    <t>Mã DP</t>
  </si>
  <si>
    <t>Tổng kinh phí cấp năm 2021</t>
  </si>
  <si>
    <t>Tổng rút</t>
  </si>
  <si>
    <t>Số dư chưa rút</t>
  </si>
  <si>
    <t xml:space="preserve"> '2</t>
  </si>
  <si>
    <t>Tổng số nguồn cấp trên giao năm 2021</t>
  </si>
  <si>
    <t>000</t>
  </si>
  <si>
    <t>Giao dự toán đầu năm cấp bổ sung kinh phí thực hiện nhiệm vụ năm 2021</t>
  </si>
  <si>
    <t xml:space="preserve">Chính sách hỗ trợ tiền điện cho hộ nghèo, hộ chính sách xã hội </t>
  </si>
  <si>
    <t>Chính sách đối với người có uy tín trong đồng bào dân tộc thiểu số</t>
  </si>
  <si>
    <t>Chính sách hỗ trợ đối tượng bảo trợ xã hội theo Nghị định 136/2013/NĐ-CP</t>
  </si>
  <si>
    <t>Chính sách hỗ trợ học sinh vùng KTXH đặc biệt khó khăn theo NĐ 116/2016/NĐ-CP</t>
  </si>
  <si>
    <t>Hỗ trợ học bổng, phương tiện học tập cho người khuyết tật TTLT 42/2013/TTLT-BGDĐT-BLĐTBXH-BTC</t>
  </si>
  <si>
    <t>Hỗ trợ kinh phí sản phẩm, dịch vụ công ích thủy lợi</t>
  </si>
  <si>
    <t>Chính sách học bổng học sinh dân tộc nội trú theo Quyết định số 82/2006/QĐ-TTg</t>
  </si>
  <si>
    <t>Chính sách hỗ trợ chi phí học tập và miễn giảm học phí cho học sinh phổ thông và cao đẳng đại học theo Nghị định 86/2015/NĐ-CP</t>
  </si>
  <si>
    <t>Kinh phí quản lý, bảo trì đường bộ cho các quỹ bảo trì đường bộ địa phương</t>
  </si>
  <si>
    <t>Chính sách hỗ trợ học tập đối với trẻ mẫu giáo, học sinh, sinh viên dân tộc thiểu số rất ít người theo NĐ 57/2017/NĐ-CP</t>
  </si>
  <si>
    <t>Kinh phí hỗ trợ an ninh, quốc phòng</t>
  </si>
  <si>
    <t>Chính sách hỗ trợ tiền ăn trưa cho trẻ 3-5 tuổi và chính sách đối với giáo viên mầm non</t>
  </si>
  <si>
    <t>Kinh phí thực hiện chính sách hỗ trợ người quản lý học sinh theo Nghị quyết 54</t>
  </si>
  <si>
    <t>Kinh phí thực hiện nhiệm vụ đảm bảo trật tự an toàn giao thông</t>
  </si>
  <si>
    <t>Hỗ trợ kinh phí cho đội công tác xã hội tình nguyện</t>
  </si>
  <si>
    <t>Kinh phí đào tạo, bồi dưỡng cán bộ, công chức theo Quyết định số 418/QĐ-UBND ngày 16/03/2020 của UBND tỉnh</t>
  </si>
  <si>
    <t>Hỗ trợ kinh phí thu gom, vận chuyển chất thải rắn đô thị; xử lý chất thải rắn bằng công nghệ lò đốt; xử lý rác tại trung tâm các huyện</t>
  </si>
  <si>
    <t>Kinh phí thực hiện cuộc vận động toàn dân đoàn kết xây dựng đời sống văn hóa ở khu dân cư</t>
  </si>
  <si>
    <t>Kinh phí các trường phổ thông dân tộc nội trú (Tiền lương, hoạt động, tham quan học tập kinh nghiệm, sửa chữa, mua sắm đồ dùng cho học sinh ở nội trú)</t>
  </si>
  <si>
    <t>Kinh phí kiểm kê đất đai và lập bản đồ hiện trạng cấp huyện, cấp xã (20% kinh phí còn lại được phê duyệt tại Quyết định số 1979/QĐ-UBND ngày 22/10/2019 của UBND tỉnh Bắc Kạn)</t>
  </si>
  <si>
    <t>Hỗ trợ kinh phí lập quy hoạch sử dụng đất giai đoạn 2021-2030 và kế hoạch sử dụng đất</t>
  </si>
  <si>
    <t>Kinh phí hỗ trợ đưa người lao động đi làm việc ở nước ngoài theo hợp đồng theo Thông tư số 09/2016/TTLT ngày 15/6/2016 của liên Bộ Lao động -TBXH - Bộ Tài chính</t>
  </si>
  <si>
    <t xml:space="preserve">Hỗ trợ các xã xây dựng nông thôn mới </t>
  </si>
  <si>
    <t>Kinh phí cấp bổ sung trong năm</t>
  </si>
  <si>
    <t xml:space="preserve">Kinh phí tỉnh Bắc Ninh hỗ trợ cho hộ nghèo đón Tết Tân Sửu năm 2021 </t>
  </si>
  <si>
    <t>Kinh phí hỗ trợ cho chủ vật nuôi có lợn bị tiêu hủy do bệnh Dịch tả lợn Châu Phi năm 2020</t>
  </si>
  <si>
    <t>Kinh phí giải quyết chế độ, chính sách đối vớicác đối tượng tinh giản biên chế theo Nghị định số 108/2014/NĐ-CP,Nghị định số 113/2018/NĐ-CP và Nghị định số của Chính phủ đợt 1, đợt 2 năm 2021. 143/2020/NĐ-CP</t>
  </si>
  <si>
    <t xml:space="preserve">Thực hiện hỗ trợ sản xuất nông nghiệp để khôi phục vùng bị thiệt hại do thiên tai, dịch bệnh gây ra năm 2020. </t>
  </si>
  <si>
    <t xml:space="preserve">Kinh phí cho UBND các huyện để thực hiện Chương trình xây dựng nông thôn mới năm 2021 từ nguồn dự phòng ngân sách cấp tỉnh năm 2021 (nguồn tiết kiệm 2% chi thường xuyên ngân sách cấp tỉnh năm 2021) </t>
  </si>
  <si>
    <t>Kinh phí bầu cử đại biểu Quốc hội khoá XV và đại biểu Hội đồng nhân dân các cấp nhiệm kỳ 2021-2026 từ nguồn ngân sách tỉnh cho các cơ quan, đơn vị, Ủy ban nhân dân các huyện, thành phố (đợt 2)</t>
  </si>
  <si>
    <t>Kinh phí cho các đơn vị, địa phương thực hiện chính sách theo Nghị định số 108/2014/NĐ-CP,  Nghị định số 113/2018/NĐ-CP và Nghị định số 143/2020/NĐ-CP của Chính phủ đợt 1, đợt 2 năm 2021</t>
  </si>
  <si>
    <t>Kinh phí từ nguồn tăng thu, tiết kiệm chi ngân sách cấp tỉnh năm 2020 chuyển nguồn sang năm 2021 cho UBND các huyện để hỗ trợ các xã về đích nông thôn mới năm 2021</t>
  </si>
  <si>
    <t>Kinh phí cho các huyện để thực hiện chính sách hỗ trợ cán bộ, công chức cấp xã theo Nghị quyết số 05/2020/NQ-HĐND ngày 05/5/2020 của Hội đồng nhân dân tỉnh đợt 1 năm 2021</t>
  </si>
  <si>
    <t>Kinh phí cho các huyện để thực hiện chế độ đối với học sinh các trường phổ thông dân tộc nội trú năm 2021</t>
  </si>
  <si>
    <t xml:space="preserve">Kinh phí để thực hiện chính sách hỗ trợ liên kết sản xuất và tiêu thụ sản phẩm nông nghiệp trên địa bàn tỉnh Bắc Kạn theo Nghị quyết số 08/2019/NQ-HĐND ngày tiếp tục triển khai thực hiện năm 202117/7/2019 của HĐND tỉnh đối với các Dự án phê duyệt năm 2020 </t>
  </si>
  <si>
    <t>Kinh phí thực hiện chính sách hỗ trợ người lao động và người sử dụng lao động gặp khó khăn do đại dịch Covid-19 (đợt 1) trên địa bàn tỉnh Bắc Kạn</t>
  </si>
  <si>
    <t xml:space="preserve">kinh phí chi trả chế độ, chính sách đối với cán bộ cấp xã nghỉ hưu trước tuổi theo Nghị định số 26/2015/NĐ-CP của Chính phủ đợt nghỉ 01/7/2021 cho các huyện Bạch Thông, Chợ Đồn </t>
  </si>
  <si>
    <t>1614;6114</t>
  </si>
  <si>
    <t>Kinh phí thực hiện nhiệm vụ "Mật"</t>
  </si>
  <si>
    <t>Kinh phí cách ly y tế và một số chế độ đặc thù trong phòng, chống dịch Covid-19 theo Nghị quyết số 16/NQ-CP ngày 08/02/2021 của Chính phủ (đợt 1) cho UBND các huyện, thành phố trên địa bàn tỉnh Bắc Kạn</t>
  </si>
  <si>
    <t>Kinh phí thực hiện nhiệm vụ bảo vệ và phát triển rừng</t>
  </si>
  <si>
    <t>KP liên kết sản xuất tiêu thụ sp nông nghiệp theo NQ 08/2019</t>
  </si>
  <si>
    <t>Kinh phí thực hiện chính sách hỗ trợ cán bộ công chức cấp xã theo NQ 05/2020/NQ-HĐND ngày 05/5/2020 của HĐND tỉnh đợt 3/2021</t>
  </si>
  <si>
    <t>3.21</t>
  </si>
  <si>
    <t>KP Chương trình MTQG xây dựng nông thôn mới năm 2021</t>
  </si>
  <si>
    <t>3.22</t>
  </si>
  <si>
    <t>Bổ sung kinh phí thực hiện chế độ chính sách còn thiếu</t>
  </si>
  <si>
    <t>học sinh bán trú và trường Phổ thông theo Nghị định 116/2016/NĐ-CP</t>
  </si>
  <si>
    <t>Phát triển giáo dục mầm non NĐ 06/2018 và 105/2020</t>
  </si>
  <si>
    <t>Hỗ trợ chi phí học tập theo NĐ 86/2015</t>
  </si>
  <si>
    <t>Tiền điện hộ nghèo, hộ chính sách</t>
  </si>
  <si>
    <t>Trợ giúp ĐT BTXH theo Nghị định 20/2021</t>
  </si>
  <si>
    <t>3.23</t>
  </si>
  <si>
    <t>Kinh phí phòng chống Covid-19 theo NQ 16 (đợt 2)</t>
  </si>
  <si>
    <t>3.24</t>
  </si>
  <si>
    <t>Kinh phí phòng chống covid đợt 3</t>
  </si>
  <si>
    <t>3.25</t>
  </si>
  <si>
    <t>Kinh phí phòng chống Covid-19 theo NQ 68 (đợt 4)</t>
  </si>
  <si>
    <t>3.26</t>
  </si>
  <si>
    <t>Kinh phí thực hiện tinh giảm biên chế theo NĐ số 108, 113 và 143</t>
  </si>
  <si>
    <t>3.27</t>
  </si>
  <si>
    <t>Kinh phí hỗ trợ các xã về đích NTM 2022</t>
  </si>
  <si>
    <t>3.28</t>
  </si>
  <si>
    <t>Kinh phí thực hiện chính sách dân quân tự vệ theo NQ 19/2020/NQ-HĐND tỉnh</t>
  </si>
  <si>
    <t>3.29</t>
  </si>
  <si>
    <t>Bổ sung kinh phí thực hiện chế độ chính sách còn thiếu (đợt 2)</t>
  </si>
  <si>
    <t>Chính sách học bổng và hỗ trợ mua phương tiện đồ dùng theo TTLT 43/2013</t>
  </si>
  <si>
    <t>Hỗ trợ học tập đối với trẻ mẫu giáo và học sinh rất ít người theo NĐ 57/2017</t>
  </si>
  <si>
    <t>3.30</t>
  </si>
  <si>
    <t>Kinh phí thực hiện chương trình MTQG giảm nghèo bền vững</t>
  </si>
  <si>
    <t>kinh phí bầu cử đại biểu Quốc hội khoá XV và đại biểu Hội đồng nhân dân các cấp nhiệm kỳ 2021-2026 từ nguồn ngân sách tỉnh cho các cơ quan, đơn vị, Ủy ban nhân dân các huyện, thành phố (đợt 1)</t>
  </si>
  <si>
    <t>kinh phí cho các đơn vị, địa phương (đợt 1) để trả nợ quyết toán các công trình đã phê duyệt quyết toán và tăng chi đầu tư cho một số công trình, dự án quan trọng từ nguồn tăng thu, tiết kiệm chi năm 2020 đã chuyển nguồn sang năm 2021</t>
  </si>
  <si>
    <t>ĐVT: Triệu đồng</t>
  </si>
  <si>
    <t>QT Nam Cường</t>
  </si>
  <si>
    <t>Ngọc phái</t>
  </si>
  <si>
    <t>Phòng NN</t>
  </si>
  <si>
    <t>Số dư</t>
  </si>
  <si>
    <t>Tổng QT</t>
  </si>
  <si>
    <t>Huyện</t>
  </si>
  <si>
    <t>Kinh phí bầu cử đại biểu Quốc hội khoá XV và đại biểu Hội đồng nhân dân các cấp nhiệm kỳ 2021-2026 nguồn tỉnh</t>
  </si>
  <si>
    <t xml:space="preserve">Kinh phí thực hiện hỗ trợ sản xuất nông nghiệp để khôi phục vùng bị thiệt hại do thiên tai, dịch bệnh gây ra năm 2020. </t>
  </si>
  <si>
    <t xml:space="preserve">Kinh phí thực hiện Chương trình xây dựng nông thôn mới năm 2021 từ nguồn dự phòng ngân sách cấp tỉnh năm 2021 (nguồn tiết kiệm 2% chi thường xuyên ngân sách cấp tỉnh năm 2021) </t>
  </si>
  <si>
    <t>Nguồn vốn thực hiện CTMT QG NTM</t>
  </si>
  <si>
    <t>Kinh phí thực hiện chính sách theo Nghị định số 108/2014/NĐ-CP,  Nghị định số 113/2018/NĐ-CP và Nghị định số 143/2020/NĐ-CP của Chính phủ đợt 1, đợt 2 năm 2021</t>
  </si>
  <si>
    <t>Kinh phí chi trả chế độ, chính sách đối với cán bộ cấp xã nghỉ hưu trước tuổi theo Nghị định số 26/2015/NĐ-CP của Chính phủ đợt nghỉ 01/7/2021</t>
  </si>
  <si>
    <t>Kinh phí thực hiện chính sách theo Nghị định số 108/2014/NĐ-CP,  Nghị định số 113/2018/NĐ-CP và Nghị định số 143/2020/NĐ-CP của Chính phủ;nghị định số 26/2015/NĐ-CP của Chính phủ đợt nghỉ 01/7/2021</t>
  </si>
  <si>
    <t xml:space="preserve">Kinh phí thực hiện chính sách hỗ trợ cán bộ, công chức cấp xã theo Nghị quyết số 05/2020/NQ-HĐND ngày 05/5/2020 của Hội đồng nhân dân tỉnh </t>
  </si>
  <si>
    <t>Chương trình MTQG xây dựng nông thôn mới năm 2021</t>
  </si>
  <si>
    <t>Kinh phí  để trả nợ quyết toán các công trình đã phê duyệt quyết toán và tăng chi đầu tư cho một số công trình, dự án quan trọng từ nguồn tăng thu, tiết kiệm chi năm 2020 đã chuyển nguồn sang năm 2021</t>
  </si>
  <si>
    <t>Chương trình Giảm nghèo bền vững</t>
  </si>
  <si>
    <t>Kinh phí thực hiện hỗ trợ Covid-19</t>
  </si>
  <si>
    <t>Nguồn Dự phòng NS tỉnh</t>
  </si>
  <si>
    <t>Nguồn tăng thu tiết kiệm chi</t>
  </si>
  <si>
    <t>Nguồn UBND tỉnh giao đầu năm</t>
  </si>
  <si>
    <t>Xã Yên thịnh</t>
  </si>
  <si>
    <t>Nguồn UBND huyện giao đầu năm</t>
  </si>
  <si>
    <t>Nguồn tăng thu tiết kiệm chi của huyện</t>
  </si>
  <si>
    <t>Nguồn dự phòng ngân sách huyện</t>
  </si>
  <si>
    <t>Chính sách hỗ trợ đối tượng bảo trợ xã hội theo Nghị định 20/2021/NĐ-CP</t>
  </si>
  <si>
    <t>Nghị định bảo trợ xã hội theo Nghị định 20/2021/NĐ-CP</t>
  </si>
  <si>
    <t>Chính sách học bổng đối với học sinh dân tộc nội trú theo Thông tư 109</t>
  </si>
  <si>
    <t>Kinh phí thực hiện chính sách học bổng cho HS DTNT thực hiện chính sách học bổng theo QĐ 82/2006/QĐ-TTG NĂM 2021 (MDP 117)</t>
  </si>
  <si>
    <t>Chính sách hỗ trợ chi phí học tập và miễn giảm học phí cho học sinh phổ thông và cao đẳng đại học theo Nghị định 86/2015/NĐ-CP và Nghị định số 81/2021/NĐ-CP</t>
  </si>
  <si>
    <t>Kinh phí hỗ trợ an ninh, quốc phòng cho các xã phức tạp về An ninh Quốc phòng</t>
  </si>
  <si>
    <t>Chính sách hỗ trợ tiền ăn trưa cho trẻ 3-5 tuổi và chính sách đối với giáo viên mầm non theo Nghị định 105/2020/NĐ-CP</t>
  </si>
  <si>
    <t>Kinh phí quản lý và sử dụng đất trồng lúa theo Nghị định 35/2015/NĐ-CP (216)</t>
  </si>
  <si>
    <t>Kinh phí quản lý và sử dụng đất trồng lúa theo Nghị định 35/2015/NĐ-CP (316)</t>
  </si>
  <si>
    <t>Dự toán năm 2021</t>
  </si>
  <si>
    <t xml:space="preserve">        Trong đó: * Ngân sách tỉnh</t>
  </si>
  <si>
    <t xml:space="preserve">                         * Ngân sách Trung ương</t>
  </si>
  <si>
    <t>Dư năm 2021</t>
  </si>
  <si>
    <t>Kinh phí  thực hiện chính sách hỗ trợ liên kết sản xuất và tiêu thụ sản phẩm nông nghiệp trên địa bàn tỉnh Bắc Kạn theo Nghị quyết số 08/2019/NQ-HĐND HĐND tỉnh đối với các Dự án phê duyệt năm 2020,2021 (Nguồn 204 và 200)</t>
  </si>
  <si>
    <t>Nguồn huyện cấp xã</t>
  </si>
  <si>
    <t>Nguồn huyện sửa chữa chợ yên thịnh</t>
  </si>
  <si>
    <t>Nhà VH xã Nguồn huyện</t>
  </si>
  <si>
    <t>Nguồn DP ngân sách tỉnh</t>
  </si>
  <si>
    <t>Vốn Dự phòng NS huyện</t>
  </si>
  <si>
    <t>Ngày        tháng  5 năm 2022</t>
  </si>
  <si>
    <t>Ngày      tháng  5 năm  2022</t>
  </si>
  <si>
    <t>7901</t>
  </si>
  <si>
    <t>284</t>
  </si>
  <si>
    <t>6752</t>
  </si>
  <si>
    <t>297</t>
  </si>
  <si>
    <t>6954</t>
  </si>
  <si>
    <t>131</t>
  </si>
  <si>
    <t>8953</t>
  </si>
  <si>
    <t>406</t>
  </si>
  <si>
    <t>6202</t>
  </si>
  <si>
    <t>640</t>
  </si>
  <si>
    <t>9249</t>
  </si>
  <si>
    <t>Quyết Toán</t>
  </si>
  <si>
    <t>Tiểu Mục</t>
  </si>
  <si>
    <t>Cấp 4</t>
  </si>
  <si>
    <t>KẾ TOÁN        KẾ TOÁN TRƯỞNG     GIÁM ĐỐC</t>
  </si>
  <si>
    <t>Nội Dung</t>
  </si>
  <si>
    <t>NS cấp xã</t>
  </si>
  <si>
    <t>Nguồn năm trước chuyển sang năm nay (thu chuyển nguồn)</t>
  </si>
  <si>
    <t>Vốn đầu tư phát triển thực hiện chuyển nguồn từ năm trước sang năm nay theo quy định của Luật Đầu tư công</t>
  </si>
  <si>
    <t>Nguồn thực hiện chính sách tiền lương, phụ cấp, trợ cấp và các khoản tính theo tiền lương cơ sở, bảo trợ xã hội;</t>
  </si>
  <si>
    <t>Các khoản dự toán được cấp có thẩm quyền bổ sung sau ngày 30 tháng 9 năm thực hiện dự toán, không bao gồm các khoản bổ sung do các đơn vị dự toán cấp trên điều chỉnh dự toán đã giao cho các đơn vị dự toán trực thuộc</t>
  </si>
  <si>
    <t>Các khoản tăng thu, tiết kiệm chi năm trước được phép chuyển sang năm nay theo quy định</t>
  </si>
  <si>
    <t>Kinh phí khác theo quy định của pháp luật</t>
  </si>
  <si>
    <t xml:space="preserve"> Thuế thu nhập cá nhân</t>
  </si>
  <si>
    <t>Thuế thu nhập từ tiền lương, tiền công</t>
  </si>
  <si>
    <t xml:space="preserve">Thuế thu nhập từ hoạt động sản xuất, kinh doanh của cá nhân </t>
  </si>
  <si>
    <t>Thuế thu nhập từ chuyển nhượng bất động sản, nhận thừa kế và nhận quà tặng là bất động sản</t>
  </si>
  <si>
    <t>Thuế thu nhập từ hoạt động cho thuê tài sản</t>
  </si>
  <si>
    <t>Thuế thu nhập doanh nghiệp từ hoạt động sản xuất kinh doanh (gồm cả dịch vụ trong lĩnh vực dầu khí)</t>
  </si>
  <si>
    <t>Thu tiền cấp quyền khai thác tài nguyên khoáng sản, vùng trời, vùng biển</t>
  </si>
  <si>
    <t>Thu tiền cấp quyền khai thác khoáng sản đối với Giấy phép do Ủy ban nhân dân tỉnh cấp phép</t>
  </si>
  <si>
    <t>Đất trồng cây lâu năm</t>
  </si>
  <si>
    <t>Đất được nhà nước giao</t>
  </si>
  <si>
    <t>Đất được nhà nước công nhận quyền sử dụng đất</t>
  </si>
  <si>
    <t>Khoáng sản kim loại</t>
  </si>
  <si>
    <t>Khoáng sản phi kim loại</t>
  </si>
  <si>
    <t>Sản phẩm rừng tự nhiên</t>
  </si>
  <si>
    <t>Nước thiên nhiên khác</t>
  </si>
  <si>
    <t>Tài nguyên khoáng sản khác</t>
  </si>
  <si>
    <t>Thu từ đất ở tại nông thôn</t>
  </si>
  <si>
    <t>Thu từ đất ở tại đô thị</t>
  </si>
  <si>
    <t>Thu từ đất sản xuất, kinh doanh phi nông nghiệp</t>
  </si>
  <si>
    <t>Thuế giá trị gia tăng</t>
  </si>
  <si>
    <t>Thuế giá trị gia tăng hàng sản xuất, kinh doanh trong nước (gồm cả dịch vụ trong lĩnh vực dầu khí)</t>
  </si>
  <si>
    <t>Hàng hóa, dịch vụ khác</t>
  </si>
  <si>
    <t>Thuế tiêu thụ đặc biệt</t>
  </si>
  <si>
    <t>Mặt hàng rượu sản xuất trong nước</t>
  </si>
  <si>
    <t>Các dịch vụ, hàng hoá khác sản xuất trong nước</t>
  </si>
  <si>
    <t>Phí thuộc lĩnh vực nông nghiệp, lâm nghiệp, thủy sản</t>
  </si>
  <si>
    <t>Phí kiểm soát giết mổ động vật</t>
  </si>
  <si>
    <t>2250</t>
  </si>
  <si>
    <t>Phí thuộc lĩnh vực công nghiệp, thương mại, đầu tư, xây dựng</t>
  </si>
  <si>
    <t>2255</t>
  </si>
  <si>
    <t>Phí thẩm định dự án đầu tư, dự án đầu tư</t>
  </si>
  <si>
    <t>2265</t>
  </si>
  <si>
    <t>Phí thẩm định điều kiện, tiêu chuẩn ngành nghề thuộc lĩnh vực công nghiệp, thương mại, xây dựng</t>
  </si>
  <si>
    <t>Phí thuộc lĩnh vực giao thông vận tải</t>
  </si>
  <si>
    <t>Phí thuộc lĩnh vực đường bộ (sử dụng đường bộ, sử dụng tạm thời lòng đường, hè phố, sát hạch lái xe)</t>
  </si>
  <si>
    <t>Phí thuộc lĩnh vực an ninh, quốc phòng</t>
  </si>
  <si>
    <t>Phí thẩm định điều kiện, tiêu chuẩn hành nghề thuộc lĩnh vực an ninh, quốc phòng</t>
  </si>
  <si>
    <t>Phí thuộc lĩnh vực tài nguyên và môi trường</t>
  </si>
  <si>
    <t>Phí bảo vệ môi trường đối với nước thải, khí thải</t>
  </si>
  <si>
    <t>Phí bảo vệ môi trường đối với khai thác khoáng sản còn lại</t>
  </si>
  <si>
    <t>2650</t>
  </si>
  <si>
    <t>Phí thuộc lĩnh vực tài chính, ngân hàng, bảo hiểm</t>
  </si>
  <si>
    <t>2652</t>
  </si>
  <si>
    <t>Phí dịch vụ thanh toán trong hoạt động của Kho bạc nhà nước</t>
  </si>
  <si>
    <t>Phí thuộc lĩnh vực tư pháp</t>
  </si>
  <si>
    <t>Án phí</t>
  </si>
  <si>
    <t>2706</t>
  </si>
  <si>
    <t>Phí thi hành án dân sự</t>
  </si>
  <si>
    <t>Phí công chứng</t>
  </si>
  <si>
    <t>Phí chứng thực</t>
  </si>
  <si>
    <t>Lệ phí quản lý nhà nước liên quan đến quyền và nghĩa vụ của công dân</t>
  </si>
  <si>
    <t>Lệ phí cấp chứng minh nhân dân, căn cước công dân</t>
  </si>
  <si>
    <t>Lệ phí hộ tịch</t>
  </si>
  <si>
    <t>Lệ phí quản lý nhà nước liên quan đến quyền sở hữu, quyền sử dụng tài sản</t>
  </si>
  <si>
    <t>Lệ phí trước bạ nhà đất</t>
  </si>
  <si>
    <t>Lệ phí trước bạ ô tô</t>
  </si>
  <si>
    <t>Lệ phí cấp giấy chứng nhận quyền sử dụng đất, quyền sở hữu nhà, tài sản gắn liền với đất</t>
  </si>
  <si>
    <t>Lệ phí trước bạ xe máy</t>
  </si>
  <si>
    <t>Lệ phí quản lý nhà nước liên quan đến sản xuất, kinh doanh</t>
  </si>
  <si>
    <t>Lệ phí đăng ký kinh doanh</t>
  </si>
  <si>
    <t>Lệ phí về cấp chứng nhận, cấp bằng, cấp chứng chỉ, cấp phép, cấp giấy phép, cấp giấy chứng nhận, điều chỉnh giấy chứng nhận đối với các hoạt động, các ngành nghề kinh doanh theo quy định của pháp luật</t>
  </si>
  <si>
    <t>Lệ phí môn bài mức (bậc) 1</t>
  </si>
  <si>
    <t>Lệ phí môn bài mức (bậc) 2</t>
  </si>
  <si>
    <t>Lệ phí môn bài mức (bậc) 3</t>
  </si>
  <si>
    <t>Thu từ  bán và thanh lý tài sản khác</t>
  </si>
  <si>
    <t>Các tài sản khác</t>
  </si>
  <si>
    <t>3600</t>
  </si>
  <si>
    <t>Tiền cho thuê mặt đất, mặt nước</t>
  </si>
  <si>
    <t>3601</t>
  </si>
  <si>
    <t>Tiền thuê mặt đất hàng năm</t>
  </si>
  <si>
    <t>3650</t>
  </si>
  <si>
    <t>Thu từ tài sản Nhà nước giao cho doanh nghiệp và các tổ chức kinh tế</t>
  </si>
  <si>
    <t>3699</t>
  </si>
  <si>
    <t>Khác</t>
  </si>
  <si>
    <t>Thu tiền phạt</t>
  </si>
  <si>
    <t>Phạt vi phạm hành chính trong lĩnh vực giao thông</t>
  </si>
  <si>
    <t>Phạt vi phạm hành chính trong lĩnh vực thuế thuộc thẩm quyền ra quyết định của cơ quan thuế (không bao gồm phạt vi phạm hành chính đối với Luật thuế thu nhập cá nhân)</t>
  </si>
  <si>
    <t>4261</t>
  </si>
  <si>
    <t>Phạt vi phạm hành chính về bảo vệ môi trường</t>
  </si>
  <si>
    <t>Phạt vi phạm hành chính trong lĩnh vực trật tự, an ninh, quốc phòng</t>
  </si>
  <si>
    <t>Phạt vi phạm hành chính đối với Luật thuế thu nhập cá nhân</t>
  </si>
  <si>
    <t>Tiền nộp do chậm thi hành quyết định xử phạt vi phạm hành chính do cơ quan thuế quản lý.</t>
  </si>
  <si>
    <t>4276</t>
  </si>
  <si>
    <t>Phạt vi phạm hành chính về an toàn vệ sinh thực phẩm</t>
  </si>
  <si>
    <t>4277</t>
  </si>
  <si>
    <t>Tiền nộp do chậm thi hành quyết định xử phạt vi phạm hành chính trong các lĩnh vực khác</t>
  </si>
  <si>
    <t>Phạt vi phạm hành chính trong các lĩnh vực khác</t>
  </si>
  <si>
    <t>Các khoản tiền khác từ xử phạt vi phạm hành chính</t>
  </si>
  <si>
    <t>Phạt vi phạm khác</t>
  </si>
  <si>
    <t>4450</t>
  </si>
  <si>
    <t>Các khoản huy động theo quy định của pháp luật</t>
  </si>
  <si>
    <t>4499</t>
  </si>
  <si>
    <t>Mục đích khác</t>
  </si>
  <si>
    <t>Các khoản đóng góp tự nguyện</t>
  </si>
  <si>
    <t>4501</t>
  </si>
  <si>
    <t>Xây dựng kết cấu hạ tầng</t>
  </si>
  <si>
    <t>Bổ sung có mục tiêu bằng vốn trong nước</t>
  </si>
  <si>
    <t>Thu từ các khoản hoàn trả giữa các cấp ngân sách</t>
  </si>
  <si>
    <t>Các khoản hoàn trả phát sinh trong niên độ ngân sách</t>
  </si>
  <si>
    <t>Các khoản hoàn trả phát sinh ngoài niên độ ngân sách năm trước</t>
  </si>
  <si>
    <t xml:space="preserve">Thu kết dư ngân sách </t>
  </si>
  <si>
    <t>Thu kết dư ngân sách</t>
  </si>
  <si>
    <t>Các khoản thu khác</t>
  </si>
  <si>
    <t>Thu hồi các khoản chi năm trước</t>
  </si>
  <si>
    <t>Thu tiền bảo vệ, phát triển đất trồng lúa</t>
  </si>
  <si>
    <t>Tiền chậm nộp thuế thu nhập cá nhân</t>
  </si>
  <si>
    <t>Tiền chậm nộp thuế thu nhập doanh nghiệp (không bao gồm tiền chậm nộp thuế thu nhập doanh nghiệp từ hoạt động thăm dò, khai thác dầu khí)</t>
  </si>
  <si>
    <t>Tiền chậm nộp tiền cấp quyền khai thác khoáng sản đối với Giấy phép do Ủy ban nhân dân tỉnh cấp phép</t>
  </si>
  <si>
    <t>Tiền chậm nộp thuế tài nguyên khác còn lại.</t>
  </si>
  <si>
    <t>Tiền chậm nộp thuế giá trị gia tăng từ hàng hóa sản xuất kinh doanh trong nước khác còn lại</t>
  </si>
  <si>
    <t>Tiền chậm nộp thuế tiêu thụ đặc biệt hàng hóa sản xuất kinh doanh trong nước khác còn lại</t>
  </si>
  <si>
    <t>Tiền chậm nộp các khoản khác điều tiết 100% ngân sách địa phương theo quy định của pháp luật do ngành thuế quản lý</t>
  </si>
  <si>
    <t>Các khoản thu khác (bao gồm các khoản thu nợ không được phản ảnh ở các tiểu mục thu nợ)</t>
  </si>
  <si>
    <t>Vốn nguồn 100</t>
  </si>
  <si>
    <t>Phòng Nông nghiệp và PTNT</t>
  </si>
  <si>
    <t>QT cấp huyện</t>
  </si>
  <si>
    <t>BQL Các dự án</t>
  </si>
  <si>
    <t>yên thịnh</t>
  </si>
  <si>
    <t>pvien</t>
  </si>
  <si>
    <t>bql</t>
  </si>
  <si>
    <t>quảng bchj</t>
  </si>
  <si>
    <t>ngọc phái</t>
  </si>
  <si>
    <t>nam cương</t>
  </si>
  <si>
    <t>sn 2022</t>
  </si>
  <si>
    <t xml:space="preserve">hải qt 2020 </t>
  </si>
  <si>
    <t>Nguồn đóng góp XD cơ sở hạ tầng</t>
  </si>
  <si>
    <t>Chi đầu tư khác</t>
  </si>
  <si>
    <t>Địa điểm xây dựng</t>
  </si>
  <si>
    <t>Trường Mầm non Yên Thịnh, huyện Chợ Đồn, tỉnh Bắc Kạn</t>
  </si>
  <si>
    <t>Nâng cấp, cải tạo mặt đường và hệ thống rãnh thoát nước đường Bằng Lũng- Bản Tàn</t>
  </si>
  <si>
    <t>Cầu tràn Phai Điểng, xã Tân Lập, huyện Chợ Đồn, tỉnh Bắc Kạn</t>
  </si>
  <si>
    <t>Mở rộng sân trước cổng Ban chỉ huy quân sự huyện Chợ Đồn</t>
  </si>
  <si>
    <t>Mở rộng khu căn cứ chiếu đấu tại thôn Nà Khắt, xã Bằng Lãng, huyện Chợ Đồn (Giai đoạn 1)</t>
  </si>
  <si>
    <t>Trạm Y tế xã Tân Lập, huyện Chợ Đồn, tỉnh Bắc Kạn (HM: San nền, giải phóng mặt bằng)</t>
  </si>
  <si>
    <t>Bến xe khách Bằng Lũng</t>
  </si>
  <si>
    <t>Dự án: Đo đạc chỉnh lý bản đồ địa chính đất lâm nghiệp, xây dựng hệ thống hồ sơ địa chính khu đo 03 đơn vị: xã Phong Huân, xã Bằng Lãng và xã Nghĩa Tá thuộc huyện Chợ Đồn</t>
  </si>
  <si>
    <t>Cầu tràn Pác Cáp, thôn Khuổi Đăm, xã Quảng Bạch, huyện Chợ Đồn</t>
  </si>
  <si>
    <t>Phòng Tài nguyên và môi trường</t>
  </si>
  <si>
    <t>Đo đạc, chỉnh lý bản đồ địa chính đất lâm nghiệp tỷ lệ 1/10.000  gắn với cấp giấy chứng nhận quyền sử dụng đất, quyền sở hữu tài sản khác gắn liền với đất khu đo 02 đơn vị xã Lương Bằng và Xã Bình trung thuộc huyện Chợ Đồn</t>
  </si>
  <si>
    <t>Ban quản lý Dự án ĐTXD</t>
  </si>
  <si>
    <t>Nguồn XDCB Tập trung</t>
  </si>
  <si>
    <t>Phòng Lao động, Thương binh và Xã hội</t>
  </si>
  <si>
    <t>Trường TH&amp;THCS Yên Thịnh</t>
  </si>
  <si>
    <t>Trường THCS  Nam Cường</t>
  </si>
  <si>
    <t>Trường PTDT BT THCS Xuân Lạc</t>
  </si>
  <si>
    <t>Nguồn cải cách tiền lương đã phân bổ</t>
  </si>
  <si>
    <t>TT Văn hóa thể thao và truyền thông</t>
  </si>
  <si>
    <t>Thanh tra huyện Chợ Đồn</t>
  </si>
  <si>
    <t>Trường Mầm non Thị Trấn Bằng Lũng</t>
  </si>
  <si>
    <t>Trường Mầm non Đại Sảo</t>
  </si>
  <si>
    <t>Trường Mầm non Yên Phong</t>
  </si>
  <si>
    <t>Trường Mầm non Bản Thi</t>
  </si>
  <si>
    <t>Trường Tiểu học Quảng Bạch</t>
  </si>
  <si>
    <t>Trường Tiểu học Bản Thi</t>
  </si>
  <si>
    <t>Trường TH&amp;THCS Đại Sảo</t>
  </si>
  <si>
    <t>Trường TH&amp;THCS Yên Phong</t>
  </si>
  <si>
    <t>UBND tỉnh cấp kinh phí để hỗ trợ cho các xã về đích nông thôn mới năm 2022 (mức hỗ trợ 500 triệu đồng/xã) Xã Quảng Bạch và xã Ngọc Phái</t>
  </si>
  <si>
    <t>về việc phân bổ chi tiết kỉnh phí thực hiện Chương trình mục tiêu giảm ngheo bền vững năm 2021 từ nguồn Trung ương bổ sung có mục tiêu 2021 và nguồn tăng thu, tiết kiệm chi ngân sách tinh năm 2020 chuyển sang năm 2021</t>
  </si>
  <si>
    <t>Trường Mầm non Yên Mỹ</t>
  </si>
  <si>
    <t>Trường Mầm non Tân Lập</t>
  </si>
  <si>
    <t>Trường Mầm non Bằng Lãng</t>
  </si>
  <si>
    <t>Trường Tiểu học Xuân Lạc</t>
  </si>
  <si>
    <t>Trường TH&amp;THCS Yên Mỹ</t>
  </si>
  <si>
    <t>Trường Phổ thông DTNT Chợ Đồn</t>
  </si>
  <si>
    <t>Mẫu biểu số 5.23</t>
  </si>
  <si>
    <t>Vốn ĐTPT năm 2020 chuyển sang (Nước ngoià)</t>
  </si>
  <si>
    <t>Hỗ trợ thôn xây dựng NTM Nguồn tỉnh</t>
  </si>
  <si>
    <t>Chương trình MTQG xây dựng nông thôn mới năm 2021 (Nguồn Trung ương)</t>
  </si>
  <si>
    <t>Nguồn tăng thu tiết kiệm chi năm 2020 chuyển sang năm 2021 của tỉnh</t>
  </si>
  <si>
    <t>Vốn giao năm 2022</t>
  </si>
  <si>
    <t>Nguồn dự phòng NS tỉnh</t>
  </si>
  <si>
    <t>Vốn đầu tư năm 2020 chuyển nguồn sang</t>
  </si>
  <si>
    <t>Nguồn Dự phòng NS huyện</t>
  </si>
  <si>
    <t>Nguồn tăng thu tiết kiệm chi năm 2020 chuyển sang năm 2021 của huyện</t>
  </si>
  <si>
    <t>Nguồn huyện bổ sung thực hiện CTMT NTM</t>
  </si>
  <si>
    <t>Kinh phí thực hiện nhiệm vụ "Mật)</t>
  </si>
  <si>
    <t>Kinh phí cách ly y tế và một số chế độ đặc thù trong phòng, chống dịch Covid-19 theo Nghị quyết số 16/NQ-CP ngày 08/02/2021 của Chính phủ</t>
  </si>
  <si>
    <t>Kinh phí thực hiện chính sách hỗ trợ người lao động và người sử dụng lao động gặp khó khăn do đại dịch Covid-19</t>
  </si>
  <si>
    <t>BÁO CÁO CHI CHUYỂN NGUỒN SANG NĂM SAU NĂM 2022</t>
  </si>
  <si>
    <t>Nguồn tự chủ</t>
  </si>
  <si>
    <t>Chợ Đồn, ngày         tháng  6 năm 2022</t>
  </si>
  <si>
    <t>Vốn Đầu tư</t>
  </si>
  <si>
    <t>KP CCTL năm 2020 chuyển sang</t>
  </si>
  <si>
    <t>THỰC HIỆN KINH PHÍ CẢI CÁCH TIỀN LƯƠNG NĂM 2021</t>
  </si>
  <si>
    <t>Quyết định số 2688/QĐ-UBND ngày 10/12/2020</t>
  </si>
  <si>
    <t>QĐ 108/QĐ ngày 14/7/2021</t>
  </si>
  <si>
    <t>Tổng nguồn KP CCTL có trong năm 2021</t>
  </si>
  <si>
    <t>CCTL UBND tỉnh giao từ đầu năm</t>
  </si>
  <si>
    <t>Số báo cáo 2021</t>
  </si>
  <si>
    <t xml:space="preserve">Quyết định số 494/QĐ-UBND ngày15/3/2021 </t>
  </si>
  <si>
    <t>QĐ 3868/20/12/2020</t>
  </si>
  <si>
    <t>DỰ TOÁN THU, CHI NGÂN SÁCH CÁC HUYỆN, THÀNH PHỐ NĂM 2021</t>
  </si>
  <si>
    <t>Tỉnh Bắc Kạn</t>
  </si>
  <si>
    <t>Tổng 2019</t>
  </si>
  <si>
    <t>Tăng giảm (chi TX khớp B44)</t>
  </si>
  <si>
    <t>Thử lại</t>
  </si>
  <si>
    <t>Thành phố Bắc Kạn</t>
  </si>
  <si>
    <t>TP 2019</t>
  </si>
  <si>
    <t>Tăng giảm (khớp B44 chi TX)</t>
  </si>
  <si>
    <t>Huyện Bạch Thông</t>
  </si>
  <si>
    <t>BT 2019</t>
  </si>
  <si>
    <t>Huyện Chợ Mới</t>
  </si>
  <si>
    <t>CM 2019</t>
  </si>
  <si>
    <t>CĐ 2019</t>
  </si>
  <si>
    <t>Huyện Na Rì</t>
  </si>
  <si>
    <t>NR 2019</t>
  </si>
  <si>
    <t>Huyện Ngân Sơn</t>
  </si>
  <si>
    <t>NS 2019</t>
  </si>
  <si>
    <t>Huyện Ba Bể</t>
  </si>
  <si>
    <t>BB 2019</t>
  </si>
  <si>
    <t>Huyện Pác Nặm</t>
  </si>
  <si>
    <t>PN 2019</t>
  </si>
  <si>
    <t xml:space="preserve">TỔNG THU NGÂN SÁCH </t>
  </si>
  <si>
    <t>NS</t>
  </si>
  <si>
    <t>BB</t>
  </si>
  <si>
    <t>PN</t>
  </si>
  <si>
    <t>THU NGÂN SÁCH HUYỆN, THÀNH PHỐ HƯỞNG</t>
  </si>
  <si>
    <t>THU BỔ SUNG TỪ NGÂN SÁCH CẤP TỈNH</t>
  </si>
  <si>
    <t>Thu bổ sung cân đối từ ngân sách cấp tỉnh</t>
  </si>
  <si>
    <t>Trong đó số bổ sung cân đối ngân sách năm 2020 tăng thêm so với năm 2019 (không kể các yếu tố giảm do chính sách và tăng, giảm do vốn đầu tư phân cấp cho huyện thay đổi)</t>
  </si>
  <si>
    <t>Thu bổ sung nguồn thực hiện cải cách tiền lương</t>
  </si>
  <si>
    <t>TỔNG CHI NGÂN SÁCH</t>
  </si>
  <si>
    <t>CHI ĐẦU TƯ PHÁT TRIỂN</t>
  </si>
  <si>
    <t>CĐ 2018</t>
  </si>
  <si>
    <t>Na Rì</t>
  </si>
  <si>
    <t>Chợ Đồn</t>
  </si>
  <si>
    <t>NSơn</t>
  </si>
  <si>
    <t>B Bể</t>
  </si>
  <si>
    <t>PNặm</t>
  </si>
  <si>
    <t>Nguồn phân cấp cho huyện điều hành</t>
  </si>
  <si>
    <t>Đã sử dụng để ghi vào vốn đầu tư PT</t>
  </si>
  <si>
    <t>Số ghi giảm DT</t>
  </si>
  <si>
    <t>Tăng DT chi</t>
  </si>
  <si>
    <t>Bổ sung thực hiện các Chương trình mục tiêu, nhiệm vụ</t>
  </si>
  <si>
    <t>CĐ</t>
  </si>
  <si>
    <t xml:space="preserve">Nguồn thu tiền sử dụng đất </t>
  </si>
  <si>
    <t>CM</t>
  </si>
  <si>
    <t>Pb thu NS</t>
  </si>
  <si>
    <t>Trong đó kinh phí dành để trả nợ vốn vay tín dụng ưu đãi</t>
  </si>
  <si>
    <t>CHI THƯỜNG XUYÊN</t>
  </si>
  <si>
    <t>CĐồn</t>
  </si>
  <si>
    <t>Sự nghiệp môi trường</t>
  </si>
  <si>
    <t>Chi quản lý hành chính</t>
  </si>
  <si>
    <t>Chi sự nghiệp GD-ĐT và dạy nghề</t>
  </si>
  <si>
    <t>Chi sự nghiệp giáo dục</t>
  </si>
  <si>
    <t>Chi sự nghiệp đào tạo</t>
  </si>
  <si>
    <t>Chi sự nghiệp văn hóa thông tin</t>
  </si>
  <si>
    <t>Chi sự nghiệp thể dục thể thao</t>
  </si>
  <si>
    <t>Chi sự nghiệp phát thanh truyền hình</t>
  </si>
  <si>
    <t>Chi bảo đảm xã hội</t>
  </si>
  <si>
    <t>Chi an ninh</t>
  </si>
  <si>
    <t>Chi thường xuyên khác</t>
  </si>
  <si>
    <t>DỰ PHÒNG NGÂN SÁCH</t>
  </si>
  <si>
    <t>Theo mức quy định</t>
  </si>
  <si>
    <t>Tiết kiệm thêm 2% chi thường xuyên để thực hiện Chương trình nông thôn mới</t>
  </si>
  <si>
    <t>NGUỒN THỰC HIỆN CẢI CÁCH TIỀN LƯƠNG</t>
  </si>
  <si>
    <t>Nguồn tiết kiệm 10% chi thường xuyên năm 2021</t>
  </si>
  <si>
    <t>Nguồn 50% tăng thu dự toán năm 2021 so với năm 2017</t>
  </si>
  <si>
    <t>DP 2021 theo định mức</t>
  </si>
  <si>
    <t>Chênh lệch so với năm 2020</t>
  </si>
  <si>
    <t>Tổng thu - Tổng chi</t>
  </si>
  <si>
    <t xml:space="preserve">            - Các huyện, thành phố dành một phần ngân sách địa phương để bố trí cho Chương trình xây dựng nông thôn mới.</t>
  </si>
  <si>
    <t xml:space="preserve">            - Nguồn thu tiền sử dụng đất  trước khi thực hiện chi đầu tư phát triển phải bố trí đảm bảo kinh phí thực hiện công tác đo đạc, lập cơ sở dữ liệu hồ sơ địa chính và cấp giấy chứng nhận quyền sử dụng đất, trong đó: Thành phố Bắc Kạn 2.800 triệu đồng; huyện Bạch Thông 153 triệu đồng; huyện Chợ Mới 90 triệu đồng; huyện Chợ Đồn 900 triệu đồng; huyện Na Rì 198 triệu đồng; huyện Ngân Sơn 54 triệu đồng; huyện Ba Bể 720 triệu đồng; huyện Pác Nặm 117 triệu đồng.</t>
  </si>
  <si>
    <t xml:space="preserve">            - Tiết kiệm 10% chi thường xuyên đã giảm trừ vào nhu cầu kinh phí thực hiện cải cách tiền lương theo mức lương cơ sở 1.390.000 đ, 1.490.000 đ của các huyện, thành phố. Số tiết kiệm thêm 2% chi thường xuyên đã bổ sung dự phòng ngân sách để thực hiện Chương trình xây dựng nông thôn mới.</t>
  </si>
  <si>
    <t xml:space="preserve">           - Số giảm trừ chi đầu tư phân cấp cho các huyện, thành phố để trả nợ vốn vay tín dụng và vay lại của Chính phủ vay nước ngoài là 2.249 triệu đồng, trong đó: Thành phố Bắc Kạn: 1.252 triệu đồng; huyện Bạch Thông: 23 triệu đồng; huyện Chợ Đồn: 573 triệu đồng; huyện Na Rì: 401 triệu đồng. </t>
  </si>
  <si>
    <r>
      <rPr>
        <b/>
        <i/>
        <u/>
        <sz val="11"/>
        <rFont val="Times New Roman"/>
        <family val="1"/>
      </rPr>
      <t>Ghi chú</t>
    </r>
    <r>
      <rPr>
        <sz val="11"/>
        <rFont val="Times New Roman"/>
        <family val="1"/>
      </rPr>
      <t>: - Chi sự nghiệp giáo dục và dự phòng ngân sách là mức chi tối thiểu. Đối với các lĩnh vực chi: sự nghiệp kinh tế, sự nghiệp môi trường, quản lý hành chính, sự nghiệp văn hoá thông tin, sự nghiệp thể dục thể thao, sự nghiệp phát thanh truyền hình, chi đảm bảo xã hội, an ninh, quốc phòng, chi thường xuyên khác, Uỷ ban nhân dân cấp huyện, thành phố căn cứ chỉ tiêu hướng dẫn, chế độ chi ngân sách, khối lượng nhiệm vụ của từng lĩnh vực, căn cứ yêu cầu thực tế của địa phương trình HĐND cùng cấp quyết định cho phù hợp.</t>
    </r>
  </si>
  <si>
    <t>KP CCTL bố trí trong DT đầu năm 2021</t>
  </si>
  <si>
    <t xml:space="preserve">Quyết định số 636/QĐ-UBND ngày 13/3/2020 </t>
  </si>
  <si>
    <t>Nguồn CCTL trích từ 70% nguồn tăng thu ngân sách cấp xã</t>
  </si>
  <si>
    <t>Nguồn tỉnh cấp</t>
  </si>
  <si>
    <t>NGUỒN THỰC HIỆN CẢI CÁCH TIỀN LƯƠNG CÁC HUYỆN, THÀNH PHỐ TỪ 50% TĂNG THU GIỮA SỐ DỰ TOÁN TỈNH GIAO NĂM 2021 SO VỚI NĂM 2017</t>
  </si>
  <si>
    <t>Cấp tỉnh</t>
  </si>
  <si>
    <t xml:space="preserve">Tổng thu ngân sách nhà nước trên địa bàn </t>
  </si>
  <si>
    <t>Phần thu ngân sách địa phương được hưởng</t>
  </si>
  <si>
    <t>Trong đó: Tiền sử dụng đất và xổ số kiến thiết không tính làm nguồn thực hiện cải cách tiền lương</t>
  </si>
  <si>
    <t>Phần thu ngân sách huyện, thành phố làm cơ sở tính nguồn thực hiện cải cách tiền lương</t>
  </si>
  <si>
    <t>Tổng thu ngân sách nhà nước trên địa bàn</t>
  </si>
  <si>
    <t>Số tăng thu ngân sách cấp huyện, thành phố làm cơ sở để tính nguồn thực hiện cải cách tiền lương</t>
  </si>
  <si>
    <t xml:space="preserve">    -</t>
  </si>
  <si>
    <t>Sử dụng 50% làm nguồn thực hiện CCTL</t>
  </si>
  <si>
    <t>Sử dụng 50% tăng chi NS huyện, thành phố</t>
  </si>
  <si>
    <t>Phần thu ngân sách địa phương được hưởng theo PC</t>
  </si>
  <si>
    <t>Phần thu ngân sách địa phương làm cơ sở tính nguồn thực hiện cải cách tiền lương</t>
  </si>
  <si>
    <t>TƯ 2019</t>
  </si>
  <si>
    <t>TƯ 2017</t>
  </si>
  <si>
    <t>NV</t>
  </si>
  <si>
    <t>TL tăng</t>
  </si>
  <si>
    <t>Đã bố trí DT chi 2019</t>
  </si>
  <si>
    <t>Còn lại phải bố trí tiếp 2020</t>
  </si>
  <si>
    <t>Bù trừ</t>
  </si>
  <si>
    <t>QĐ 3868/24/12/2022</t>
  </si>
  <si>
    <t>QĐ giáo dục 5271</t>
  </si>
  <si>
    <t>Tăng thu trong cân đối</t>
  </si>
  <si>
    <t>70% tăng thu cân đối dành CCTL</t>
  </si>
  <si>
    <t>Đã chi chuyển nguồn NS cấp xã</t>
  </si>
  <si>
    <t>Chuyển số dư tiền gửi học phí</t>
  </si>
  <si>
    <t xml:space="preserve"> Trích 50% từ tăng thu NS năm 2021 so DT 2017</t>
  </si>
  <si>
    <t>Bộ Công an</t>
  </si>
  <si>
    <t>Bộ Tư pháp</t>
  </si>
  <si>
    <t>Bộ Công thương</t>
  </si>
  <si>
    <t>018</t>
  </si>
  <si>
    <t>Bộ Tài chính</t>
  </si>
  <si>
    <t>Bộ Lao động - Thương binh và Xã hội</t>
  </si>
  <si>
    <t>Tập đoàn Điện lực Việt Nam</t>
  </si>
  <si>
    <t>Tập đoàn Bưu chính Viễn thông Việt Nam</t>
  </si>
  <si>
    <t>Ngân hàng Nông nghiệp và Phát triển nông thôn Việt Nam</t>
  </si>
  <si>
    <t>Các đơn vị kinh tế hỗn hợp có vốn nhà nước trên 50% đến dưới 100% vốn điều lệ</t>
  </si>
  <si>
    <t>Các đơn vị có vốn nhà nước nắm giữ 100% vốn điều lệ (không thuộc các cơ quan chủ quản, các Chương Tập đoàn, Tổng công ty)</t>
  </si>
  <si>
    <t>Sở Nông nghiệp và Phát triển nông thôn</t>
  </si>
  <si>
    <t>Sở Tư pháp</t>
  </si>
  <si>
    <t>Sở Tài nguyên và Môi trường</t>
  </si>
  <si>
    <t>551</t>
  </si>
  <si>
    <t>Các đơn vị có 100% vốn đầu tư nước ngoài vào Việt Nam</t>
  </si>
  <si>
    <t>Kinh tế hỗn hợp ngoài quốc doanh</t>
  </si>
  <si>
    <t>Doanh nghiệp tư nhân</t>
  </si>
  <si>
    <t>Các đơn vị kinh tế hỗn hợp có vốn Nhà nước trên 50% đến dưới 100% vốn điều lệ</t>
  </si>
  <si>
    <t>Hộ gia đình, cá nhân</t>
  </si>
  <si>
    <t>Văn phòng Ủy ban nhân dân</t>
  </si>
  <si>
    <t>809</t>
  </si>
  <si>
    <t>Công an xã</t>
  </si>
  <si>
    <t>0000</t>
  </si>
  <si>
    <t>0050</t>
  </si>
  <si>
    <t>0099</t>
  </si>
  <si>
    <t>7099</t>
  </si>
  <si>
    <t>Cấp 3</t>
  </si>
  <si>
    <t>Nguồn thực hiện chính sách tiền lương, phụ cấp, trợ cấp và các khoản tính theo tiền lương cơ sở, bảo trợ xã hội</t>
  </si>
  <si>
    <t>Chi đầu tư phát triển thực hiện chuyển sang năm sau theo quy định của Luật đầu tư công. Trường hợp đặc biệt, cho phép chuyển nguồn sang năm sau nữa, nhưng không quá thời hạn giải ngân của dự án nằm trong kế hoạch đầu tư công trung hạn</t>
  </si>
  <si>
    <t>Do dịch bệnh covid-19 không sử dụng</t>
  </si>
  <si>
    <t xml:space="preserve">So sánh (%) </t>
  </si>
  <si>
    <t>Trong đó: Chi giáo dục - đào tạo và dạy nghề</t>
  </si>
  <si>
    <t>NS địa phương</t>
  </si>
  <si>
    <t>Chi đầu tư từ nguồn thu tiền SD đất</t>
  </si>
  <si>
    <t>Trong đó: Chi GD-ĐT &amp; DN</t>
  </si>
  <si>
    <t>Trung tâm GDNN-GDTX</t>
  </si>
  <si>
    <t>Tổng số các cơ quan đơn vị Dự toán</t>
  </si>
  <si>
    <t xml:space="preserve">Chi hoạt động của cơ quan QLNN Đảng, đoàn thể </t>
  </si>
  <si>
    <t>UBND xã Yên Thịnh</t>
  </si>
  <si>
    <t>UBND xã Yên Thượng</t>
  </si>
  <si>
    <t>UBND xã Bằng Lãng</t>
  </si>
  <si>
    <t>UBND TT Bằng Lũng</t>
  </si>
  <si>
    <t>UBND xã Yên Mỹ</t>
  </si>
  <si>
    <t>2.1.3</t>
  </si>
  <si>
    <t>2.1.4</t>
  </si>
  <si>
    <t>2.1.5</t>
  </si>
  <si>
    <t>2.1.6</t>
  </si>
  <si>
    <t>2.1.7</t>
  </si>
  <si>
    <t>2.1.8</t>
  </si>
  <si>
    <t>2.1.9</t>
  </si>
  <si>
    <t>2.1.12</t>
  </si>
  <si>
    <t>Quyết toán năm 2022</t>
  </si>
  <si>
    <t>Dự toán 2022</t>
  </si>
  <si>
    <t>Quyết toán 2022</t>
  </si>
  <si>
    <t>QUYẾT TOÁN THU NSNN, VAY NSĐP THEO MỤC LỤC NSNN NĂM 2022</t>
  </si>
  <si>
    <t>QUYẾT TOÁN CHI, TRẢ NỢ NSĐP THEO MỤC LỤC NSNN NĂM 2022</t>
  </si>
  <si>
    <t>QUYẾT TOÁN CHI CHƯƠNG TRÌNH MỤC TIÊU QUỐC GIA, CHƯƠNG TRÌNH MỤC TIÊU VÀ CHƯƠNG TRÌNH, NHIỆM VỤ KHÁC NĂM 2022</t>
  </si>
  <si>
    <t>Kinh phí còn dư năm 2022</t>
  </si>
  <si>
    <t>Dự toán giao trong năm 2022</t>
  </si>
  <si>
    <t xml:space="preserve">Nội dung </t>
  </si>
  <si>
    <t>QUYẾT TOÁN KINH PHÍ SỰ NGHIỆP DTTS NĂM 2022</t>
  </si>
  <si>
    <t>Danh mục công trình, dự án</t>
  </si>
  <si>
    <t>Mã ĐV QHNS</t>
  </si>
  <si>
    <t>Quy mô</t>
  </si>
  <si>
    <t>Vốn chuyển nguồn năm 2022 sang 2023</t>
  </si>
  <si>
    <t>Dư hủy dự toán, nộp trả</t>
  </si>
  <si>
    <t>Chủ đâu tư</t>
  </si>
  <si>
    <t>NSĐP</t>
  </si>
  <si>
    <t>§¹t (%) KH</t>
  </si>
  <si>
    <t xml:space="preserve">Sự nghiệp Kinh tế </t>
  </si>
  <si>
    <t>Dự án 1: Giải quyết tình trạng thiếu đất ở, nhà ở, đất sản xuất, nước sinh hoạt (hỗ trợ nước sinh hoạt phân tán)</t>
  </si>
  <si>
    <t xml:space="preserve">Xã Xuân Lạc </t>
  </si>
  <si>
    <t>Yên Phong</t>
  </si>
  <si>
    <t>Đồng Thắng</t>
  </si>
  <si>
    <t xml:space="preserve">Tiểu dự án 1, Dự án 3: Phát triển kinh tế nông, lâm nghiệp gắn với bảo vệ rừng và nâng cao thu nhập cho người dân </t>
  </si>
  <si>
    <t>Nam Cường</t>
  </si>
  <si>
    <t>Dự án 4: Đầu tư cơ sở hạ tầng thiết yếu, phục vụ sản xuất, đời sống trong vùng đồng bào dân tộc thiểu số và miền núi</t>
  </si>
  <si>
    <t>Kinh tế và Hạ tầng</t>
  </si>
  <si>
    <t>Dự án 8: Thực hiện bình đẳng giới và giải quyết những vấn đề cấp thiết đối với phụ nữ và trẻ em</t>
  </si>
  <si>
    <t>Hội LH phụ nữ huyện</t>
  </si>
  <si>
    <t>Nội dung: Tuyên truyền, vận động thay đổi "nếp nghĩ, cách làm" góp phần xóa bỏ các định kiến và khuôn mẫu giới trong gia đình và cộng đồng, những tập tục văn hóa có hại và một số vấn đề xã hội cấp thiết cho phụ nữ và trẻ em</t>
  </si>
  <si>
    <t xml:space="preserve"> - Kinh phí Tổ chức tập huấn hướng dẫn, nâng cao năng lực triển khai cho c các tổ, nhóm, mô hình truyền thông đến các xã tại 5 cụm (16 xã, thị trấn)</t>
  </si>
  <si>
    <t xml:space="preserve"> - Kinh phí thành lập, xây dựng các tổ, nhóm truyền thông tại cộng đồng năm 2022 (20 tổ)</t>
  </si>
  <si>
    <t>Nội dung 2: Xây dựng và nhân rộng các mô hình thay đổi "nếp nghĩ, cách làm" nâng cao quyền năng kinh tế cho phụ nữ; thúc đẩy bình đẳng giới và giải quyết những vấn đề cấp thiết của phụ nữ và trẻ em</t>
  </si>
  <si>
    <t>Kinh phí tập huấn cho 16 cơ sở hội triển khai thực hiện thành lập tổ tiết kiệm vay vốn thôn bản; Tập huấn hướng dẫn thành lập tổ tiết kiệm vay vốn thôn bản</t>
  </si>
  <si>
    <t xml:space="preserve"> - Kinh phí tập huấn thành lập, vận hành mô hình quản lý sổ tiết kiệm vay vốn thôn bản (tại 16 xã, thị trấn)</t>
  </si>
  <si>
    <t>Kinh phí tổ nhóm sinh kế, tổ HTX, THT do phụ nữ làm chủ, đồng thời làm chủ công nghệ 4.0</t>
  </si>
  <si>
    <t>Dự án 9: Đầu tư phát triển nhóm dân tộc thiểu số rất ít người và nhóm dân tộc còn nhiều khó khăn</t>
  </si>
  <si>
    <t>Văn phòng HĐND&amp;UBND</t>
  </si>
  <si>
    <t>Tổ chức cuộc thi tìm hiểu pháp luật về hôn nhân, kết hôn, tảo hôn và hôn nhân cận huyết thống</t>
  </si>
  <si>
    <t>Tổ chức các cuộc lồng ghép hội thảo, tọa đàm, giao lưu văn hóa nhằm tuyên truyền hạn chế tình trạng tảo hôn và hôn nhân cận huyết thống trong vùng đồng bào DTTS và MN</t>
  </si>
  <si>
    <t>Tổ chức kiểm tra, đánh giá</t>
  </si>
  <si>
    <t>Tiểu dự án 3, Dự án 10: Kiểm tra, giám sát, đánh giá, đào tạo, tập huấn tổ chức thực hiện Chương trình</t>
  </si>
  <si>
    <t xml:space="preserve"> - Kinh phí tổ chức tập huấn nâng cao năng lực giám sát, đánh giá cho cơ sở</t>
  </si>
  <si>
    <t xml:space="preserve"> - Kinh phí tổ chức thực hiện các hoạt động kiểm tra, giám sát</t>
  </si>
  <si>
    <t>Dự án PTSX cộng đồng</t>
  </si>
  <si>
    <t>Sự nghiệp Văn hóa, thông tin</t>
  </si>
  <si>
    <t>Dự án 6: Bảo tồn, phát huy giá trị văn hóa truyền thống tốt đẹp của các dân tộc thiểu số gắn với phát triển du lịch</t>
  </si>
  <si>
    <t>Đầu tư mua sắm trang thiết bị cho các nhà họp thôn tại vùng đồng bào DTTSMN</t>
  </si>
  <si>
    <t>Nhà Văn hóa thôn Pù Lùng , xã Xuân Lạc</t>
  </si>
  <si>
    <t>Nhà Văn hóa thôn Tà Han, xã Xuân Lạc</t>
  </si>
  <si>
    <t>Nhà Văn hóa thôn Nà Bản, xã Xuân Lạc</t>
  </si>
  <si>
    <t>Nhà Văn hóa thôn Phiêng Lằm, xã Bản Thi</t>
  </si>
  <si>
    <t>Tiểu dự án 1, Dự án 10: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2021-2030</t>
  </si>
  <si>
    <t xml:space="preserve"> - Nội dung số 01: Biểu dương, tôn vinh điển hình tiên tiến, phát huy vai trò của người có uy tín</t>
  </si>
  <si>
    <t xml:space="preserve"> - Nội dung số 2: Phổ biến, giáo dục pháp luật và tuyên truyền, vận động đồng bào dân tộc thiểu số </t>
  </si>
  <si>
    <t>Tiểu dự án 2, Dự án 10: Ứng dụng công  nghệ thông tin hỗ trợ phát triển KTXH và đảm bảo an ninh trật tự vùng Đb DTTS và MN</t>
  </si>
  <si>
    <t xml:space="preserve"> - Kinh phí thiết lập các điểm hỗ trợ đồng bào dân tộc thiểu số ứng dụng công nghệ thông tin tại UBND cấp xã để phục vụ phát triển xã hội và đảm bảo an ninh trật tự</t>
  </si>
  <si>
    <t>Sự nghiệp giáo dục, đào tạo và dạy nghề</t>
  </si>
  <si>
    <t>Tiểu dự án 1, Dự án 5: Đổi mới hoạt động, củng cố phát triển các trường phổ thông dân tộc nội trú, trường phổ thông dân tộc bán trú, trường phổ thông có học sinh ở bán trú và xóa mù chữ cho người dân vùng đồng bào dân tộc thiểu số</t>
  </si>
  <si>
    <t>Phòng GD&amp;ĐT</t>
  </si>
  <si>
    <t>Kinh phí mua học phẩm cho học viên</t>
  </si>
  <si>
    <t>Kinh phí mua sổ sách, văn phòng phẩm cho lớp xóa mù</t>
  </si>
  <si>
    <t>Kinh phí mua sách giáo khoa, tài liệu</t>
  </si>
  <si>
    <t>Thù lao giáo viên dạy lớp xóa mù</t>
  </si>
  <si>
    <t>Chi phụ cấp cho người làm công tác quản lý lớp học xóa mù</t>
  </si>
  <si>
    <t>Chi mua sắm trang thiết bị</t>
  </si>
  <si>
    <t>Tiểu dự án 2, Dự án 5: Bồi dưỡng kiến thức dân tộc; đào tạo dự bị đại học, đại học và sau đại học đáp ứng nhu cầu nhân lực cho vùng đồng bào dân tộc thiểu số và miền núi</t>
  </si>
  <si>
    <t>Nội dung số 01: Bồi dưỡng kiến thức dân tộc</t>
  </si>
  <si>
    <t>Chi cho giảng viên</t>
  </si>
  <si>
    <t>Chi phí tổ chức lớp học</t>
  </si>
  <si>
    <t>Chi phí hoạt động quản lý trực tiếp công tác đào tạo, bồi dưỡng</t>
  </si>
  <si>
    <t>Truyền thông, tuyên truyền, vận động trong vùng đồng bào dân tộc thiểu số, kiểm tra giám sát, đánh giá việc tổ chức thực hiện chương trình</t>
  </si>
  <si>
    <t>Tăng cường các điều kiện đảm bảo chất lượng dạy và học cho các cơ sở giáo dục nghề nghiệp</t>
  </si>
  <si>
    <t>Mua sắm máy móc, trang thiết bị phục vụ đào tạo</t>
  </si>
  <si>
    <t>Xây dựng triển khai mô hình đào tạo nghề, hỗ trợ đào tạo nghề cho lao động vùng ĐB DTTS và miền núi</t>
  </si>
  <si>
    <t xml:space="preserve"> Hỗ trợ đào tạo nghề</t>
  </si>
  <si>
    <t>Phát triển giáo trình, tài liệu giảng dạy</t>
  </si>
  <si>
    <t>Tuyên truyền, tư vấn hướng nghiệp, học nghề, việc làm cho học viên</t>
  </si>
  <si>
    <t>Hỗ trợ người lao động thuộc vùng ĐB DTTS và miền núi đi làm việc ở nước ngoài theo hợp đồng</t>
  </si>
  <si>
    <t>Phòng Lao động, TB&amp;XH</t>
  </si>
  <si>
    <t>Chưa phân bổ</t>
  </si>
  <si>
    <t>Dự án 7: Chăm sóc sức khỏe nhân dân, nâng cao thể trạng, tầm vóc người DTTS, phòng chống suy dinh dưỡng trẻ em</t>
  </si>
  <si>
    <t>Nội dung: Nâng cáo chất lượng dân số vùng ĐBDTTS và miền núi</t>
  </si>
  <si>
    <t xml:space="preserve">Kinh phí Nâng cao năng lực quản lý dân số </t>
  </si>
  <si>
    <t>Kinh phí hỗ trợ ổn định và phát triển dân số của đồng bào dân tộc thiểu số tại vùng đồng bào dân tộc thiểu số và miền núi, khu vực biên giới</t>
  </si>
  <si>
    <t>Kinh phí hoạt động đáp ứng nhu cầu chăm sóc, nâng cao sức khỏe người cao tuổi thích ứng với già hóa dân số nhanh</t>
  </si>
  <si>
    <t>Nội dung: Chăm sóc sức khỏe, dinh dưỡng bà mẹ - trẻ em nhằm giảm tử vong bà mẹ, tử vong trẻ em, nâng cao tầm vóc, thể lực người dân tộc thiểu số</t>
  </si>
  <si>
    <t>Kinh phí chăm sóc sức khỏe, giảm tử vong bà mẹ trẻ em</t>
  </si>
  <si>
    <t xml:space="preserve">Sự nghiệp đảm bảo xã hội </t>
  </si>
  <si>
    <t>Dự án 1 – Giải quyết tình trạng thiếu đất ở, nhà ở, đất sản xuất, nước sinh hoạt (hỗ trợ chuyển đổi nghề)</t>
  </si>
  <si>
    <t>Nội dung: Trang bị kiến thức về bình đẳng giới, kỹ năng thực hiện lồng ghép giới cho cán bộ trong hệ thống chính trị, già làng, trưởng bản, chức sắc tôn giáo và người có uy tín trong cộng đồng</t>
  </si>
  <si>
    <t>Kinh phí tập huấn về kiến thức bình đẳng giới, kỹ năng lồng ghép giới cho cán bộ trong hệ thống chính trị, trưởng thôn, chức sắc tôn giáo người có uy tín</t>
  </si>
  <si>
    <t>Kinh phí củng cố, nâng cao chất lượng hoặc thành lập mới địa chỉ tin cậy tại cộng đồng</t>
  </si>
  <si>
    <t>Nội dung 3: Đảm bảo tiếng nói và sự tham gia thực chất của phụ nữ và trẻ em trong các hoạt động phát triển kinh tế - xã hội của cộng đồng, giám sát và phản biện; hỗ trợ phụ nữ tham gia lãnh đạo trong hệ thống chính trị</t>
  </si>
  <si>
    <t>KP tập huấn triển khai  hướng dẫn thành lập và vận hành Câu  lạc bộ “thủ lĩnh của sự thay đổi”</t>
  </si>
  <si>
    <t>QUYẾT TOÁN KINH PHÍ SỰ NGHIỆP GIẢM NGHÈO NĂM 2022</t>
  </si>
  <si>
    <t>Dự án 2: Đa dạng hóa sinh kế, phát triển mô hình giảm nghèo</t>
  </si>
  <si>
    <t>Dự án</t>
  </si>
  <si>
    <t>Tiểu dự án 3, Dự án 4: Hỗ trợ việc làm bền vững</t>
  </si>
  <si>
    <t>Kinh phí xây dựng cơ sở dữ liệu việc tìm người - người tìm việc</t>
  </si>
  <si>
    <t>Kinh phí hỗ trợ giao dịch việc làm</t>
  </si>
  <si>
    <t>Kinh phí Quàn lý lao động gắn với cơ sở dữ liệu quốc gia về dân cư và các cơ sở dữ liệu khác</t>
  </si>
  <si>
    <t>Kinh phí thu thập, phân tích, dự báo thị trường lao động</t>
  </si>
  <si>
    <t>Kinh phí Hỗ trợ kết nối việc làm thành công</t>
  </si>
  <si>
    <t>Phát triển sản xuất cộng đồng</t>
  </si>
  <si>
    <t>Dự án nuôi trâu sinh sản</t>
  </si>
  <si>
    <t>Dự án nuôi gà thịt lông màu</t>
  </si>
  <si>
    <t>Dự án nuôi lợn thịt</t>
  </si>
  <si>
    <t>Tiểu dự án 1, Dự án 6: Giảm nghèo về thông tin</t>
  </si>
  <si>
    <t>Tổ chức hội nghị tập huấn nâng cao năng lực cho cán bộ thông tin và truyền thông</t>
  </si>
  <si>
    <t>Tiểu dự án 2, Dự án 6: Truyền thông về giảm nghèo đa chiều</t>
  </si>
  <si>
    <t>Kinh phí tổ chức Hội nghị tập huấn tuyên truyền, giáo dục, nâng cao nhận thức</t>
  </si>
  <si>
    <t>Kinh phí In tờ rơi, ấn phẩm tuyên truyền; Xây dựng phóng sự tuyên truyền về giảm nghèo</t>
  </si>
  <si>
    <t>Chi sự nghiệp giáo dục, đào tạo và dạy nghề</t>
  </si>
  <si>
    <t>Tiểu dự án 1, Dự án 4: Phát triển giáo dục nghề nghiệp vùng nghèo, vùng khó khăn</t>
  </si>
  <si>
    <t>Tiểu dự án 1, Dự án 7: Nâng cao năng lực thực hiện Chương trình</t>
  </si>
  <si>
    <t>Kinh phí Tập huấn cho cán bộ làm công tác giảm nghèo</t>
  </si>
  <si>
    <t>Kinh phí Học tập, trao đổi kinh nghiệm</t>
  </si>
  <si>
    <t xml:space="preserve">Tiểu dự án 2, Dự án 7: Giám sát, đánh giá Chương trình </t>
  </si>
  <si>
    <t>Kinh phí thực hiện kiểm tra, giám sát</t>
  </si>
  <si>
    <t>Kinh phí thực hiện Tổ chức điều tra</t>
  </si>
  <si>
    <t xml:space="preserve">KP CCTL bố trí trong DT đầu năm </t>
  </si>
  <si>
    <t>Quyết định số 2688/QĐ-UBND ngày 10/12/2019</t>
  </si>
  <si>
    <t>THỰC HIỆN KINH PHÍ CẢI CÁCH TIỀN LƯƠNG NĂM 2022</t>
  </si>
  <si>
    <t>Văn bản của UBND Huyện / xã ngày, tháng</t>
  </si>
  <si>
    <t>KP CCTL năm 2021 chuyển sang</t>
  </si>
  <si>
    <t>CCTL phát sinh từ 70% tăng thu trong năm 2022</t>
  </si>
  <si>
    <t>QĐ .../QĐ-UBND ngày …/.../2022</t>
  </si>
  <si>
    <t>Đã chi chuyển nguồn NS xã (theo QĐ chuyển nguồn của năm 2023)</t>
  </si>
  <si>
    <t xml:space="preserve"> Ngân sách các xã chuyển nguồn sang (Điền đúng theo số tiền đã có QĐ chuyển nguồn trong năm 2022 và được KB hạch toán vào thu năm 2022)</t>
  </si>
  <si>
    <t>Đã sử dụng trong năm</t>
  </si>
  <si>
    <t>Đã phân bổ sử dụng và quyết toán vào năm 2022</t>
  </si>
  <si>
    <t>Tổng nguồn KP CCTL phát sinh trong năm 2022</t>
  </si>
  <si>
    <t>KP CCTL còn lại năm 2022</t>
  </si>
  <si>
    <t>Để kết dư NS xã</t>
  </si>
  <si>
    <t>KP CCTL còn lại năm 2022 (1-2+3)</t>
  </si>
  <si>
    <t>Chuyển nguồn ok</t>
  </si>
  <si>
    <t>Chuyển nguồn oke</t>
  </si>
  <si>
    <t>chuyển nguồn oke</t>
  </si>
  <si>
    <t>Chuyển nguồn cấp huyện</t>
  </si>
  <si>
    <t xml:space="preserve"> - Thuế  tài nguyên</t>
  </si>
  <si>
    <t>Chi Văn hóa</t>
  </si>
  <si>
    <t>Chi Văn hóa thông tin, thể dục thể thao</t>
  </si>
  <si>
    <t>Lĩnh vực tài nguyên môi trường</t>
  </si>
  <si>
    <t>Chi thực hiện cải cách tiền lương từ nguồn tiết kiệm chi 10% chi thường xuyên</t>
  </si>
  <si>
    <t>Tổng số chi NSĐP</t>
  </si>
  <si>
    <t>Đa dạng hóa sinh kế, phát triển mô hình giảm nghèo</t>
  </si>
  <si>
    <t>Phát triển hạ tầng kinh tế - xã hội, cơ bản đồng bộ, hiện đại, đảm bảo kết nối nông thôn - đô thị và kết nối các vùng miền</t>
  </si>
  <si>
    <t>Đầu tư cơ sở hạ tầng thiết yếu, phục vụ sản xuất, đời sống trong vùng đồng bào dân tộc thiểu số và miền núi và các đơn vị sự nghiệp công lập của lĩnh vực dân tộc</t>
  </si>
  <si>
    <t>Quyết định đầu tư ban đầu</t>
  </si>
  <si>
    <t>Số quyết định (ngày tháng năm)</t>
  </si>
  <si>
    <t xml:space="preserve">Tổng mức đầu tư </t>
  </si>
  <si>
    <t xml:space="preserve">Tổng mức đầu tư được duyệt </t>
  </si>
  <si>
    <t>Cân đối NSĐP</t>
  </si>
  <si>
    <t>CTMTQG</t>
  </si>
  <si>
    <t>Trái phiếu Chính phủ</t>
  </si>
  <si>
    <t>Vốn nước ngoài</t>
  </si>
  <si>
    <t>Vốn khác</t>
  </si>
  <si>
    <t>CTMT QG</t>
  </si>
  <si>
    <t>TỔNG SỐ (A+B+C)</t>
  </si>
  <si>
    <t>QUỐC PHÒNG</t>
  </si>
  <si>
    <t>CÁC HOẠT ĐỘNG KINH TẾ</t>
  </si>
  <si>
    <t>Đường liên thôn từ ngã ba Đèo Trào đến phân trường thôn Khuổi Đẩy xã Bình Trung</t>
  </si>
  <si>
    <t>Đường giao thông thôn Phiêng Đén, xã Tân Lập</t>
  </si>
  <si>
    <t>Mở mới đường Khuổi Tạo (đoạn II), thôn Khuổi Tạo, xã Yên Mỹ</t>
  </si>
  <si>
    <t>Kéo điện lưới quốc gia vào khu Kéo Hán, thôn Bó Pja, xã Quảng Bạch</t>
  </si>
  <si>
    <t>Đường GTNT Nà Lùng - Bản Diếu (Đoạn 2), xã Lương Bằng</t>
  </si>
  <si>
    <t>Đường liên thôn Hợp Tiến - Phiêng Lằm đoạn từ xưởng ông Phượng đến vườn rừng ông Kim, xã Bản Thi</t>
  </si>
  <si>
    <t xml:space="preserve"> Đường liên thôn Hợp Tiến -Bản Nhài đoạn từ đường rẽ khu dân cư Hợp Tiến vào đến nhà bà Tùy, xã Bản Thi</t>
  </si>
  <si>
    <t>Đập, kênh phai Nà Chất thôn Bản Ó, xã Xuân Lạc</t>
  </si>
  <si>
    <t>Đập, kênh phai Thoán, thôn Bản Eng, xã Xuân Lạc</t>
  </si>
  <si>
    <t>Đường điện thôn  thôn Cốc Sloong thôn Pù Lùng II (xã Xuân Lạc)</t>
  </si>
  <si>
    <t>Đầu tư đường điện quốc gia Phiêng Đén, xã Tân Lập</t>
  </si>
  <si>
    <t>Đầu tư đường điện quốc gia thôn Vằng Doọc, xã Bình Trung</t>
  </si>
  <si>
    <t>Xây dựng hệ thống Camera an ninh và Trung tâm điều hành thông minh (IOC) huyện Chợ Đồn</t>
  </si>
  <si>
    <t xml:space="preserve">Đo đạc chỉnh lý bản đồ địa chính đất lâm nghiệp gắn với cấp giấy chứng nhận quyền sử dụng đất, quyền sở hữu nhà ở và tài sản khác gắn liền với đất xã Nam Cường - Xuân Lạc   </t>
  </si>
  <si>
    <t>GIÁO DỤC - ĐÀO TẠO VÀ DẠY NGHỀ</t>
  </si>
  <si>
    <t>Trường Mầm non Quảng Bạch, huyện Chợ Đồn</t>
  </si>
  <si>
    <t>Trường Tiểu học Bằng Lãng, huyện Chợ Đồn, tỉnh Bắc Kạn</t>
  </si>
  <si>
    <t>Trường TH&amp;THCS Bằng Phúc</t>
  </si>
  <si>
    <t>Xây mới trường Tiểu học Ngọc Phái</t>
  </si>
  <si>
    <t>Xây dựng Hội trường Trung tâm Chính trị huyện Chợ Đồn, tỉnh Bắc Kạn</t>
  </si>
  <si>
    <t>Nhà văn hóa xã Đồng Lạc, huyện Chợ Đồn, tỉnh Bắc Kạn</t>
  </si>
  <si>
    <t>Xây dựng nhà văn hóa xã Ngọc Phái, huyện Chợ Đồn, tỉnh Bắc Kạn</t>
  </si>
  <si>
    <t>CẤP XÃ QUẢN LÝ</t>
  </si>
  <si>
    <t>Chi khoa học và công nghệ</t>
  </si>
  <si>
    <t>Chi hoạt động của cơ quan quản lý nhà nước, đảng, đoàn thể</t>
  </si>
  <si>
    <t>Chi nông nghiệp, lâm nghiệp, thủy lợi, thủy sản...</t>
  </si>
  <si>
    <t>12.1</t>
  </si>
  <si>
    <t>12.2</t>
  </si>
  <si>
    <t>16=2/1</t>
  </si>
  <si>
    <t>Ban quản lý dự án đầu tư xây dựng huyện Chợ Đồn</t>
  </si>
  <si>
    <t>Hội nông dân</t>
  </si>
  <si>
    <t>Chương trình MTQG giảm nghèo bền vững</t>
  </si>
  <si>
    <t>Chương trình MTQG xây dựng nông thôn mới</t>
  </si>
  <si>
    <t>Chương trình MTQG phát triển KTXH vùng đồng bào DTTS và MN</t>
  </si>
  <si>
    <t>Số chuẩn QT</t>
  </si>
  <si>
    <t>DT chuẩn biểu 5.10</t>
  </si>
  <si>
    <t>ok</t>
  </si>
  <si>
    <t>Chi sự nghiệp y tế</t>
  </si>
  <si>
    <t>III Ghi thu ghi chi</t>
  </si>
  <si>
    <t>Dự toán thu hồi</t>
  </si>
  <si>
    <t>3=4+5+6-7-8</t>
  </si>
  <si>
    <t>10=11+12</t>
  </si>
  <si>
    <t>314</t>
  </si>
  <si>
    <t>2827</t>
  </si>
  <si>
    <t>Ban Quản lý dự án huyện</t>
  </si>
  <si>
    <t>Dự toán giữ lại</t>
  </si>
  <si>
    <t>Đầu tư CTMTQG</t>
  </si>
  <si>
    <t>Sự nghiệp CTMTQG</t>
  </si>
  <si>
    <t>Đầu tư khac</t>
  </si>
  <si>
    <t>Sự nghiệp khác</t>
  </si>
  <si>
    <t>biểu chi bổ sung có mục tiêu cho xã năm 2022 theo từng nhiệm vụ</t>
  </si>
  <si>
    <t>Sự nghiệp CTMT</t>
  </si>
  <si>
    <t>Đầu tư+ đầu tư khác</t>
  </si>
  <si>
    <t>Hủy dự toán</t>
  </si>
  <si>
    <t>Tiểu dự án 3: Dự án 5, phát triển giáo dục nghề nghiệp và giải quyết việc làm cho người lao động vùng dân tộc thiểu số và miền núi</t>
  </si>
  <si>
    <t>thu tổng huyện hưởng theo PC - thu xã hưởng theo PC</t>
  </si>
  <si>
    <t>Trước bạ phương tiện</t>
  </si>
  <si>
    <t xml:space="preserve">ghi thu </t>
  </si>
  <si>
    <t>thu từ đất</t>
  </si>
  <si>
    <t>tiền tăng thu đất</t>
  </si>
  <si>
    <t>Tiền tăng thu, tkc</t>
  </si>
  <si>
    <t>Chi đầu tư phát triển thực hiện chuyển sang năm sau theo quy định của Luật đầu tư công. Trường hợp đặc biệt, cho phép chuyển nguồn sang năm sau nữa, nhưng không quá thời hạn giải ngân của dự án nằm trong kế hoạch đầu tư công trung hạn (I+II+III+IV+V+VI)</t>
  </si>
  <si>
    <t>Nguồn vốn đầu tư thực hiện chương trình MTQG phát triển Kinh tế xã hội vùng đồng bào dân tộc thiểu số và miền núi chưa phân bổ</t>
  </si>
  <si>
    <t>Nguồn NSTW (00510-100)</t>
  </si>
  <si>
    <t>Nguồn NS Tỉnh (00510-200)</t>
  </si>
  <si>
    <t>Nguồn vốn đầu tư thực hiện chương trình MTQG giảm nghèo bền vững</t>
  </si>
  <si>
    <t xml:space="preserve"> Nguồn NSTW (00470-100)</t>
  </si>
  <si>
    <t>Nguồn NS Tỉnh (00470-200)</t>
  </si>
  <si>
    <t xml:space="preserve">Chuyển nguồn thực hiện cải cách tiền lương </t>
  </si>
  <si>
    <t>Kinh phí thưởng vượt thu giữa số thực hiện so với dự toán từ các khoản thu phân chia điều tiết về ngân sách cấp tỉnh năm 2021</t>
  </si>
  <si>
    <t>Nguồn tăng thu, tiết kiệm chi năm 2022 chuyển sang năm 2023</t>
  </si>
  <si>
    <t>CTMTQG Nông thôn mới nguồn vốn sự nghiệp chưa phân bổ (00490-100)</t>
  </si>
  <si>
    <t xml:space="preserve">Đo đạc chỉnh lý bản đồ địa chính đất lâm nghiệp tỷ lệ 1/100000 gắn với cấp giấy chứng nhận quyền sử dụng đất, quyền sở hữu nhà ở và tài sản khác gắn liền với đất khu đo 02 đơn vị xã Lương Bằng và xã Bình Trung thuộc huyện Chợ Đồn </t>
  </si>
  <si>
    <t>Kinh phí tăng thu từ thu tiền sử dụng đất</t>
  </si>
  <si>
    <t>Nguồn chi xây dựng cơ bản vốn tập trung trung trong nước (huyện điều hành) (1+2)</t>
  </si>
  <si>
    <t>Văn phòng HĐND và UBND huyện Chợ Đồn</t>
  </si>
  <si>
    <t>Nguồn vốn Chương trình MTQG phát triển kinh tế - xã hội vùng đồng bào DTTS và miền núi</t>
  </si>
  <si>
    <t>Kéo điện lưới Quốc gia vào khu Kéo Hán, thôn Bó Pja, xã Quảng Bạch, huyện Chợ Đồn, tỉnh Bắc Kạn</t>
  </si>
  <si>
    <t>Sửa chữa cơ sở hạ tầng thương mại nông thôn (chợ xã Bằng Phúc), huyện Chợ Đồn, tỉnh Bắc Kạn</t>
  </si>
  <si>
    <t>Nguồn vốn Chương trình MTQG xây dựng nông thôn mới</t>
  </si>
  <si>
    <t>Kinh phí mua sắm thiết bị dạy học tối thiểu cho các đơn vị, địa phương</t>
  </si>
  <si>
    <t>Kinh phí thực hiện chương trình phát triển lâm nghiệp bền vững năm 2022</t>
  </si>
  <si>
    <t>Kinh phí cấp bổ sung cho các đơn vị đã được cấp bổ sung kinh phí tại Quyết định số 2445/QĐ-UBND ngày 19/12/2022 của UBND tỉnh do giá xe ô tô 7 chỗ 02 cầu tăng cao so với giá tại thời điểm báo cáo (xe ô tô phục vụ công tác chung)</t>
  </si>
  <si>
    <t>Kinh phí thực hiện các dự án hỗ trợ phát triển sản xuất liên kết theo chuỗi giá trị và các dự án hỗ trợ phát triển sản xuất cộng đồng thuộc Chương trình mục tiêu Quốc gia phát triển kinh tế - xã hội vùng đồng bào dân tộc thiểu số và miền núi và Chương trình mục tiêu quốc gia giảm nghèo bền vững năm 2022.</t>
  </si>
  <si>
    <t xml:space="preserve">Chương trình mục tiêu Quốc gia phát triển kinh tế - xã hội vùng đồng bào dân tộc thiểu số và miền núi </t>
  </si>
  <si>
    <t>Chương trình mục tiêu Quốc gia giảm nghèo bền vững</t>
  </si>
  <si>
    <t>Phòng Lao động - TB&amp;XH huyện</t>
  </si>
  <si>
    <t>Phòng Nông nghiệp &amp;PTNT huyện</t>
  </si>
  <si>
    <t>Phòng Nội vụ huyện</t>
  </si>
  <si>
    <t>Trường Mầm non Đồng Thắng</t>
  </si>
  <si>
    <t xml:space="preserve">Trường Tiểu học Nam Cường </t>
  </si>
  <si>
    <t>Trường Tiểu học Tân Lập</t>
  </si>
  <si>
    <t>Trường TH&amp;THCS Đồng Thắng</t>
  </si>
  <si>
    <t>Trường THCS Thị trấn Bằng Lũng</t>
  </si>
  <si>
    <t>Trung tâm Giáo dục Thường xuyên - GDNN (Tiểu dự án 1, dự án 4: Phát triển giáo dục nghề nghiệp vùng nghèo, vùng khó khăn - mã 00474)</t>
  </si>
  <si>
    <t>Phòng Lao động - TB &amp;XH (Tiểu dự án 3, dự án 4: Hỗ trợ việc làm bền vững - mã 00474)</t>
  </si>
  <si>
    <t>Phòng Lao động - TB &amp;XH (Tiểu dự án 2, dự án 6: Truyền thông về giảm nghèo đa chiều - mã 00476)</t>
  </si>
  <si>
    <t>Phòng Lao động - TB &amp;XH (Tiểu dự án 1, dự án 7: Nâng cao năng lực thực hiện chương trình - mã 00477)</t>
  </si>
  <si>
    <t>Phòng Lao động - TB &amp;XH (Tiểu dự án 2, dự án 7: Giám sát, đánh giá chương trình -mã 00477)</t>
  </si>
  <si>
    <t>Nguồn Chương trình MTQG - Nông thôn mới</t>
  </si>
  <si>
    <t xml:space="preserve">Phòng Nông nghiệp và Phát triển nông thôn </t>
  </si>
  <si>
    <t>Nguồn Chương trình MTQG PT KT-XH VÙNG ĐB DTTS VÀ MN</t>
  </si>
  <si>
    <t>Phòng Giáo dục và Đào tạo -Tiểu dự án 1, Dự án 5: Đổi mới hoạt động, củng cố phát triển các trường phổ thông dân tộc nội trú, trường phổ thông dân tộc bán trú, trường phổ thông có học sinh ở bán trú và xóa mù chữ cho người dân vùng đồng bào dân tộc thiểu số - mã 00515</t>
  </si>
  <si>
    <t>Phòng Nội vụ - Tiểu dự án 2, Dự án 5:  Bồi dưỡng kiến thức dân tộc; đào tạo dự bị đại học, đại học và sau đại học đáp ứng nhu cầu nhân lực cho vùng đồng bào dân tộc thiểu số và miền núi - mã 00515</t>
  </si>
  <si>
    <t>Trung tâm giáo dục thường xuyên- GDNN - Tiểu dự án 3, dự án 5: Dự án phát triển giáo dục nghề nghiệp và giải quyết việc làm cho người lao động vùng dân tộc thiểu số và miền núi - mã 00515</t>
  </si>
  <si>
    <t>Phòng Lao động - TB &amp;XH Tiểu dự án 3, dự án 5: Hỗ trợ người lao động thuộc vùng ĐB DTTS và miền núi đi làm việc ở nước ngoài theo hợp đồng - mã 00515</t>
  </si>
  <si>
    <t>Trung tâm y tế huyện Chợ Đồn Dự án 7: Chăm sóc sức khỏe nhân dân, nâng cao thể trạng, tầm vóc người DTTS, phòng chống suy dinh dưỡng trẻ em - mã 00517</t>
  </si>
  <si>
    <t>Hội Liên hiệp Phụ nữ - Dự án 8</t>
  </si>
  <si>
    <t>Dự án 8: Thực hiện bình đẳng giới và giải quyết những vấn đề cấp thiết đối với phụ nữ và trẻ em - mã 00518</t>
  </si>
  <si>
    <t>Phòng Văn hóa và Thông tin Tiểu dự án 2, Dự án 10 - mã 00521</t>
  </si>
  <si>
    <t>Văn phòng HĐND và UBND</t>
  </si>
  <si>
    <t>Văn phòng HĐND và UBND- Dự án 9: Đầu tư phát triển nhóm dân tộc thiểu số rất ít người và nhóm dân tộc còn nhiều khó khăn - mã 00519</t>
  </si>
  <si>
    <t>Văn phòng HĐND và UBND- Tiểu dự án 1, Dự án 10:  Biểu dương, tôn vinh điển hình tiên tiến, phát huy vai trò của người có uy tín; phổ biến, giáo dục pháp luật, trợ giúp pháp lý và tuyên truyền, vận động đồng bào; truyền thông phục vụ tổ chức triển khai thực hiện Đề án tổng thể và Chương trình mục tiêu quốc gia phát triển kinh tế - xã hội vùng đồng bào dân tộc thiểu số và miền núi giai đoạn 2021-2030 - mã 00521</t>
  </si>
  <si>
    <t>Văn phòng HĐND và UBND- Tiểu dự án 3, Dự án 10: Kiểm tra, giám sát, đánh giá, đào tạo, tập huấn tổ chức thực hiện Chương trình- mã 00521</t>
  </si>
  <si>
    <t>Vốn đầu tư phát triển thực hiện chuyển nguồn từ năm nay sang năm sau theo quy định của Luật Đầu tư công</t>
  </si>
  <si>
    <t>Kinh phí giao tự chủ của các đơn vị sự nghiệp công lập và các cơ quan nhà nước; các khoản viện trợ không hoàn lại đã xác định cụ thể nhiệm vụ chi</t>
  </si>
  <si>
    <t>Kinh phí duy tu các tuyến đường do UBND xã quản lý</t>
  </si>
  <si>
    <t>Kinh phí nâng cấp, cải tạo mạng Lan cấp xã</t>
  </si>
  <si>
    <t>CHI CHUYỂN NGUỒN</t>
  </si>
  <si>
    <t>Nguồn vốn đầu tư phát triển (nguồn thu tiền sử dụng đất năm 2022)</t>
  </si>
  <si>
    <t>KP CCTL bố trí trong DT đầu năm 2022</t>
  </si>
  <si>
    <t>Nguồn KP CCTL trong năm 2022</t>
  </si>
  <si>
    <t>Tổng nguồn KP CCTL có trong năm 2022</t>
  </si>
  <si>
    <t>KP CCTL còn lại chuyển 2023</t>
  </si>
  <si>
    <t>Thu hồi về huyện</t>
  </si>
  <si>
    <t>Vốn giao năm 2022 chuyển nguồn sang</t>
  </si>
  <si>
    <t>Ban quản lý dự án huyện</t>
  </si>
  <si>
    <t>Kinh phí hỗ trợ đại hội</t>
  </si>
  <si>
    <t>Kinh phí thực hiện nhiệm vụ khác</t>
  </si>
  <si>
    <t>UBND Xã Ngọc Phái, duy tu bảo dưỡng trụ sở UBND xã</t>
  </si>
  <si>
    <t>UBND Xã Yên Thượng, duy tu bảo dưỡng trụ sở UBND xã</t>
  </si>
  <si>
    <t>Kinh phí Ban Thanh tra nhân dân</t>
  </si>
  <si>
    <t>Chi khác các xã trong năm</t>
  </si>
  <si>
    <t xml:space="preserve">UBND xã Bản Thi </t>
  </si>
  <si>
    <t>KP thực hiện chính sách theo NĐ số 76 (QĐ 1354)</t>
  </si>
  <si>
    <t>Kinh phí hội thao, bổ sung tiền ăn DQ (QĐ 19)</t>
  </si>
  <si>
    <t>KP hỗ trợ thiệt hại do thiên tai theo NĐ số 02 (QĐ 2906)</t>
  </si>
  <si>
    <t>KP hỗ trợ Đề án KK hỗ trợ chăn nuôi vỗ béo trâu, bò, ngựa…(QĐ 3831)</t>
  </si>
  <si>
    <t>KP thực hiện chế độ, CS đối vs cán bộ cấp xã đã nghỉ việc theo TT số 02 (QĐ 3815)</t>
  </si>
  <si>
    <t>KP hỗ trợ ĐT, ĐP đội dân phòng (QĐ 4272)</t>
  </si>
  <si>
    <t>KP diễn tập phòng chống TT&amp;TKCN (QĐ 2682)</t>
  </si>
  <si>
    <t>Hỗ trợ KP mua rọ thép (QĐ 4272)</t>
  </si>
  <si>
    <t>KP khôi phục SXNN (QĐ 4272)</t>
  </si>
  <si>
    <t>KP thực hiện chinh sách theo NĐ số 76 (QĐ 2270)</t>
  </si>
  <si>
    <t>KP thực hiện chế độ theo NĐ 76 (QĐ 4272)</t>
  </si>
  <si>
    <t>Kinh phí hỗ trợ Covid-19 (QĐ 927)</t>
  </si>
  <si>
    <t>Kinh phí thực hiện nhiệm vụ đột xuất DQTV thực hiện PCCCR tự nhiên ( 4343/QĐ-UBND ngày 30/12/2022 )</t>
  </si>
  <si>
    <t>KP thực hiện nhiệm vụ quốc phòng (QĐ 2682)</t>
  </si>
  <si>
    <t>KP SC cổng chào xã Đồng Thắng</t>
  </si>
  <si>
    <t>KP thuê BV trông coi cơ sở thu dung…(QĐ 2315)</t>
  </si>
  <si>
    <t>Kinh phí hỗ trợ cán bộ KCT cấp thôn mua BHYT năm 2021 chuyển sang năm 2022</t>
  </si>
  <si>
    <t>KP chi trả PC cho CB không chuyên trách cấp xã (QĐ 2315)</t>
  </si>
  <si>
    <t>KP hỗ trợ khôi phục SNNN (QĐ 4272)</t>
  </si>
  <si>
    <t>KP ĐT, ĐP đội dân phòng (QĐ 4272)</t>
  </si>
  <si>
    <t>Xây dựng NVH thôn Bản Cuôn 1 (QĐ 1991)</t>
  </si>
  <si>
    <t>KP PC thâm niên CHT, CHP (QĐ 2315)</t>
  </si>
  <si>
    <t>Kinh phí quy hoạch chung xã PhươngViên (QĐ 325)</t>
  </si>
  <si>
    <t>CT Nhà văn hóa xã Phương Viên</t>
  </si>
  <si>
    <t>Kinh phí chênh lệch hưu xã (QĐ 4272)</t>
  </si>
  <si>
    <t>KP bổ sung xây bể chữa bao bì BVTV (QĐ 1991)</t>
  </si>
  <si>
    <t>KP xây nhà VH thôn Bản Khắt (QĐ 1991)</t>
  </si>
  <si>
    <t>KP sửa chữa nhà VH thôn Bó Pía (QĐ 1991)</t>
  </si>
  <si>
    <t>KP trợ cấp 1 lần theo NĐ số 72 (QĐ 1077)</t>
  </si>
  <si>
    <t>CT Xây dựng, nâng cấp hệ thống nước sạch cho người dân và học sinh (QĐ 2315)</t>
  </si>
  <si>
    <t>KP hỗ trợ khôi phục SXNN (QĐ2906)</t>
  </si>
  <si>
    <t>KP trợ cấp 1 lần theo NĐ số 73 (QĐ 3314)</t>
  </si>
  <si>
    <t>KP diễn tập phòng thủ dân sự (QĐ 2682)</t>
  </si>
  <si>
    <t>KP thực hiện chinh sách theo NĐ số 76 (QĐ 2270 và QĐ 4343)</t>
  </si>
  <si>
    <t>Trợ cấp thôi việc khi thôi làm công tác CCB theo NĐ 150 (QĐ 4219)</t>
  </si>
  <si>
    <t>Kinh phí kiểm nghiệm nguồn nước sinh hoạt (QĐ 2315)</t>
  </si>
  <si>
    <t>Kinh phí tăng lương do quyết định điều chỉnh của huyên (QĐ 4272)</t>
  </si>
  <si>
    <t>KP tổ chức ngày hội toàn dân BV ANTQ (QĐ 2682)</t>
  </si>
  <si>
    <t>Chợ Đồn, ngày         tháng  5 năm 2022</t>
  </si>
  <si>
    <t>Chi đầu tư phát triển thực hiện chuyển sang năm sau theo quy định của Luật đầu tư công. Trường hợp đặc biệt, Thủ tướng Chính phủ quyết định về việc cho phép chuyển nguồn sang năm sau nữa, nhưng không quá thời hạn giải ngân của dự án nằm trong kế hoạch đầu tư công trung hạn</t>
  </si>
  <si>
    <t>Nguồn thu tiền sử dụng đất (đã phân bổ)</t>
  </si>
  <si>
    <t>Kinh phí mua sắm xe ô tô của Huyện ủy Chợ Đồn (tại QĐ số 2445/QĐ-UBND tỉnh Bắc Kạn)</t>
  </si>
  <si>
    <t>Nguồn KP CTMTQG (chưa phân bổ)</t>
  </si>
  <si>
    <t>5=2-1</t>
  </si>
  <si>
    <t>6=2/1</t>
  </si>
  <si>
    <t>Số tương đối %</t>
  </si>
  <si>
    <t>CHI CÁC CHƯƠNG TRÌNH, NHIỆM VỤ</t>
  </si>
  <si>
    <t>Chi các Chương trình, nhiệm vụ</t>
  </si>
  <si>
    <t>Chi thực hiện cải cách tiền lương từ nguồn tiết kiệm 10% chi thường xuyên</t>
  </si>
  <si>
    <t>(Kèm theo Báo cáo số           /BC-UBND ngày      tháng 6 năm 2018 của UBND huyện Chợ Đồn)</t>
  </si>
  <si>
    <t>(Kèm theo Báo cáo số            /BC-UBND ngày         tháng 11 năm 2020 của UBND tỉnh Bắc Kạn)</t>
  </si>
  <si>
    <t>(Kèm theo Báo cáo số 222/BC-UBND ngày  15 tháng 6 năm 2021 của UBND huyện Chợ Đồn)</t>
  </si>
  <si>
    <t>TW</t>
  </si>
  <si>
    <t>ĐP</t>
  </si>
  <si>
    <t>Kinh phí thực hiện các dự án lập quy hoạch chung cấp xã thời kỳ 2021-2030</t>
  </si>
  <si>
    <t>Chuyển nguồn oke, KO hạch toán chuyển nguồn</t>
  </si>
  <si>
    <t>Chuyển cấp huyện</t>
  </si>
  <si>
    <t>Đường điện thôn Cốc Sloong thôn Pù Lùng II (xã Xuân Lạc)</t>
  </si>
  <si>
    <t>BÁO CÁO CHI CHUYỂN NGUỒN SANG NĂM SAU NĂM 2024</t>
  </si>
  <si>
    <t>CTMTQG Nông thôn mới nguồn vốn sự nghiệp chưa phân bổ (00490-200)</t>
  </si>
  <si>
    <t>Hỗ trợ các dự án liên kết, kế hoach liên kết chuỗi giá trị sản phẩm nông nghiệp - mã 00493-100</t>
  </si>
  <si>
    <t>Hỗ trợ các dự án liên kết, kế hoach liên kết chuỗi giá trị sản phẩm nông nghiệp - mã 00493-200</t>
  </si>
  <si>
    <t>Triển khai Chương trình mỗi xã một sản phẩm OCOP - mã 00493-100</t>
  </si>
  <si>
    <t>Tăng cường công tác giám sát, đánh giá thực hiện chương trình; Nâng cao năng lực, truyền thông xây dựng nông thôn mới; thực hiện phong trào thi đua cả nước chung sức xây dựng nông thôn mới - mã 00502-100</t>
  </si>
  <si>
    <t>Nguồn ngân sách địa phương cân đối cấp tỉnh hỗ trợ thực hiện CTMTQG Xây dựng nông thôn mới</t>
  </si>
  <si>
    <t>Trường Mầm non Bình Trung</t>
  </si>
  <si>
    <t>Trường Tiểu học Bình Trung</t>
  </si>
  <si>
    <t>Trường THCS Nam Cường</t>
  </si>
  <si>
    <t>Nguồn Chương trình MTQG Giảm nghèo bền vững</t>
  </si>
  <si>
    <t xml:space="preserve">Phòng Lao động - TB &amp;XH </t>
  </si>
  <si>
    <t>Tiểu dự án 3, dự án 4: Hỗ trợ việc làm bền vững - mã 00474</t>
  </si>
  <si>
    <t>Nguồn ngân sách trung ương ( 624-338-12-100)</t>
  </si>
  <si>
    <t>Nguồn ngân sách địa phương ( 624-338-12-200)</t>
  </si>
  <si>
    <t>Nguồn ngân sách địa phương  (624-338- 12-204)</t>
  </si>
  <si>
    <t>Nguồn ngân sách trung ương ( 624-341-12-100)</t>
  </si>
  <si>
    <t>Tiểu dự án 1, dự án 7: Nâng cao năng lực thực hiện chương trình - mã 00477</t>
  </si>
  <si>
    <t>Nguồn ngân sách trung ương ( 624-098-12-100)</t>
  </si>
  <si>
    <t>Nguồn ngân sách địa phương ( 624-098-12-200)</t>
  </si>
  <si>
    <t>Nguồn ngân sách địa phương ( 624-098-12-204)</t>
  </si>
  <si>
    <t>Chợ Đồn, ngày         tháng        năm 2024</t>
  </si>
  <si>
    <t>Dự toán dư chưa phân bổ</t>
  </si>
  <si>
    <t>Stt</t>
  </si>
  <si>
    <t>Giao thông</t>
  </si>
  <si>
    <t>Quy hoạch</t>
  </si>
  <si>
    <t>CTMTQG phát triển KT-XH vùng đồng bào DTTS&amp;MN</t>
  </si>
  <si>
    <t xml:space="preserve"> - Vốn đầu tư</t>
  </si>
  <si>
    <t xml:space="preserve"> - Vốn sự nghiệp</t>
  </si>
  <si>
    <t>CTMTQG giảm nghèo bền vững</t>
  </si>
  <si>
    <t>CTMTQG Xây dựng nông thôn mới</t>
  </si>
  <si>
    <t>Chi Chương trình mục tiêu quốc gia, nhiệm vụ</t>
  </si>
  <si>
    <t>Chi văn hóa thông tin, thể dục thể thao</t>
  </si>
  <si>
    <t>Báo cáo</t>
  </si>
  <si>
    <t>Lệch</t>
  </si>
  <si>
    <t>QLNN</t>
  </si>
  <si>
    <t>GD</t>
  </si>
  <si>
    <t>ĐBXH</t>
  </si>
  <si>
    <t>Kinh tế</t>
  </si>
  <si>
    <t>Văn hóa</t>
  </si>
  <si>
    <t>Y tế</t>
  </si>
  <si>
    <t>1012</t>
  </si>
  <si>
    <t>Hỗ trợ phát triển sản xuất, cải thiện dinh dưỡng</t>
  </si>
  <si>
    <t>Tiếp tục thực hiện có hiệu quả cơ cấu lại ngành nông nghiệp, phát triển kinh tế nông thôn triển khai mạnh mẽ Chương trình mỗi xã một sản phẩm (OCOP) nhằm nâng cao giá trị gia tăng, phù hợp với quá trì</t>
  </si>
  <si>
    <t>Phát triển sản xuất nông, lâm nghiệp bền vững, phát huy tiềm năng, thế mạnh của các vùng miền để sản xuất hàng hóa theo chuỗi giá trị</t>
  </si>
  <si>
    <t>Thủy lợi</t>
  </si>
  <si>
    <t>CHI BỔ SUNG CÓ MỤC TIÊU</t>
  </si>
  <si>
    <t>Kinh phí quyết toán năm 2024</t>
  </si>
  <si>
    <t>Kinh phí hỗ trợ lập quy hoạch điểm dân cư nông thôn</t>
  </si>
  <si>
    <t>ĐT</t>
  </si>
  <si>
    <t>Cấp thoát nước</t>
  </si>
  <si>
    <t>Điện, nước sinh hoạt</t>
  </si>
  <si>
    <t>Thương mại</t>
  </si>
  <si>
    <t>Nhà ở</t>
  </si>
  <si>
    <t>12.3</t>
  </si>
  <si>
    <t>12.4</t>
  </si>
  <si>
    <t>12.5</t>
  </si>
  <si>
    <t>12.6</t>
  </si>
  <si>
    <t>12.7</t>
  </si>
  <si>
    <t>AN NINH VÀ TRẬT TỰ AN TOÀN XÃ HỘI</t>
  </si>
  <si>
    <t>Công nghệ thông tin</t>
  </si>
  <si>
    <t>Nguồn tăng thu, TKC năm 2023 chuyến sang 2024</t>
  </si>
  <si>
    <r>
      <t xml:space="preserve">Chi đầu tư phát triển </t>
    </r>
    <r>
      <rPr>
        <sz val="12"/>
        <color theme="1"/>
        <rFont val="Times New Roman"/>
        <family val="1"/>
      </rPr>
      <t>(Không kể chương trình MTQG)</t>
    </r>
  </si>
  <si>
    <r>
      <t xml:space="preserve">Chi thường xuyên </t>
    </r>
    <r>
      <rPr>
        <sz val="12"/>
        <color theme="1"/>
        <rFont val="Times New Roman"/>
        <family val="1"/>
      </rPr>
      <t>(Không kể chương trình MTQG)</t>
    </r>
  </si>
  <si>
    <r>
      <t xml:space="preserve">Chi ĐTPT </t>
    </r>
    <r>
      <rPr>
        <sz val="10"/>
        <color theme="1"/>
        <rFont val="Times New Roman"/>
        <family val="1"/>
      </rPr>
      <t>(Không kể CT MTQG)</t>
    </r>
  </si>
  <si>
    <r>
      <t xml:space="preserve">Chi thường xuyên </t>
    </r>
    <r>
      <rPr>
        <sz val="10"/>
        <color theme="1"/>
        <rFont val="Times New Roman"/>
        <family val="1"/>
      </rPr>
      <t>(Không kể chương trình MTQG)</t>
    </r>
  </si>
  <si>
    <t>Ngày 27 tháng 5 năm  2025</t>
  </si>
  <si>
    <t>QUYẾT TOÁN CHI NGÂN SÁCH ĐỊA PHƯƠNG NĂM 2025</t>
  </si>
  <si>
    <t>Dự toán năm 2025 cấp trên giao</t>
  </si>
  <si>
    <t>Dự toán năm 2025 HĐND quyết định</t>
  </si>
  <si>
    <t>Quyết toán năm 2025</t>
  </si>
  <si>
    <t>Dự toán năm 2025</t>
  </si>
  <si>
    <t>QUYẾT TOÁN CÂN ĐỐI NGÂN SÁCH ĐỊA PHƯƠNG NĂM 2025</t>
  </si>
  <si>
    <t>Đơn vị: nghìn đồng</t>
  </si>
  <si>
    <t>Kinh phí thực hiện chương trình phát triển lâm nghiệp bền vững</t>
  </si>
  <si>
    <t>Kinh phí quản lý, bảo trì đường bộ cho các quỹ bảo trì đường bộ ĐP</t>
  </si>
  <si>
    <t>Kinh phí quy hoạch chung xã Phong Quang</t>
  </si>
  <si>
    <t>CÂN ĐỐI QUYẾT TOÁN NGÂN SÁCH ĐỊA PHƯƠNG NĂM 2025</t>
  </si>
  <si>
    <t>Phong Quang, ngày 23 tháng 3 năm 2026</t>
  </si>
  <si>
    <t>Nguyễn Ánh Xuân</t>
  </si>
  <si>
    <t>PHÒNG KINH TẾ</t>
  </si>
  <si>
    <t>Bùi Văn Khiếu</t>
  </si>
  <si>
    <t>Phong Quang, ngày 23 tháng 3  năm 2026</t>
  </si>
  <si>
    <t>Dự toán 2025</t>
  </si>
  <si>
    <t>Quyết toán 2025</t>
  </si>
  <si>
    <t>NGÂN SÁCH CẤP XÃ</t>
  </si>
  <si>
    <t>QUYẾT TOÁN THU NGÂN SÁCH NĂM 2025</t>
  </si>
  <si>
    <t>QUYẾT TOÁN CHI NGÂN SÁCH ĐỊA PHƯƠNG THEO LĨNH VỰC NĂM 2025</t>
  </si>
  <si>
    <t>Nguồn phân cấp xã điều hành</t>
  </si>
  <si>
    <t>Nguồn tăng thu tiết kiệm chi năm 2024 chuyển sang năm 2025 ngân sách cấp xã</t>
  </si>
  <si>
    <t xml:space="preserve"> Phong Quang, ngày 23 tháng 3  năm 2026</t>
  </si>
  <si>
    <t>Chi ngân sách cấp xã theo lĩnh vực</t>
  </si>
  <si>
    <t>Phong Quang, ngày 23 tháng  3  năm 2026</t>
  </si>
  <si>
    <t>Đơn vị: Nghìn đồng</t>
  </si>
  <si>
    <t xml:space="preserve"> - Trường Mầm non Dương Quang</t>
  </si>
  <si>
    <t xml:space="preserve"> - Trường Mầm non Đôn Phong</t>
  </si>
  <si>
    <t xml:space="preserve"> - Trường TH&amp;THCS Đôn Phong</t>
  </si>
  <si>
    <t xml:space="preserve"> - Trường tiểu học và trung học cơ sở Dương Quang</t>
  </si>
  <si>
    <t xml:space="preserve"> - Ủy ban mặt trận Tổ quốc Việt Nam xã Phong Quang</t>
  </si>
  <si>
    <t xml:space="preserve"> - Văn phòng Đảng ủy xã Phong Quang</t>
  </si>
  <si>
    <t xml:space="preserve"> - Phòng Văn hóa - Xã hội xã Phong Quang</t>
  </si>
  <si>
    <t xml:space="preserve"> - Trung tâm phục vụ hành chính công xã Phong Quang</t>
  </si>
  <si>
    <t xml:space="preserve"> - Phòng Kinh tế xã Phong Quang</t>
  </si>
  <si>
    <t xml:space="preserve"> - Văn phòng HĐND và UBND xã Phong Quang</t>
  </si>
  <si>
    <t xml:space="preserve"> - Khu dân cư thôn Phặc Tràng, xã Dương Quang, thành phố Bắc Kạn</t>
  </si>
  <si>
    <t xml:space="preserve"> - Trường Mầm non xã Đôn Phong, huyện Bạch Thông, tỉnh Bắc Kạn</t>
  </si>
  <si>
    <t xml:space="preserve"> - Xây dựng nhà lớp học 8 phòng và các hạng mục phụ trợ Trường TH&amp;THCS Đôn Phong, huyện Bạch Thông</t>
  </si>
  <si>
    <t xml:space="preserve"> - Xây dựng khu hành chính, phòng chức năng và các hạng mục phụ trợ khác trường TH&amp;THCS Đôn Phong, huyện Bạch Thông, tỉnh Bắc Kạn</t>
  </si>
  <si>
    <t xml:space="preserve"> - Quy hoạch chung xây dựng xã Đôn Phong, huyện Bạch Thông, tỉnh Bắc Kạn giai đoạn đến năm 2030</t>
  </si>
  <si>
    <t xml:space="preserve"> - San gạt sân thể thao xã Dương Quang</t>
  </si>
  <si>
    <t xml:space="preserve"> - Đường GTNT nội thôn Bản Giềng xã Dương Quang</t>
  </si>
  <si>
    <t xml:space="preserve"> - Kiên cố hoá kênh mương nội đồng thôn Nà Dì, xã Dương Quang, thành phố Bắc Kạn</t>
  </si>
  <si>
    <t xml:space="preserve"> - Ống thuỷ lợi cánh đồng Pác Bó, thôn Bản Giềng, xã Dương Quang, thành phố Bắc Kạn</t>
  </si>
  <si>
    <t xml:space="preserve"> - Quy hoạch chi tiết xây dựng điểm dân cư nông thôn xã Đôn Phong, huyện Bạch Thông, tỉnh Bắc Kạn</t>
  </si>
  <si>
    <t xml:space="preserve"> - Xây dựng đập thuỷ lợi Bản Giềng</t>
  </si>
  <si>
    <t xml:space="preserve"> - Dự án 1: Giải quyết tình trạng thiếu đất ở, nhà ở, đất sản xuất, nước sinh hoạt năm 2025 xã Đôn Phong</t>
  </si>
  <si>
    <t xml:space="preserve"> - Dự án kè chống xói lở nền đường tuyến đường nội thôn Bản Bung, xã Phong Quang</t>
  </si>
  <si>
    <t>TỔNG HỢP QUYẾT TOÁN CHI ĐẦU TƯ PHÁT TRIỂN CỦA NGÂN SÁCH  CHO TỪNG CƠ QUAN, TỔ CHỨC THEO LĨNH VỰC NĂM 2025</t>
  </si>
  <si>
    <t>QUYẾT TOÁN CHI NGÂN SÁCH CẤP XÃ CHO TỪNG CƠ QUAN, TỔ CHỨC THEO LĨNH VỰC NĂM 2025</t>
  </si>
  <si>
    <t>7768330 - Khu dân cư thôn Phặc Tràng, xã Dương Quang, thành phố Bắc Kạn</t>
  </si>
  <si>
    <t>7971362 - Trường Mầm non xã Đôn Phong, huyện Bạch Thông, tỉnh Bắc Kạn</t>
  </si>
  <si>
    <t>8036572 - Xây dựng nhà lớp học 8 phòng và các hạng mục phụ trợ Trường TH&amp;THCS Đôn Phong, huyện Bạch Thông</t>
  </si>
  <si>
    <t>8070326 - Xây dựng khu hành chính, phòng chức năng và các hạng mục phụ trợ khác trường TH&amp;THCS Đôn Phong, huyện Bạch Thông, tỉnh Bắc Kạn</t>
  </si>
  <si>
    <t>8076198 - Quy hoạch chung xây dựng xã Đôn Phong, huyện Bạch Thông, tỉnh Bắc Kạn giai đoạn đến năm 2030</t>
  </si>
  <si>
    <t>8095159 - San gạt sân thể thao xã Dương Quang</t>
  </si>
  <si>
    <t>8116842 - Đường GTNT nội thôn Bản Giềng xã Dương Quang</t>
  </si>
  <si>
    <t>8121859 - Kiên cố hoá kênh mương nội đồng thôn Nà Dì, xã Dương Quang, thành phố Bắc Kạn</t>
  </si>
  <si>
    <t>8122600 - Ống thuỷ lợi cánh đồng Pác Bó, thôn Bản Giềng, xã Dương Quang, thành phố Bắc Kạn</t>
  </si>
  <si>
    <t>8128012 - Quy hoạch chi tiết xây dựng điểm dân cư nông thôn xã Đôn Phong, huyện Bạch Thông, tỉnh Bắc Kạn</t>
  </si>
  <si>
    <t>8132429 - Xây dựng đập thuỷ lợi Bản Giềng</t>
  </si>
  <si>
    <t>8140273 - Dự án 1: Giải quyết tình trạng thiếu đất ở, nhà ở, đất sản xuất, nước sinh hoạt năm 2025 xã Đôn Phong</t>
  </si>
  <si>
    <t>8169354 - Dự án kè chống xói lở nền đường tuyến đường nội thôn Bản Bung, xã Phong Quang</t>
  </si>
  <si>
    <t>Phong Kinh tế xã Phong Quang</t>
  </si>
  <si>
    <t>Dự toán năm 2025 chưa phân bổ</t>
  </si>
  <si>
    <t>QUYẾT TOÁN CHI THƯỜNG XUYÊN CỦA NGÂN SÁCH CẤP XÃ CHO TỪNG CƠ QUAN, TỔ CHỨC THEO LĨNH VỰC NĂM 2025</t>
  </si>
  <si>
    <t>Cộng các đơn vị dự toán cấp xã</t>
  </si>
  <si>
    <t>Đơn vị dự toán cấp xã</t>
  </si>
  <si>
    <t>Văn phòng Đảng ủy xã Phong Quang</t>
  </si>
  <si>
    <t>Công an xã Phong Quang</t>
  </si>
  <si>
    <t>TỔNG HỢP QUYẾT TOÁN CHI THƯỜNG XUYÊN NGÂN SÁCH CẤP HUYỆN CỦA TỪNG CƠ QUAN, TỔ CHỨC THEO NGUỒN VỐN NĂM 2025</t>
  </si>
  <si>
    <t>Tổng Dự toán được cấp năm 2025</t>
  </si>
  <si>
    <t>Dự toán giao năm 2025</t>
  </si>
  <si>
    <t>1102281 - Trường Mầm non Dương Quang</t>
  </si>
  <si>
    <t>1103128 - Trường Mầm non Đôn Phong</t>
  </si>
  <si>
    <t>1131828 - Trường TH&amp;THCS Đôn Phong</t>
  </si>
  <si>
    <t>1131886 - Trường tiểu học và trung học cơ sở Dương Quang</t>
  </si>
  <si>
    <t>1151011 - Ủy ban mặt trận Tổ quốc Việt Nam xã Phong Quang</t>
  </si>
  <si>
    <t>1159170 - Phòng Văn hóa - Xã hội xã Phong Quang</t>
  </si>
  <si>
    <t>1159178 - Trung tâm phục vụ hành chính công xã Phong Quang</t>
  </si>
  <si>
    <t>1159179 - Phòng Kinh tế xã Phong Quang</t>
  </si>
  <si>
    <t>1159180 - Văn phòng HĐND và UBND xã Phong Quang</t>
  </si>
  <si>
    <t xml:space="preserve">                                     QUYẾT TOÁN VỐN ĐẦU TƯ CÁC CHƯƠNG TRÌNH, DỰ ÁN SỬ DỤNG VỐN NGÂN SÁCH NHÀ NƯỚC NĂM 2025</t>
  </si>
  <si>
    <t>Giá trị khối lượng thực hiện từ khởi công đến hết năm 2025</t>
  </si>
  <si>
    <t>Dự toán đầu năm 2025</t>
  </si>
  <si>
    <r>
      <rPr>
        <sz val="10"/>
        <color rgb="FF000000"/>
        <rFont val="Times New Roman"/>
        <family val="1"/>
      </rPr>
      <t xml:space="preserve">Đơn vị tính: </t>
    </r>
    <r>
      <rPr>
        <sz val="10"/>
        <color rgb="FF000000"/>
        <rFont val="Times New Roman"/>
        <family val="1"/>
      </rPr>
      <t>nghìn</t>
    </r>
    <r>
      <rPr>
        <sz val="10"/>
        <color rgb="FF000000"/>
        <rFont val="Times New Roman"/>
        <family val="1"/>
      </rPr>
      <t xml:space="preserve"> Đồng</t>
    </r>
  </si>
  <si>
    <t>Giảm nghèo bền vững</t>
  </si>
  <si>
    <t>Xây dựng nông thôn mới</t>
  </si>
  <si>
    <t>Phát triển KT - XH vùng DTTS</t>
  </si>
  <si>
    <t>Xây  dựng nông thôn mới</t>
  </si>
  <si>
    <t>Đầu tư</t>
  </si>
  <si>
    <t xml:space="preserve">Kinh phí </t>
  </si>
  <si>
    <t>Kinh phí</t>
  </si>
  <si>
    <t xml:space="preserve">Đầu tư </t>
  </si>
  <si>
    <t>kinh phí</t>
  </si>
  <si>
    <t>phát triển</t>
  </si>
  <si>
    <t>sự nghiệp</t>
  </si>
  <si>
    <t>Phát triển</t>
  </si>
  <si>
    <t>7</t>
  </si>
  <si>
    <t>19</t>
  </si>
  <si>
    <t>20</t>
  </si>
  <si>
    <t>21</t>
  </si>
  <si>
    <t>22</t>
  </si>
  <si>
    <t>25=13/1</t>
  </si>
  <si>
    <t>26=14/2</t>
  </si>
  <si>
    <t>27=15/3</t>
  </si>
  <si>
    <t>28=16/4</t>
  </si>
  <si>
    <t>29=17/5</t>
  </si>
  <si>
    <t>30=18/6</t>
  </si>
  <si>
    <t>31=19/7</t>
  </si>
  <si>
    <t>32=20/8</t>
  </si>
  <si>
    <t>33=21/9</t>
  </si>
  <si>
    <t>34=22/10</t>
  </si>
  <si>
    <t>35=23/11</t>
  </si>
  <si>
    <t>36=24/12</t>
  </si>
  <si>
    <t>67.54</t>
  </si>
  <si>
    <t>61.38</t>
  </si>
  <si>
    <t>71.6</t>
  </si>
  <si>
    <t>82.13</t>
  </si>
  <si>
    <t>62.86</t>
  </si>
  <si>
    <t>62.29</t>
  </si>
  <si>
    <t>65.91</t>
  </si>
  <si>
    <t>70.43</t>
  </si>
  <si>
    <t>50</t>
  </si>
  <si>
    <t>71.63</t>
  </si>
  <si>
    <t>I.1</t>
  </si>
  <si>
    <t>94.73</t>
  </si>
  <si>
    <t>89.76</t>
  </si>
  <si>
    <t>97.68</t>
  </si>
  <si>
    <t>95.48</t>
  </si>
  <si>
    <t>I.2</t>
  </si>
  <si>
    <t>66.6</t>
  </si>
  <si>
    <t>68.67</t>
  </si>
  <si>
    <t>48.81</t>
  </si>
  <si>
    <t>68.33</t>
  </si>
  <si>
    <t>I.3</t>
  </si>
  <si>
    <t>100</t>
  </si>
  <si>
    <t>I.4</t>
  </si>
  <si>
    <t>56.62</t>
  </si>
  <si>
    <t>I.5</t>
  </si>
  <si>
    <t>71.23</t>
  </si>
  <si>
    <t>I.6</t>
  </si>
  <si>
    <t>94.99</t>
  </si>
  <si>
    <t>I.7</t>
  </si>
  <si>
    <t>38.18</t>
  </si>
  <si>
    <t>I.8</t>
  </si>
  <si>
    <t>I.9</t>
  </si>
  <si>
    <t>47.25</t>
  </si>
  <si>
    <t>I.10</t>
  </si>
  <si>
    <t>34.15</t>
  </si>
  <si>
    <t>I.11</t>
  </si>
  <si>
    <t>I.12</t>
  </si>
  <si>
    <t>97.69</t>
  </si>
  <si>
    <t>Ngày … tháng … năm 2026</t>
  </si>
  <si>
    <t>Phong Quang, ngày … tháng … năm 2026</t>
  </si>
  <si>
    <t>GIÁM ĐỐC KBNN KV VII - PHÒNG GD SỐ 4</t>
  </si>
  <si>
    <t>PHÒNG KINH TẾ
TRƯỞNG PHÒNG</t>
  </si>
  <si>
    <t>TM. UBND XÃ PHONG QUANG
CHỦ TỊCH</t>
  </si>
  <si>
    <t xml:space="preserve"> TRƯỞNG PHÒNG</t>
  </si>
  <si>
    <t>Phong Quang, ngày 27 tháng 5 năm 2025</t>
  </si>
  <si>
    <t>PHÒN KINH Ế</t>
  </si>
  <si>
    <t>Lũy kế vốn đã bố trí đến hết năm 2025</t>
  </si>
  <si>
    <t xml:space="preserve"> Khác</t>
  </si>
  <si>
    <t>PHÒNG KIH TẾ</t>
  </si>
  <si>
    <t>Ngày      tháng      năm  2026</t>
  </si>
  <si>
    <t>Phong Quang, ngày 23 tháng  3 năm 2026</t>
  </si>
  <si>
    <t>QUYẾT TOÁN THU NSNN, VAY NSĐP THEO MỤC LỤC NSNN NĂM 2025</t>
  </si>
  <si>
    <t>Tổng hợp ngân sách xã</t>
  </si>
  <si>
    <t>Quốc phòng</t>
  </si>
  <si>
    <t>645.268</t>
  </si>
  <si>
    <t>Phụ cấp lương</t>
  </si>
  <si>
    <t>62.646</t>
  </si>
  <si>
    <t>Phụ cấp chức vụ</t>
  </si>
  <si>
    <t>56.434</t>
  </si>
  <si>
    <t xml:space="preserve">Phụ cấp làm đêm; làm thêm giờ </t>
  </si>
  <si>
    <t>6.213</t>
  </si>
  <si>
    <t xml:space="preserve">Chi cho cán bộ không chuyên trách xã, thôn, bản </t>
  </si>
  <si>
    <t>331.638</t>
  </si>
  <si>
    <t>Phụ cấp cán bộ không chuyên trách xã</t>
  </si>
  <si>
    <t>224.183</t>
  </si>
  <si>
    <t>107.455</t>
  </si>
  <si>
    <t>Vật tư văn phòng</t>
  </si>
  <si>
    <t>8.544</t>
  </si>
  <si>
    <t>Văn phòng phẩm</t>
  </si>
  <si>
    <t>6.787</t>
  </si>
  <si>
    <t>Vật tư văn phòng khác</t>
  </si>
  <si>
    <t>1.757</t>
  </si>
  <si>
    <t>Hội nghị</t>
  </si>
  <si>
    <t>2.800</t>
  </si>
  <si>
    <t>Chi bù tiền ăn</t>
  </si>
  <si>
    <t>Chi phí nghiệp vụ chuyên môn của từng ngành</t>
  </si>
  <si>
    <t>186.465</t>
  </si>
  <si>
    <t>53.175</t>
  </si>
  <si>
    <t>Chi tiếp khách</t>
  </si>
  <si>
    <t>13.419</t>
  </si>
  <si>
    <t>Chi các khoản khác</t>
  </si>
  <si>
    <t>39.756</t>
  </si>
  <si>
    <t>An ninh và trật tự an toàn xã hội</t>
  </si>
  <si>
    <t>174.976</t>
  </si>
  <si>
    <t>53.010</t>
  </si>
  <si>
    <t>18.946</t>
  </si>
  <si>
    <t xml:space="preserve">Chi mua hàng hoá, vật tư </t>
  </si>
  <si>
    <t>4.446</t>
  </si>
  <si>
    <t>14.500</t>
  </si>
  <si>
    <t>103.020</t>
  </si>
  <si>
    <t>Giáo dục - đào tạo và dạy nghề</t>
  </si>
  <si>
    <t>34.495.365</t>
  </si>
  <si>
    <t>Giáo dục mầm non</t>
  </si>
  <si>
    <t>9.039.258</t>
  </si>
  <si>
    <t>Tiền lương</t>
  </si>
  <si>
    <t>2.627.726</t>
  </si>
  <si>
    <t xml:space="preserve">Lương theo ngạch, bậc </t>
  </si>
  <si>
    <t>Tiền công trả cho vị trí lao động thường xuyên theo hợp đồng</t>
  </si>
  <si>
    <t>31.800</t>
  </si>
  <si>
    <t>3.153.282</t>
  </si>
  <si>
    <t>75.816</t>
  </si>
  <si>
    <t>Phụ cấp khu vực</t>
  </si>
  <si>
    <t>329.472</t>
  </si>
  <si>
    <t>Phụ cấp thu hút</t>
  </si>
  <si>
    <t>547.395</t>
  </si>
  <si>
    <t>72.074</t>
  </si>
  <si>
    <t>Phụ cấp ưu đãi nghề</t>
  </si>
  <si>
    <t>1.602.905</t>
  </si>
  <si>
    <t>Phụ cấp thâm niên vượt khung; phụ cấp thâm niên nghề</t>
  </si>
  <si>
    <t>329.960</t>
  </si>
  <si>
    <t>Phụ cấp công tác lâu năm ở vùng có điều kiện kinh tế - xã hội đặc biệt khó khăn</t>
  </si>
  <si>
    <t>171.360</t>
  </si>
  <si>
    <t>Phụ cấp khác</t>
  </si>
  <si>
    <t>24.300</t>
  </si>
  <si>
    <t>Học bổng và hỗ trợ khác cho học sinh, sinh viên, cán bộ đi học</t>
  </si>
  <si>
    <t>254.820</t>
  </si>
  <si>
    <t>Hỗ trợ đối tượng chính sách chi phí học tập</t>
  </si>
  <si>
    <t>252.020</t>
  </si>
  <si>
    <t>Các khoản hỗ trợ khác</t>
  </si>
  <si>
    <t>Tiền thưởng</t>
  </si>
  <si>
    <t>252.879</t>
  </si>
  <si>
    <t xml:space="preserve">Thưởng thường xuyên </t>
  </si>
  <si>
    <t>Phúc lợi tập thể</t>
  </si>
  <si>
    <t>6.000</t>
  </si>
  <si>
    <t>Các khoản đóng góp</t>
  </si>
  <si>
    <t>682.109</t>
  </si>
  <si>
    <t>Bảo hiểm xã hội</t>
  </si>
  <si>
    <t>534.559</t>
  </si>
  <si>
    <t>Bảo hiểm y tế</t>
  </si>
  <si>
    <t>92.560</t>
  </si>
  <si>
    <t>Kinh phí công đoàn</t>
  </si>
  <si>
    <t>24.557</t>
  </si>
  <si>
    <t>Bảo hiểm thất nghiệp</t>
  </si>
  <si>
    <t>30.433</t>
  </si>
  <si>
    <t>Các khoản thanh toán khác cho cá nhân</t>
  </si>
  <si>
    <t>124.640</t>
  </si>
  <si>
    <t>Tiền ăn</t>
  </si>
  <si>
    <t>60.640</t>
  </si>
  <si>
    <t xml:space="preserve">Chi thu nhập tăng thêm theo cơ chế khoán, tự chủ </t>
  </si>
  <si>
    <t>64.000</t>
  </si>
  <si>
    <t>Thanh toán dịch vụ công cộng</t>
  </si>
  <si>
    <t>64.708</t>
  </si>
  <si>
    <t>Tiền điện</t>
  </si>
  <si>
    <t>59.036</t>
  </si>
  <si>
    <t>Tiền nước</t>
  </si>
  <si>
    <t>1.136</t>
  </si>
  <si>
    <t>6505</t>
  </si>
  <si>
    <t>Tiền khoán phương tiện theo chế độ</t>
  </si>
  <si>
    <t>4.536</t>
  </si>
  <si>
    <t>44.777</t>
  </si>
  <si>
    <t>12.391</t>
  </si>
  <si>
    <t>Mua sắm công cụ - dụng cụ văn phòng</t>
  </si>
  <si>
    <t>18.595</t>
  </si>
  <si>
    <t>Khoán văn phòng phẩm</t>
  </si>
  <si>
    <t>7.700</t>
  </si>
  <si>
    <t>6.090</t>
  </si>
  <si>
    <t>Thông tin, tuyên truyền, liên lạc</t>
  </si>
  <si>
    <t>10.577</t>
  </si>
  <si>
    <t>Cước phí điện thoại (không bao gồm khoán điện thoại);thuê bao đường điện thoại; fax</t>
  </si>
  <si>
    <t>3.711</t>
  </si>
  <si>
    <t>Thuê bao kênh vệ tinh; thuê bao cáp truyền hình; cước phí Internet; thuê đường truyền mạng</t>
  </si>
  <si>
    <t>3.960</t>
  </si>
  <si>
    <t>Tuyên truyền; quảng cáo</t>
  </si>
  <si>
    <t>1.441</t>
  </si>
  <si>
    <t>Phim ảnh; ấn phẩm truyền thông; sách, báo, tạp chí thư viện</t>
  </si>
  <si>
    <t>648</t>
  </si>
  <si>
    <t>816</t>
  </si>
  <si>
    <t>Công tác phí</t>
  </si>
  <si>
    <t>34.625</t>
  </si>
  <si>
    <t>Tiền vé máy bay - tàu - xe</t>
  </si>
  <si>
    <t>4.936</t>
  </si>
  <si>
    <t>Phụ cấp công tác phí</t>
  </si>
  <si>
    <t>21.039</t>
  </si>
  <si>
    <t>Tiền thuê phòng ngủ</t>
  </si>
  <si>
    <t>2.650</t>
  </si>
  <si>
    <t>Khoán công tác phí</t>
  </si>
  <si>
    <t>Chi phí thuê mướn</t>
  </si>
  <si>
    <t>194.676</t>
  </si>
  <si>
    <t>Thuê phương tiện vận chuyển</t>
  </si>
  <si>
    <t>2.400</t>
  </si>
  <si>
    <t>Thuê thiết bị các loại</t>
  </si>
  <si>
    <t>9.500</t>
  </si>
  <si>
    <t>Thuê lao động trong nước</t>
  </si>
  <si>
    <t>179.200</t>
  </si>
  <si>
    <t>Chi phí thuê mướn khác</t>
  </si>
  <si>
    <t>3.576</t>
  </si>
  <si>
    <t>Sửa chữa, duy tu tài sản phục vụ công tác chuyên môn và các công trình cơ sở hạ tầng</t>
  </si>
  <si>
    <t>145.089</t>
  </si>
  <si>
    <t>Các thiết bị công nghệ thông tin</t>
  </si>
  <si>
    <t>33.084</t>
  </si>
  <si>
    <t>Tài sản và thiết bị văn phòng</t>
  </si>
  <si>
    <t>9.670</t>
  </si>
  <si>
    <t>Đường điện, cấp thoát nước</t>
  </si>
  <si>
    <t>34.710</t>
  </si>
  <si>
    <t>Các tài sản và công trình hạ tầng cơ sở khác</t>
  </si>
  <si>
    <t>67.625</t>
  </si>
  <si>
    <t>Mua sắm tài sản phục vụ công tác chuyên môn</t>
  </si>
  <si>
    <t>24.358</t>
  </si>
  <si>
    <t>Tài sản và thiết bị chuyên dùng</t>
  </si>
  <si>
    <t>16.358</t>
  </si>
  <si>
    <t>8.000</t>
  </si>
  <si>
    <t>115.912</t>
  </si>
  <si>
    <t>1.645</t>
  </si>
  <si>
    <t>Chi phí hoạt động nghiệp vụ chuyên ngành</t>
  </si>
  <si>
    <t>516</t>
  </si>
  <si>
    <t>113.751</t>
  </si>
  <si>
    <t>106.973</t>
  </si>
  <si>
    <t xml:space="preserve">Chi các khoản phí và lệ phí </t>
  </si>
  <si>
    <t>5.941</t>
  </si>
  <si>
    <t xml:space="preserve">Chi bảo hiểm tài sản và phương tiện </t>
  </si>
  <si>
    <t>1.650</t>
  </si>
  <si>
    <t>12.604</t>
  </si>
  <si>
    <t>Cấp bù học phí cho cơ sở giáo dục đào tạo theo chế độ</t>
  </si>
  <si>
    <t>82.128</t>
  </si>
  <si>
    <t>4.650</t>
  </si>
  <si>
    <t>Chi xây dựng</t>
  </si>
  <si>
    <t>1.043.623</t>
  </si>
  <si>
    <t>Chi xây dựng các công trình - hạng mục công trình</t>
  </si>
  <si>
    <t>Chi phí khác</t>
  </si>
  <si>
    <t>120.684</t>
  </si>
  <si>
    <t>Chi phí quản lý dự án</t>
  </si>
  <si>
    <t>12.912</t>
  </si>
  <si>
    <t>Chi phí tư vấn đầu tư xây dựng</t>
  </si>
  <si>
    <t>61.004</t>
  </si>
  <si>
    <t>46.768</t>
  </si>
  <si>
    <t>Giáo dục tiểu học</t>
  </si>
  <si>
    <t>14.490.424</t>
  </si>
  <si>
    <t>3.731.917</t>
  </si>
  <si>
    <t>55.651</t>
  </si>
  <si>
    <t>4.391.397</t>
  </si>
  <si>
    <t>56.160</t>
  </si>
  <si>
    <t>414.180</t>
  </si>
  <si>
    <t>333.620</t>
  </si>
  <si>
    <t>23.609</t>
  </si>
  <si>
    <t>2.405.221</t>
  </si>
  <si>
    <t>746.040</t>
  </si>
  <si>
    <t>255.411</t>
  </si>
  <si>
    <t>157.156</t>
  </si>
  <si>
    <t>557.418</t>
  </si>
  <si>
    <t>Học bổng học sinh, sinh viên học trong nước (không bao gồm học sinh dân tộc nội trú)</t>
  </si>
  <si>
    <t>146.016</t>
  </si>
  <si>
    <t>326.400</t>
  </si>
  <si>
    <t>85.002</t>
  </si>
  <si>
    <t>360.915</t>
  </si>
  <si>
    <t>137.751</t>
  </si>
  <si>
    <t>6253</t>
  </si>
  <si>
    <t>Tiền tàu xe nghỉ phép năm</t>
  </si>
  <si>
    <t>12.741</t>
  </si>
  <si>
    <t>125.009</t>
  </si>
  <si>
    <t>1.015.500</t>
  </si>
  <si>
    <t>800.319</t>
  </si>
  <si>
    <t>137.077</t>
  </si>
  <si>
    <t>32.411</t>
  </si>
  <si>
    <t>45.692</t>
  </si>
  <si>
    <t>781.335</t>
  </si>
  <si>
    <t>681.335</t>
  </si>
  <si>
    <t>100.000</t>
  </si>
  <si>
    <t>36.620</t>
  </si>
  <si>
    <t>32.930</t>
  </si>
  <si>
    <t>3.690</t>
  </si>
  <si>
    <t>45.056</t>
  </si>
  <si>
    <t>19.722</t>
  </si>
  <si>
    <t>13.000</t>
  </si>
  <si>
    <t>7.750</t>
  </si>
  <si>
    <t>4.584</t>
  </si>
  <si>
    <t>22.950</t>
  </si>
  <si>
    <t>1.552</t>
  </si>
  <si>
    <t>21.398</t>
  </si>
  <si>
    <t>6.804</t>
  </si>
  <si>
    <t>36.839</t>
  </si>
  <si>
    <t>10.445</t>
  </si>
  <si>
    <t>17.150</t>
  </si>
  <si>
    <t>9.244</t>
  </si>
  <si>
    <t>134.684</t>
  </si>
  <si>
    <t>1.500</t>
  </si>
  <si>
    <t>110.135</t>
  </si>
  <si>
    <t>23.048</t>
  </si>
  <si>
    <t>84.834</t>
  </si>
  <si>
    <t>55.610</t>
  </si>
  <si>
    <t>11.620</t>
  </si>
  <si>
    <t>10.654</t>
  </si>
  <si>
    <t>6.950</t>
  </si>
  <si>
    <t>25.612</t>
  </si>
  <si>
    <t>Tài sản và thiết bị khác</t>
  </si>
  <si>
    <t>247.647</t>
  </si>
  <si>
    <t>65.416</t>
  </si>
  <si>
    <t>Đồng phục, trang phục; bảo hộ lao động</t>
  </si>
  <si>
    <t>4.750</t>
  </si>
  <si>
    <t>177.481</t>
  </si>
  <si>
    <t>203.679</t>
  </si>
  <si>
    <t>13.931</t>
  </si>
  <si>
    <t>17.981</t>
  </si>
  <si>
    <t>140.480</t>
  </si>
  <si>
    <t>31.287</t>
  </si>
  <si>
    <t>2.154.415</t>
  </si>
  <si>
    <t>459.401</t>
  </si>
  <si>
    <t>160.081</t>
  </si>
  <si>
    <t>243.726</t>
  </si>
  <si>
    <t>55.594</t>
  </si>
  <si>
    <t>Giáo dục trung học cơ sở</t>
  </si>
  <si>
    <t>10.256.936</t>
  </si>
  <si>
    <t>3.313.314</t>
  </si>
  <si>
    <t>199.407</t>
  </si>
  <si>
    <t>3.617.259</t>
  </si>
  <si>
    <t>83.157</t>
  </si>
  <si>
    <t>339.066</t>
  </si>
  <si>
    <t>398.701</t>
  </si>
  <si>
    <t>115.422</t>
  </si>
  <si>
    <t>Phụ cấp nặng nhọc, độc hại, nguy hiểm</t>
  </si>
  <si>
    <t>5.616</t>
  </si>
  <si>
    <t>1.732.839</t>
  </si>
  <si>
    <t>Phụ cấp trách nhiệm theo nghề - theo công việc</t>
  </si>
  <si>
    <t>19.656</t>
  </si>
  <si>
    <t>576.062</t>
  </si>
  <si>
    <t>186.732</t>
  </si>
  <si>
    <t>160.010</t>
  </si>
  <si>
    <t>478.862</t>
  </si>
  <si>
    <t>151.632</t>
  </si>
  <si>
    <t>268.650</t>
  </si>
  <si>
    <t>58.580</t>
  </si>
  <si>
    <t>331.952</t>
  </si>
  <si>
    <t>136.952</t>
  </si>
  <si>
    <t>53.852</t>
  </si>
  <si>
    <t>83.100</t>
  </si>
  <si>
    <t>894.451</t>
  </si>
  <si>
    <t>702.229</t>
  </si>
  <si>
    <t>118.567</t>
  </si>
  <si>
    <t>34.134</t>
  </si>
  <si>
    <t>39.522</t>
  </si>
  <si>
    <t>630.310</t>
  </si>
  <si>
    <t>550.310</t>
  </si>
  <si>
    <t>80.000</t>
  </si>
  <si>
    <t>26.067</t>
  </si>
  <si>
    <t>22.755</t>
  </si>
  <si>
    <t>3.312</t>
  </si>
  <si>
    <t>49.780</t>
  </si>
  <si>
    <t>5.748</t>
  </si>
  <si>
    <t>12.840</t>
  </si>
  <si>
    <t>18.750</t>
  </si>
  <si>
    <t>12.442</t>
  </si>
  <si>
    <t>7.622</t>
  </si>
  <si>
    <t>2.455</t>
  </si>
  <si>
    <t>3.806</t>
  </si>
  <si>
    <t>1.361</t>
  </si>
  <si>
    <t>1.440</t>
  </si>
  <si>
    <t>Bồi dưỡng giảng viên - báo cáo viên</t>
  </si>
  <si>
    <t>59.893</t>
  </si>
  <si>
    <t>4.708</t>
  </si>
  <si>
    <t>17.800</t>
  </si>
  <si>
    <t>8.585</t>
  </si>
  <si>
    <t>28.800</t>
  </si>
  <si>
    <t>57.798</t>
  </si>
  <si>
    <t>38.022</t>
  </si>
  <si>
    <t>17.376</t>
  </si>
  <si>
    <t>115.028</t>
  </si>
  <si>
    <t>Nhà cửa</t>
  </si>
  <si>
    <t>21.880</t>
  </si>
  <si>
    <t>26.318</t>
  </si>
  <si>
    <t>66.830</t>
  </si>
  <si>
    <t>14.580</t>
  </si>
  <si>
    <t>154.257</t>
  </si>
  <si>
    <t>16.792</t>
  </si>
  <si>
    <t>3.280</t>
  </si>
  <si>
    <t>134.185</t>
  </si>
  <si>
    <t>167.963</t>
  </si>
  <si>
    <t>299</t>
  </si>
  <si>
    <t>2.064</t>
  </si>
  <si>
    <t>147.975</t>
  </si>
  <si>
    <t>17.625</t>
  </si>
  <si>
    <t>083</t>
  </si>
  <si>
    <t>Đào tạo khác trong nước</t>
  </si>
  <si>
    <t>686.785</t>
  </si>
  <si>
    <t>19.235</t>
  </si>
  <si>
    <t>In - mua tài liệu</t>
  </si>
  <si>
    <t>5.132</t>
  </si>
  <si>
    <t>1.600</t>
  </si>
  <si>
    <t>7.950</t>
  </si>
  <si>
    <t>4.553</t>
  </si>
  <si>
    <t>182.450</t>
  </si>
  <si>
    <t>61.500</t>
  </si>
  <si>
    <t>120.950</t>
  </si>
  <si>
    <t>79.760</t>
  </si>
  <si>
    <t>405.340</t>
  </si>
  <si>
    <t>Các nhiệm vụ phục vụ cho giáo dục, đào tạo, giáo dục nghề nghiệp khác</t>
  </si>
  <si>
    <t>21.963</t>
  </si>
  <si>
    <t>5.069</t>
  </si>
  <si>
    <t>16.894</t>
  </si>
  <si>
    <t>Văn hóa thông tin</t>
  </si>
  <si>
    <t>1.163.839</t>
  </si>
  <si>
    <t>645.504</t>
  </si>
  <si>
    <t>11.858</t>
  </si>
  <si>
    <t>276.928</t>
  </si>
  <si>
    <t>271.648</t>
  </si>
  <si>
    <t>5.280</t>
  </si>
  <si>
    <t>7.925</t>
  </si>
  <si>
    <t>52.140</t>
  </si>
  <si>
    <t>57.684</t>
  </si>
  <si>
    <t>210.840</t>
  </si>
  <si>
    <t>69.894</t>
  </si>
  <si>
    <t>140.946</t>
  </si>
  <si>
    <t>28.129</t>
  </si>
  <si>
    <t>Thông tin</t>
  </si>
  <si>
    <t>518.335</t>
  </si>
  <si>
    <t>131.360</t>
  </si>
  <si>
    <t>124.591</t>
  </si>
  <si>
    <t>6.769</t>
  </si>
  <si>
    <t>3.240</t>
  </si>
  <si>
    <t>15.130</t>
  </si>
  <si>
    <t>337.614</t>
  </si>
  <si>
    <t>29.500</t>
  </si>
  <si>
    <t>1.491</t>
  </si>
  <si>
    <t>Phát thanh, truyền hình, thông tấn</t>
  </si>
  <si>
    <t>17.970</t>
  </si>
  <si>
    <t>Phát thanh</t>
  </si>
  <si>
    <t>17.316</t>
  </si>
  <si>
    <t>Thể dục thể thao</t>
  </si>
  <si>
    <t>107.700</t>
  </si>
  <si>
    <t>23.300</t>
  </si>
  <si>
    <t>Thưởng khác</t>
  </si>
  <si>
    <t>20.100</t>
  </si>
  <si>
    <t>7.300</t>
  </si>
  <si>
    <t>4.000</t>
  </si>
  <si>
    <t>8.800</t>
  </si>
  <si>
    <t>24.600</t>
  </si>
  <si>
    <t>39.700</t>
  </si>
  <si>
    <t>Bảo vệ môi trường</t>
  </si>
  <si>
    <t>185.484</t>
  </si>
  <si>
    <t>Bảo vệ môi trường khác</t>
  </si>
  <si>
    <t>36.960</t>
  </si>
  <si>
    <t>148.524</t>
  </si>
  <si>
    <t>Các hoạt động kinh tế</t>
  </si>
  <si>
    <t>9.799.795</t>
  </si>
  <si>
    <t>Nông nghiệp và dịch vụ nông nghiệp</t>
  </si>
  <si>
    <t>1.226.727</t>
  </si>
  <si>
    <t>70.600</t>
  </si>
  <si>
    <t>3.780</t>
  </si>
  <si>
    <t>1.250</t>
  </si>
  <si>
    <t>789.499</t>
  </si>
  <si>
    <t>880</t>
  </si>
  <si>
    <t>788.619</t>
  </si>
  <si>
    <t>360.448</t>
  </si>
  <si>
    <t>Lâm nghiệp và dịch vụ lâm nghiệp</t>
  </si>
  <si>
    <t>3.655.641</t>
  </si>
  <si>
    <t>95.524</t>
  </si>
  <si>
    <t>3.821</t>
  </si>
  <si>
    <t>1.678.092</t>
  </si>
  <si>
    <t>1.850.000</t>
  </si>
  <si>
    <t>Đường sá, cầu cống, bến cảng, sân bay</t>
  </si>
  <si>
    <t>5.932</t>
  </si>
  <si>
    <t>22.272</t>
  </si>
  <si>
    <t>Thủy lợi và dịch vụ thủy lợi</t>
  </si>
  <si>
    <t>1.870.325</t>
  </si>
  <si>
    <t>24.970</t>
  </si>
  <si>
    <t>989.669</t>
  </si>
  <si>
    <t>369.229</t>
  </si>
  <si>
    <t>Đê điều, hồ đập, kênh mương</t>
  </si>
  <si>
    <t>620.440</t>
  </si>
  <si>
    <t>54.202</t>
  </si>
  <si>
    <t>669.982</t>
  </si>
  <si>
    <t>131.502</t>
  </si>
  <si>
    <t>Giao thông đường bộ</t>
  </si>
  <si>
    <t>1.553.896</t>
  </si>
  <si>
    <t>961.341</t>
  </si>
  <si>
    <t>25.000</t>
  </si>
  <si>
    <t>567.555</t>
  </si>
  <si>
    <t>40.556</t>
  </si>
  <si>
    <t>4.675</t>
  </si>
  <si>
    <t>3.400</t>
  </si>
  <si>
    <t>32.481</t>
  </si>
  <si>
    <t>Các hoạt động điều tra, thăm dò, khảo sát, tư vấn, quy hoạch trong các lĩnh vực kinh tế, xã hội, nhân văn</t>
  </si>
  <si>
    <t>686.924</t>
  </si>
  <si>
    <t>23.249</t>
  </si>
  <si>
    <t>18.390</t>
  </si>
  <si>
    <t>190.411</t>
  </si>
  <si>
    <t>9150</t>
  </si>
  <si>
    <t>454.874</t>
  </si>
  <si>
    <t>9199</t>
  </si>
  <si>
    <t>Sự nghiệp kinh tế và dịch vụ khác</t>
  </si>
  <si>
    <t>765.727</t>
  </si>
  <si>
    <t>Chi bồi thường, hỗ trợ, tái định cư khi Nhà nước thu hồi đất</t>
  </si>
  <si>
    <t>457.727</t>
  </si>
  <si>
    <t>Chi tổ chức thực hiện bồi thường, hỗ trợ, tái định cư khi Nhà nước thu hồi đất</t>
  </si>
  <si>
    <t>308.000</t>
  </si>
  <si>
    <t>Hoạt động của các cơ quan quản lý nhà nước, Đảng, đoàn thể</t>
  </si>
  <si>
    <t>41.832.667</t>
  </si>
  <si>
    <t>Quản lý nhà nước</t>
  </si>
  <si>
    <t>29.973.656</t>
  </si>
  <si>
    <t>3.869.746</t>
  </si>
  <si>
    <t>170.526</t>
  </si>
  <si>
    <t>2.659.954</t>
  </si>
  <si>
    <t>99.639</t>
  </si>
  <si>
    <t>384.462</t>
  </si>
  <si>
    <t>207.254</t>
  </si>
  <si>
    <t>437.641</t>
  </si>
  <si>
    <t>1.872</t>
  </si>
  <si>
    <t>Hoạt động phí đại biểu Quốc hội, đại biểu Hội đồng nhân dân</t>
  </si>
  <si>
    <t>282.204</t>
  </si>
  <si>
    <t>20.564</t>
  </si>
  <si>
    <t>26.979</t>
  </si>
  <si>
    <t>110.916</t>
  </si>
  <si>
    <t>Phụ cấp công tác Đảng, Đoàn thể chính trị - xã hội</t>
  </si>
  <si>
    <t>41.235</t>
  </si>
  <si>
    <t>Phụ cấp công vụ</t>
  </si>
  <si>
    <t>1.024.958</t>
  </si>
  <si>
    <t>22.230</t>
  </si>
  <si>
    <t>763.250</t>
  </si>
  <si>
    <t>737.722</t>
  </si>
  <si>
    <t>25.528</t>
  </si>
  <si>
    <t>128.471</t>
  </si>
  <si>
    <t>956.425</t>
  </si>
  <si>
    <t>782.829</t>
  </si>
  <si>
    <t>146.387</t>
  </si>
  <si>
    <t>25.713</t>
  </si>
  <si>
    <t>1.495</t>
  </si>
  <si>
    <t>1.085.032</t>
  </si>
  <si>
    <t>740.400</t>
  </si>
  <si>
    <t>344.632</t>
  </si>
  <si>
    <t>459.687</t>
  </si>
  <si>
    <t>389.399</t>
  </si>
  <si>
    <t>70.288</t>
  </si>
  <si>
    <t>112.922</t>
  </si>
  <si>
    <t>94.908</t>
  </si>
  <si>
    <t>4.165</t>
  </si>
  <si>
    <t>Tiền nhiên liệu</t>
  </si>
  <si>
    <t>12.969</t>
  </si>
  <si>
    <t>Tiền vệ sinh, môi trường</t>
  </si>
  <si>
    <t>600</t>
  </si>
  <si>
    <t>471.296</t>
  </si>
  <si>
    <t>113.112</t>
  </si>
  <si>
    <t>191.710</t>
  </si>
  <si>
    <t>166.473</t>
  </si>
  <si>
    <t>78.308</t>
  </si>
  <si>
    <t>660</t>
  </si>
  <si>
    <t>Cước phí bưu chính</t>
  </si>
  <si>
    <t>6.986</t>
  </si>
  <si>
    <t>52.542</t>
  </si>
  <si>
    <t>8.618</t>
  </si>
  <si>
    <t>9.262</t>
  </si>
  <si>
    <t>240</t>
  </si>
  <si>
    <t>115.424</t>
  </si>
  <si>
    <t>4.989</t>
  </si>
  <si>
    <t>15.890</t>
  </si>
  <si>
    <t>94.545</t>
  </si>
  <si>
    <t>133.752</t>
  </si>
  <si>
    <t>1.992</t>
  </si>
  <si>
    <t>85.700</t>
  </si>
  <si>
    <t>42.260</t>
  </si>
  <si>
    <t>3.000</t>
  </si>
  <si>
    <t>108.195</t>
  </si>
  <si>
    <t>31.916</t>
  </si>
  <si>
    <t>18.000</t>
  </si>
  <si>
    <t>58.279</t>
  </si>
  <si>
    <t>1.556.067</t>
  </si>
  <si>
    <t>Ô tô dùng chung</t>
  </si>
  <si>
    <t>62.070</t>
  </si>
  <si>
    <t>1.318.010</t>
  </si>
  <si>
    <t>123.340</t>
  </si>
  <si>
    <t>10.792</t>
  </si>
  <si>
    <t>16.856</t>
  </si>
  <si>
    <t>318.950</t>
  </si>
  <si>
    <t>307.700</t>
  </si>
  <si>
    <t>11.250</t>
  </si>
  <si>
    <t>564.034</t>
  </si>
  <si>
    <t>17.802</t>
  </si>
  <si>
    <t>68.220</t>
  </si>
  <si>
    <t>472.012</t>
  </si>
  <si>
    <t>Mua sắm tài sản vô hình</t>
  </si>
  <si>
    <t>102.293</t>
  </si>
  <si>
    <t>Mua, bảo trì phần mềm công nghệ thông tin</t>
  </si>
  <si>
    <t>Chi hỗ trợ kinh tế tập thể và dân cư</t>
  </si>
  <si>
    <t>19.824</t>
  </si>
  <si>
    <t>Chi lương hưu và trợ cấp bảo hiểm xã hội</t>
  </si>
  <si>
    <t>1.263</t>
  </si>
  <si>
    <t>Trợ cấp hàng tháng cho cán bộ xã nghỉ việc theo chế độ qui định</t>
  </si>
  <si>
    <t>Chi về công tác bảo đảm xã hội</t>
  </si>
  <si>
    <t>23.400</t>
  </si>
  <si>
    <t>Chi trợ giúp đột xuất cho các đối tượng bảo trợ xã hội và các đối tượng khác</t>
  </si>
  <si>
    <t>618.430</t>
  </si>
  <si>
    <t>17.012</t>
  </si>
  <si>
    <t>491</t>
  </si>
  <si>
    <t>133.593</t>
  </si>
  <si>
    <t>467.333</t>
  </si>
  <si>
    <t>Chi hỗ trợ và giải quyết việc làm</t>
  </si>
  <si>
    <t>15.656.406</t>
  </si>
  <si>
    <t>Chi tinh giản biên chế</t>
  </si>
  <si>
    <t>Hoạt động của Đảng Cộng sản Việt Nam</t>
  </si>
  <si>
    <t>7.736.911</t>
  </si>
  <si>
    <t>1.306.664</t>
  </si>
  <si>
    <t>51.731</t>
  </si>
  <si>
    <t>1.018.848</t>
  </si>
  <si>
    <t>67.810</t>
  </si>
  <si>
    <t>113.022</t>
  </si>
  <si>
    <t>13.977</t>
  </si>
  <si>
    <t>702</t>
  </si>
  <si>
    <t>36.203</t>
  </si>
  <si>
    <t>19.425</t>
  </si>
  <si>
    <t>34.398</t>
  </si>
  <si>
    <t>232.102</t>
  </si>
  <si>
    <t>354.704</t>
  </si>
  <si>
    <t>146.504</t>
  </si>
  <si>
    <t>283.000</t>
  </si>
  <si>
    <t>415.915</t>
  </si>
  <si>
    <t>364.653</t>
  </si>
  <si>
    <t>50.662</t>
  </si>
  <si>
    <t>245.595</t>
  </si>
  <si>
    <t>82.694</t>
  </si>
  <si>
    <t>34.158</t>
  </si>
  <si>
    <t>40.496</t>
  </si>
  <si>
    <t>5.390</t>
  </si>
  <si>
    <t>68.740</t>
  </si>
  <si>
    <t>26.325</t>
  </si>
  <si>
    <t>6.200</t>
  </si>
  <si>
    <t>23.500</t>
  </si>
  <si>
    <t>12.715</t>
  </si>
  <si>
    <t>46.874</t>
  </si>
  <si>
    <t>24.621</t>
  </si>
  <si>
    <t>12.060</t>
  </si>
  <si>
    <t>4.211</t>
  </si>
  <si>
    <t>Khoán điện thoại</t>
  </si>
  <si>
    <t>5.850</t>
  </si>
  <si>
    <t>69.748</t>
  </si>
  <si>
    <t>17.000</t>
  </si>
  <si>
    <t>3.600</t>
  </si>
  <si>
    <t>49.148</t>
  </si>
  <si>
    <t>35.120</t>
  </si>
  <si>
    <t>16.120</t>
  </si>
  <si>
    <t>19.000</t>
  </si>
  <si>
    <t>33.000</t>
  </si>
  <si>
    <t>62.530</t>
  </si>
  <si>
    <t>27.130</t>
  </si>
  <si>
    <t>24.000</t>
  </si>
  <si>
    <t>11.400</t>
  </si>
  <si>
    <t>155.000</t>
  </si>
  <si>
    <t>138.000</t>
  </si>
  <si>
    <t>29.000</t>
  </si>
  <si>
    <t>138.721</t>
  </si>
  <si>
    <t>1.800</t>
  </si>
  <si>
    <t>42.565</t>
  </si>
  <si>
    <t>94.356</t>
  </si>
  <si>
    <t xml:space="preserve">Chi cho công tác Đảng ở tổ chức Đảng cơ sở và các cấp trên cơ sở, các đơn vị hành chính, sự nghiệp </t>
  </si>
  <si>
    <t>610.684</t>
  </si>
  <si>
    <t>Chi mua báo - tạp chí của Đảng</t>
  </si>
  <si>
    <t>2.043</t>
  </si>
  <si>
    <t>Chi tổ chức đại hội Đảng</t>
  </si>
  <si>
    <t>422.566</t>
  </si>
  <si>
    <t>Chi thanh toán các dịch vụ công cộng, vật tư văn phòng, thông tin tuyên truyền, liên lạc; chi đào tạo, bồi dưỡng nghiệp vụ, công tác Đảng, các chi phí Đảng vụ khác và phụ cấp cấp ủy</t>
  </si>
  <si>
    <t>186.075</t>
  </si>
  <si>
    <t>3.083.047</t>
  </si>
  <si>
    <t>Hoạt động của các tổ chức chính trị - xã hội</t>
  </si>
  <si>
    <t>4.034.915</t>
  </si>
  <si>
    <t>680.748</t>
  </si>
  <si>
    <t>376.113</t>
  </si>
  <si>
    <t>31.139</t>
  </si>
  <si>
    <t>84.240</t>
  </si>
  <si>
    <t>5.293</t>
  </si>
  <si>
    <t>200</t>
  </si>
  <si>
    <t>63.180</t>
  </si>
  <si>
    <t>170.955</t>
  </si>
  <si>
    <t>21.107</t>
  </si>
  <si>
    <t>108.100</t>
  </si>
  <si>
    <t>5.500</t>
  </si>
  <si>
    <t>190.434</t>
  </si>
  <si>
    <t>160.143</t>
  </si>
  <si>
    <t>26.312</t>
  </si>
  <si>
    <t>3.979</t>
  </si>
  <si>
    <t>339.604</t>
  </si>
  <si>
    <t>39.422</t>
  </si>
  <si>
    <t>10.244</t>
  </si>
  <si>
    <t>832</t>
  </si>
  <si>
    <t>9.412</t>
  </si>
  <si>
    <t>31.450</t>
  </si>
  <si>
    <t>22.153</t>
  </si>
  <si>
    <t>3.800</t>
  </si>
  <si>
    <t>5.497</t>
  </si>
  <si>
    <t>282.763</t>
  </si>
  <si>
    <t>21.284</t>
  </si>
  <si>
    <t>246.979</t>
  </si>
  <si>
    <t>10.600</t>
  </si>
  <si>
    <t>13.437</t>
  </si>
  <si>
    <t>14.400</t>
  </si>
  <si>
    <t>11.000</t>
  </si>
  <si>
    <t>128.456</t>
  </si>
  <si>
    <t>9.736</t>
  </si>
  <si>
    <t>118.720</t>
  </si>
  <si>
    <t>55.486</t>
  </si>
  <si>
    <t>1.734.758</t>
  </si>
  <si>
    <t>Hỗ trợ các các tổ chức chính trị xã hội - nghề nghiệp, tổ chức xã hội, tổ chức xã hội - nghề nghiệp</t>
  </si>
  <si>
    <t>87.185</t>
  </si>
  <si>
    <t>1.966</t>
  </si>
  <si>
    <t>30.000</t>
  </si>
  <si>
    <t>7.630</t>
  </si>
  <si>
    <t>5.112</t>
  </si>
  <si>
    <t>2.518</t>
  </si>
  <si>
    <t>9.190</t>
  </si>
  <si>
    <t>7.940</t>
  </si>
  <si>
    <t>38.400</t>
  </si>
  <si>
    <t>Bảo đảm xã hội</t>
  </si>
  <si>
    <t>4.211.719</t>
  </si>
  <si>
    <t>Chính sách và hoạt động phục vụ người có công với cách mạng</t>
  </si>
  <si>
    <t>148.800</t>
  </si>
  <si>
    <t>7454</t>
  </si>
  <si>
    <t>Hỗ trợ cải thiện nhà ở</t>
  </si>
  <si>
    <t>120.000</t>
  </si>
  <si>
    <t>Lương hưu và trợ cấp bảo hiểm xã hội</t>
  </si>
  <si>
    <t>95.592</t>
  </si>
  <si>
    <t>2.478</t>
  </si>
  <si>
    <t>1.531</t>
  </si>
  <si>
    <t>6.490</t>
  </si>
  <si>
    <t>83.333</t>
  </si>
  <si>
    <t>Lương hưu</t>
  </si>
  <si>
    <t>42.596</t>
  </si>
  <si>
    <t>40.737</t>
  </si>
  <si>
    <t>1.760</t>
  </si>
  <si>
    <t>Chính sách và hoạt động phục vụ các đối tượng bảo trợ xã hội và các đối tượng khác</t>
  </si>
  <si>
    <t>3.967.328</t>
  </si>
  <si>
    <t>308.146</t>
  </si>
  <si>
    <t>166.310</t>
  </si>
  <si>
    <t>141.836</t>
  </si>
  <si>
    <t>138.588</t>
  </si>
  <si>
    <t>23.428</t>
  </si>
  <si>
    <t>13.900</t>
  </si>
  <si>
    <t>101.260</t>
  </si>
  <si>
    <t>4.714</t>
  </si>
  <si>
    <t>206</t>
  </si>
  <si>
    <t>4.508</t>
  </si>
  <si>
    <t>33.970</t>
  </si>
  <si>
    <t>83.234</t>
  </si>
  <si>
    <t>1.080</t>
  </si>
  <si>
    <t>82.154</t>
  </si>
  <si>
    <t>50.000</t>
  </si>
  <si>
    <t xml:space="preserve">Chi về công tác người có công với cách mạng </t>
  </si>
  <si>
    <t>210.896</t>
  </si>
  <si>
    <t>7155</t>
  </si>
  <si>
    <t xml:space="preserve">Bảo hiểm y tế </t>
  </si>
  <si>
    <t>77.396</t>
  </si>
  <si>
    <t>Hỗ trợ người có công cải thiện nhà ở</t>
  </si>
  <si>
    <t xml:space="preserve">Chi quà lễ, tết </t>
  </si>
  <si>
    <t>7.500</t>
  </si>
  <si>
    <t>3.137.780</t>
  </si>
  <si>
    <t>Chi đóng, hỗ trợ tiền đóng tiền bảo hiểm y tế</t>
  </si>
  <si>
    <t>40.541</t>
  </si>
  <si>
    <t>930.000</t>
  </si>
  <si>
    <t>Chi trợ cấp hàng tháng cho các đối tượng bảo trợ xã hội tại cộng đồng</t>
  </si>
  <si>
    <t>1.372.250</t>
  </si>
  <si>
    <t>714.990</t>
  </si>
  <si>
    <t>Chuyển giao, chuyển nguồn</t>
  </si>
  <si>
    <t>1.084.441</t>
  </si>
  <si>
    <t>Nộp ngân sách cấp trên</t>
  </si>
  <si>
    <t>Chi hoàn trả giữa các cấp ngân sách</t>
  </si>
  <si>
    <t>Chi hoàn trả các khoản phát sinh niên độ ngân sách năm trước</t>
  </si>
  <si>
    <t>Hợp mục</t>
  </si>
  <si>
    <t xml:space="preserve">NS cấp </t>
  </si>
  <si>
    <t>Nhóm</t>
  </si>
  <si>
    <t>Tiểu nhóm</t>
  </si>
  <si>
    <t>32.530</t>
  </si>
  <si>
    <t>Cấp 1</t>
  </si>
  <si>
    <t>7.346</t>
  </si>
  <si>
    <t>7.295</t>
  </si>
  <si>
    <t>51</t>
  </si>
  <si>
    <t>0110</t>
  </si>
  <si>
    <t>Thu thuế, phí và lệ phí</t>
  </si>
  <si>
    <t>7.094</t>
  </si>
  <si>
    <t>0114</t>
  </si>
  <si>
    <t>Thu phí và lệ phí</t>
  </si>
  <si>
    <t>1.144</t>
  </si>
  <si>
    <t>Lệ phí đăng ký cư trú</t>
  </si>
  <si>
    <t>5.950</t>
  </si>
  <si>
    <t>Lệ phí quản lý phương tiện giao thông</t>
  </si>
  <si>
    <t>0200</t>
  </si>
  <si>
    <t>Thu từ tài sản, đóng góp xã hội và thu khác</t>
  </si>
  <si>
    <t>252</t>
  </si>
  <si>
    <t>201</t>
  </si>
  <si>
    <t>0122</t>
  </si>
  <si>
    <t>Cấp 2</t>
  </si>
  <si>
    <t>502.218</t>
  </si>
  <si>
    <t>501.164</t>
  </si>
  <si>
    <t>0112</t>
  </si>
  <si>
    <t>Thuế sử dụng tài sản</t>
  </si>
  <si>
    <t>1552</t>
  </si>
  <si>
    <t>Nước thuỷ điện</t>
  </si>
  <si>
    <t>279.124</t>
  </si>
  <si>
    <t>222.040</t>
  </si>
  <si>
    <t>1.054</t>
  </si>
  <si>
    <t>450</t>
  </si>
  <si>
    <t>Tiền chậm nộp thuế tài nguyên khác còn lại</t>
  </si>
  <si>
    <t>107</t>
  </si>
  <si>
    <t>497</t>
  </si>
  <si>
    <t>25.234</t>
  </si>
  <si>
    <t>Nhóm mục (Nhận dự toán Tabmis)</t>
  </si>
  <si>
    <t>3.984.497</t>
  </si>
  <si>
    <t>Vốn đầu tư phát triển thực hiện chuyển nguồn từ năm trước sang năm nay theo quy định của Luật Đầu tư công</t>
  </si>
  <si>
    <t>823.697</t>
  </si>
  <si>
    <t>949.052</t>
  </si>
  <si>
    <t>387.230</t>
  </si>
  <si>
    <t>95.600</t>
  </si>
  <si>
    <t xml:space="preserve">Các khoản tăng thu, tiết kiệm chi năm trước được phép chuyển sang năm nay theo quy định </t>
  </si>
  <si>
    <t>138.527</t>
  </si>
  <si>
    <t>1.590.391</t>
  </si>
  <si>
    <t>7.584.511</t>
  </si>
  <si>
    <t>0111</t>
  </si>
  <si>
    <t>Thuế thu nhập và thu nhập sau thuế thu nhập</t>
  </si>
  <si>
    <t>861.906</t>
  </si>
  <si>
    <t>603.209</t>
  </si>
  <si>
    <t>-43.594</t>
  </si>
  <si>
    <t>Thuế thu nhập từ hoạt động sản xuất, kinh doanh của cá nhân</t>
  </si>
  <si>
    <t>41.973</t>
  </si>
  <si>
    <t>598.530</t>
  </si>
  <si>
    <t>Thuế thu nhập từ thừa kế, quà biếu, quà tặng khác trừ bất động sản</t>
  </si>
  <si>
    <t>4.800</t>
  </si>
  <si>
    <t>258.697</t>
  </si>
  <si>
    <t>Thuế thu nhập doanh nghiệp  từ hoạt động sản xuất kinh doanh (gồm cả dịch vụ trong lĩnh vực dầu khí)</t>
  </si>
  <si>
    <t>3.539.389</t>
  </si>
  <si>
    <t>2.135.915</t>
  </si>
  <si>
    <t>2.112.915</t>
  </si>
  <si>
    <t>23.000</t>
  </si>
  <si>
    <t>1.391.077</t>
  </si>
  <si>
    <t>12.397</t>
  </si>
  <si>
    <t>12.372</t>
  </si>
  <si>
    <t>25</t>
  </si>
  <si>
    <t>0113</t>
  </si>
  <si>
    <t>Thuế đối với hàn hóa dịch vụ (gồm cả xuất khẩu, nhập khẩu)</t>
  </si>
  <si>
    <t>2.234.722</t>
  </si>
  <si>
    <t>2.231.122</t>
  </si>
  <si>
    <t>Các dịch vụ - các hàng hoá khác sản xuất trong nước</t>
  </si>
  <si>
    <t>948.495</t>
  </si>
  <si>
    <t>13.713</t>
  </si>
  <si>
    <t>13.392</t>
  </si>
  <si>
    <t>9.600</t>
  </si>
  <si>
    <t>2721</t>
  </si>
  <si>
    <t>Phí sử dụng thông tin</t>
  </si>
  <si>
    <t>3.792</t>
  </si>
  <si>
    <t>903.803</t>
  </si>
  <si>
    <t>173.520</t>
  </si>
  <si>
    <t xml:space="preserve">Lệ phí trước bạ ô tô </t>
  </si>
  <si>
    <t>635.785</t>
  </si>
  <si>
    <t>471</t>
  </si>
  <si>
    <t>2815</t>
  </si>
  <si>
    <t>Lệ phí cấp giấy phép xây dựng</t>
  </si>
  <si>
    <t>75</t>
  </si>
  <si>
    <t>93.952</t>
  </si>
  <si>
    <t>16.035</t>
  </si>
  <si>
    <t xml:space="preserve">Lệ phí đăng ký kinh doanh </t>
  </si>
  <si>
    <t>735</t>
  </si>
  <si>
    <t>0118</t>
  </si>
  <si>
    <t>Thu tiền phạt và tịch thu</t>
  </si>
  <si>
    <t>30.734</t>
  </si>
  <si>
    <t xml:space="preserve">Thu tiền phạt </t>
  </si>
  <si>
    <t>13.484</t>
  </si>
  <si>
    <t>Phạt vi phạm hành chính đối với Luật Thuế thu nhập cá nhân</t>
  </si>
  <si>
    <t>11.500</t>
  </si>
  <si>
    <t>Tiền nộp do chậm thi hành quyết định xử phạt vi phạm hành chính do cơ quan thuế quản lý.</t>
  </si>
  <si>
    <t>0121</t>
  </si>
  <si>
    <t>Thu chuyển giao ngân sách</t>
  </si>
  <si>
    <t>57.862.000</t>
  </si>
  <si>
    <t>1.154.897</t>
  </si>
  <si>
    <t>251</t>
  </si>
  <si>
    <t>Tiền chậm nộp thuế thu nhập doanh nghiệp (Không bao gồm tiền chậm nộp thuế thu nhập doanh nghiệp từ hoạt động thăm dò, khai thác dầu khí)</t>
  </si>
  <si>
    <t>5.017</t>
  </si>
  <si>
    <t>399</t>
  </si>
  <si>
    <t>2.641</t>
  </si>
  <si>
    <t>120.458</t>
  </si>
  <si>
    <t>266</t>
  </si>
  <si>
    <t>BÁO CÁO QUYẾT TOÁN CHI CHƯƠNG TRÌNH MỤC TIÊU THEO MỤC LỤC NSNN NĂM 2025</t>
  </si>
  <si>
    <t>Mã KB</t>
  </si>
  <si>
    <t>15.215.118</t>
  </si>
  <si>
    <t xml:space="preserve">Chi hoàn trả các khoản phát sinh niên độ ngân sách năm trước của các Chương tình MTQG </t>
  </si>
  <si>
    <t>00472</t>
  </si>
  <si>
    <t>19.945</t>
  </si>
  <si>
    <t>2271</t>
  </si>
  <si>
    <t>00</t>
  </si>
  <si>
    <t>00473</t>
  </si>
  <si>
    <t>6.783</t>
  </si>
  <si>
    <t>00492</t>
  </si>
  <si>
    <t>18.104</t>
  </si>
  <si>
    <t>00493</t>
  </si>
  <si>
    <t>19.217</t>
  </si>
  <si>
    <t>00513</t>
  </si>
  <si>
    <t>916.809</t>
  </si>
  <si>
    <t>00514</t>
  </si>
  <si>
    <t>79.834</t>
  </si>
  <si>
    <t>10474</t>
  </si>
  <si>
    <t>Phát triển giáo dục nghề nghiệp, việc làm bền vững nguồn NSTW</t>
  </si>
  <si>
    <t>332.633</t>
  </si>
  <si>
    <t>258.510</t>
  </si>
  <si>
    <t>42.300</t>
  </si>
  <si>
    <t>28.905</t>
  </si>
  <si>
    <t>4.700</t>
  </si>
  <si>
    <t>21.405</t>
  </si>
  <si>
    <t>2.918</t>
  </si>
  <si>
    <t>1.838</t>
  </si>
  <si>
    <t>10476</t>
  </si>
  <si>
    <t>Truyền thông và giảm nghèo về thông tin nguồn NSTW</t>
  </si>
  <si>
    <t>118.035</t>
  </si>
  <si>
    <t>11.304</t>
  </si>
  <si>
    <t>10.935</t>
  </si>
  <si>
    <t>369</t>
  </si>
  <si>
    <t>73.500</t>
  </si>
  <si>
    <t>10477</t>
  </si>
  <si>
    <t>Nâng cao năng lực và giám sát, đánh giá Chương trình nguồn NSTW</t>
  </si>
  <si>
    <t>152.015</t>
  </si>
  <si>
    <t>83.500</t>
  </si>
  <si>
    <t>31.500</t>
  </si>
  <si>
    <t>52.000</t>
  </si>
  <si>
    <t>40.000</t>
  </si>
  <si>
    <t>9.280</t>
  </si>
  <si>
    <t>20476</t>
  </si>
  <si>
    <t>Truyền thông và giảm nghèo về thông tin nguồn NS cấp tỉnh</t>
  </si>
  <si>
    <t>2.206</t>
  </si>
  <si>
    <t>1.206</t>
  </si>
  <si>
    <t>1.000</t>
  </si>
  <si>
    <t>Chương trình MTQG Xây dựng NTM</t>
  </si>
  <si>
    <t>10492</t>
  </si>
  <si>
    <t>Phát triển hạ tầng kinh tế - xã hội, cơ bản đồng bộ, hiện đại, đảm bảo kết nối nông thôn - đô thị và kết nối các vùng miền nguồn NSTW</t>
  </si>
  <si>
    <t>2.658.728</t>
  </si>
  <si>
    <t>95.800</t>
  </si>
  <si>
    <t>89.400</t>
  </si>
  <si>
    <t>6.400</t>
  </si>
  <si>
    <t>264.114</t>
  </si>
  <si>
    <t>43</t>
  </si>
  <si>
    <t>49.302</t>
  </si>
  <si>
    <t>34.700</t>
  </si>
  <si>
    <t>527.365</t>
  </si>
  <si>
    <t>96.502</t>
  </si>
  <si>
    <t>532.193</t>
  </si>
  <si>
    <t>10493</t>
  </si>
  <si>
    <t>Tiếp tục thực hiện có hiệu quả cơ cấu lại ngành nông nghiệp, phát triển kinh tế nông thôn triển khai mạnh mẽ Chương trình mỗi xã một sản phẩm (OCOP) nhằm nâng cao giá trị gia tăng, phù hợp với quá trì nguồn NSTW</t>
  </si>
  <si>
    <t>219.014</t>
  </si>
  <si>
    <t>9.179</t>
  </si>
  <si>
    <t>3.180</t>
  </si>
  <si>
    <t>80</t>
  </si>
  <si>
    <t>198.135</t>
  </si>
  <si>
    <t>7.720</t>
  </si>
  <si>
    <t>10496</t>
  </si>
  <si>
    <t>Nâng cao chất lượng đời sống văn hóa của người dân nông thôn; bảo tồn và phát huy các giá trị văn hóa truyền thống theo hướng bền vững gắn với phát triển du lịch nông thôn nguồn NSTW</t>
  </si>
  <si>
    <t>49.736</t>
  </si>
  <si>
    <t>10497</t>
  </si>
  <si>
    <t>Nâng cao chất lượng môi trường; xây dựng cảnh quan nông thôn sáng - xanh - sạch - đẹp, an toàn; giữ gìn và khôi phục cảnh quan truyền thống của nông thôn Việt Nam nguồn NSTW</t>
  </si>
  <si>
    <t>176.000</t>
  </si>
  <si>
    <t>143.000</t>
  </si>
  <si>
    <t>10498</t>
  </si>
  <si>
    <t>Đẩy mạnh và nâng cao chất lượng các dịch vụ hành chính công nâng cao chất lượng hoạt động của chính quyền cơ sở thúc đẩy quá trình chuyển đổi số trong nông thôn mới, tăng cường ứng dụng công nghệ thôn nguồn NSTW</t>
  </si>
  <si>
    <t>20492</t>
  </si>
  <si>
    <t>Phát triển hạ tầng kinh tế - xã hội, cơ bản đồng bộ, hiện đại, đảm bảo kết nối nông thôn - đô thị và kết nối các vùng miền nguồn vốn ngân sách cấp tỉnh</t>
  </si>
  <si>
    <t>2.540.156</t>
  </si>
  <si>
    <t>23.050</t>
  </si>
  <si>
    <t>71.382</t>
  </si>
  <si>
    <t>11.702</t>
  </si>
  <si>
    <t>1.755.076</t>
  </si>
  <si>
    <t>5.000</t>
  </si>
  <si>
    <t>35.362</t>
  </si>
  <si>
    <t>190.885</t>
  </si>
  <si>
    <t>20497</t>
  </si>
  <si>
    <t>Nâng cao chất lượng môi trường; xây dựng cảnh quan nông thôn sáng - xanh - sạch - đẹp, an toàn; giữ gìn và khôi phục cảnh quan truyền thống của nông thôn Việt Nam nguồn NS cấp tỉnh</t>
  </si>
  <si>
    <t>7.524</t>
  </si>
  <si>
    <t>5.524</t>
  </si>
  <si>
    <t>2.000</t>
  </si>
  <si>
    <t>10502</t>
  </si>
  <si>
    <t>Tăng cường công tác giám sát, đánh giá thực hiện Chương trình; nâng cao năng lực xây dựng nông thôn mới; truyền thông về xây dựng nông thôn mới; thực hiện Phong trào thi đua cả nước chung sức xây dựng nông thôn mới nguồn NSTW</t>
  </si>
  <si>
    <t>49.681</t>
  </si>
  <si>
    <t>29.881</t>
  </si>
  <si>
    <t>9.300</t>
  </si>
  <si>
    <t>5.800</t>
  </si>
  <si>
    <t>3.500</t>
  </si>
  <si>
    <t>10.500</t>
  </si>
  <si>
    <t>20502</t>
  </si>
  <si>
    <t>Tăng cường công tác giám sát, đánh giá thực hiện Chương trình; nâng cao năng lực xây dựng nông thôn mới; truyền thông về xây dựng nông thôn mới; thực hiện Phong trào thi đua cả nước chung sức xây dựng nông thôn mới nguồn NS cấp tỉnh</t>
  </si>
  <si>
    <t>Chương trình MTQG phát triển KTXH vùng đồng bào DTTS và miền núi</t>
  </si>
  <si>
    <t>10511</t>
  </si>
  <si>
    <t>Giải quyết tình trạng thiếu đất ở, nhà ở, đất sản xuất, nước sinh hoạt nguồn vốn ngân sách trung ương</t>
  </si>
  <si>
    <t>280.000</t>
  </si>
  <si>
    <t>10513</t>
  </si>
  <si>
    <t>Phát triển sản xuất nông, lâm nghiệp bền vững, phát huy tiềm năng, thế mạnh của các vùng miền để sản xuất hàng hóa theo chuỗi giá trị nguồn NSTW</t>
  </si>
  <si>
    <t>2.940.654</t>
  </si>
  <si>
    <t>1.380</t>
  </si>
  <si>
    <t>746.715</t>
  </si>
  <si>
    <t>1.631.562</t>
  </si>
  <si>
    <t>10514</t>
  </si>
  <si>
    <t>Đầu tư cơ sở hạ tầng thiết yếu, phục vụ sản xuất, đời sống trong vùng đồng bào dân tộc thiểu số và miền núi và các đơn vị sự nghiệp công lập của lĩnh vực dân tộc nguồn vốn NSTW</t>
  </si>
  <si>
    <t>3.315.903</t>
  </si>
  <si>
    <t>845.463</t>
  </si>
  <si>
    <t>10515</t>
  </si>
  <si>
    <t>Phát triển giáo dục đào tạo nâng cao chất lượng nguồn nhân lực nguồn vốn NSTW</t>
  </si>
  <si>
    <t>507.840</t>
  </si>
  <si>
    <t>98.950</t>
  </si>
  <si>
    <t>68.950</t>
  </si>
  <si>
    <t>39.760</t>
  </si>
  <si>
    <t>89.290</t>
  </si>
  <si>
    <t>245.870</t>
  </si>
  <si>
    <t>104.780</t>
  </si>
  <si>
    <t>141.090</t>
  </si>
  <si>
    <t>10516</t>
  </si>
  <si>
    <t>Bảo tồn, phát huy giá trị văn hóa truyền thống tốt đẹp của các dân tộc thiểu số gắn với phát triển du lịch nguồn vốn NSTW</t>
  </si>
  <si>
    <t>372.600</t>
  </si>
  <si>
    <t>37.988</t>
  </si>
  <si>
    <t>10518</t>
  </si>
  <si>
    <t>Thực hiện bình đẳng giới và giải quyết những vấn đề cấp thiết đối với phụ nữ và trẻ em nguồn vốn NSTW</t>
  </si>
  <si>
    <t>64.268</t>
  </si>
  <si>
    <t>13.968</t>
  </si>
  <si>
    <t>1.200</t>
  </si>
  <si>
    <t>12.168</t>
  </si>
  <si>
    <t>50.300</t>
  </si>
  <si>
    <t>10519</t>
  </si>
  <si>
    <t>Đầu tư phát triển nhóm dân tộc thiểu số rất ít người và nhóm dân tộc còn nhiều khó khăn nguồn vốn NSTW</t>
  </si>
  <si>
    <t>60.360</t>
  </si>
  <si>
    <t>55.646</t>
  </si>
  <si>
    <t>10.360</t>
  </si>
  <si>
    <t>8.400</t>
  </si>
  <si>
    <t>36.886</t>
  </si>
  <si>
    <t>10521</t>
  </si>
  <si>
    <t>Truyền thông, tuyên truyền, vận động trong vùng đồng bào dân tộc thiểu số và miền núi. Kiểm tra, giám sát đánh giá việc tổ chức thực hiện chương trình nguồn vốn NSTW</t>
  </si>
  <si>
    <t>97.992</t>
  </si>
  <si>
    <t>15.750</t>
  </si>
  <si>
    <t>8.212</t>
  </si>
  <si>
    <t>2.212</t>
  </si>
  <si>
    <t>23.374</t>
  </si>
  <si>
    <t>4.473</t>
  </si>
  <si>
    <t>18.901</t>
  </si>
  <si>
    <t>24.656</t>
  </si>
  <si>
    <t>20511</t>
  </si>
  <si>
    <t>28.000</t>
  </si>
  <si>
    <t>20514</t>
  </si>
  <si>
    <t>Đầu tư cơ sở hạ tầng thiết yếu, phục vụ sản xuất, đời sống trong vùng đồng bào dân tộc thiểu số và miền núi và các đơn vị sự nghiệp công lập của lĩnh vực dân tộc nguồn vốn NS cấp tỉnh</t>
  </si>
  <si>
    <t>32.878</t>
  </si>
  <si>
    <t>20515</t>
  </si>
  <si>
    <t>68.236</t>
  </si>
  <si>
    <t>48.260</t>
  </si>
  <si>
    <t>19.976</t>
  </si>
  <si>
    <t>19.230</t>
  </si>
  <si>
    <t>746</t>
  </si>
  <si>
    <t>20516</t>
  </si>
  <si>
    <t>11.906</t>
  </si>
  <si>
    <t>20518</t>
  </si>
  <si>
    <t>14.285</t>
  </si>
  <si>
    <t>13.085</t>
  </si>
  <si>
    <t>1.655</t>
  </si>
  <si>
    <t>9.930</t>
  </si>
  <si>
    <t>20519</t>
  </si>
  <si>
    <t>Đầu tư phát triển nhóm dân tộc thiểu số rất ít người và nhóm dân tộc còn nhiều khó khăn nguồn vốn NS cấp tỉnh</t>
  </si>
  <si>
    <t>1.640</t>
  </si>
  <si>
    <t>20521</t>
  </si>
  <si>
    <t>1.970</t>
  </si>
  <si>
    <t xml:space="preserve">Chương tình mục tiêu </t>
  </si>
  <si>
    <t>00629</t>
  </si>
  <si>
    <t>Dự án, mục tiêu khác</t>
  </si>
  <si>
    <t>8.611</t>
  </si>
  <si>
    <t>Ngày 23 tháng 3 năm  2026</t>
  </si>
  <si>
    <t>Chi đầu tư</t>
  </si>
  <si>
    <t>Đơn vị:nghìn đồng</t>
  </si>
  <si>
    <t>QUYẾT TOÁN CÂN ĐỐI NGUỒN THU, CHI NGÂN SÁCH CẤP  XÃ 
NĂM 2025</t>
  </si>
  <si>
    <t>Nguồn các Chương trinh MTQG chuyển nguồn năm 2024 chuyển sang năm 2025 chưa phân bổ</t>
  </si>
  <si>
    <t>QUYẾT TOÁN CHI NGÂN SÁCH CẤP XÃ THEO LĨNH VỰC NĂM 2025</t>
  </si>
  <si>
    <t>BÁO CÁO QUYẾT TOÁN CHI NGÂN SÁCH THEO TỪNG ĐƠN VỊ NĂM 2025</t>
  </si>
  <si>
    <t>Đơn vị tính: nghìn Đồng</t>
  </si>
  <si>
    <t>Dự toán (2)</t>
  </si>
  <si>
    <t>Chi CTMTQG</t>
  </si>
  <si>
    <t>Tên đơn vị (1)</t>
  </si>
  <si>
    <t>Chi thường</t>
  </si>
  <si>
    <t>Chi</t>
  </si>
  <si>
    <t xml:space="preserve"> xuyên</t>
  </si>
  <si>
    <t>KH-CN</t>
  </si>
  <si>
    <t>1=2+3+4</t>
  </si>
  <si>
    <t>5=6+9+12+15+16</t>
  </si>
  <si>
    <t>12=13+14</t>
  </si>
  <si>
    <t>17=5/1</t>
  </si>
  <si>
    <t>18=6/2</t>
  </si>
  <si>
    <t>19=9/3</t>
  </si>
  <si>
    <t>20=12/4</t>
  </si>
  <si>
    <t>90.84</t>
  </si>
  <si>
    <t>81.04</t>
  </si>
  <si>
    <t>95.69</t>
  </si>
  <si>
    <t>67.76</t>
  </si>
  <si>
    <t>98.87</t>
  </si>
  <si>
    <t>95.1</t>
  </si>
  <si>
    <t>1156391 - Văn phòng Đảng ủy xã Phong Quang</t>
  </si>
  <si>
    <t>92.65</t>
  </si>
  <si>
    <t>91.97</t>
  </si>
  <si>
    <t>99.99</t>
  </si>
  <si>
    <t>62.1</t>
  </si>
  <si>
    <t>51.44</t>
  </si>
  <si>
    <t>99.79</t>
  </si>
  <si>
    <t>4621.49</t>
  </si>
  <si>
    <t>74</t>
  </si>
  <si>
    <t>79.87</t>
  </si>
  <si>
    <t>79.49</t>
  </si>
  <si>
    <t>0</t>
  </si>
  <si>
    <t>67.79</t>
  </si>
  <si>
    <t>96.04</t>
  </si>
  <si>
    <t>45.1</t>
  </si>
  <si>
    <t>GD-ĐT vàdạy nghề</t>
  </si>
  <si>
    <t>GD-ĐT và dạy nghề</t>
  </si>
  <si>
    <t>Chiđầu tư</t>
  </si>
  <si>
    <t xml:space="preserve">Chi chuyển nguồn  </t>
  </si>
  <si>
    <t>Chi chuyển giao</t>
  </si>
  <si>
    <t>2801849 - Mã tổ chức ngân sách Xã Phong Quang</t>
  </si>
  <si>
    <t>Tiết kiệm 10% chi TX 7 tháng cuối năm và dự toán năm 2024 so với năm 2025 (nộp NS cấp trên)</t>
  </si>
  <si>
    <t>QUYẾT TOÁN CHI NGÂN SÁCH ĐỊA PHƯƠNG, CHI NGÂN SÁCH CẤP XÃ THEO CƠ CẤU CHI NĂM 2025</t>
  </si>
  <si>
    <t>Lệnh chi Huyện Uỷ điều chỉnh (338-19.781.383; 351-630.067.833)</t>
  </si>
  <si>
    <t>UBND XÃ PHONG QUANG</t>
  </si>
  <si>
    <t>Biểu mẫu số 50/CK</t>
  </si>
  <si>
    <t>Biểu mẫu số 51</t>
  </si>
  <si>
    <t>Biểu mẫu số 61</t>
  </si>
  <si>
    <t>Mẫu biểu số 62</t>
  </si>
  <si>
    <t>NS cấp</t>
  </si>
  <si>
    <t>NN</t>
  </si>
  <si>
    <t xml:space="preserve"> tỉnh</t>
  </si>
  <si>
    <t>xã</t>
  </si>
  <si>
    <t>119.885.738</t>
  </si>
  <si>
    <t>8.475.045</t>
  </si>
  <si>
    <t>111.378.163</t>
  </si>
  <si>
    <t>Lệ phí quản lý nhà nước liên quan đến quyền sở hữu - quyền sử dụng t</t>
  </si>
  <si>
    <t>119.376.174</t>
  </si>
  <si>
    <t>7.972.776</t>
  </si>
  <si>
    <t>107.807.166</t>
  </si>
  <si>
    <t>388.265</t>
  </si>
  <si>
    <t>107.393.666</t>
  </si>
  <si>
    <t>106.238.769</t>
  </si>
  <si>
    <t>48.376.769</t>
  </si>
  <si>
    <t>382.765</t>
  </si>
  <si>
    <t>253.713</t>
  </si>
  <si>
    <t>Ngày     tháng       năm</t>
  </si>
  <si>
    <t>Ngày     tháng       năm 2026</t>
  </si>
  <si>
    <t>Phong Quang, ngày     tháng       năm 2026</t>
  </si>
  <si>
    <t xml:space="preserve">          GIÁM ĐỐC KBNN KV VII- PGD SỐ 4  </t>
  </si>
  <si>
    <r>
      <t xml:space="preserve">                                                                            
</t>
    </r>
    <r>
      <rPr>
        <sz val="11"/>
        <color rgb="FF000000"/>
        <rFont val="Times New Roman"/>
        <family val="1"/>
      </rPr>
      <t xml:space="preserve">                                                              </t>
    </r>
  </si>
  <si>
    <t>QUYẾT TOÁN CHI, TRẢ NỢ NSĐP THEO MỤC LỤC NSNN NĂM 2025</t>
  </si>
  <si>
    <t>110.429.012</t>
  </si>
  <si>
    <t>17.794.228</t>
  </si>
  <si>
    <t>Chuyển nguồn sang năm sau</t>
  </si>
  <si>
    <t>16.709.788</t>
  </si>
  <si>
    <t>Chuyển nguồn năm nay sang năm sau (chi chuyển nguồn)</t>
  </si>
  <si>
    <t>Vốn đầu tư phát triển thực hiện chuyển nguồn từ năm nay sang năm sau theo quy định của Luật Đầu tư công</t>
  </si>
  <si>
    <t>11.964</t>
  </si>
  <si>
    <t>806.404</t>
  </si>
  <si>
    <t>4.000.189</t>
  </si>
  <si>
    <t>Các khoản tăng thu, tiết kiệm chi năm nay được phép chuyển sang năm sau theo quy định</t>
  </si>
  <si>
    <t>7.602.588</t>
  </si>
  <si>
    <t>4.288.643</t>
  </si>
  <si>
    <t>Phong Quang, ngày     tháng 3  năm 2026</t>
  </si>
  <si>
    <r>
      <t xml:space="preserve">QUYẾT TOÁN THU NSNN, VAY NSĐP NĂM </t>
    </r>
    <r>
      <rPr>
        <b/>
        <sz val="16"/>
        <color rgb="FF000000"/>
        <rFont val="Times New Roman"/>
        <family val="1"/>
      </rPr>
      <t>2025</t>
    </r>
  </si>
  <si>
    <r>
      <rPr>
        <sz val="10"/>
        <color rgb="FF000000"/>
        <rFont val="Times New Roman"/>
        <family val="1"/>
      </rPr>
      <t xml:space="preserve">Đơn vị: </t>
    </r>
    <r>
      <rPr>
        <sz val="10"/>
        <color rgb="FF000000"/>
        <rFont val="Times New Roman"/>
        <family val="1"/>
      </rPr>
      <t>nghìn</t>
    </r>
    <r>
      <rPr>
        <sz val="10"/>
        <color rgb="FF000000"/>
        <rFont val="Times New Roman"/>
        <family val="1"/>
      </rPr>
      <t xml:space="preserve"> Đồng</t>
    </r>
  </si>
  <si>
    <t>NỘI DUNG</t>
  </si>
  <si>
    <r>
      <rPr>
        <b/>
        <sz val="10"/>
        <color rgb="FF000000"/>
        <rFont val="Times New Roman"/>
        <family val="1"/>
      </rPr>
      <t xml:space="preserve">So sánh 
</t>
    </r>
    <r>
      <rPr>
        <b/>
        <sz val="10"/>
        <color rgb="FF000000"/>
        <rFont val="Times New Roman"/>
        <family val="1"/>
      </rPr>
      <t>QT/DT (%)</t>
    </r>
  </si>
  <si>
    <t>Cấp trên
giao</t>
  </si>
  <si>
    <t>HĐND quyết
định</t>
  </si>
  <si>
    <t>Gồm:</t>
  </si>
  <si>
    <r>
      <rPr>
        <b/>
        <sz val="11"/>
        <color rgb="FF000000"/>
        <rFont val="Times New Roman"/>
        <family val="1"/>
      </rPr>
      <t xml:space="preserve">Thu NS
</t>
    </r>
    <r>
      <rPr>
        <b/>
        <sz val="11"/>
        <color rgb="FF000000"/>
        <rFont val="Times New Roman"/>
        <family val="1"/>
      </rPr>
      <t>cấp tỉnh</t>
    </r>
  </si>
  <si>
    <r>
      <rPr>
        <b/>
        <sz val="11"/>
        <color rgb="FF000000"/>
        <rFont val="Times New Roman"/>
        <family val="1"/>
      </rPr>
      <t xml:space="preserve">Thu NS
</t>
    </r>
    <r>
      <rPr>
        <b/>
        <sz val="11"/>
        <color rgb="FF000000"/>
        <rFont val="Times New Roman"/>
        <family val="1"/>
      </rPr>
      <t>cấp xã</t>
    </r>
  </si>
  <si>
    <t>5=6+7</t>
  </si>
  <si>
    <t>TỔNG SỐ (A+B +C+D+E)</t>
  </si>
  <si>
    <t>Thu Ngân Sách Nhà Nước</t>
  </si>
  <si>
    <t>-Thuế giá trị gia tăng</t>
  </si>
  <si>
    <t>Trong đó: Thu từ hoạt động thăm dò, khai thác dầu, khí</t>
  </si>
  <si>
    <t>- Thu từ khí thiên nhiên</t>
  </si>
  <si>
    <t>Thu từ khu vực doanh nghiệp do Nhà nước giữ vai trò chủ đạo địa phương quản lý</t>
  </si>
  <si>
    <t>Thu từ nhà cung cấp hàng hóa, dịch vụ ở nước ngoài</t>
  </si>
  <si>
    <t>Thu từ doanh nghiệp có vốn đầu tư nước ngoài</t>
  </si>
  <si>
    <t>Trong đó: - Thu từ hoạt động thăm dò và khai thác dầu, khí</t>
  </si>
  <si>
    <t>- Thuế tối thiểu toàn cầu</t>
  </si>
  <si>
    <t>Các loại phí, lệ phí</t>
  </si>
  <si>
    <t>Thu phí, lệ phí trung ương</t>
  </si>
  <si>
    <t>Thu phí, lệ phí tỉnh</t>
  </si>
  <si>
    <t>Thu phí, lệ phí xã</t>
  </si>
  <si>
    <t>Trong đó: - Các khoản phí, lệ phí ngoài danh mục phí, lệ phí được quy định tại Luật Phí và lệ phí do địa phương ban hành</t>
  </si>
  <si>
    <t>- Phí bảo vệ môi trường đối với nước thải</t>
  </si>
  <si>
    <t>- Phí tham quan</t>
  </si>
  <si>
    <t>- Phí sử dụng công trình kết cấu hạ tầng, công trình dịch vụ, tiện ích công cộng trong lĩnh vực cửa khẩu</t>
  </si>
  <si>
    <t>- Thu từ khai thác quỹ đất khu vực TOD đối với đường sắt quốc gia</t>
  </si>
  <si>
    <t>- Thu từ khai thác quỹ đất khu vực TOD đối với đường sắt địa phương</t>
  </si>
  <si>
    <t>Thu tiền thuê đất</t>
  </si>
  <si>
    <t>- Thu tiền thuê đất một lần được nhà đầu tư ứng trước để bồi thường, hỗ trợ, tái định cư</t>
  </si>
  <si>
    <t>Thu từ khai thác, xử lý tài sản công xử lý theo quy định của pháp luật về quản lý, sử dụng tài sản công</t>
  </si>
  <si>
    <t>Thu từ hoạt động xổ số</t>
  </si>
  <si>
    <t>Bao gồm: - Thu khác ngân sách trung ương</t>
  </si>
  <si>
    <t>- Thu khác ngân sách địa phương</t>
  </si>
  <si>
    <t>Trong đó: - Thu phạt vi phạm an toàn giao thông</t>
  </si>
  <si>
    <t>- Thu phạt vi phạm hành chính do cơ quan Thuế thực hiện</t>
  </si>
  <si>
    <t>- Thu tiền bảo vệ và phát triển đất trồng lúa</t>
  </si>
  <si>
    <t>Thu tiền cấp quyền khai thác tài nguyên khoáng sản, tài nguyên nước, tiền cấp quyền sử dụng tần số vô tuyến điện</t>
  </si>
  <si>
    <t>- Cơ quan Trung ương cấp phép</t>
  </si>
  <si>
    <t>Trong đó: + Tài nguyên khoáng sản</t>
  </si>
  <si>
    <t xml:space="preserve">               + Tài nguyên nước</t>
  </si>
  <si>
    <t xml:space="preserve">               + Tiền cấp quyền sử dụng tần số vô tuyến điện</t>
  </si>
  <si>
    <t>- Cơ quan địa phương cấp phép</t>
  </si>
  <si>
    <t>Thu cổ tức, lợi nhuận được chia và lợi nhuận sau thuế</t>
  </si>
  <si>
    <t>- Thu từ doanh nghiệp do Trung ương quản lý</t>
  </si>
  <si>
    <t>- Thu từ doanh nghiệp do địa phương quản lý</t>
  </si>
  <si>
    <t>Thu về dầu thô theo hiệp định, hợp đồng</t>
  </si>
  <si>
    <t>Thuế đặc biệt</t>
  </si>
  <si>
    <t>Thu về Condensate theo hiệp định, hợp đồng</t>
  </si>
  <si>
    <t>Phụ thu về dầu</t>
  </si>
  <si>
    <t>Thu cân đối từ hoạt động xuất nhập khẩu</t>
  </si>
  <si>
    <t>Trong đó, thuế xuất khẩu qua biên giới đất liền</t>
  </si>
  <si>
    <t>Trong đó, thuế nhập khẩu qua biên giới đất liền</t>
  </si>
  <si>
    <t>Thuế bổ sung đối với hàng hoá nhập khẩu vào Việt Nam</t>
  </si>
  <si>
    <t>Thuế bảo vệ môi trường hàng nhập khẩu</t>
  </si>
  <si>
    <t>Thu hồi các khoản cho vay của Nhà nước và thu từ quỹ dự trữ tài chính</t>
  </si>
  <si>
    <t>Thu từ quỹ dự trữ tài chính</t>
  </si>
  <si>
    <t>VAY CỦA NGÂN SÁCH ĐỊA PHƯƠNG</t>
  </si>
  <si>
    <t>Vay bù đắp bội chi NSĐP</t>
  </si>
  <si>
    <t>Vay trong nước</t>
  </si>
  <si>
    <t>Địa phương vay từ nguồn cho vay lại của Chính phủ</t>
  </si>
  <si>
    <t>Vay để trả nợ gốc vay</t>
  </si>
  <si>
    <t>Vay lại từ nguồn Chính phủ vay ngoài nước</t>
  </si>
  <si>
    <t>Bổ sung có mục tiêu bằng nguồn vốn trong nước</t>
  </si>
  <si>
    <r>
      <rPr>
        <i/>
        <sz val="11"/>
        <color rgb="FF000000"/>
        <rFont val="Times New Roman"/>
        <family val="1"/>
      </rPr>
      <t>Ngày     tháng     năm 2026</t>
    </r>
    <r>
      <rPr>
        <sz val="11"/>
        <color rgb="FF000000"/>
        <rFont val="Times New Roman"/>
        <family val="1"/>
      </rPr>
      <t xml:space="preserve">
</t>
    </r>
    <r>
      <rPr>
        <b/>
        <sz val="11"/>
        <color rgb="FF000000"/>
        <rFont val="Times New Roman"/>
        <family val="1"/>
      </rPr>
      <t xml:space="preserve"> GIÁM ĐỐC KBNN KV VII - PHÒNG GDS 4 
</t>
    </r>
    <r>
      <rPr>
        <sz val="11"/>
        <color rgb="FF000000"/>
        <rFont val="Times New Roman"/>
        <family val="1"/>
      </rPr>
      <t xml:space="preserve">
</t>
    </r>
  </si>
  <si>
    <r>
      <rPr>
        <i/>
        <sz val="11"/>
        <color rgb="FF000000"/>
        <rFont val="Times New Roman"/>
        <family val="1"/>
      </rPr>
      <t>Ngày     tháng 3 năm 2026</t>
    </r>
    <r>
      <rPr>
        <sz val="11"/>
        <color rgb="FF000000"/>
        <rFont val="Times New Roman"/>
        <family val="1"/>
      </rPr>
      <t xml:space="preserve">
</t>
    </r>
    <r>
      <rPr>
        <b/>
        <sz val="11"/>
        <color rgb="FF000000"/>
        <rFont val="Times New Roman"/>
        <family val="1"/>
      </rPr>
      <t xml:space="preserve">PHÒNG KINH TẾ
</t>
    </r>
    <r>
      <rPr>
        <i/>
        <sz val="10"/>
        <color rgb="FF000000"/>
        <rFont val="Times New Roman"/>
        <family val="1"/>
      </rPr>
      <t/>
    </r>
  </si>
  <si>
    <r>
      <rPr>
        <i/>
        <sz val="11"/>
        <color rgb="FF000000"/>
        <rFont val="Times New Roman"/>
        <family val="1"/>
      </rPr>
      <t>Phong Quang, ngày     tháng 3 năm 2026</t>
    </r>
    <r>
      <rPr>
        <sz val="11"/>
        <color rgb="FF000000"/>
        <rFont val="Times New Roman"/>
        <family val="1"/>
      </rPr>
      <t xml:space="preserve">
</t>
    </r>
    <r>
      <rPr>
        <b/>
        <sz val="11"/>
        <color rgb="FF000000"/>
        <rFont val="Times New Roman"/>
        <family val="1"/>
      </rPr>
      <t xml:space="preserve">TM.UBND
</t>
    </r>
  </si>
  <si>
    <t>Chi NS cấp tỉnh</t>
  </si>
  <si>
    <t>TỔNG SỐ THU</t>
  </si>
  <si>
    <t>TỔNG SỐ CHI</t>
  </si>
  <si>
    <t xml:space="preserve">A. Tổng thu cân đối Ngân Sách </t>
  </si>
  <si>
    <t>3. Chi thường xuyên theo lĩnh vực</t>
  </si>
  <si>
    <t>4. Thu kết dư ngân sách</t>
  </si>
  <si>
    <t>4. Chi viện trợ</t>
  </si>
  <si>
    <t>5. Chi cho vay</t>
  </si>
  <si>
    <t>6. Thu Viện trợ</t>
  </si>
  <si>
    <t>6. Chi bổ sung quỹ dự trữ tài chính</t>
  </si>
  <si>
    <t>7. Chi bổ sung cho ngân sách cấp dưới</t>
  </si>
  <si>
    <t>Trong đó: - Bổ sung cân đối</t>
  </si>
  <si>
    <t>Trong đó:-Bổ sung cân đối</t>
  </si>
  <si>
    <t xml:space="preserve">               - Bổ sung có mục tiêu</t>
  </si>
  <si>
    <t xml:space="preserve">              -Bổ sung có mục tiêu</t>
  </si>
  <si>
    <t>8. Chi chuyển nguồn</t>
  </si>
  <si>
    <t>9. Chi nộp ngân sách cấp trên</t>
  </si>
  <si>
    <t>10. Chi hỗ trợ thực hiện một số nhiệm vụ quy định tại các điểm a, b và c khoản 5 Điều 9 Luật Ngân sách nhà nước</t>
  </si>
  <si>
    <t xml:space="preserve"> - Kết dư ngân sách năm quyết toán = (thu - chi)</t>
  </si>
  <si>
    <t>Bội chi = Chi - Thu</t>
  </si>
  <si>
    <t>B. Vay của ngân sách cấp tỉnh</t>
  </si>
  <si>
    <t>B. Chi trả nợ gốc</t>
  </si>
  <si>
    <r>
      <rPr>
        <i/>
        <sz val="12"/>
        <color rgb="FF000000"/>
        <rFont val="Times New Roman"/>
        <family val="1"/>
      </rPr>
      <t>Ngày     tháng  3 năm 2026</t>
    </r>
    <r>
      <rPr>
        <sz val="12"/>
        <color rgb="FF000000"/>
        <rFont val="Times New Roman"/>
        <family val="1"/>
      </rPr>
      <t xml:space="preserve">
</t>
    </r>
    <r>
      <rPr>
        <b/>
        <sz val="12"/>
        <color rgb="FF000000"/>
        <rFont val="Times New Roman"/>
        <family val="1"/>
      </rPr>
      <t xml:space="preserve"> GIÁM ĐỐC KBNN KV VII - PHÒNG GDS 4 </t>
    </r>
  </si>
  <si>
    <r>
      <rPr>
        <i/>
        <sz val="12"/>
        <color rgb="FF000000"/>
        <rFont val="Times New Roman"/>
        <family val="1"/>
      </rPr>
      <t>Ngày      tháng 3 năm 2026</t>
    </r>
    <r>
      <rPr>
        <sz val="12"/>
        <color rgb="FF000000"/>
        <rFont val="Times New Roman"/>
        <family val="1"/>
      </rPr>
      <t xml:space="preserve">
</t>
    </r>
    <r>
      <rPr>
        <b/>
        <sz val="12"/>
        <color rgb="FF000000"/>
        <rFont val="Times New Roman"/>
        <family val="1"/>
      </rPr>
      <t>PHÒNG KINH TẾ</t>
    </r>
  </si>
  <si>
    <r>
      <rPr>
        <i/>
        <sz val="12"/>
        <color rgb="FF000000"/>
        <rFont val="Times New Roman"/>
        <family val="1"/>
      </rPr>
      <t>Ngày      tháng  3 năm 2026</t>
    </r>
    <r>
      <rPr>
        <sz val="12"/>
        <color rgb="FF000000"/>
        <rFont val="Times New Roman"/>
        <family val="1"/>
      </rPr>
      <t xml:space="preserve">
</t>
    </r>
    <r>
      <rPr>
        <b/>
        <sz val="12"/>
        <color rgb="FF000000"/>
        <rFont val="Times New Roman"/>
        <family val="1"/>
      </rPr>
      <t>T.M UBND</t>
    </r>
  </si>
  <si>
    <t>Mẫu biểu số 60/CK</t>
  </si>
  <si>
    <t>Vốn được phép kép dài năm 2024 sang năm 2025</t>
  </si>
  <si>
    <t>(Kèm theo Quyết định số         /QĐ-UBND ngày      tháng 4 năm 2026 của UBND xã Phong Quang)</t>
  </si>
  <si>
    <t>(Quyết toán đã được Hội đồng nhân dân xã phê chuẩn)</t>
  </si>
  <si>
    <r>
      <t xml:space="preserve">QUYẾT TOÁN CHI CHƯƠNG TRÌNH MỤC TIÊU QUỐC GIA NĂM 2025
(Quyết toán đã được Hội đồng nhân dân xã phê chuẩn)
</t>
    </r>
    <r>
      <rPr>
        <i/>
        <sz val="15"/>
        <color rgb="FF000000"/>
        <rFont val="Times New Roman"/>
        <family val="1"/>
      </rPr>
      <t>(Kèm theo Quyết định số:       /QĐ-UBND ngày     tháng 4 năm 2026 của UBND xã Phong Quang)</t>
    </r>
  </si>
  <si>
    <t xml:space="preserve">   Mẫu biểu số 64</t>
  </si>
  <si>
    <t xml:space="preserve">Mẫu biểu số 65
</t>
  </si>
  <si>
    <t>Mẫu biểu số 61</t>
  </si>
  <si>
    <t>Biểu mẫu số 62</t>
  </si>
  <si>
    <t>Biểu mẫu số 49</t>
  </si>
  <si>
    <t>Biểu mẫu số 48</t>
  </si>
  <si>
    <t>Biểu mẫu số 52</t>
  </si>
  <si>
    <t>Biểu mẫu số 53</t>
  </si>
  <si>
    <t>Biểu mẫu số 55</t>
  </si>
  <si>
    <t>Biểu mẫu số 54</t>
  </si>
  <si>
    <t>Biểu mẫu số 56</t>
  </si>
  <si>
    <t>Biểu mẫu số 57</t>
  </si>
  <si>
    <r>
      <t>Biểu mẫu số 58</t>
    </r>
    <r>
      <rPr>
        <sz val="10"/>
        <color rgb="FF00000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</si>
</sst>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43" formatCode="_(* #,##0.00_);_(* \(#,##0.00\);_(* &quot;-&quot;??_);_(@_)"/>
    <numFmt numFmtId="164" formatCode="_-* #,##0.00\ _₫_-;\-* #,##0.00\ _₫_-;_-* &quot;-&quot;??\ _₫_-;_-@_-"/>
    <numFmt numFmtId="165" formatCode="#,##0.0"/>
    <numFmt numFmtId="166" formatCode="_(* #,##0_);_(* \(#,##0\);_(* &quot;-&quot;??_);_(@_)"/>
    <numFmt numFmtId="167" formatCode="_(* #,##0.0000_);_(* \(#,##0.0000\);_(* &quot;-&quot;??_);_(@_)"/>
    <numFmt numFmtId="168" formatCode="_(* #,##0.00000_);_(* \(#,##0.00000\);_(* &quot;-&quot;??_);_(@_)"/>
    <numFmt numFmtId="169" formatCode="_(* #,##0.000000_);_(* \(#,##0.000000\);_(* &quot;-&quot;??_);_(@_)"/>
    <numFmt numFmtId="170" formatCode="_(* #,##0.0_);_(* \(#,##0.0\);_(* &quot;-&quot;??_);_(@_)"/>
    <numFmt numFmtId="171" formatCode="_(* #,##0.000_);_(* \(#,##0.000\);_(* &quot;-&quot;??_);_(@_)"/>
    <numFmt numFmtId="172" formatCode="_(* #,##0.0000000_);_(* \(#,##0.0000000\);_(* &quot;-&quot;??_);_(@_)"/>
    <numFmt numFmtId="173" formatCode="_(* #,##0.00000000_);_(* \(#,##0.00000000\);_(* &quot;-&quot;??_);_(@_)"/>
    <numFmt numFmtId="174" formatCode="_(* #,##0.000000_);_(* \(#,##0.000000\);_(* &quot;-&quot;??????_);_(@_)"/>
    <numFmt numFmtId="175" formatCode="0.000000"/>
    <numFmt numFmtId="176" formatCode="_(* #,##0.0_);_(* \(#,##0.0\);_(* &quot;-&quot;?_);_(@_)"/>
    <numFmt numFmtId="177" formatCode="0.000"/>
    <numFmt numFmtId="178" formatCode="_(* #,##0.000000000_);_(* \(#,##0.000000000\);_(* &quot;-&quot;??_);_(@_)"/>
    <numFmt numFmtId="179" formatCode="#,##0.000"/>
    <numFmt numFmtId="180" formatCode="_-* #,##0.00000\ _₫_-;\-* #,##0.00000\ _₫_-;_-* &quot;-&quot;?????\ _₫_-;_-@_-"/>
    <numFmt numFmtId="181" formatCode="#,##0.0000"/>
    <numFmt numFmtId="182" formatCode="_-* #,##0\ _₫_-;\-* #,##0\ _₫_-;_-* &quot;-&quot;??\ _₫_-;_-@_-"/>
    <numFmt numFmtId="183" formatCode="_-* #,##0.000\ _₫_-;\-* #,##0.000\ _₫_-;_-* &quot;-&quot;??\ _₫_-;_-@_-"/>
    <numFmt numFmtId="184" formatCode="_(* #,##0.0000000_);_(* \(#,##0.0000000\);_(* &quot;-&quot;???????_);_(@_)"/>
    <numFmt numFmtId="185" formatCode="[$-1010409]#,##0;\-#,##0"/>
    <numFmt numFmtId="186" formatCode="[$-1010409]General"/>
    <numFmt numFmtId="187" formatCode="0.00000000"/>
    <numFmt numFmtId="188" formatCode="_(* #,##0.0000_);_(* \(#,##0.0000\);_(* &quot;-&quot;????_);_(@_)"/>
    <numFmt numFmtId="189" formatCode="#,##0_ ;\-#,##0\ "/>
    <numFmt numFmtId="190" formatCode="_(* #,##0.000_);_(* \(#,##0.000\);_(* \-??_);_(@_)"/>
    <numFmt numFmtId="191" formatCode="_(* #,##0.000000_);_(* \(#,##0.000000\);_(* \-??_);_(@_)"/>
    <numFmt numFmtId="192" formatCode="_(* #,##0_);_(* \(#,##0\);_(* \-??_);_(@_)"/>
    <numFmt numFmtId="193" formatCode="0.0000000"/>
    <numFmt numFmtId="194" formatCode="_(* #,##0.00000000_);_(* \(#,##0.00000000\);_(* &quot;-&quot;????????_);_(@_)"/>
    <numFmt numFmtId="195" formatCode="_-* #,##0.0000\ _₫_-;\-* #,##0.0000\ _₫_-;_-* &quot;-&quot;??\ _₫_-;_-@_-"/>
    <numFmt numFmtId="196" formatCode="dd\/mm\/yyyy"/>
    <numFmt numFmtId="197" formatCode="#,##0.00000000"/>
    <numFmt numFmtId="198" formatCode="0.000000000"/>
    <numFmt numFmtId="199" formatCode="_(* #,##0.00000000000_);_(* \(#,##0.00000000000\);_(* &quot;-&quot;??_);_(@_)"/>
    <numFmt numFmtId="200" formatCode="_(* #,##0.000000_);_(* \(#,##0.000000\);_(* &quot;-&quot;???????_);_(@_)"/>
    <numFmt numFmtId="201" formatCode="[$-1010409]#,##0.0000;\-#,##0.0000"/>
    <numFmt numFmtId="202" formatCode="[$-1010409]#,##0.000000;\-#,##0.000000"/>
    <numFmt numFmtId="203" formatCode="[$-1010409]#,##0.00;\-#,##0.00"/>
    <numFmt numFmtId="204" formatCode="[$-1010409]#,##0.000;\-#,##0.000"/>
    <numFmt numFmtId="205" formatCode="[$-1010409]#,##0.0000000;\-#,##0.0000000"/>
    <numFmt numFmtId="206" formatCode="_-* #,##0.000\ _₫_-;\-* #,##0.000\ _₫_-;_-* &quot;-&quot;???\ _₫_-;_-@_-"/>
    <numFmt numFmtId="207" formatCode="_-* #,##0.0000000\ _₫_-;\-* #,##0.0000000\ _₫_-;_-* &quot;-&quot;???\ _₫_-;_-@_-"/>
    <numFmt numFmtId="208" formatCode="_-* #,##0\ _₫_-;\-* #,##0\ _₫_-;_-* &quot;-&quot;?????\ _₫_-;_-@_-"/>
    <numFmt numFmtId="209" formatCode="_-* #,##0.000000\ _₫_-;\-* #,##0.000000\ _₫_-;_-* &quot;-&quot;??????\ _₫_-;_-@_-"/>
    <numFmt numFmtId="210" formatCode="_-* #,##0.000000\ _₫_-;\-* #,##0.000000\ _₫_-;_-* &quot;-&quot;??\ _₫_-;_-@_-"/>
    <numFmt numFmtId="211" formatCode="_(* #,##0.0000000000_);_(* \(#,##0.0000000000\);_(* &quot;-&quot;??_);_(@_)"/>
    <numFmt numFmtId="212" formatCode="_(* #,##0.000_);_(* \(#,##0.000\);_(* &quot;-&quot;???_);_(@_)"/>
    <numFmt numFmtId="213" formatCode="_-* #,##0.0000000\ _₫_-;\-* #,##0.0000000\ _₫_-;_-* &quot;-&quot;???????\ _₫_-;_-@_-"/>
    <numFmt numFmtId="214" formatCode="_(* #,##0_);_(* \(#,##0\);_(* &quot;-&quot;?_);_(@_)"/>
    <numFmt numFmtId="215" formatCode="_-* #,##0.0\ _₫_-;\-* #,##0.0\ _₫_-;_-* &quot;-&quot;??\ _₫_-;_-@_-"/>
    <numFmt numFmtId="216" formatCode="###\ ###\ ###\ ###\ ###"/>
    <numFmt numFmtId="217" formatCode="_-* #,##0.0000\ _₫_-;\-* #,##0.0000\ _₫_-;_-* &quot;-&quot;????\ _₫_-;_-@_-"/>
    <numFmt numFmtId="218" formatCode="_-* #,##0.000000\ _₫_-;\-* #,##0.000000\ _₫_-;_-* &quot;-&quot;???\ _₫_-;_-@_-"/>
    <numFmt numFmtId="219" formatCode="_-* #,##0.00000000\ _₫_-;\-* #,##0.00000000\ _₫_-;_-* &quot;-&quot;???\ _₫_-;_-@_-"/>
    <numFmt numFmtId="220" formatCode="_-* #,##0.000000\ _₫_-;\-* #,##0.000000\ _₫_-;_-* &quot;-&quot;????\ _₫_-;_-@_-"/>
    <numFmt numFmtId="221" formatCode="_(* #,##0.00000_);_(* \(#,##0.00000\);_(* &quot;-&quot;???_);_(@_)"/>
    <numFmt numFmtId="222" formatCode="#,##0.0000000"/>
    <numFmt numFmtId="223" formatCode="_-* #,##0.000\ _₫_-;\-* #,##0.000\ _₫_-;_-* &quot;-&quot;??????\ _₫_-;_-@_-"/>
    <numFmt numFmtId="224" formatCode="_-* #,##0.00\ _₫_-;\-* #,##0.00\ _₫_-;_-* &quot;-&quot;??????\ _₫_-;_-@_-"/>
    <numFmt numFmtId="225" formatCode="_-* #,##0.0000000\ _₫_-;\-* #,##0.0000000\ _₫_-;_-* &quot;-&quot;??\ _₫_-;_-@_-"/>
    <numFmt numFmtId="226" formatCode="_(* #,##0.000000000_);_(* \(#,##0.000000000\);_(* &quot;-&quot;?????????_);_(@_)"/>
    <numFmt numFmtId="227" formatCode="_(* #,##0.0000000000_);_(* \(#,##0.0000000000\);_(* &quot;-&quot;??????_);_(@_)"/>
    <numFmt numFmtId="228" formatCode="[$-1042A]#,###"/>
    <numFmt numFmtId="229" formatCode="0.0%"/>
    <numFmt numFmtId="230" formatCode="[$-1042A]#,###.0"/>
    <numFmt numFmtId="231" formatCode="[$-1042A]#,###.0000"/>
  </numFmts>
  <fonts count="297" x14ac:knownFonts="1">
    <font>
      <sz val="11"/>
      <color theme="1"/>
      <name val="times new roman"/>
      <family val="2"/>
      <charset val="163"/>
    </font>
    <font>
      <sz val="11"/>
      <color theme="1"/>
      <name val="Calibri"/>
      <family val="2"/>
      <charset val="163"/>
      <scheme val="minor"/>
    </font>
    <font>
      <b/>
      <sz val="12"/>
      <name val="Times New Roman"/>
      <family val="1"/>
    </font>
    <font>
      <i/>
      <sz val="12"/>
      <name val="Times New Roman"/>
      <family val="1"/>
    </font>
    <font>
      <sz val="12"/>
      <color indexed="8"/>
      <name val="Times New Roman"/>
      <family val="1"/>
    </font>
    <font>
      <i/>
      <sz val="12"/>
      <color indexed="8"/>
      <name val="Times New Roman"/>
      <family val="1"/>
    </font>
    <font>
      <sz val="12"/>
      <name val="Times New Roman"/>
      <family val="1"/>
    </font>
    <font>
      <u/>
      <sz val="12"/>
      <name val="Times New Roman"/>
      <family val="1"/>
    </font>
    <font>
      <b/>
      <i/>
      <sz val="12"/>
      <name val="Times New Roman"/>
      <family val="1"/>
    </font>
    <font>
      <b/>
      <sz val="14"/>
      <name val="Times New Roman"/>
      <family val="1"/>
    </font>
    <font>
      <sz val="12"/>
      <name val=".VnTime"/>
      <family val="2"/>
    </font>
    <font>
      <sz val="12"/>
      <name val=".VnArial Narrow"/>
      <family val="2"/>
    </font>
    <font>
      <sz val="14"/>
      <name val=".VnArial Narrow"/>
      <family val="2"/>
    </font>
    <font>
      <sz val="14"/>
      <name val="Times New Roman"/>
      <family val="1"/>
    </font>
    <font>
      <b/>
      <sz val="9"/>
      <color indexed="81"/>
      <name val="Tahoma"/>
      <family val="2"/>
    </font>
    <font>
      <sz val="9"/>
      <color indexed="81"/>
      <name val="Tahoma"/>
      <family val="2"/>
    </font>
    <font>
      <sz val="12"/>
      <name val=".VnTime"/>
      <family val="2"/>
    </font>
    <font>
      <i/>
      <sz val="12"/>
      <name val="Times New Roman"/>
      <family val="1"/>
      <charset val="163"/>
    </font>
    <font>
      <b/>
      <sz val="12"/>
      <name val="Times New Roman"/>
      <family val="1"/>
      <charset val="163"/>
    </font>
    <font>
      <sz val="10"/>
      <name val=".VnTime"/>
      <family val="2"/>
    </font>
    <font>
      <b/>
      <sz val="10"/>
      <name val=".VnTimeH"/>
      <family val="2"/>
    </font>
    <font>
      <b/>
      <sz val="10"/>
      <name val=".VnTime"/>
      <family val="2"/>
    </font>
    <font>
      <sz val="10"/>
      <name val="Times New Roman"/>
      <family val="1"/>
      <charset val="163"/>
    </font>
    <font>
      <b/>
      <sz val="10"/>
      <name val="Times New Roman"/>
      <family val="1"/>
      <charset val="163"/>
    </font>
    <font>
      <sz val="11"/>
      <name val=".VnTime"/>
      <family val="2"/>
    </font>
    <font>
      <sz val="11"/>
      <name val="Times New Roman"/>
      <family val="1"/>
      <charset val="163"/>
    </font>
    <font>
      <sz val="11"/>
      <name val="Arial"/>
      <family val="2"/>
      <charset val="163"/>
    </font>
    <font>
      <b/>
      <sz val="11"/>
      <name val=".VnTime"/>
      <family val="2"/>
    </font>
    <font>
      <b/>
      <sz val="11"/>
      <name val="Arial"/>
      <family val="2"/>
      <charset val="163"/>
    </font>
    <font>
      <b/>
      <sz val="11"/>
      <name val="Times New Roman"/>
      <family val="1"/>
      <charset val="163"/>
    </font>
    <font>
      <b/>
      <vertAlign val="superscript"/>
      <sz val="11"/>
      <name val="Times New Roman"/>
      <family val="1"/>
      <charset val="163"/>
    </font>
    <font>
      <i/>
      <sz val="11"/>
      <name val="Times New Roman"/>
      <family val="1"/>
      <charset val="163"/>
    </font>
    <font>
      <i/>
      <sz val="14"/>
      <name val="Times New Roman"/>
      <family val="1"/>
      <charset val="163"/>
    </font>
    <font>
      <b/>
      <sz val="12"/>
      <name val="Arial"/>
      <family val="2"/>
    </font>
    <font>
      <b/>
      <vertAlign val="superscript"/>
      <sz val="10"/>
      <name val="Times New Roman"/>
      <family val="1"/>
      <charset val="163"/>
    </font>
    <font>
      <sz val="11"/>
      <color indexed="8"/>
      <name val="Times New Roman"/>
      <family val="1"/>
    </font>
    <font>
      <b/>
      <sz val="11"/>
      <color indexed="8"/>
      <name val="Times New Roman"/>
      <family val="1"/>
    </font>
    <font>
      <vertAlign val="superscript"/>
      <sz val="11"/>
      <color indexed="8"/>
      <name val="Times New Roman"/>
      <family val="1"/>
    </font>
    <font>
      <b/>
      <vertAlign val="superscript"/>
      <sz val="11"/>
      <color indexed="8"/>
      <name val="Times New Roman"/>
      <family val="1"/>
    </font>
    <font>
      <sz val="13"/>
      <color indexed="8"/>
      <name val="Times New Roman"/>
      <family val="1"/>
    </font>
    <font>
      <i/>
      <sz val="13"/>
      <color indexed="8"/>
      <name val="Times New Roman"/>
      <family val="1"/>
    </font>
    <font>
      <b/>
      <sz val="10"/>
      <name val="Times New Roman"/>
      <family val="1"/>
    </font>
    <font>
      <sz val="10"/>
      <name val="Times New Roman"/>
      <family val="1"/>
    </font>
    <font>
      <i/>
      <sz val="10"/>
      <name val="Times New Roman"/>
      <family val="1"/>
    </font>
    <font>
      <sz val="11"/>
      <color indexed="8"/>
      <name val="times new roman"/>
      <family val="2"/>
      <charset val="163"/>
    </font>
    <font>
      <sz val="11"/>
      <color indexed="8"/>
      <name val="Times New Roman"/>
      <family val="1"/>
    </font>
    <font>
      <sz val="12"/>
      <color indexed="8"/>
      <name val="Times New Roman"/>
      <family val="1"/>
    </font>
    <font>
      <b/>
      <sz val="12"/>
      <color indexed="8"/>
      <name val="Times New Roman"/>
      <family val="1"/>
    </font>
    <font>
      <i/>
      <sz val="12"/>
      <color indexed="8"/>
      <name val="Times New Roman"/>
      <family val="1"/>
    </font>
    <font>
      <b/>
      <i/>
      <sz val="12"/>
      <color indexed="8"/>
      <name val="Times New Roman"/>
      <family val="1"/>
    </font>
    <font>
      <sz val="9"/>
      <color indexed="8"/>
      <name val="Arial"/>
      <family val="2"/>
    </font>
    <font>
      <b/>
      <sz val="11"/>
      <color indexed="8"/>
      <name val="Times New Roman"/>
      <family val="1"/>
    </font>
    <font>
      <sz val="11"/>
      <color indexed="8"/>
      <name val="Times New Roman"/>
      <family val="1"/>
    </font>
    <font>
      <i/>
      <sz val="11"/>
      <color indexed="8"/>
      <name val="Times New Roman"/>
      <family val="1"/>
    </font>
    <font>
      <b/>
      <sz val="11"/>
      <color indexed="8"/>
      <name val="Times New Roman"/>
      <family val="1"/>
    </font>
    <font>
      <sz val="13"/>
      <color indexed="8"/>
      <name val="Times New Roman"/>
      <family val="1"/>
    </font>
    <font>
      <b/>
      <sz val="13"/>
      <color indexed="8"/>
      <name val="Times New Roman"/>
      <family val="1"/>
    </font>
    <font>
      <sz val="13"/>
      <color indexed="8"/>
      <name val="Times New Roman"/>
      <family val="1"/>
    </font>
    <font>
      <i/>
      <sz val="13"/>
      <color indexed="8"/>
      <name val="Times New Roman"/>
      <family val="1"/>
    </font>
    <font>
      <i/>
      <sz val="13"/>
      <color indexed="8"/>
      <name val="Times New Roman"/>
      <family val="1"/>
    </font>
    <font>
      <b/>
      <sz val="13"/>
      <color indexed="8"/>
      <name val="Times New Roman"/>
      <family val="1"/>
    </font>
    <font>
      <b/>
      <i/>
      <sz val="13"/>
      <color indexed="8"/>
      <name val="Times New Roman"/>
      <family val="1"/>
    </font>
    <font>
      <b/>
      <sz val="12"/>
      <color indexed="10"/>
      <name val="Times New Roman"/>
      <family val="1"/>
    </font>
    <font>
      <sz val="9"/>
      <color indexed="8"/>
      <name val="Times New Roman"/>
      <family val="1"/>
    </font>
    <font>
      <b/>
      <sz val="9"/>
      <color indexed="8"/>
      <name val="Times New Roman"/>
      <family val="1"/>
    </font>
    <font>
      <sz val="12"/>
      <color indexed="8"/>
      <name val="Times New Roman"/>
      <family val="1"/>
    </font>
    <font>
      <i/>
      <sz val="11"/>
      <color indexed="8"/>
      <name val="Times New Roman"/>
      <family val="1"/>
    </font>
    <font>
      <i/>
      <sz val="14"/>
      <color indexed="8"/>
      <name val="Times New Roman"/>
      <family val="1"/>
    </font>
    <font>
      <b/>
      <sz val="15"/>
      <color indexed="8"/>
      <name val="Times New Roman"/>
      <family val="1"/>
    </font>
    <font>
      <b/>
      <sz val="14"/>
      <color indexed="8"/>
      <name val="Times New Roman"/>
      <family val="1"/>
    </font>
    <font>
      <sz val="8"/>
      <name val="times new roman"/>
      <family val="2"/>
      <charset val="163"/>
    </font>
    <font>
      <sz val="11"/>
      <name val="Times New Roman"/>
      <family val="1"/>
    </font>
    <font>
      <sz val="9"/>
      <name val="Times New Roman"/>
      <family val="1"/>
    </font>
    <font>
      <b/>
      <sz val="11"/>
      <name val="Times New Roman"/>
      <family val="1"/>
    </font>
    <font>
      <sz val="13"/>
      <name val="Arial"/>
      <family val="2"/>
    </font>
    <font>
      <i/>
      <sz val="11"/>
      <name val="Times New Roman"/>
      <family val="1"/>
    </font>
    <font>
      <b/>
      <sz val="9"/>
      <name val="Times New Roman"/>
      <family val="1"/>
    </font>
    <font>
      <i/>
      <sz val="9"/>
      <name val="Times New Roman"/>
      <family val="1"/>
    </font>
    <font>
      <sz val="10"/>
      <name val="Arial"/>
      <family val="2"/>
    </font>
    <font>
      <sz val="12"/>
      <name val="Times New Roman"/>
      <family val="1"/>
      <charset val="163"/>
    </font>
    <font>
      <sz val="11"/>
      <name val="times new roman"/>
      <family val="2"/>
      <charset val="163"/>
    </font>
    <font>
      <sz val="11"/>
      <color indexed="8"/>
      <name val="times new roman"/>
      <family val="2"/>
      <charset val="163"/>
    </font>
    <font>
      <b/>
      <sz val="11"/>
      <color indexed="10"/>
      <name val="Times New Roman"/>
      <family val="1"/>
    </font>
    <font>
      <sz val="14"/>
      <color indexed="8"/>
      <name val="Times New Roman"/>
      <family val="1"/>
    </font>
    <font>
      <b/>
      <i/>
      <sz val="10"/>
      <name val="Times New Roman"/>
      <family val="1"/>
    </font>
    <font>
      <i/>
      <sz val="10"/>
      <name val="Times New Roman"/>
      <family val="1"/>
      <charset val="163"/>
    </font>
    <font>
      <sz val="12"/>
      <name val="times new roman"/>
      <family val="2"/>
      <charset val="163"/>
    </font>
    <font>
      <b/>
      <sz val="8"/>
      <name val="Times New Roman"/>
      <family val="1"/>
    </font>
    <font>
      <sz val="8"/>
      <name val="Times New Roman"/>
      <family val="1"/>
    </font>
    <font>
      <i/>
      <sz val="14"/>
      <name val="Times New Roman"/>
      <family val="1"/>
    </font>
    <font>
      <sz val="12"/>
      <color indexed="8"/>
      <name val="Times New Roman"/>
      <family val="2"/>
    </font>
    <font>
      <b/>
      <sz val="13"/>
      <name val="Times New Roman"/>
      <family val="1"/>
    </font>
    <font>
      <b/>
      <sz val="12"/>
      <color indexed="8"/>
      <name val="Times New Roman"/>
      <family val="1"/>
    </font>
    <font>
      <sz val="11"/>
      <color indexed="8"/>
      <name val="Times New Roman"/>
      <family val="1"/>
    </font>
    <font>
      <i/>
      <sz val="12"/>
      <color indexed="8"/>
      <name val="Times New Roman"/>
      <family val="1"/>
    </font>
    <font>
      <sz val="9"/>
      <color indexed="8"/>
      <name val="Times New Roman"/>
      <family val="1"/>
    </font>
    <font>
      <b/>
      <sz val="9"/>
      <color indexed="8"/>
      <name val="Times New Roman"/>
      <family val="1"/>
    </font>
    <font>
      <sz val="12"/>
      <color indexed="8"/>
      <name val="Times New Roman"/>
      <family val="1"/>
    </font>
    <font>
      <sz val="10"/>
      <color indexed="8"/>
      <name val="Times New Roman"/>
      <family val="1"/>
    </font>
    <font>
      <i/>
      <sz val="9"/>
      <color indexed="8"/>
      <name val="Times New Roman"/>
      <family val="1"/>
    </font>
    <font>
      <b/>
      <sz val="10"/>
      <color indexed="8"/>
      <name val="Times New Roman"/>
      <family val="1"/>
    </font>
    <font>
      <b/>
      <sz val="14"/>
      <color indexed="8"/>
      <name val="Times New Roman"/>
      <family val="1"/>
    </font>
    <font>
      <sz val="11"/>
      <color theme="1"/>
      <name val="times new roman"/>
      <family val="2"/>
      <charset val="163"/>
    </font>
    <font>
      <sz val="11"/>
      <color theme="1"/>
      <name val="Arial"/>
      <family val="2"/>
    </font>
    <font>
      <u/>
      <sz val="11"/>
      <color theme="10"/>
      <name val="times new roman"/>
      <family val="2"/>
      <charset val="163"/>
    </font>
    <font>
      <sz val="12"/>
      <color theme="1"/>
      <name val="Times New Roman"/>
      <family val="2"/>
    </font>
    <font>
      <b/>
      <sz val="11"/>
      <color theme="1"/>
      <name val="times new roman"/>
      <family val="1"/>
    </font>
    <font>
      <sz val="11"/>
      <color theme="0"/>
      <name val="times new roman"/>
      <family val="2"/>
      <charset val="163"/>
    </font>
    <font>
      <b/>
      <i/>
      <sz val="10"/>
      <color rgb="FFFF0000"/>
      <name val="Times New Roman"/>
      <family val="1"/>
    </font>
    <font>
      <b/>
      <sz val="10"/>
      <color rgb="FFFF0000"/>
      <name val="Times New Roman"/>
      <family val="1"/>
    </font>
    <font>
      <sz val="10"/>
      <color rgb="FFFF0000"/>
      <name val="Times New Roman"/>
      <family val="1"/>
    </font>
    <font>
      <b/>
      <sz val="12"/>
      <color theme="1"/>
      <name val="Times New Roman"/>
      <family val="1"/>
      <charset val="163"/>
    </font>
    <font>
      <sz val="12"/>
      <color theme="1"/>
      <name val="Times New Roman"/>
      <family val="1"/>
      <charset val="163"/>
    </font>
    <font>
      <i/>
      <sz val="12"/>
      <color theme="1"/>
      <name val="Times New Roman"/>
      <family val="1"/>
      <charset val="163"/>
    </font>
    <font>
      <b/>
      <sz val="12"/>
      <color theme="1"/>
      <name val="Times New Roman"/>
      <family val="1"/>
    </font>
    <font>
      <sz val="12"/>
      <color rgb="FFFF0000"/>
      <name val="Times New Roman"/>
      <family val="1"/>
    </font>
    <font>
      <sz val="14"/>
      <color theme="1"/>
      <name val="Times New Roman"/>
      <family val="1"/>
    </font>
    <font>
      <sz val="14"/>
      <color rgb="FFFF0000"/>
      <name val="Times New Roman"/>
      <family val="1"/>
    </font>
    <font>
      <sz val="10"/>
      <color theme="1"/>
      <name val="Times New Roman"/>
      <family val="2"/>
    </font>
    <font>
      <b/>
      <sz val="14"/>
      <color theme="1"/>
      <name val="Times New Roman"/>
      <family val="2"/>
    </font>
    <font>
      <i/>
      <sz val="10"/>
      <color theme="1"/>
      <name val="Times New Roman"/>
      <family val="2"/>
    </font>
    <font>
      <b/>
      <sz val="10"/>
      <color theme="1"/>
      <name val="Times New Roman"/>
      <family val="2"/>
    </font>
    <font>
      <b/>
      <u/>
      <sz val="10"/>
      <color theme="1"/>
      <name val="Times New Roman"/>
      <family val="2"/>
    </font>
    <font>
      <sz val="9"/>
      <color theme="1"/>
      <name val="Times New Roman"/>
      <family val="2"/>
    </font>
    <font>
      <sz val="11"/>
      <color theme="0"/>
      <name val="Times New Roman"/>
      <family val="1"/>
    </font>
    <font>
      <b/>
      <sz val="12"/>
      <color theme="0"/>
      <name val="Times New Roman"/>
      <family val="1"/>
    </font>
    <font>
      <i/>
      <sz val="12"/>
      <color theme="0"/>
      <name val="Times New Roman"/>
      <family val="1"/>
    </font>
    <font>
      <b/>
      <sz val="14"/>
      <color theme="0"/>
      <name val="Times New Roman"/>
      <family val="1"/>
    </font>
    <font>
      <sz val="12"/>
      <color theme="0"/>
      <name val="Times New Roman"/>
      <family val="1"/>
    </font>
    <font>
      <sz val="10"/>
      <color theme="1"/>
      <name val="Times New Roman"/>
      <family val="1"/>
    </font>
    <font>
      <b/>
      <sz val="9"/>
      <color indexed="8"/>
      <name val="Times New Roman"/>
      <family val="1"/>
    </font>
    <font>
      <sz val="9"/>
      <color indexed="8"/>
      <name val="Times New Roman"/>
      <family val="1"/>
    </font>
    <font>
      <i/>
      <sz val="12"/>
      <color rgb="FFFF0000"/>
      <name val="Times New Roman"/>
      <family val="1"/>
    </font>
    <font>
      <sz val="11"/>
      <color theme="1"/>
      <name val="Times New Roman"/>
      <family val="1"/>
    </font>
    <font>
      <sz val="9"/>
      <color rgb="FFFF0000"/>
      <name val="Times New Roman"/>
      <family val="1"/>
    </font>
    <font>
      <b/>
      <sz val="8"/>
      <color theme="1"/>
      <name val="Times New Roman"/>
      <family val="1"/>
    </font>
    <font>
      <sz val="8"/>
      <color theme="1"/>
      <name val="Times New Roman"/>
      <family val="1"/>
    </font>
    <font>
      <sz val="9"/>
      <color theme="0"/>
      <name val="Times New Roman"/>
      <family val="1"/>
    </font>
    <font>
      <sz val="10"/>
      <color theme="0"/>
      <name val="Times New Roman"/>
      <family val="1"/>
    </font>
    <font>
      <sz val="12"/>
      <color theme="1"/>
      <name val="Times New Roman"/>
      <family val="1"/>
    </font>
    <font>
      <i/>
      <sz val="11"/>
      <color theme="1"/>
      <name val="Times New Roman"/>
      <family val="1"/>
    </font>
    <font>
      <b/>
      <sz val="8"/>
      <color indexed="8"/>
      <name val="Times New Roman"/>
      <family val="1"/>
    </font>
    <font>
      <sz val="8"/>
      <color indexed="8"/>
      <name val="Times New Roman"/>
      <family val="1"/>
    </font>
    <font>
      <sz val="12"/>
      <color theme="1"/>
      <name val="times new roman"/>
      <family val="2"/>
      <charset val="163"/>
    </font>
    <font>
      <sz val="12"/>
      <color indexed="8"/>
      <name val="Tahoma"/>
      <family val="2"/>
    </font>
    <font>
      <b/>
      <sz val="9"/>
      <color theme="0"/>
      <name val="Times New Roman"/>
      <family val="1"/>
    </font>
    <font>
      <i/>
      <sz val="9"/>
      <color theme="0"/>
      <name val="Times New Roman"/>
      <family val="1"/>
    </font>
    <font>
      <sz val="14"/>
      <color theme="0"/>
      <name val="Times New Roman"/>
      <family val="1"/>
    </font>
    <font>
      <i/>
      <sz val="10"/>
      <color theme="0"/>
      <name val="Times New Roman"/>
      <family val="1"/>
    </font>
    <font>
      <b/>
      <sz val="10"/>
      <color theme="0"/>
      <name val="Times New Roman"/>
      <family val="1"/>
    </font>
    <font>
      <sz val="13"/>
      <color theme="0"/>
      <name val="Times New Roman"/>
      <family val="1"/>
    </font>
    <font>
      <i/>
      <sz val="13"/>
      <color theme="0"/>
      <name val="Times New Roman"/>
      <family val="1"/>
    </font>
    <font>
      <b/>
      <sz val="13"/>
      <color theme="0"/>
      <name val="Times New Roman"/>
      <family val="1"/>
    </font>
    <font>
      <sz val="12"/>
      <color theme="0"/>
      <name val="Times New Roman"/>
      <family val="2"/>
    </font>
    <font>
      <sz val="10"/>
      <color theme="0"/>
      <name val="Times New Roman"/>
      <family val="2"/>
    </font>
    <font>
      <b/>
      <sz val="14"/>
      <color theme="0"/>
      <name val="Times New Roman"/>
      <family val="2"/>
    </font>
    <font>
      <i/>
      <sz val="10"/>
      <color theme="0"/>
      <name val="Times New Roman"/>
      <family val="2"/>
    </font>
    <font>
      <b/>
      <sz val="10"/>
      <color theme="0"/>
      <name val="Times New Roman"/>
      <family val="2"/>
    </font>
    <font>
      <b/>
      <u/>
      <sz val="10"/>
      <color theme="0"/>
      <name val="Times New Roman"/>
      <family val="2"/>
    </font>
    <font>
      <sz val="9"/>
      <color theme="0"/>
      <name val="Times New Roman"/>
      <family val="2"/>
    </font>
    <font>
      <sz val="13"/>
      <color theme="0"/>
      <name val="Times New Roman"/>
      <family val="2"/>
    </font>
    <font>
      <i/>
      <sz val="13"/>
      <color theme="0"/>
      <name val="Times New Roman"/>
      <family val="2"/>
    </font>
    <font>
      <b/>
      <sz val="13"/>
      <color theme="0"/>
      <name val="Times New Roman"/>
      <family val="2"/>
    </font>
    <font>
      <sz val="9"/>
      <color theme="0"/>
      <name val=".VnTime"/>
      <family val="2"/>
    </font>
    <font>
      <b/>
      <sz val="11"/>
      <color theme="0"/>
      <name val="Times New Roman"/>
      <family val="1"/>
    </font>
    <font>
      <b/>
      <sz val="6"/>
      <color theme="0"/>
      <name val="Times New Roman"/>
      <family val="1"/>
    </font>
    <font>
      <sz val="6"/>
      <color theme="0"/>
      <name val="Times New Roman"/>
      <family val="1"/>
    </font>
    <font>
      <sz val="6"/>
      <color theme="0"/>
      <name val=".VnTime"/>
      <family val="2"/>
    </font>
    <font>
      <b/>
      <sz val="9"/>
      <color theme="0"/>
      <name val=".VnTime"/>
      <family val="2"/>
    </font>
    <font>
      <b/>
      <sz val="7"/>
      <color theme="0"/>
      <name val="Times New Roman"/>
      <family val="1"/>
    </font>
    <font>
      <sz val="7"/>
      <color theme="0"/>
      <name val="Times New Roman"/>
      <family val="1"/>
    </font>
    <font>
      <b/>
      <sz val="8"/>
      <color theme="0"/>
      <name val="Times New Roman"/>
      <family val="1"/>
    </font>
    <font>
      <i/>
      <sz val="13"/>
      <name val="Times New Roman"/>
      <family val="1"/>
    </font>
    <font>
      <b/>
      <sz val="12"/>
      <color rgb="FFFF0000"/>
      <name val="Times New Roman"/>
      <family val="1"/>
    </font>
    <font>
      <sz val="8"/>
      <color rgb="FFFF0000"/>
      <name val="Times New Roman"/>
      <family val="1"/>
    </font>
    <font>
      <b/>
      <sz val="8"/>
      <color rgb="FFFF0000"/>
      <name val="Times New Roman"/>
      <family val="1"/>
    </font>
    <font>
      <sz val="11"/>
      <color rgb="FFFF0000"/>
      <name val="Times New Roman"/>
      <family val="1"/>
    </font>
    <font>
      <sz val="13"/>
      <name val="Times New Roman"/>
      <family val="1"/>
    </font>
    <font>
      <sz val="10"/>
      <color theme="1"/>
      <name val="times new roman"/>
      <family val="2"/>
      <charset val="163"/>
    </font>
    <font>
      <sz val="10"/>
      <name val="Arial"/>
      <family val="2"/>
    </font>
    <font>
      <sz val="14"/>
      <name val=".VnTime"/>
      <family val="2"/>
    </font>
    <font>
      <b/>
      <sz val="11"/>
      <color indexed="8"/>
      <name val="Times New Roman"/>
      <family val="1"/>
      <charset val="163"/>
    </font>
    <font>
      <sz val="11"/>
      <color indexed="8"/>
      <name val="Times New Roman"/>
      <family val="1"/>
      <charset val="163"/>
    </font>
    <font>
      <sz val="11"/>
      <color indexed="8"/>
      <name val="Calibri"/>
      <family val="2"/>
    </font>
    <font>
      <b/>
      <sz val="7"/>
      <name val="Times New Roman"/>
      <family val="1"/>
    </font>
    <font>
      <sz val="7"/>
      <name val="Times New Roman"/>
      <family val="1"/>
    </font>
    <font>
      <i/>
      <sz val="7"/>
      <name val="Times New Roman"/>
      <family val="1"/>
    </font>
    <font>
      <b/>
      <i/>
      <sz val="7"/>
      <name val="Times New Roman"/>
      <family val="1"/>
    </font>
    <font>
      <b/>
      <sz val="5"/>
      <name val="Times New Roman"/>
      <family val="1"/>
    </font>
    <font>
      <i/>
      <sz val="8"/>
      <name val="Times New Roman"/>
      <family val="1"/>
    </font>
    <font>
      <b/>
      <i/>
      <sz val="8"/>
      <name val="Times New Roman"/>
      <family val="1"/>
    </font>
    <font>
      <b/>
      <i/>
      <sz val="8"/>
      <color theme="1"/>
      <name val="Times New Roman"/>
      <family val="1"/>
    </font>
    <font>
      <i/>
      <sz val="12"/>
      <color theme="1"/>
      <name val="Times New Roman"/>
      <family val="2"/>
    </font>
    <font>
      <i/>
      <sz val="14"/>
      <color theme="1"/>
      <name val="Times New Roman"/>
      <family val="1"/>
    </font>
    <font>
      <sz val="10"/>
      <color theme="0"/>
      <name val="Times New Roman"/>
      <family val="1"/>
      <charset val="163"/>
    </font>
    <font>
      <i/>
      <sz val="11"/>
      <color theme="0"/>
      <name val="Times New Roman"/>
      <family val="1"/>
      <charset val="163"/>
    </font>
    <font>
      <b/>
      <sz val="12"/>
      <color theme="0"/>
      <name val="Times New Roman"/>
      <family val="1"/>
      <charset val="163"/>
    </font>
    <font>
      <i/>
      <sz val="12"/>
      <color theme="0"/>
      <name val="Times New Roman"/>
      <family val="1"/>
      <charset val="163"/>
    </font>
    <font>
      <sz val="11"/>
      <color theme="0"/>
      <name val="Times New Roman"/>
      <family val="1"/>
      <charset val="163"/>
    </font>
    <font>
      <i/>
      <sz val="11"/>
      <color theme="0"/>
      <name val="Times New Roman"/>
      <family val="1"/>
    </font>
    <font>
      <sz val="8"/>
      <color theme="0"/>
      <name val="Times New Roman"/>
      <family val="1"/>
    </font>
    <font>
      <b/>
      <i/>
      <sz val="12"/>
      <color theme="0"/>
      <name val="Times New Roman"/>
      <family val="1"/>
    </font>
    <font>
      <b/>
      <sz val="12"/>
      <color rgb="FF333399"/>
      <name val="Times New Roman"/>
      <family val="1"/>
    </font>
    <font>
      <b/>
      <sz val="14"/>
      <color rgb="FF333399"/>
      <name val="Times New Roman"/>
      <family val="1"/>
    </font>
    <font>
      <i/>
      <sz val="10"/>
      <color rgb="FF333399"/>
      <name val="Times New Roman"/>
      <family val="1"/>
    </font>
    <font>
      <b/>
      <sz val="10"/>
      <color theme="1"/>
      <name val="Times New Roman"/>
      <family val="1"/>
    </font>
    <font>
      <b/>
      <i/>
      <sz val="14"/>
      <name val="Times New Roman"/>
      <family val="1"/>
    </font>
    <font>
      <i/>
      <sz val="12"/>
      <color rgb="FF333399"/>
      <name val="Times New Roman"/>
      <family val="1"/>
    </font>
    <font>
      <sz val="11"/>
      <color rgb="FFFF0000"/>
      <name val="Times New Roman"/>
      <family val="1"/>
      <charset val="163"/>
    </font>
    <font>
      <b/>
      <sz val="11"/>
      <color rgb="FFFF0000"/>
      <name val="Times New Roman"/>
      <family val="1"/>
      <charset val="163"/>
    </font>
    <font>
      <sz val="10"/>
      <color rgb="FFFF0000"/>
      <name val="Times New Roman"/>
      <family val="1"/>
      <charset val="163"/>
    </font>
    <font>
      <i/>
      <sz val="8"/>
      <color rgb="FFFF0000"/>
      <name val="Times New Roman"/>
      <family val="1"/>
    </font>
    <font>
      <sz val="11"/>
      <color theme="1"/>
      <name val="Calibri"/>
      <family val="2"/>
      <scheme val="minor"/>
    </font>
    <font>
      <i/>
      <sz val="8"/>
      <color theme="1"/>
      <name val="Times New Roman"/>
      <family val="1"/>
    </font>
    <font>
      <i/>
      <sz val="10"/>
      <color rgb="FFFF0000"/>
      <name val="Times New Roman"/>
      <family val="1"/>
    </font>
    <font>
      <sz val="14"/>
      <name val="times new roman"/>
      <family val="2"/>
      <charset val="163"/>
    </font>
    <font>
      <b/>
      <sz val="14"/>
      <name val="times new roman"/>
      <family val="2"/>
      <charset val="163"/>
    </font>
    <font>
      <i/>
      <sz val="14"/>
      <name val="times new roman"/>
      <family val="2"/>
      <charset val="163"/>
    </font>
    <font>
      <i/>
      <sz val="12"/>
      <name val="times new roman"/>
      <family val="2"/>
      <charset val="163"/>
    </font>
    <font>
      <sz val="10"/>
      <name val="Arial"/>
      <family val="2"/>
      <charset val="163"/>
    </font>
    <font>
      <b/>
      <i/>
      <u/>
      <sz val="11"/>
      <name val="Times New Roman"/>
      <family val="1"/>
    </font>
    <font>
      <sz val="11"/>
      <name val=".VnArial Narrow"/>
      <family val="2"/>
    </font>
    <font>
      <sz val="14"/>
      <color theme="1"/>
      <name val="times new roman"/>
      <family val="2"/>
      <charset val="163"/>
    </font>
    <font>
      <b/>
      <sz val="14"/>
      <color indexed="8"/>
      <name val="times new roman"/>
      <family val="2"/>
      <charset val="163"/>
    </font>
    <font>
      <b/>
      <sz val="14"/>
      <color indexed="10"/>
      <name val="times new roman"/>
      <family val="2"/>
      <charset val="163"/>
    </font>
    <font>
      <sz val="14"/>
      <color indexed="10"/>
      <name val="times new roman"/>
      <family val="2"/>
      <charset val="163"/>
    </font>
    <font>
      <sz val="14"/>
      <color indexed="8"/>
      <name val="times new roman"/>
      <family val="2"/>
      <charset val="163"/>
    </font>
    <font>
      <i/>
      <sz val="14"/>
      <color theme="0"/>
      <name val="times new roman"/>
      <family val="2"/>
      <charset val="163"/>
    </font>
    <font>
      <sz val="14"/>
      <color theme="0"/>
      <name val="times new roman"/>
      <family val="2"/>
      <charset val="163"/>
    </font>
    <font>
      <b/>
      <sz val="14"/>
      <color theme="0"/>
      <name val="times new roman"/>
      <family val="2"/>
      <charset val="163"/>
    </font>
    <font>
      <b/>
      <i/>
      <sz val="14"/>
      <color theme="0"/>
      <name val="times new roman"/>
      <family val="2"/>
      <charset val="163"/>
    </font>
    <font>
      <b/>
      <i/>
      <sz val="13"/>
      <name val="Times New Roman"/>
      <family val="1"/>
    </font>
    <font>
      <i/>
      <sz val="10"/>
      <color theme="1"/>
      <name val="Times New Roman"/>
      <family val="1"/>
    </font>
    <font>
      <b/>
      <i/>
      <sz val="10"/>
      <color theme="1"/>
      <name val="Times New Roman"/>
      <family val="1"/>
    </font>
    <font>
      <b/>
      <i/>
      <sz val="11"/>
      <name val="Times New Roman"/>
      <family val="1"/>
    </font>
    <font>
      <i/>
      <sz val="12"/>
      <color theme="1"/>
      <name val="Times New Roman"/>
      <family val="1"/>
    </font>
    <font>
      <i/>
      <sz val="11"/>
      <color rgb="FF0070C0"/>
      <name val="Times New Roman"/>
      <family val="1"/>
    </font>
    <font>
      <b/>
      <i/>
      <sz val="11"/>
      <color rgb="FF0070C0"/>
      <name val="Times New Roman"/>
      <family val="1"/>
    </font>
    <font>
      <b/>
      <sz val="11"/>
      <color rgb="FF0070C0"/>
      <name val="Times New Roman"/>
      <family val="1"/>
    </font>
    <font>
      <sz val="11"/>
      <color rgb="FF0070C0"/>
      <name val="Times New Roman"/>
      <family val="1"/>
    </font>
    <font>
      <b/>
      <i/>
      <sz val="12"/>
      <color theme="1"/>
      <name val="Times New Roman"/>
      <family val="1"/>
    </font>
    <font>
      <b/>
      <i/>
      <sz val="11"/>
      <color theme="1"/>
      <name val="Times New Roman"/>
      <family val="1"/>
    </font>
    <font>
      <b/>
      <sz val="12"/>
      <name val="Cambria"/>
      <family val="1"/>
      <scheme val="major"/>
    </font>
    <font>
      <sz val="11"/>
      <color theme="1"/>
      <name val="Calibri"/>
      <family val="2"/>
    </font>
    <font>
      <b/>
      <i/>
      <sz val="12"/>
      <color rgb="FFFF0000"/>
      <name val="Times New Roman"/>
      <family val="1"/>
    </font>
    <font>
      <b/>
      <sz val="12"/>
      <color theme="1"/>
      <name val="Cambria"/>
      <family val="1"/>
      <scheme val="major"/>
    </font>
    <font>
      <sz val="12"/>
      <color theme="1"/>
      <name val="Cambria"/>
      <family val="1"/>
      <scheme val="major"/>
    </font>
    <font>
      <b/>
      <i/>
      <sz val="14"/>
      <name val="times new roman"/>
      <family val="2"/>
      <charset val="163"/>
    </font>
    <font>
      <b/>
      <sz val="12"/>
      <name val="times new roman"/>
      <family val="2"/>
      <charset val="163"/>
    </font>
    <font>
      <sz val="10"/>
      <name val="Calibri"/>
      <family val="2"/>
      <charset val="163"/>
      <scheme val="minor"/>
    </font>
    <font>
      <b/>
      <sz val="11"/>
      <name val="times new roman"/>
      <family val="2"/>
      <charset val="163"/>
    </font>
    <font>
      <sz val="13"/>
      <color rgb="FFFF0000"/>
      <name val="Times New Roman"/>
      <family val="1"/>
    </font>
    <font>
      <sz val="11.5"/>
      <color theme="0"/>
      <name val="Times New Roman"/>
      <family val="1"/>
    </font>
    <font>
      <sz val="11"/>
      <color rgb="FFFF0000"/>
      <name val="times new roman"/>
      <family val="2"/>
      <charset val="163"/>
    </font>
    <font>
      <i/>
      <sz val="11"/>
      <color rgb="FFFF0000"/>
      <name val="Times New Roman"/>
      <family val="1"/>
    </font>
    <font>
      <b/>
      <sz val="12"/>
      <color rgb="FFFF0000"/>
      <name val="times new roman"/>
      <family val="2"/>
      <charset val="163"/>
    </font>
    <font>
      <b/>
      <sz val="11"/>
      <color rgb="FFFF0000"/>
      <name val="times new roman"/>
      <family val="2"/>
      <charset val="163"/>
    </font>
    <font>
      <sz val="12"/>
      <color rgb="FFFF0000"/>
      <name val="times new roman"/>
      <family val="2"/>
      <charset val="163"/>
    </font>
    <font>
      <b/>
      <sz val="11"/>
      <color rgb="FFFF0000"/>
      <name val="Times New Roman"/>
      <family val="1"/>
    </font>
    <font>
      <sz val="11"/>
      <name val="Calibri"/>
      <family val="2"/>
      <scheme val="minor"/>
    </font>
    <font>
      <sz val="11.5"/>
      <name val="Times New Roman"/>
      <family val="1"/>
    </font>
    <font>
      <b/>
      <sz val="11.5"/>
      <color theme="0"/>
      <name val="Times New Roman"/>
      <family val="1"/>
    </font>
    <font>
      <i/>
      <sz val="11.5"/>
      <color theme="0"/>
      <name val="Times New Roman"/>
      <family val="1"/>
    </font>
    <font>
      <sz val="13"/>
      <color theme="1"/>
      <name val="Times New Roman"/>
      <family val="1"/>
    </font>
    <font>
      <b/>
      <sz val="11.5"/>
      <color theme="1"/>
      <name val="Times New Roman"/>
      <family val="1"/>
    </font>
    <font>
      <sz val="11.5"/>
      <color theme="1"/>
      <name val="Times New Roman"/>
      <family val="1"/>
    </font>
    <font>
      <i/>
      <sz val="11.5"/>
      <color theme="1"/>
      <name val="Times New Roman"/>
      <family val="1"/>
    </font>
    <font>
      <b/>
      <i/>
      <sz val="11.5"/>
      <color theme="1"/>
      <name val="Times New Roman"/>
      <family val="1"/>
    </font>
    <font>
      <sz val="10"/>
      <name val="Cambria"/>
      <family val="1"/>
      <scheme val="major"/>
    </font>
    <font>
      <sz val="14"/>
      <name val="Cambria"/>
      <family val="1"/>
      <scheme val="major"/>
    </font>
    <font>
      <sz val="11"/>
      <color rgb="FF000000"/>
      <name val="Times New Roman"/>
      <family val="1"/>
    </font>
    <font>
      <sz val="8"/>
      <color rgb="FF000000"/>
      <name val="Times New Roman"/>
      <family val="1"/>
    </font>
    <font>
      <sz val="11"/>
      <name val="Calibri"/>
      <family val="2"/>
    </font>
    <font>
      <b/>
      <sz val="8"/>
      <color rgb="FF000000"/>
      <name val="Times New Roman"/>
      <family val="1"/>
    </font>
    <font>
      <i/>
      <sz val="8"/>
      <color rgb="FF000000"/>
      <name val="Times New Roman"/>
      <family val="1"/>
    </font>
    <font>
      <sz val="12"/>
      <color rgb="FF000000"/>
      <name val="Times New Roman"/>
      <family val="1"/>
    </font>
    <font>
      <b/>
      <sz val="12"/>
      <color rgb="FF000000"/>
      <name val="Times New Roman"/>
      <family val="1"/>
    </font>
    <font>
      <b/>
      <sz val="12"/>
      <name val="Calibri"/>
      <family val="2"/>
    </font>
    <font>
      <b/>
      <sz val="10"/>
      <color rgb="FF000000"/>
      <name val="Times New Roman"/>
      <family val="1"/>
    </font>
    <font>
      <sz val="10"/>
      <color rgb="FF000000"/>
      <name val="Times New Roman"/>
      <family val="1"/>
    </font>
    <font>
      <b/>
      <sz val="11"/>
      <color rgb="FF000000"/>
      <name val="Times New Roman"/>
      <family val="1"/>
    </font>
    <font>
      <b/>
      <sz val="10"/>
      <color rgb="FF000000"/>
      <name val="Arial"/>
      <family val="2"/>
    </font>
    <font>
      <sz val="10"/>
      <name val="Calibri"/>
      <family val="2"/>
    </font>
    <font>
      <b/>
      <sz val="15"/>
      <color rgb="FF000000"/>
      <name val="Times New Roman"/>
      <family val="1"/>
    </font>
    <font>
      <i/>
      <sz val="15"/>
      <color rgb="FF000000"/>
      <name val="Times New Roman"/>
      <family val="1"/>
    </font>
    <font>
      <sz val="15"/>
      <name val="Calibri"/>
      <family val="2"/>
    </font>
    <font>
      <b/>
      <sz val="9"/>
      <color rgb="FF000000"/>
      <name val="Times New Roman"/>
      <family val="1"/>
    </font>
    <font>
      <b/>
      <sz val="13"/>
      <color rgb="FF000000"/>
      <name val="Times New Roman"/>
      <family val="1"/>
    </font>
    <font>
      <b/>
      <sz val="11"/>
      <name val="Calibri"/>
      <family val="2"/>
    </font>
    <font>
      <i/>
      <sz val="10"/>
      <color rgb="FF000000"/>
      <name val="Times New Roman"/>
      <family val="1"/>
    </font>
    <font>
      <i/>
      <sz val="12"/>
      <color rgb="FF000000"/>
      <name val="Times New Roman"/>
      <family val="1"/>
    </font>
    <font>
      <sz val="9"/>
      <color rgb="FF000000"/>
      <name val="Times New Roman"/>
      <family val="1"/>
    </font>
    <font>
      <b/>
      <sz val="16"/>
      <color rgb="FF000000"/>
      <name val="Times New Roman"/>
      <family val="1"/>
    </font>
    <font>
      <i/>
      <sz val="16"/>
      <color rgb="FF000000"/>
      <name val="Times New Roman"/>
      <family val="1"/>
    </font>
    <font>
      <i/>
      <sz val="12"/>
      <name val="Cambria"/>
      <family val="1"/>
      <charset val="163"/>
      <scheme val="major"/>
    </font>
    <font>
      <sz val="12"/>
      <name val="Cambria"/>
      <family val="1"/>
      <charset val="163"/>
      <scheme val="major"/>
    </font>
    <font>
      <i/>
      <sz val="11"/>
      <color rgb="FF000000"/>
      <name val="Times New Roman"/>
      <family val="1"/>
    </font>
  </fonts>
  <fills count="15">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rgb="FFFFFFFF"/>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59999389629810485"/>
        <bgColor indexed="64"/>
      </patternFill>
    </fill>
  </fills>
  <borders count="12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dotted">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thin">
        <color indexed="8"/>
      </right>
      <top/>
      <bottom/>
      <diagonal/>
    </border>
    <border>
      <left style="thin">
        <color indexed="8"/>
      </left>
      <right style="thin">
        <color indexed="8"/>
      </right>
      <top style="dotted">
        <color indexed="8"/>
      </top>
      <bottom style="thin">
        <color indexed="8"/>
      </bottom>
      <diagonal/>
    </border>
    <border>
      <left style="thin">
        <color indexed="8"/>
      </left>
      <right style="thin">
        <color indexed="8"/>
      </right>
      <top/>
      <bottom style="dotted">
        <color indexed="8"/>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8"/>
      </left>
      <right/>
      <top style="hair">
        <color indexed="8"/>
      </top>
      <bottom style="thin">
        <color indexed="8"/>
      </bottom>
      <diagonal/>
    </border>
    <border>
      <left style="thin">
        <color indexed="8"/>
      </left>
      <right style="thin">
        <color indexed="64"/>
      </right>
      <top style="thin">
        <color indexed="64"/>
      </top>
      <bottom/>
      <diagonal/>
    </border>
    <border>
      <left/>
      <right/>
      <top style="thin">
        <color indexed="8"/>
      </top>
      <bottom style="dotted">
        <color indexed="8"/>
      </bottom>
      <diagonal/>
    </border>
    <border>
      <left/>
      <right/>
      <top style="dotted">
        <color indexed="8"/>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rgb="FF979991"/>
      </left>
      <right style="thin">
        <color rgb="FF979991"/>
      </right>
      <top style="thin">
        <color rgb="FF979991"/>
      </top>
      <bottom style="dotted">
        <color rgb="FF979991"/>
      </bottom>
      <diagonal/>
    </border>
    <border>
      <left style="thin">
        <color rgb="FF979991"/>
      </left>
      <right style="thin">
        <color rgb="FF979991"/>
      </right>
      <top style="dotted">
        <color rgb="FF979991"/>
      </top>
      <bottom style="dotted">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dotted">
        <color indexed="8"/>
      </top>
      <bottom style="dotted">
        <color indexed="8"/>
      </bottom>
      <diagonal/>
    </border>
    <border>
      <left style="thin">
        <color indexed="64"/>
      </left>
      <right style="thin">
        <color indexed="64"/>
      </right>
      <top style="thin">
        <color indexed="64"/>
      </top>
      <bottom style="thin">
        <color indexed="64"/>
      </bottom>
      <diagonal/>
    </border>
    <border>
      <left/>
      <right style="thin">
        <color indexed="8"/>
      </right>
      <top style="dotted">
        <color indexed="8"/>
      </top>
      <bottom style="dotted">
        <color indexed="8"/>
      </bottom>
      <diagonal/>
    </border>
    <border>
      <left style="thin">
        <color indexed="8"/>
      </left>
      <right style="thin">
        <color indexed="8"/>
      </right>
      <top style="dotted">
        <color indexed="8"/>
      </top>
      <bottom style="thin">
        <color indexed="8"/>
      </bottom>
      <diagonal/>
    </border>
    <border>
      <left/>
      <right/>
      <top/>
      <bottom style="thin">
        <color indexed="8"/>
      </bottom>
      <diagonal/>
    </border>
    <border>
      <left/>
      <right/>
      <top/>
      <bottom style="thin">
        <color indexed="64"/>
      </bottom>
      <diagonal/>
    </border>
    <border>
      <left style="thin">
        <color auto="1"/>
      </left>
      <right style="thin">
        <color auto="1"/>
      </right>
      <top style="hair">
        <color auto="1"/>
      </top>
      <bottom style="hair">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style="thin">
        <color rgb="FF000000"/>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indexed="64"/>
      </bottom>
      <diagonal/>
    </border>
    <border>
      <left/>
      <right style="thin">
        <color rgb="FF000000"/>
      </right>
      <top style="dotted">
        <color rgb="FF000000"/>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dotted">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thin">
        <color indexed="64"/>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top style="dotted">
        <color rgb="FF000000"/>
      </top>
      <bottom style="thin">
        <color indexed="64"/>
      </bottom>
      <diagonal/>
    </border>
    <border>
      <left style="thin">
        <color rgb="FF000000"/>
      </left>
      <right/>
      <top/>
      <bottom/>
      <diagonal/>
    </border>
    <border>
      <left style="thin">
        <color rgb="FF000000"/>
      </left>
      <right style="thin">
        <color rgb="FF000000"/>
      </right>
      <top/>
      <bottom style="thin">
        <color indexed="64"/>
      </bottom>
      <diagonal/>
    </border>
    <border>
      <left style="thin">
        <color indexed="8"/>
      </left>
      <right style="thin">
        <color indexed="8"/>
      </right>
      <top style="hair">
        <color indexed="8"/>
      </top>
      <bottom style="thin">
        <color auto="1"/>
      </bottom>
      <diagonal/>
    </border>
    <border>
      <left style="thin">
        <color indexed="8"/>
      </left>
      <right style="thin">
        <color indexed="8"/>
      </right>
      <top style="hair">
        <color indexed="8"/>
      </top>
      <bottom style="hair">
        <color indexed="8"/>
      </bottom>
      <diagonal/>
    </border>
    <border>
      <left style="thin">
        <color auto="1"/>
      </left>
      <right style="thin">
        <color auto="1"/>
      </right>
      <top/>
      <bottom style="hair">
        <color auto="1"/>
      </bottom>
      <diagonal/>
    </border>
  </borders>
  <cellStyleXfs count="59">
    <xf numFmtId="0" fontId="0" fillId="0" borderId="0"/>
    <xf numFmtId="0" fontId="79" fillId="0" borderId="0"/>
    <xf numFmtId="0" fontId="78" fillId="0" borderId="0"/>
    <xf numFmtId="43" fontId="44" fillId="0" borderId="0" applyFont="0" applyFill="0" applyBorder="0" applyAlignment="0" applyProtection="0"/>
    <xf numFmtId="43" fontId="90" fillId="0" borderId="0" applyFont="0" applyFill="0" applyBorder="0" applyAlignment="0" applyProtection="0"/>
    <xf numFmtId="43" fontId="44" fillId="0" borderId="0" applyFont="0" applyFill="0" applyBorder="0" applyAlignment="0" applyProtection="0"/>
    <xf numFmtId="43" fontId="79" fillId="0" borderId="0" applyFont="0" applyFill="0" applyBorder="0" applyAlignment="0" applyProtection="0"/>
    <xf numFmtId="0" fontId="33" fillId="0" borderId="1" applyNumberFormat="0" applyAlignment="0" applyProtection="0">
      <alignment horizontal="left" vertical="center"/>
    </xf>
    <xf numFmtId="0" fontId="33" fillId="0" borderId="2">
      <alignment horizontal="left" vertical="center"/>
    </xf>
    <xf numFmtId="0" fontId="104" fillId="0" borderId="0" applyNumberFormat="0" applyFill="0" applyBorder="0" applyAlignment="0" applyProtection="0"/>
    <xf numFmtId="0" fontId="11" fillId="0" borderId="0"/>
    <xf numFmtId="0" fontId="103" fillId="0" borderId="0"/>
    <xf numFmtId="0" fontId="10" fillId="0" borderId="0"/>
    <xf numFmtId="0" fontId="16" fillId="0" borderId="0"/>
    <xf numFmtId="0" fontId="105" fillId="0" borderId="0"/>
    <xf numFmtId="0" fontId="74" fillId="0" borderId="0"/>
    <xf numFmtId="0" fontId="11" fillId="0" borderId="0"/>
    <xf numFmtId="0" fontId="11" fillId="0" borderId="0"/>
    <xf numFmtId="43" fontId="90" fillId="0" borderId="0" applyFont="0" applyFill="0" applyBorder="0" applyAlignment="0" applyProtection="0"/>
    <xf numFmtId="0" fontId="78" fillId="0" borderId="0"/>
    <xf numFmtId="0" fontId="78" fillId="0" borderId="0"/>
    <xf numFmtId="177" fontId="78" fillId="0" borderId="0" applyFill="0" applyBorder="0" applyAlignment="0" applyProtection="0"/>
    <xf numFmtId="0" fontId="179" fillId="0" borderId="0">
      <alignment wrapText="1"/>
    </xf>
    <xf numFmtId="0" fontId="78" fillId="0" borderId="0"/>
    <xf numFmtId="0" fontId="180" fillId="0" borderId="0"/>
    <xf numFmtId="43" fontId="105" fillId="0" borderId="0" applyFont="0" applyFill="0" applyBorder="0" applyAlignment="0" applyProtection="0"/>
    <xf numFmtId="0" fontId="78" fillId="0" borderId="0"/>
    <xf numFmtId="43" fontId="183" fillId="0" borderId="0" applyFont="0" applyFill="0" applyBorder="0" applyAlignment="0" applyProtection="0"/>
    <xf numFmtId="43" fontId="78" fillId="0" borderId="0" applyFont="0" applyFill="0" applyBorder="0" applyAlignment="0" applyProtection="0"/>
    <xf numFmtId="0" fontId="105" fillId="0" borderId="0"/>
    <xf numFmtId="0" fontId="212" fillId="0" borderId="0"/>
    <xf numFmtId="43" fontId="78" fillId="0" borderId="0" applyFont="0" applyFill="0" applyBorder="0" applyAlignment="0" applyProtection="0"/>
    <xf numFmtId="0" fontId="212" fillId="0" borderId="0"/>
    <xf numFmtId="0" fontId="105" fillId="0" borderId="0"/>
    <xf numFmtId="0" fontId="90" fillId="0" borderId="0"/>
    <xf numFmtId="0" fontId="212" fillId="0" borderId="0"/>
    <xf numFmtId="0" fontId="219" fillId="0" borderId="0"/>
    <xf numFmtId="0" fontId="6" fillId="0" borderId="0"/>
    <xf numFmtId="0" fontId="221" fillId="0" borderId="0"/>
    <xf numFmtId="0" fontId="78" fillId="0" borderId="0"/>
    <xf numFmtId="43" fontId="78" fillId="0" borderId="0" applyFont="0" applyFill="0" applyBorder="0" applyAlignment="0" applyProtection="0"/>
    <xf numFmtId="0" fontId="212" fillId="0" borderId="0"/>
    <xf numFmtId="0" fontId="78" fillId="0" borderId="0"/>
    <xf numFmtId="0" fontId="243" fillId="0" borderId="0"/>
    <xf numFmtId="0" fontId="1" fillId="0" borderId="0"/>
    <xf numFmtId="0" fontId="78" fillId="0" borderId="0"/>
    <xf numFmtId="43" fontId="78" fillId="0" borderId="0" applyFont="0" applyFill="0" applyBorder="0" applyAlignment="0" applyProtection="0"/>
    <xf numFmtId="9" fontId="78" fillId="0" borderId="0" applyFont="0" applyFill="0" applyBorder="0" applyAlignment="0" applyProtection="0"/>
    <xf numFmtId="0" fontId="102" fillId="0" borderId="0"/>
    <xf numFmtId="43" fontId="44" fillId="0" borderId="0" applyFont="0" applyFill="0" applyBorder="0" applyAlignment="0" applyProtection="0"/>
    <xf numFmtId="0" fontId="102" fillId="0" borderId="0"/>
    <xf numFmtId="43" fontId="44" fillId="0" borderId="0" applyFont="0" applyFill="0" applyBorder="0" applyAlignment="0" applyProtection="0"/>
    <xf numFmtId="0" fontId="78" fillId="0" borderId="0"/>
    <xf numFmtId="43" fontId="10" fillId="0" borderId="0" applyFont="0" applyFill="0" applyBorder="0" applyAlignment="0" applyProtection="0"/>
    <xf numFmtId="0" fontId="180" fillId="0" borderId="0"/>
    <xf numFmtId="9" fontId="102" fillId="0" borderId="0" applyFont="0" applyFill="0" applyBorder="0" applyAlignment="0" applyProtection="0"/>
    <xf numFmtId="164" fontId="1" fillId="0" borderId="0" applyFont="0" applyFill="0" applyBorder="0" applyAlignment="0" applyProtection="0"/>
    <xf numFmtId="9" fontId="102" fillId="0" borderId="0" applyFont="0" applyFill="0" applyBorder="0" applyAlignment="0" applyProtection="0"/>
    <xf numFmtId="43" fontId="78" fillId="0" borderId="0" applyFont="0" applyFill="0" applyBorder="0" applyAlignment="0" applyProtection="0"/>
  </cellStyleXfs>
  <cellXfs count="4785">
    <xf numFmtId="0" fontId="0" fillId="0" borderId="0" xfId="0"/>
    <xf numFmtId="0" fontId="45" fillId="0" borderId="0" xfId="0" applyFont="1"/>
    <xf numFmtId="0" fontId="2" fillId="0" borderId="3" xfId="0" applyFont="1" applyBorder="1" applyAlignment="1">
      <alignment horizontal="center" vertical="center" wrapText="1"/>
    </xf>
    <xf numFmtId="0" fontId="47" fillId="0" borderId="3" xfId="0" applyFont="1" applyBorder="1" applyAlignment="1">
      <alignment horizontal="center" vertical="center" wrapText="1"/>
    </xf>
    <xf numFmtId="0" fontId="46" fillId="0" borderId="3" xfId="0" applyFont="1" applyBorder="1"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6" fillId="0" borderId="0" xfId="0" applyFont="1" applyAlignment="1">
      <alignment vertical="center"/>
    </xf>
    <xf numFmtId="0" fontId="2" fillId="2" borderId="3" xfId="0" applyFont="1" applyFill="1" applyBorder="1" applyAlignment="1">
      <alignment horizontal="justify" vertical="center" wrapText="1"/>
    </xf>
    <xf numFmtId="0" fontId="47" fillId="2" borderId="3" xfId="0" applyFont="1" applyFill="1" applyBorder="1" applyAlignment="1">
      <alignment horizontal="justify" vertical="center" wrapText="1"/>
    </xf>
    <xf numFmtId="0" fontId="46" fillId="2" borderId="3" xfId="0" applyFont="1" applyFill="1" applyBorder="1" applyAlignment="1">
      <alignment horizontal="justify" vertical="center" wrapText="1"/>
    </xf>
    <xf numFmtId="0" fontId="7" fillId="0" borderId="3" xfId="9" applyFont="1" applyBorder="1" applyAlignment="1">
      <alignment horizontal="justify" vertical="center" wrapText="1"/>
    </xf>
    <xf numFmtId="0" fontId="46" fillId="0" borderId="3" xfId="0" applyFont="1" applyBorder="1" applyAlignment="1">
      <alignment horizontal="justify" vertical="center" wrapText="1"/>
    </xf>
    <xf numFmtId="0" fontId="47" fillId="0" borderId="3" xfId="0" applyFont="1" applyBorder="1" applyAlignment="1">
      <alignment horizontal="justify" vertical="center" wrapText="1"/>
    </xf>
    <xf numFmtId="0" fontId="8" fillId="0" borderId="3" xfId="0" applyFont="1" applyBorder="1" applyAlignment="1">
      <alignment horizontal="justify" vertical="center" wrapText="1"/>
    </xf>
    <xf numFmtId="0" fontId="49" fillId="0" borderId="3" xfId="0" applyFont="1" applyBorder="1" applyAlignment="1">
      <alignment horizontal="justify" vertical="center" wrapText="1"/>
    </xf>
    <xf numFmtId="0" fontId="46" fillId="0" borderId="3" xfId="0" quotePrefix="1" applyFont="1" applyBorder="1" applyAlignment="1">
      <alignment horizontal="justify" vertical="center" wrapText="1"/>
    </xf>
    <xf numFmtId="0" fontId="6" fillId="0" borderId="0" xfId="0" applyFont="1" applyAlignment="1">
      <alignment horizontal="justify" vertical="center"/>
    </xf>
    <xf numFmtId="0" fontId="0" fillId="0" borderId="0" xfId="0" applyAlignment="1">
      <alignment horizontal="justify" vertical="center"/>
    </xf>
    <xf numFmtId="0" fontId="2" fillId="0" borderId="3" xfId="9" applyFont="1" applyBorder="1" applyAlignment="1">
      <alignment horizontal="justify" vertical="center" wrapText="1"/>
    </xf>
    <xf numFmtId="0" fontId="46" fillId="2" borderId="3" xfId="0" applyFont="1" applyFill="1" applyBorder="1" applyAlignment="1">
      <alignment horizontal="center" vertical="center" wrapText="1"/>
    </xf>
    <xf numFmtId="0" fontId="46" fillId="0" borderId="3" xfId="0" quotePrefix="1" applyFont="1" applyBorder="1" applyAlignment="1">
      <alignment horizontal="center" vertical="center" wrapText="1"/>
    </xf>
    <xf numFmtId="0" fontId="0" fillId="3" borderId="0" xfId="0" applyFill="1" applyAlignment="1">
      <alignment vertical="top" wrapText="1"/>
    </xf>
    <xf numFmtId="0" fontId="50" fillId="0" borderId="0" xfId="0" applyFont="1" applyAlignment="1">
      <alignment horizontal="left" vertical="center" wrapText="1"/>
    </xf>
    <xf numFmtId="0" fontId="50" fillId="3" borderId="0" xfId="0" applyFont="1" applyFill="1" applyAlignment="1">
      <alignment horizontal="center" vertical="center" wrapText="1"/>
    </xf>
    <xf numFmtId="3" fontId="2" fillId="0" borderId="0" xfId="12" applyNumberFormat="1" applyFont="1"/>
    <xf numFmtId="3" fontId="6" fillId="0" borderId="0" xfId="12" applyNumberFormat="1" applyFont="1" applyAlignment="1">
      <alignment horizontal="center"/>
    </xf>
    <xf numFmtId="3" fontId="6" fillId="0" borderId="0" xfId="12" applyNumberFormat="1" applyFont="1"/>
    <xf numFmtId="3" fontId="2" fillId="0" borderId="0" xfId="12" applyNumberFormat="1" applyFont="1" applyAlignment="1">
      <alignment horizontal="center"/>
    </xf>
    <xf numFmtId="165" fontId="2" fillId="0" borderId="0" xfId="12" applyNumberFormat="1" applyFont="1" applyAlignment="1">
      <alignment horizontal="center"/>
    </xf>
    <xf numFmtId="0" fontId="26" fillId="0" borderId="4" xfId="13" applyFont="1" applyBorder="1" applyAlignment="1">
      <alignment wrapText="1"/>
    </xf>
    <xf numFmtId="0" fontId="24" fillId="0" borderId="5" xfId="13" applyFont="1" applyBorder="1" applyAlignment="1">
      <alignment wrapText="1"/>
    </xf>
    <xf numFmtId="3" fontId="2" fillId="0" borderId="5" xfId="12" applyNumberFormat="1" applyFont="1" applyBorder="1" applyAlignment="1">
      <alignment horizontal="center" vertical="center"/>
    </xf>
    <xf numFmtId="3" fontId="2" fillId="0" borderId="5" xfId="12" applyNumberFormat="1" applyFont="1" applyBorder="1" applyAlignment="1">
      <alignment vertical="center"/>
    </xf>
    <xf numFmtId="3" fontId="2" fillId="0" borderId="0" xfId="12" applyNumberFormat="1" applyFont="1" applyAlignment="1">
      <alignment vertical="center"/>
    </xf>
    <xf numFmtId="3" fontId="6" fillId="0" borderId="5" xfId="12" applyNumberFormat="1" applyFont="1" applyBorder="1" applyAlignment="1">
      <alignment horizontal="center" vertical="center"/>
    </xf>
    <xf numFmtId="0" fontId="6" fillId="3" borderId="5" xfId="16" applyFont="1" applyFill="1" applyBorder="1" applyAlignment="1">
      <alignment vertical="center" wrapText="1"/>
    </xf>
    <xf numFmtId="3" fontId="6" fillId="0" borderId="5" xfId="12" applyNumberFormat="1" applyFont="1" applyBorder="1" applyAlignment="1">
      <alignment horizontal="right" vertical="center"/>
    </xf>
    <xf numFmtId="3" fontId="6" fillId="0" borderId="0" xfId="12" applyNumberFormat="1" applyFont="1" applyAlignment="1">
      <alignment vertical="center"/>
    </xf>
    <xf numFmtId="3" fontId="6" fillId="0" borderId="5" xfId="12" applyNumberFormat="1" applyFont="1" applyBorder="1" applyAlignment="1">
      <alignment vertical="center"/>
    </xf>
    <xf numFmtId="3" fontId="6" fillId="0" borderId="6" xfId="12" applyNumberFormat="1" applyFont="1" applyBorder="1" applyAlignment="1">
      <alignment horizontal="center"/>
    </xf>
    <xf numFmtId="3" fontId="6" fillId="0" borderId="6" xfId="12" applyNumberFormat="1" applyFont="1" applyBorder="1"/>
    <xf numFmtId="165" fontId="6" fillId="0" borderId="6" xfId="12" applyNumberFormat="1" applyFont="1" applyBorder="1"/>
    <xf numFmtId="3" fontId="3" fillId="0" borderId="0" xfId="12" applyNumberFormat="1" applyFont="1"/>
    <xf numFmtId="0" fontId="9" fillId="0" borderId="0" xfId="12" applyFont="1"/>
    <xf numFmtId="0" fontId="9" fillId="0" borderId="0" xfId="12" applyFont="1" applyAlignment="1">
      <alignment horizontal="center"/>
    </xf>
    <xf numFmtId="0" fontId="12" fillId="0" borderId="0" xfId="17" applyFont="1"/>
    <xf numFmtId="0" fontId="13" fillId="0" borderId="0" xfId="12" applyFont="1"/>
    <xf numFmtId="165" fontId="6" fillId="0" borderId="0" xfId="12" applyNumberFormat="1" applyFont="1"/>
    <xf numFmtId="3" fontId="2" fillId="0" borderId="7" xfId="12" applyNumberFormat="1" applyFont="1" applyBorder="1" applyAlignment="1">
      <alignment horizontal="center" vertical="center"/>
    </xf>
    <xf numFmtId="3" fontId="2" fillId="0" borderId="7" xfId="12" applyNumberFormat="1" applyFont="1" applyBorder="1" applyAlignment="1">
      <alignment vertical="center"/>
    </xf>
    <xf numFmtId="0" fontId="51" fillId="0" borderId="0" xfId="0" applyFont="1"/>
    <xf numFmtId="0" fontId="16" fillId="0" borderId="0" xfId="13"/>
    <xf numFmtId="0" fontId="19" fillId="0" borderId="0" xfId="13" applyFont="1"/>
    <xf numFmtId="0" fontId="20" fillId="0" borderId="0" xfId="13" applyFont="1"/>
    <xf numFmtId="0" fontId="21" fillId="0" borderId="0" xfId="13" applyFont="1" applyAlignment="1">
      <alignment horizontal="right"/>
    </xf>
    <xf numFmtId="0" fontId="24" fillId="0" borderId="6" xfId="13" applyFont="1" applyBorder="1"/>
    <xf numFmtId="0" fontId="25" fillId="0" borderId="6" xfId="13" applyFont="1" applyBorder="1" applyAlignment="1">
      <alignment horizontal="center" vertical="center"/>
    </xf>
    <xf numFmtId="0" fontId="26" fillId="0" borderId="5" xfId="13" applyFont="1" applyBorder="1"/>
    <xf numFmtId="0" fontId="29" fillId="0" borderId="5" xfId="13" applyFont="1" applyBorder="1" applyAlignment="1">
      <alignment horizontal="center" vertical="center"/>
    </xf>
    <xf numFmtId="0" fontId="25" fillId="0" borderId="5" xfId="13" applyFont="1" applyBorder="1" applyAlignment="1">
      <alignment horizontal="center" vertical="center"/>
    </xf>
    <xf numFmtId="0" fontId="26" fillId="0" borderId="4" xfId="13" applyFont="1" applyBorder="1"/>
    <xf numFmtId="0" fontId="29" fillId="0" borderId="4" xfId="13" applyFont="1" applyBorder="1" applyAlignment="1">
      <alignment horizontal="center" vertical="center"/>
    </xf>
    <xf numFmtId="0" fontId="19" fillId="0" borderId="3" xfId="13" applyFont="1" applyBorder="1" applyAlignment="1">
      <alignment horizontal="center" vertical="center" wrapText="1"/>
    </xf>
    <xf numFmtId="0" fontId="22" fillId="0" borderId="3" xfId="13" applyFont="1" applyBorder="1" applyAlignment="1">
      <alignment horizontal="center" vertical="center" wrapText="1"/>
    </xf>
    <xf numFmtId="0" fontId="31" fillId="0" borderId="0" xfId="13" applyFont="1" applyAlignment="1">
      <alignment vertical="center"/>
    </xf>
    <xf numFmtId="0" fontId="23" fillId="0" borderId="3" xfId="13" applyFont="1" applyBorder="1" applyAlignment="1">
      <alignment horizontal="center" vertical="center" wrapText="1"/>
    </xf>
    <xf numFmtId="0" fontId="22" fillId="0" borderId="3" xfId="13" applyFont="1" applyBorder="1" applyAlignment="1">
      <alignment horizontal="center" wrapText="1"/>
    </xf>
    <xf numFmtId="0" fontId="23" fillId="0" borderId="4" xfId="13" applyFont="1" applyBorder="1" applyAlignment="1">
      <alignment horizontal="center" vertical="center"/>
    </xf>
    <xf numFmtId="0" fontId="24" fillId="0" borderId="4" xfId="13" applyFont="1" applyBorder="1"/>
    <xf numFmtId="0" fontId="26" fillId="0" borderId="5" xfId="13" applyFont="1" applyBorder="1" applyAlignment="1">
      <alignment wrapText="1"/>
    </xf>
    <xf numFmtId="0" fontId="23" fillId="0" borderId="5" xfId="13" applyFont="1" applyBorder="1" applyAlignment="1">
      <alignment horizontal="center" vertical="center"/>
    </xf>
    <xf numFmtId="0" fontId="24" fillId="0" borderId="5" xfId="13" applyFont="1" applyBorder="1"/>
    <xf numFmtId="0" fontId="24" fillId="0" borderId="6" xfId="13" applyFont="1" applyBorder="1" applyAlignment="1">
      <alignment wrapText="1"/>
    </xf>
    <xf numFmtId="0" fontId="45" fillId="3" borderId="0" xfId="0" applyFont="1" applyFill="1" applyAlignment="1">
      <alignment vertical="center" wrapText="1"/>
    </xf>
    <xf numFmtId="0" fontId="45" fillId="3" borderId="0" xfId="0" applyFont="1" applyFill="1" applyAlignment="1">
      <alignment vertical="top" wrapText="1"/>
    </xf>
    <xf numFmtId="0" fontId="52" fillId="3" borderId="0" xfId="0" applyFont="1" applyFill="1" applyAlignment="1">
      <alignment vertical="center" wrapText="1"/>
    </xf>
    <xf numFmtId="0" fontId="52" fillId="0" borderId="0" xfId="0" applyFont="1" applyAlignment="1">
      <alignment horizontal="right" vertical="center" wrapText="1"/>
    </xf>
    <xf numFmtId="0" fontId="53" fillId="0" borderId="0" xfId="0" applyFont="1" applyAlignment="1">
      <alignment horizontal="right" vertical="center" wrapText="1"/>
    </xf>
    <xf numFmtId="0" fontId="54" fillId="3" borderId="3" xfId="0" applyFont="1" applyFill="1" applyBorder="1" applyAlignment="1">
      <alignment horizontal="center" vertical="center" wrapText="1"/>
    </xf>
    <xf numFmtId="0" fontId="54" fillId="3" borderId="7" xfId="0" applyFont="1" applyFill="1" applyBorder="1" applyAlignment="1">
      <alignment horizontal="center" vertical="center" wrapText="1"/>
    </xf>
    <xf numFmtId="0" fontId="52" fillId="3" borderId="4" xfId="0" applyFont="1" applyFill="1" applyBorder="1" applyAlignment="1">
      <alignment vertical="center" wrapText="1"/>
    </xf>
    <xf numFmtId="0" fontId="54" fillId="3" borderId="7" xfId="0" applyFont="1" applyFill="1" applyBorder="1" applyAlignment="1">
      <alignment vertical="center" wrapText="1"/>
    </xf>
    <xf numFmtId="0" fontId="52" fillId="3" borderId="5" xfId="0" applyFont="1" applyFill="1" applyBorder="1" applyAlignment="1">
      <alignment vertical="center" wrapText="1"/>
    </xf>
    <xf numFmtId="0" fontId="54" fillId="3" borderId="6" xfId="0" applyFont="1" applyFill="1" applyBorder="1" applyAlignment="1">
      <alignment vertical="center" wrapText="1"/>
    </xf>
    <xf numFmtId="0" fontId="52" fillId="3" borderId="6" xfId="0" applyFont="1" applyFill="1" applyBorder="1" applyAlignment="1">
      <alignment vertical="center" wrapText="1"/>
    </xf>
    <xf numFmtId="0" fontId="54" fillId="3" borderId="0" xfId="0" applyFont="1" applyFill="1" applyAlignment="1">
      <alignment horizontal="center" vertical="center" wrapText="1"/>
    </xf>
    <xf numFmtId="0" fontId="52" fillId="3" borderId="3" xfId="0" applyFont="1" applyFill="1" applyBorder="1" applyAlignment="1">
      <alignment vertical="center" wrapText="1"/>
    </xf>
    <xf numFmtId="0" fontId="52" fillId="3" borderId="3" xfId="0" applyFont="1" applyFill="1" applyBorder="1" applyAlignment="1">
      <alignment horizontal="center" vertical="center" wrapText="1"/>
    </xf>
    <xf numFmtId="0" fontId="52" fillId="3" borderId="7" xfId="0" applyFont="1" applyFill="1" applyBorder="1" applyAlignment="1">
      <alignment vertical="center" wrapText="1"/>
    </xf>
    <xf numFmtId="0" fontId="54" fillId="3" borderId="5" xfId="0" applyFont="1" applyFill="1" applyBorder="1" applyAlignment="1">
      <alignment vertical="center" wrapText="1"/>
    </xf>
    <xf numFmtId="0" fontId="54" fillId="3" borderId="0" xfId="0" applyFont="1" applyFill="1" applyAlignment="1">
      <alignment vertical="center" wrapText="1"/>
    </xf>
    <xf numFmtId="0" fontId="53" fillId="3" borderId="5" xfId="0" applyFont="1" applyFill="1" applyBorder="1" applyAlignment="1">
      <alignment vertical="center" wrapText="1"/>
    </xf>
    <xf numFmtId="0" fontId="52" fillId="0" borderId="0" xfId="0" applyFont="1" applyAlignment="1">
      <alignment horizontal="left" vertical="center" wrapText="1"/>
    </xf>
    <xf numFmtId="0" fontId="53" fillId="3" borderId="0" xfId="0" applyFont="1" applyFill="1" applyAlignment="1">
      <alignment horizontal="center" vertical="center" wrapText="1"/>
    </xf>
    <xf numFmtId="0" fontId="52" fillId="3" borderId="0" xfId="0" applyFont="1" applyFill="1" applyAlignment="1">
      <alignment horizontal="center" vertical="center" wrapText="1"/>
    </xf>
    <xf numFmtId="0" fontId="52" fillId="3" borderId="8" xfId="0" applyFont="1" applyFill="1" applyBorder="1" applyAlignment="1">
      <alignment vertical="center" wrapText="1"/>
    </xf>
    <xf numFmtId="165" fontId="2" fillId="0" borderId="0" xfId="12" applyNumberFormat="1" applyFont="1" applyAlignment="1">
      <alignment horizontal="right"/>
    </xf>
    <xf numFmtId="0" fontId="55" fillId="0" borderId="0" xfId="0" applyFont="1"/>
    <xf numFmtId="0" fontId="56" fillId="0" borderId="0" xfId="0" applyFont="1" applyAlignment="1">
      <alignment vertical="center" wrapText="1"/>
    </xf>
    <xf numFmtId="0" fontId="57" fillId="0" borderId="0" xfId="0" applyFont="1" applyAlignment="1">
      <alignment vertical="center"/>
    </xf>
    <xf numFmtId="0" fontId="56" fillId="3" borderId="3"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6" fillId="0" borderId="0" xfId="0" applyFont="1" applyAlignment="1">
      <alignment vertical="center"/>
    </xf>
    <xf numFmtId="0" fontId="55" fillId="0" borderId="0" xfId="0" applyFont="1" applyAlignment="1">
      <alignment vertical="center"/>
    </xf>
    <xf numFmtId="0" fontId="58" fillId="0" borderId="0" xfId="0" applyFont="1" applyAlignment="1">
      <alignment horizontal="right" vertical="center"/>
    </xf>
    <xf numFmtId="0" fontId="54" fillId="0" borderId="3" xfId="0" applyFont="1" applyBorder="1" applyAlignment="1">
      <alignment horizontal="center" vertical="center" wrapText="1"/>
    </xf>
    <xf numFmtId="0" fontId="52" fillId="0" borderId="3" xfId="0" applyFont="1" applyBorder="1" applyAlignment="1">
      <alignment horizontal="center" vertical="center" wrapText="1"/>
    </xf>
    <xf numFmtId="0" fontId="59" fillId="0" borderId="0" xfId="0" applyFont="1" applyAlignment="1">
      <alignment vertical="center"/>
    </xf>
    <xf numFmtId="0" fontId="60" fillId="0" borderId="0" xfId="0" applyFont="1" applyAlignment="1">
      <alignment vertical="center"/>
    </xf>
    <xf numFmtId="0" fontId="60" fillId="0" borderId="0" xfId="0" applyFont="1" applyAlignment="1">
      <alignment vertical="center" wrapText="1"/>
    </xf>
    <xf numFmtId="0" fontId="60" fillId="0" borderId="0" xfId="0" applyFont="1" applyAlignment="1">
      <alignment horizontal="left" vertical="center"/>
    </xf>
    <xf numFmtId="0" fontId="55" fillId="0" borderId="0" xfId="0" applyFont="1" applyAlignment="1">
      <alignment vertical="top"/>
    </xf>
    <xf numFmtId="0" fontId="61" fillId="0" borderId="0" xfId="0" applyFont="1" applyAlignment="1">
      <alignment vertical="center"/>
    </xf>
    <xf numFmtId="0" fontId="60" fillId="0" borderId="3" xfId="0" applyFont="1" applyBorder="1" applyAlignment="1">
      <alignment horizontal="center" vertical="center" wrapText="1"/>
    </xf>
    <xf numFmtId="0" fontId="60" fillId="0" borderId="3" xfId="0" applyFont="1" applyBorder="1" applyAlignment="1">
      <alignment horizontal="left" vertical="center"/>
    </xf>
    <xf numFmtId="0" fontId="60" fillId="0" borderId="3" xfId="0" applyFont="1" applyBorder="1" applyAlignment="1">
      <alignment horizontal="left" vertical="center" wrapText="1"/>
    </xf>
    <xf numFmtId="0" fontId="55" fillId="0" borderId="3" xfId="0" applyFont="1" applyBorder="1" applyAlignment="1">
      <alignment horizontal="left" vertical="center"/>
    </xf>
    <xf numFmtId="0" fontId="55" fillId="0" borderId="3" xfId="0" applyFont="1" applyBorder="1" applyAlignment="1">
      <alignment horizontal="center" vertical="center"/>
    </xf>
    <xf numFmtId="0" fontId="61" fillId="0" borderId="0" xfId="0" applyFont="1" applyAlignment="1">
      <alignment horizontal="left" vertical="center"/>
    </xf>
    <xf numFmtId="0" fontId="59" fillId="0" borderId="0" xfId="0" applyFont="1" applyAlignment="1">
      <alignment horizontal="left" vertical="center"/>
    </xf>
    <xf numFmtId="0" fontId="60" fillId="0" borderId="3" xfId="0" applyFont="1" applyBorder="1" applyAlignment="1">
      <alignment vertical="center" wrapText="1"/>
    </xf>
    <xf numFmtId="0" fontId="55" fillId="0" borderId="3" xfId="0" applyFont="1" applyBorder="1" applyAlignment="1">
      <alignment vertical="center"/>
    </xf>
    <xf numFmtId="0" fontId="55" fillId="0" borderId="0" xfId="0" applyFont="1" applyAlignment="1">
      <alignment horizontal="center" vertical="center"/>
    </xf>
    <xf numFmtId="0" fontId="55" fillId="0" borderId="0" xfId="0" applyFont="1" applyAlignment="1">
      <alignment horizontal="center" vertical="center" wrapText="1"/>
    </xf>
    <xf numFmtId="0" fontId="60" fillId="0" borderId="0" xfId="0" applyFont="1" applyAlignment="1">
      <alignment horizontal="center" vertical="center"/>
    </xf>
    <xf numFmtId="0" fontId="55" fillId="0" borderId="3" xfId="0" applyFont="1" applyBorder="1" applyAlignment="1">
      <alignment horizontal="center" vertical="center" wrapText="1"/>
    </xf>
    <xf numFmtId="0" fontId="60" fillId="0" borderId="3" xfId="0" applyFont="1" applyBorder="1" applyAlignment="1">
      <alignment horizontal="center" vertical="center"/>
    </xf>
    <xf numFmtId="0" fontId="55" fillId="0" borderId="0" xfId="0" applyFont="1" applyAlignment="1">
      <alignment horizontal="left" vertical="center" wrapText="1"/>
    </xf>
    <xf numFmtId="0" fontId="54" fillId="0" borderId="0" xfId="0" applyFont="1" applyAlignment="1">
      <alignment vertical="center"/>
    </xf>
    <xf numFmtId="0" fontId="54" fillId="0" borderId="4" xfId="0" applyFont="1" applyBorder="1" applyAlignment="1">
      <alignment horizontal="center" vertical="center" wrapText="1"/>
    </xf>
    <xf numFmtId="0" fontId="54" fillId="0" borderId="4" xfId="0" applyFont="1" applyBorder="1" applyAlignment="1">
      <alignment vertical="center" wrapText="1"/>
    </xf>
    <xf numFmtId="0" fontId="52" fillId="0" borderId="4"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5" xfId="0" applyFont="1" applyBorder="1" applyAlignment="1">
      <alignment vertical="center" wrapText="1"/>
    </xf>
    <xf numFmtId="0" fontId="52" fillId="0" borderId="5" xfId="0" applyFont="1" applyBorder="1" applyAlignment="1">
      <alignment horizontal="center" vertical="center" wrapText="1"/>
    </xf>
    <xf numFmtId="0" fontId="52" fillId="0" borderId="5" xfId="0" applyFont="1" applyBorder="1" applyAlignment="1">
      <alignment vertical="center" wrapText="1"/>
    </xf>
    <xf numFmtId="0" fontId="54" fillId="0" borderId="6" xfId="0" applyFont="1" applyBorder="1" applyAlignment="1">
      <alignment horizontal="center" vertical="center" wrapText="1"/>
    </xf>
    <xf numFmtId="0" fontId="54" fillId="0" borderId="6" xfId="0" applyFont="1" applyBorder="1" applyAlignment="1">
      <alignment vertical="center" wrapText="1"/>
    </xf>
    <xf numFmtId="0" fontId="52" fillId="0" borderId="6" xfId="0" applyFont="1" applyBorder="1" applyAlignment="1">
      <alignment horizontal="center" vertical="center" wrapText="1"/>
    </xf>
    <xf numFmtId="0" fontId="56" fillId="3" borderId="4" xfId="0" applyFont="1" applyFill="1" applyBorder="1" applyAlignment="1">
      <alignment horizontal="center" vertical="center" wrapText="1"/>
    </xf>
    <xf numFmtId="0" fontId="56" fillId="3" borderId="4" xfId="0" applyFont="1" applyFill="1" applyBorder="1" applyAlignment="1">
      <alignment vertical="center" wrapText="1"/>
    </xf>
    <xf numFmtId="0" fontId="57" fillId="3" borderId="4" xfId="0" applyFont="1" applyFill="1" applyBorder="1" applyAlignment="1">
      <alignment horizontal="center" vertical="center" wrapText="1"/>
    </xf>
    <xf numFmtId="0" fontId="57" fillId="3" borderId="5" xfId="0" applyFont="1" applyFill="1" applyBorder="1" applyAlignment="1">
      <alignment horizontal="center" vertical="center" wrapText="1"/>
    </xf>
    <xf numFmtId="0" fontId="57" fillId="3" borderId="5" xfId="0" applyFont="1" applyFill="1" applyBorder="1" applyAlignment="1">
      <alignment vertical="center" wrapText="1"/>
    </xf>
    <xf numFmtId="0" fontId="56" fillId="3" borderId="5" xfId="0" applyFont="1" applyFill="1" applyBorder="1" applyAlignment="1">
      <alignment horizontal="center" vertical="center" wrapText="1"/>
    </xf>
    <xf numFmtId="0" fontId="56" fillId="3" borderId="5" xfId="0" applyFont="1" applyFill="1" applyBorder="1" applyAlignment="1">
      <alignment vertical="center" wrapText="1"/>
    </xf>
    <xf numFmtId="0" fontId="57" fillId="3" borderId="5" xfId="0" applyFont="1" applyFill="1" applyBorder="1" applyAlignment="1">
      <alignment horizontal="left" vertical="center" wrapText="1"/>
    </xf>
    <xf numFmtId="0" fontId="56" fillId="3" borderId="6" xfId="0" applyFont="1" applyFill="1" applyBorder="1" applyAlignment="1">
      <alignment horizontal="center" vertical="center" wrapText="1"/>
    </xf>
    <xf numFmtId="0" fontId="56" fillId="3" borderId="6" xfId="0" applyFont="1" applyFill="1" applyBorder="1" applyAlignment="1">
      <alignment vertical="center" wrapText="1"/>
    </xf>
    <xf numFmtId="0" fontId="57" fillId="3" borderId="6" xfId="0" applyFont="1" applyFill="1" applyBorder="1" applyAlignment="1">
      <alignment horizontal="center" vertical="center" wrapText="1"/>
    </xf>
    <xf numFmtId="0" fontId="60" fillId="0" borderId="4" xfId="0" applyFont="1" applyBorder="1" applyAlignment="1">
      <alignment horizontal="center" vertical="center"/>
    </xf>
    <xf numFmtId="0" fontId="60" fillId="0" borderId="4" xfId="0" applyFont="1" applyBorder="1" applyAlignment="1">
      <alignment horizontal="left" vertical="center" wrapText="1"/>
    </xf>
    <xf numFmtId="0" fontId="60" fillId="0" borderId="5" xfId="0" applyFont="1" applyBorder="1" applyAlignment="1">
      <alignment horizontal="center" vertical="center"/>
    </xf>
    <xf numFmtId="0" fontId="61" fillId="0" borderId="5" xfId="0" applyFont="1" applyBorder="1" applyAlignment="1">
      <alignment horizontal="left" vertical="center" wrapText="1"/>
    </xf>
    <xf numFmtId="0" fontId="55" fillId="0" borderId="5" xfId="0" applyFont="1" applyBorder="1" applyAlignment="1">
      <alignment horizontal="center" vertical="center"/>
    </xf>
    <xf numFmtId="0" fontId="55" fillId="0" borderId="5" xfId="0" quotePrefix="1" applyFont="1" applyBorder="1" applyAlignment="1">
      <alignment horizontal="left" vertical="center" wrapText="1"/>
    </xf>
    <xf numFmtId="0" fontId="60" fillId="0" borderId="5" xfId="0" applyFont="1" applyBorder="1" applyAlignment="1">
      <alignment horizontal="left" vertical="center" wrapText="1"/>
    </xf>
    <xf numFmtId="0" fontId="55" fillId="0" borderId="5" xfId="0" applyFont="1" applyBorder="1" applyAlignment="1">
      <alignment horizontal="left" vertical="center" wrapText="1"/>
    </xf>
    <xf numFmtId="0" fontId="55" fillId="0" borderId="6" xfId="0" applyFont="1" applyBorder="1" applyAlignment="1">
      <alignment horizontal="center" vertical="center"/>
    </xf>
    <xf numFmtId="0" fontId="55" fillId="0" borderId="6" xfId="0" applyFont="1" applyBorder="1" applyAlignment="1">
      <alignment horizontal="left" vertical="center" wrapText="1"/>
    </xf>
    <xf numFmtId="0" fontId="54" fillId="3" borderId="0" xfId="0" applyFont="1" applyFill="1" applyAlignment="1">
      <alignment horizontal="right" vertical="center" wrapText="1"/>
    </xf>
    <xf numFmtId="0" fontId="52" fillId="0" borderId="0" xfId="0" applyFont="1" applyAlignment="1">
      <alignment vertical="center"/>
    </xf>
    <xf numFmtId="3" fontId="2" fillId="0" borderId="3" xfId="12" applyNumberFormat="1" applyFont="1" applyBorder="1" applyAlignment="1">
      <alignment horizontal="center" vertical="center"/>
    </xf>
    <xf numFmtId="0" fontId="46" fillId="3" borderId="0" xfId="0" applyFont="1" applyFill="1" applyAlignment="1">
      <alignment vertical="center" wrapText="1"/>
    </xf>
    <xf numFmtId="0" fontId="47" fillId="3" borderId="0" xfId="0" applyFont="1" applyFill="1" applyAlignment="1">
      <alignment horizontal="right" vertical="center" wrapText="1"/>
    </xf>
    <xf numFmtId="0" fontId="65" fillId="0" borderId="0" xfId="0" applyFont="1"/>
    <xf numFmtId="0" fontId="46" fillId="0" borderId="0" xfId="0" applyFont="1" applyAlignment="1">
      <alignment horizontal="right" vertical="center" wrapText="1"/>
    </xf>
    <xf numFmtId="0" fontId="54" fillId="3" borderId="4" xfId="0" applyFont="1" applyFill="1" applyBorder="1" applyAlignment="1">
      <alignment horizontal="center" vertical="center" wrapText="1"/>
    </xf>
    <xf numFmtId="0" fontId="54" fillId="3" borderId="4" xfId="0" applyFont="1" applyFill="1" applyBorder="1" applyAlignment="1">
      <alignment vertical="center" wrapText="1"/>
    </xf>
    <xf numFmtId="0" fontId="54" fillId="3" borderId="5"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52" fillId="3" borderId="6" xfId="0" applyFont="1" applyFill="1" applyBorder="1" applyAlignment="1">
      <alignment horizontal="center" vertical="center" wrapText="1"/>
    </xf>
    <xf numFmtId="0" fontId="53" fillId="3" borderId="6" xfId="0" applyFont="1" applyFill="1" applyBorder="1" applyAlignment="1">
      <alignment vertical="center" wrapText="1"/>
    </xf>
    <xf numFmtId="0" fontId="66" fillId="0" borderId="0" xfId="0" applyFont="1" applyAlignment="1">
      <alignment horizontal="center" vertical="center"/>
    </xf>
    <xf numFmtId="0" fontId="54" fillId="3" borderId="6" xfId="0" applyFont="1" applyFill="1" applyBorder="1" applyAlignment="1">
      <alignment horizontal="center" vertical="center" wrapText="1"/>
    </xf>
    <xf numFmtId="166" fontId="81" fillId="0" borderId="0" xfId="3" applyNumberFormat="1" applyFont="1"/>
    <xf numFmtId="169" fontId="81" fillId="0" borderId="0" xfId="3" applyNumberFormat="1" applyFont="1"/>
    <xf numFmtId="0" fontId="2" fillId="0" borderId="0" xfId="0" applyFont="1" applyAlignment="1">
      <alignment horizontal="right" vertical="center"/>
    </xf>
    <xf numFmtId="0" fontId="3" fillId="0" borderId="0" xfId="0" applyFont="1" applyAlignment="1">
      <alignment horizontal="right" vertical="center"/>
    </xf>
    <xf numFmtId="0" fontId="41" fillId="0" borderId="3" xfId="0" applyFont="1" applyBorder="1" applyAlignment="1">
      <alignment horizontal="center" vertical="center" wrapText="1"/>
    </xf>
    <xf numFmtId="0" fontId="6" fillId="0" borderId="0" xfId="0" applyFont="1"/>
    <xf numFmtId="0" fontId="72" fillId="0" borderId="0" xfId="0" applyFont="1" applyAlignment="1">
      <alignment vertical="center"/>
    </xf>
    <xf numFmtId="170" fontId="72" fillId="0" borderId="0" xfId="3" applyNumberFormat="1" applyFont="1" applyFill="1" applyAlignment="1">
      <alignment vertical="center"/>
    </xf>
    <xf numFmtId="0" fontId="2" fillId="0" borderId="0" xfId="0" applyFont="1" applyAlignment="1">
      <alignment vertical="center"/>
    </xf>
    <xf numFmtId="0" fontId="73" fillId="0" borderId="0" xfId="0" applyFont="1" applyAlignment="1">
      <alignment vertical="center"/>
    </xf>
    <xf numFmtId="43" fontId="71" fillId="0" borderId="0" xfId="3" applyFont="1" applyFill="1" applyAlignment="1">
      <alignment vertical="center"/>
    </xf>
    <xf numFmtId="166" fontId="71" fillId="0" borderId="0" xfId="3" applyNumberFormat="1" applyFont="1" applyFill="1" applyAlignment="1">
      <alignment vertical="center"/>
    </xf>
    <xf numFmtId="166" fontId="42" fillId="0" borderId="0" xfId="3" applyNumberFormat="1" applyFont="1" applyFill="1" applyAlignment="1">
      <alignment vertical="center"/>
    </xf>
    <xf numFmtId="172" fontId="42" fillId="0" borderId="0" xfId="3" applyNumberFormat="1" applyFont="1" applyFill="1" applyAlignment="1">
      <alignment vertical="center"/>
    </xf>
    <xf numFmtId="0" fontId="71" fillId="0" borderId="0" xfId="0" applyFont="1" applyAlignment="1">
      <alignment vertical="center"/>
    </xf>
    <xf numFmtId="166" fontId="3" fillId="0" borderId="0" xfId="3" applyNumberFormat="1" applyFont="1" applyFill="1" applyAlignment="1">
      <alignment horizontal="right" vertical="center"/>
    </xf>
    <xf numFmtId="0" fontId="41" fillId="0" borderId="8" xfId="0" applyFont="1" applyBorder="1" applyAlignment="1">
      <alignment vertical="center" wrapText="1"/>
    </xf>
    <xf numFmtId="0" fontId="42" fillId="0" borderId="5" xfId="0" applyFont="1" applyBorder="1" applyAlignment="1">
      <alignment horizontal="center" vertical="center" wrapText="1"/>
    </xf>
    <xf numFmtId="43" fontId="81" fillId="0" borderId="0" xfId="3" applyFont="1"/>
    <xf numFmtId="0" fontId="6" fillId="0" borderId="5" xfId="0" applyFont="1" applyBorder="1" applyAlignment="1">
      <alignment vertical="center" wrapText="1"/>
    </xf>
    <xf numFmtId="0" fontId="75" fillId="0" borderId="0" xfId="0" applyFont="1" applyAlignment="1">
      <alignment vertical="center"/>
    </xf>
    <xf numFmtId="0" fontId="22" fillId="0" borderId="5" xfId="0" applyFont="1" applyBorder="1" applyAlignment="1">
      <alignment vertical="center" wrapText="1"/>
    </xf>
    <xf numFmtId="43" fontId="22" fillId="0" borderId="5" xfId="3" applyFont="1" applyFill="1" applyBorder="1" applyAlignment="1">
      <alignment horizontal="center" vertical="center" wrapText="1"/>
    </xf>
    <xf numFmtId="3" fontId="83" fillId="0" borderId="0" xfId="0" applyNumberFormat="1" applyFont="1" applyAlignment="1">
      <alignment horizontal="justify"/>
    </xf>
    <xf numFmtId="0" fontId="83" fillId="0" borderId="0" xfId="0" applyFont="1"/>
    <xf numFmtId="166" fontId="83" fillId="0" borderId="0" xfId="3" applyNumberFormat="1" applyFont="1" applyAlignment="1"/>
    <xf numFmtId="166" fontId="83" fillId="0" borderId="0" xfId="3" applyNumberFormat="1" applyFont="1" applyAlignment="1">
      <alignment horizontal="justify"/>
    </xf>
    <xf numFmtId="166" fontId="0" fillId="0" borderId="0" xfId="0" applyNumberFormat="1"/>
    <xf numFmtId="3" fontId="69" fillId="0" borderId="0" xfId="0" applyNumberFormat="1" applyFont="1"/>
    <xf numFmtId="3" fontId="83" fillId="0" borderId="0" xfId="0" applyNumberFormat="1" applyFont="1"/>
    <xf numFmtId="166" fontId="36" fillId="0" borderId="0" xfId="0" applyNumberFormat="1" applyFont="1"/>
    <xf numFmtId="3" fontId="47" fillId="0" borderId="0" xfId="0" applyNumberFormat="1" applyFont="1" applyAlignment="1">
      <alignment horizontal="left"/>
    </xf>
    <xf numFmtId="169" fontId="41" fillId="0" borderId="3" xfId="3" applyNumberFormat="1" applyFont="1" applyFill="1" applyBorder="1" applyAlignment="1">
      <alignment horizontal="center" vertical="center" wrapText="1"/>
    </xf>
    <xf numFmtId="0" fontId="41" fillId="0" borderId="4"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5" xfId="0" applyFont="1" applyBorder="1" applyAlignment="1">
      <alignment vertical="center" wrapText="1"/>
    </xf>
    <xf numFmtId="0" fontId="42" fillId="0" borderId="5" xfId="0" applyFont="1" applyBorder="1" applyAlignment="1">
      <alignment vertical="center" wrapText="1"/>
    </xf>
    <xf numFmtId="43" fontId="42" fillId="0" borderId="5" xfId="3" applyFont="1" applyFill="1" applyBorder="1" applyAlignment="1">
      <alignment horizontal="center" vertical="center" wrapText="1"/>
    </xf>
    <xf numFmtId="0" fontId="84" fillId="0" borderId="5" xfId="0" applyFont="1" applyBorder="1" applyAlignment="1">
      <alignment horizontal="center" vertical="center" wrapText="1"/>
    </xf>
    <xf numFmtId="0" fontId="84" fillId="0" borderId="5" xfId="0" applyFont="1" applyBorder="1" applyAlignment="1">
      <alignment vertical="center" wrapText="1"/>
    </xf>
    <xf numFmtId="0" fontId="2" fillId="0" borderId="0" xfId="0" applyFont="1" applyAlignment="1">
      <alignment horizontal="center" vertical="center"/>
    </xf>
    <xf numFmtId="0" fontId="6" fillId="0" borderId="0" xfId="0" applyFont="1" applyAlignment="1">
      <alignment horizontal="right" vertical="center"/>
    </xf>
    <xf numFmtId="166" fontId="2" fillId="0" borderId="14" xfId="0" applyNumberFormat="1" applyFont="1" applyBorder="1" applyAlignment="1">
      <alignment horizontal="center" vertical="center" wrapText="1"/>
    </xf>
    <xf numFmtId="0" fontId="73" fillId="0" borderId="0" xfId="0" applyFont="1" applyAlignment="1">
      <alignment horizontal="left" vertical="center"/>
    </xf>
    <xf numFmtId="43" fontId="22" fillId="0" borderId="5" xfId="3" applyFont="1" applyFill="1" applyBorder="1" applyAlignment="1">
      <alignment vertical="center"/>
    </xf>
    <xf numFmtId="0" fontId="2" fillId="0" borderId="9" xfId="0" applyFont="1" applyBorder="1" applyAlignment="1">
      <alignment horizontal="center" vertical="center" wrapText="1"/>
    </xf>
    <xf numFmtId="0" fontId="73" fillId="0" borderId="9" xfId="0" applyFont="1" applyBorder="1" applyAlignment="1">
      <alignment vertical="center"/>
    </xf>
    <xf numFmtId="166" fontId="73" fillId="0" borderId="9" xfId="0" applyNumberFormat="1" applyFont="1" applyBorder="1" applyAlignment="1">
      <alignment vertical="center"/>
    </xf>
    <xf numFmtId="0" fontId="6" fillId="0" borderId="11" xfId="0" applyFont="1" applyBorder="1" applyAlignment="1">
      <alignment horizontal="center" vertical="center" wrapText="1"/>
    </xf>
    <xf numFmtId="166" fontId="6" fillId="0" borderId="11" xfId="3" applyNumberFormat="1"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1" xfId="0" quotePrefix="1" applyFont="1" applyBorder="1" applyAlignment="1">
      <alignment horizontal="center" vertical="center" wrapText="1"/>
    </xf>
    <xf numFmtId="166" fontId="2" fillId="0" borderId="11" xfId="3" applyNumberFormat="1" applyFont="1" applyFill="1" applyBorder="1" applyAlignment="1">
      <alignment horizontal="center" vertical="center" wrapText="1"/>
    </xf>
    <xf numFmtId="0" fontId="6" fillId="0" borderId="11" xfId="0" quotePrefix="1" applyFont="1" applyBorder="1" applyAlignment="1">
      <alignment horizontal="center" vertical="center" wrapText="1"/>
    </xf>
    <xf numFmtId="0" fontId="73" fillId="0" borderId="11" xfId="0" applyFont="1" applyBorder="1" applyAlignment="1">
      <alignment vertical="center"/>
    </xf>
    <xf numFmtId="166" fontId="73" fillId="0" borderId="11" xfId="0" applyNumberFormat="1" applyFont="1" applyBorder="1" applyAlignment="1">
      <alignment vertical="center"/>
    </xf>
    <xf numFmtId="0" fontId="73" fillId="0" borderId="11" xfId="0" applyFont="1" applyBorder="1" applyAlignment="1">
      <alignment horizontal="left" vertical="center"/>
    </xf>
    <xf numFmtId="0" fontId="2" fillId="0" borderId="11" xfId="0" applyFont="1" applyBorder="1" applyAlignment="1">
      <alignment horizontal="left" vertical="center" wrapText="1"/>
    </xf>
    <xf numFmtId="0" fontId="2" fillId="0" borderId="11" xfId="0" quotePrefix="1" applyFont="1" applyBorder="1" applyAlignment="1">
      <alignment horizontal="left" vertical="center" wrapText="1"/>
    </xf>
    <xf numFmtId="166" fontId="2" fillId="0" borderId="11" xfId="3" applyNumberFormat="1" applyFont="1" applyFill="1" applyBorder="1" applyAlignment="1">
      <alignment horizontal="left" vertical="center" wrapText="1"/>
    </xf>
    <xf numFmtId="166" fontId="73" fillId="0" borderId="11" xfId="3" applyNumberFormat="1" applyFont="1" applyFill="1" applyBorder="1" applyAlignment="1">
      <alignment vertical="center"/>
    </xf>
    <xf numFmtId="0" fontId="71" fillId="0" borderId="11" xfId="0" applyFont="1" applyBorder="1" applyAlignment="1">
      <alignment vertical="center"/>
    </xf>
    <xf numFmtId="169" fontId="42" fillId="0" borderId="5" xfId="3" applyNumberFormat="1" applyFont="1" applyFill="1" applyBorder="1" applyAlignment="1">
      <alignment horizontal="center" vertical="center" wrapText="1"/>
    </xf>
    <xf numFmtId="169" fontId="41" fillId="0" borderId="5" xfId="3" applyNumberFormat="1" applyFont="1" applyFill="1" applyBorder="1" applyAlignment="1">
      <alignment horizontal="center" vertical="center" wrapText="1"/>
    </xf>
    <xf numFmtId="166" fontId="41" fillId="0" borderId="5" xfId="3" applyNumberFormat="1" applyFont="1" applyFill="1" applyBorder="1" applyAlignment="1">
      <alignment horizontal="center" vertical="center" wrapText="1"/>
    </xf>
    <xf numFmtId="169" fontId="84" fillId="0" borderId="5" xfId="3" applyNumberFormat="1" applyFont="1" applyFill="1" applyBorder="1" applyAlignment="1">
      <alignment horizontal="center" vertical="center" wrapText="1"/>
    </xf>
    <xf numFmtId="0" fontId="73" fillId="0" borderId="0" xfId="0" quotePrefix="1" applyFont="1" applyAlignment="1">
      <alignment vertical="center"/>
    </xf>
    <xf numFmtId="0" fontId="71" fillId="0" borderId="0" xfId="0" quotePrefix="1" applyFont="1" applyAlignment="1">
      <alignment vertical="center"/>
    </xf>
    <xf numFmtId="0" fontId="62" fillId="0" borderId="12" xfId="0" applyFont="1" applyBorder="1" applyAlignment="1">
      <alignment horizontal="center" vertical="center" wrapText="1"/>
    </xf>
    <xf numFmtId="0" fontId="62" fillId="0" borderId="12" xfId="0" quotePrefix="1" applyFont="1" applyBorder="1" applyAlignment="1">
      <alignment horizontal="center" vertical="center" wrapText="1"/>
    </xf>
    <xf numFmtId="166" fontId="62" fillId="0" borderId="12" xfId="3" applyNumberFormat="1" applyFont="1" applyFill="1" applyBorder="1" applyAlignment="1">
      <alignment horizontal="center" vertical="center" wrapText="1"/>
    </xf>
    <xf numFmtId="0" fontId="82" fillId="0" borderId="0" xfId="0" applyFont="1" applyAlignment="1">
      <alignment vertical="center"/>
    </xf>
    <xf numFmtId="166" fontId="71" fillId="0" borderId="0" xfId="0" applyNumberFormat="1" applyFont="1" applyAlignment="1">
      <alignment vertical="center"/>
    </xf>
    <xf numFmtId="166" fontId="73" fillId="0" borderId="0" xfId="3" applyNumberFormat="1" applyFont="1" applyFill="1" applyAlignment="1">
      <alignment vertical="center"/>
    </xf>
    <xf numFmtId="0" fontId="41" fillId="0" borderId="8" xfId="0" applyFont="1" applyBorder="1" applyAlignment="1">
      <alignment horizontal="center" vertical="center" wrapText="1"/>
    </xf>
    <xf numFmtId="0" fontId="41" fillId="0" borderId="4" xfId="0" applyFont="1" applyBorder="1" applyAlignment="1">
      <alignment vertical="center" wrapText="1"/>
    </xf>
    <xf numFmtId="43" fontId="41" fillId="0" borderId="4" xfId="3" applyFont="1" applyFill="1" applyBorder="1" applyAlignment="1">
      <alignment horizontal="center" vertical="center" wrapText="1"/>
    </xf>
    <xf numFmtId="169" fontId="41" fillId="0" borderId="8" xfId="3" applyNumberFormat="1" applyFont="1" applyFill="1" applyBorder="1" applyAlignment="1">
      <alignment horizontal="center" vertical="center" wrapText="1"/>
    </xf>
    <xf numFmtId="0" fontId="92" fillId="3" borderId="0" xfId="0" applyFont="1" applyFill="1"/>
    <xf numFmtId="0" fontId="93" fillId="3" borderId="0" xfId="0" applyFont="1" applyFill="1"/>
    <xf numFmtId="43" fontId="93" fillId="3" borderId="0" xfId="3" applyFont="1" applyFill="1"/>
    <xf numFmtId="166" fontId="93" fillId="3" borderId="0" xfId="3" applyNumberFormat="1" applyFont="1" applyFill="1"/>
    <xf numFmtId="166" fontId="92" fillId="3" borderId="0" xfId="3" applyNumberFormat="1" applyFont="1" applyFill="1" applyAlignment="1">
      <alignment horizontal="right" vertical="center"/>
    </xf>
    <xf numFmtId="166" fontId="94" fillId="3" borderId="0" xfId="3" applyNumberFormat="1" applyFont="1" applyFill="1" applyAlignment="1">
      <alignment horizontal="right" vertical="center"/>
    </xf>
    <xf numFmtId="0" fontId="95" fillId="3" borderId="0" xfId="0" applyFont="1" applyFill="1"/>
    <xf numFmtId="0" fontId="96" fillId="3" borderId="3" xfId="0" applyFont="1" applyFill="1" applyBorder="1" applyAlignment="1">
      <alignment horizontal="center" vertical="center" wrapText="1"/>
    </xf>
    <xf numFmtId="43" fontId="96" fillId="3" borderId="3" xfId="3" applyFont="1" applyFill="1" applyBorder="1" applyAlignment="1">
      <alignment horizontal="center" vertical="center" wrapText="1"/>
    </xf>
    <xf numFmtId="166" fontId="96" fillId="3" borderId="3" xfId="3" applyNumberFormat="1" applyFont="1" applyFill="1" applyBorder="1" applyAlignment="1">
      <alignment horizontal="center" vertical="center" wrapText="1"/>
    </xf>
    <xf numFmtId="0" fontId="95" fillId="3" borderId="17" xfId="0" applyFont="1" applyFill="1" applyBorder="1"/>
    <xf numFmtId="0" fontId="97" fillId="3" borderId="11" xfId="0" applyFont="1" applyFill="1" applyBorder="1" applyAlignment="1">
      <alignment vertical="center" wrapText="1"/>
    </xf>
    <xf numFmtId="0" fontId="92" fillId="3" borderId="11" xfId="0" applyFont="1" applyFill="1" applyBorder="1" applyAlignment="1">
      <alignment vertical="center" wrapText="1"/>
    </xf>
    <xf numFmtId="0" fontId="96" fillId="3" borderId="0" xfId="0" applyFont="1" applyFill="1"/>
    <xf numFmtId="0" fontId="96" fillId="3" borderId="9" xfId="0" applyFont="1" applyFill="1" applyBorder="1" applyAlignment="1">
      <alignment horizontal="center" vertical="center" wrapText="1"/>
    </xf>
    <xf numFmtId="0" fontId="96" fillId="3" borderId="9" xfId="0" applyFont="1" applyFill="1" applyBorder="1" applyAlignment="1">
      <alignment vertical="center" wrapText="1"/>
    </xf>
    <xf numFmtId="43" fontId="95" fillId="3" borderId="9" xfId="0" applyNumberFormat="1" applyFont="1" applyFill="1" applyBorder="1" applyAlignment="1">
      <alignment horizontal="center" vertical="center" wrapText="1"/>
    </xf>
    <xf numFmtId="43" fontId="95" fillId="3" borderId="9" xfId="3" applyFont="1" applyFill="1" applyBorder="1" applyAlignment="1">
      <alignment horizontal="center" vertical="center" wrapText="1"/>
    </xf>
    <xf numFmtId="166" fontId="95" fillId="3" borderId="9" xfId="3" applyNumberFormat="1" applyFont="1" applyFill="1" applyBorder="1" applyAlignment="1">
      <alignment horizontal="center" vertical="center" wrapText="1"/>
    </xf>
    <xf numFmtId="0" fontId="96" fillId="3" borderId="11" xfId="0" applyFont="1" applyFill="1" applyBorder="1" applyAlignment="1">
      <alignment horizontal="center" vertical="center" wrapText="1"/>
    </xf>
    <xf numFmtId="0" fontId="96" fillId="3" borderId="11" xfId="0" applyFont="1" applyFill="1" applyBorder="1" applyAlignment="1">
      <alignment vertical="center" wrapText="1"/>
    </xf>
    <xf numFmtId="43" fontId="98" fillId="3" borderId="11" xfId="3" applyFont="1" applyFill="1" applyBorder="1" applyAlignment="1">
      <alignment horizontal="center" vertical="center" wrapText="1"/>
    </xf>
    <xf numFmtId="166" fontId="95" fillId="3" borderId="11" xfId="3" applyNumberFormat="1" applyFont="1" applyFill="1" applyBorder="1" applyAlignment="1">
      <alignment horizontal="center" vertical="center" wrapText="1"/>
    </xf>
    <xf numFmtId="43" fontId="95" fillId="3" borderId="11" xfId="3" applyFont="1" applyFill="1" applyBorder="1" applyAlignment="1">
      <alignment horizontal="center" vertical="center" wrapText="1"/>
    </xf>
    <xf numFmtId="0" fontId="95" fillId="3" borderId="11" xfId="0" applyFont="1" applyFill="1" applyBorder="1" applyAlignment="1">
      <alignment horizontal="center" vertical="center" wrapText="1"/>
    </xf>
    <xf numFmtId="0" fontId="95" fillId="3" borderId="11" xfId="0" applyFont="1" applyFill="1" applyBorder="1" applyAlignment="1">
      <alignment vertical="center" wrapText="1"/>
    </xf>
    <xf numFmtId="0" fontId="99" fillId="3" borderId="11" xfId="0" applyFont="1" applyFill="1" applyBorder="1" applyAlignment="1">
      <alignment vertical="center" wrapText="1"/>
    </xf>
    <xf numFmtId="43" fontId="100" fillId="3" borderId="11" xfId="3" applyFont="1" applyFill="1" applyBorder="1" applyAlignment="1">
      <alignment horizontal="center" vertical="center" wrapText="1"/>
    </xf>
    <xf numFmtId="43" fontId="96" fillId="3" borderId="11" xfId="3" applyFont="1" applyFill="1" applyBorder="1" applyAlignment="1">
      <alignment horizontal="center" vertical="center" wrapText="1"/>
    </xf>
    <xf numFmtId="166" fontId="95" fillId="3" borderId="11" xfId="3" applyNumberFormat="1" applyFont="1" applyFill="1" applyBorder="1"/>
    <xf numFmtId="43" fontId="95" fillId="3" borderId="11" xfId="3" applyFont="1" applyFill="1" applyBorder="1"/>
    <xf numFmtId="0" fontId="95" fillId="3" borderId="11" xfId="0" applyFont="1" applyFill="1" applyBorder="1"/>
    <xf numFmtId="0" fontId="93" fillId="3" borderId="12" xfId="0" applyFont="1" applyFill="1" applyBorder="1"/>
    <xf numFmtId="0" fontId="95" fillId="3" borderId="12" xfId="0" applyFont="1" applyFill="1" applyBorder="1" applyAlignment="1">
      <alignment vertical="center" wrapText="1"/>
    </xf>
    <xf numFmtId="43" fontId="98" fillId="3" borderId="12" xfId="3" applyFont="1" applyFill="1" applyBorder="1" applyAlignment="1">
      <alignment horizontal="center" vertical="center" wrapText="1"/>
    </xf>
    <xf numFmtId="43" fontId="93" fillId="3" borderId="12" xfId="3" applyFont="1" applyFill="1" applyBorder="1"/>
    <xf numFmtId="43" fontId="95" fillId="3" borderId="12" xfId="3" applyFont="1" applyFill="1" applyBorder="1" applyAlignment="1">
      <alignment horizontal="center" vertical="center" wrapText="1"/>
    </xf>
    <xf numFmtId="166" fontId="93" fillId="3" borderId="12" xfId="3" applyNumberFormat="1" applyFont="1" applyFill="1" applyBorder="1"/>
    <xf numFmtId="0" fontId="79" fillId="0" borderId="0" xfId="0" applyFont="1" applyAlignment="1">
      <alignment horizontal="left"/>
    </xf>
    <xf numFmtId="43" fontId="41" fillId="0" borderId="8" xfId="3" applyFont="1" applyFill="1" applyBorder="1" applyAlignment="1">
      <alignment horizontal="center" vertical="center" wrapText="1"/>
    </xf>
    <xf numFmtId="0" fontId="22" fillId="0" borderId="0" xfId="0" applyFont="1" applyAlignment="1">
      <alignment vertical="center"/>
    </xf>
    <xf numFmtId="176" fontId="71" fillId="0" borderId="0" xfId="0" applyNumberFormat="1" applyFont="1" applyAlignment="1">
      <alignment vertical="center"/>
    </xf>
    <xf numFmtId="0" fontId="41" fillId="0" borderId="0" xfId="0" applyFont="1" applyAlignment="1">
      <alignment vertical="center"/>
    </xf>
    <xf numFmtId="0" fontId="42" fillId="0" borderId="0" xfId="0" applyFont="1" applyAlignment="1">
      <alignment vertical="center"/>
    </xf>
    <xf numFmtId="43" fontId="42" fillId="0" borderId="0" xfId="3" applyFont="1" applyFill="1" applyAlignment="1">
      <alignment vertical="center"/>
    </xf>
    <xf numFmtId="167" fontId="42" fillId="0" borderId="0" xfId="3" applyNumberFormat="1" applyFont="1" applyFill="1" applyAlignment="1">
      <alignment vertical="center"/>
    </xf>
    <xf numFmtId="0" fontId="41" fillId="0" borderId="0" xfId="0" applyFont="1" applyAlignment="1">
      <alignment horizontal="right" vertical="center"/>
    </xf>
    <xf numFmtId="0" fontId="43" fillId="0" borderId="0" xfId="0" applyFont="1" applyAlignment="1">
      <alignment horizontal="right" vertical="center"/>
    </xf>
    <xf numFmtId="43" fontId="41" fillId="0" borderId="3" xfId="3" applyFont="1" applyFill="1" applyBorder="1" applyAlignment="1">
      <alignment horizontal="center" vertical="center" wrapText="1"/>
    </xf>
    <xf numFmtId="166" fontId="41" fillId="0" borderId="4" xfId="0" applyNumberFormat="1" applyFont="1" applyBorder="1" applyAlignment="1">
      <alignment horizontal="center" vertical="center" wrapText="1"/>
    </xf>
    <xf numFmtId="43" fontId="41" fillId="0" borderId="4" xfId="3" applyFont="1" applyFill="1" applyBorder="1" applyAlignment="1">
      <alignment vertical="center" wrapText="1"/>
    </xf>
    <xf numFmtId="0" fontId="41" fillId="0" borderId="15" xfId="0" applyFont="1" applyBorder="1" applyAlignment="1">
      <alignment vertical="center" wrapText="1"/>
    </xf>
    <xf numFmtId="43" fontId="84" fillId="0" borderId="5" xfId="3" applyFont="1" applyFill="1" applyBorder="1" applyAlignment="1">
      <alignment horizontal="center" vertical="center" wrapText="1"/>
    </xf>
    <xf numFmtId="43" fontId="41" fillId="0" borderId="5" xfId="3" applyFont="1" applyFill="1" applyBorder="1" applyAlignment="1">
      <alignment horizontal="center" vertical="center" wrapText="1"/>
    </xf>
    <xf numFmtId="0" fontId="84" fillId="0" borderId="0" xfId="0" applyFont="1" applyAlignment="1">
      <alignment vertical="center"/>
    </xf>
    <xf numFmtId="172" fontId="41" fillId="0" borderId="5" xfId="3" applyNumberFormat="1" applyFont="1" applyFill="1" applyBorder="1" applyAlignment="1">
      <alignment horizontal="center" vertical="center" wrapText="1"/>
    </xf>
    <xf numFmtId="168" fontId="41" fillId="0" borderId="5" xfId="3" applyNumberFormat="1" applyFont="1" applyFill="1" applyBorder="1" applyAlignment="1">
      <alignment horizontal="center" vertical="center" wrapText="1"/>
    </xf>
    <xf numFmtId="166" fontId="41" fillId="0" borderId="5" xfId="0" applyNumberFormat="1" applyFont="1" applyBorder="1" applyAlignment="1">
      <alignment horizontal="center" vertical="center" wrapText="1"/>
    </xf>
    <xf numFmtId="43" fontId="42" fillId="0" borderId="5" xfId="3" applyFont="1" applyFill="1" applyBorder="1" applyAlignment="1">
      <alignment vertical="center"/>
    </xf>
    <xf numFmtId="43" fontId="84" fillId="0" borderId="5" xfId="3" applyFont="1" applyFill="1" applyBorder="1" applyAlignment="1">
      <alignment horizontal="right" vertical="center" wrapText="1"/>
    </xf>
    <xf numFmtId="166" fontId="84" fillId="0" borderId="5" xfId="3" applyNumberFormat="1" applyFont="1" applyFill="1" applyBorder="1" applyAlignment="1">
      <alignment horizontal="right" vertical="center" wrapText="1"/>
    </xf>
    <xf numFmtId="43" fontId="41" fillId="0" borderId="5" xfId="0" applyNumberFormat="1" applyFont="1" applyBorder="1" applyAlignment="1">
      <alignment horizontal="center" vertical="center" wrapText="1"/>
    </xf>
    <xf numFmtId="0" fontId="42" fillId="0" borderId="5" xfId="1" applyFont="1" applyBorder="1" applyAlignment="1">
      <alignment vertical="center" wrapText="1"/>
    </xf>
    <xf numFmtId="172" fontId="84" fillId="0" borderId="5" xfId="3" applyNumberFormat="1" applyFont="1" applyFill="1" applyBorder="1" applyAlignment="1">
      <alignment horizontal="center" vertical="center" wrapText="1"/>
    </xf>
    <xf numFmtId="166" fontId="84" fillId="0" borderId="5" xfId="0" applyNumberFormat="1" applyFont="1" applyBorder="1" applyAlignment="1">
      <alignment horizontal="center" vertical="center" wrapText="1"/>
    </xf>
    <xf numFmtId="0" fontId="23" fillId="0" borderId="5" xfId="0" applyFont="1" applyBorder="1" applyAlignment="1">
      <alignment horizontal="center" vertical="center" wrapText="1"/>
    </xf>
    <xf numFmtId="0" fontId="23" fillId="0" borderId="5" xfId="0" applyFont="1" applyBorder="1" applyAlignment="1">
      <alignment vertical="center" wrapText="1"/>
    </xf>
    <xf numFmtId="43" fontId="23" fillId="0" borderId="5" xfId="3" applyFont="1" applyFill="1" applyBorder="1" applyAlignment="1">
      <alignment horizontal="center" vertical="center" wrapText="1"/>
    </xf>
    <xf numFmtId="43" fontId="23" fillId="0" borderId="5" xfId="3" applyFont="1" applyFill="1" applyBorder="1" applyAlignment="1">
      <alignment vertical="center"/>
    </xf>
    <xf numFmtId="169" fontId="23" fillId="0" borderId="5" xfId="3" applyNumberFormat="1" applyFont="1" applyFill="1" applyBorder="1" applyAlignment="1">
      <alignment horizontal="center" vertical="center" wrapText="1"/>
    </xf>
    <xf numFmtId="0" fontId="23" fillId="0" borderId="0" xfId="0" applyFont="1" applyAlignment="1">
      <alignment vertical="center"/>
    </xf>
    <xf numFmtId="168" fontId="42" fillId="0" borderId="5" xfId="3" applyNumberFormat="1" applyFont="1" applyFill="1" applyBorder="1" applyAlignment="1">
      <alignment horizontal="center" vertical="center" wrapText="1"/>
    </xf>
    <xf numFmtId="173" fontId="84" fillId="0" borderId="5" xfId="3" applyNumberFormat="1" applyFont="1" applyFill="1" applyBorder="1" applyAlignment="1">
      <alignment horizontal="center" vertical="center" wrapText="1"/>
    </xf>
    <xf numFmtId="43" fontId="84" fillId="0" borderId="0" xfId="0" applyNumberFormat="1" applyFont="1" applyAlignment="1">
      <alignment vertical="center"/>
    </xf>
    <xf numFmtId="0" fontId="42" fillId="0" borderId="5" xfId="0" applyFont="1" applyBorder="1" applyAlignment="1">
      <alignment vertical="center"/>
    </xf>
    <xf numFmtId="0" fontId="42" fillId="0" borderId="5" xfId="0" applyFont="1" applyBorder="1" applyAlignment="1">
      <alignment horizontal="justify" vertical="center"/>
    </xf>
    <xf numFmtId="0" fontId="84" fillId="0" borderId="5" xfId="0" applyFont="1" applyBorder="1" applyAlignment="1">
      <alignment vertical="center"/>
    </xf>
    <xf numFmtId="0" fontId="41" fillId="0" borderId="5" xfId="0" applyFont="1" applyBorder="1" applyAlignment="1">
      <alignment vertical="center"/>
    </xf>
    <xf numFmtId="43" fontId="41" fillId="0" borderId="5" xfId="3" applyFont="1" applyFill="1" applyBorder="1" applyAlignment="1">
      <alignment vertical="center"/>
    </xf>
    <xf numFmtId="173" fontId="41" fillId="0" borderId="5" xfId="3" applyNumberFormat="1" applyFont="1" applyFill="1" applyBorder="1" applyAlignment="1">
      <alignment horizontal="center" vertical="center" wrapText="1"/>
    </xf>
    <xf numFmtId="0" fontId="23" fillId="0" borderId="5" xfId="0" applyFont="1" applyBorder="1" applyAlignment="1">
      <alignment vertical="center"/>
    </xf>
    <xf numFmtId="0" fontId="41" fillId="0" borderId="18" xfId="0" applyFont="1" applyBorder="1" applyAlignment="1">
      <alignment vertical="center"/>
    </xf>
    <xf numFmtId="0" fontId="22" fillId="0" borderId="5" xfId="0" applyFont="1" applyBorder="1" applyAlignment="1">
      <alignment vertical="center"/>
    </xf>
    <xf numFmtId="172" fontId="22" fillId="0" borderId="5" xfId="3" applyNumberFormat="1" applyFont="1" applyFill="1" applyBorder="1" applyAlignment="1">
      <alignment horizontal="center" vertical="center" wrapText="1"/>
    </xf>
    <xf numFmtId="0" fontId="22" fillId="0" borderId="18" xfId="0" applyFont="1" applyBorder="1" applyAlignment="1">
      <alignment vertical="center"/>
    </xf>
    <xf numFmtId="0" fontId="23" fillId="0" borderId="19" xfId="0" applyFont="1" applyBorder="1" applyAlignment="1">
      <alignment vertical="center"/>
    </xf>
    <xf numFmtId="0" fontId="22" fillId="0" borderId="19" xfId="0" applyFont="1" applyBorder="1" applyAlignment="1">
      <alignment vertical="center"/>
    </xf>
    <xf numFmtId="0" fontId="85" fillId="0" borderId="6" xfId="0" applyFont="1" applyBorder="1" applyAlignment="1">
      <alignment vertical="center" wrapText="1"/>
    </xf>
    <xf numFmtId="0" fontId="22" fillId="0" borderId="6" xfId="0" applyFont="1" applyBorder="1" applyAlignment="1">
      <alignment vertical="center" wrapText="1"/>
    </xf>
    <xf numFmtId="43" fontId="22" fillId="0" borderId="6" xfId="3" applyFont="1" applyFill="1" applyBorder="1" applyAlignment="1">
      <alignment horizontal="center" vertical="center" wrapText="1"/>
    </xf>
    <xf numFmtId="172" fontId="22" fillId="0" borderId="6" xfId="3" applyNumberFormat="1" applyFont="1" applyFill="1" applyBorder="1" applyAlignment="1">
      <alignment horizontal="center" vertical="center" wrapText="1"/>
    </xf>
    <xf numFmtId="43" fontId="22" fillId="0" borderId="6" xfId="3" applyFont="1" applyFill="1" applyBorder="1" applyAlignment="1">
      <alignment vertical="center"/>
    </xf>
    <xf numFmtId="0" fontId="85" fillId="0" borderId="20" xfId="0" applyFont="1" applyBorder="1" applyAlignment="1">
      <alignment vertical="center" wrapText="1"/>
    </xf>
    <xf numFmtId="0" fontId="94" fillId="3" borderId="22" xfId="0" applyFont="1" applyFill="1" applyBorder="1" applyAlignment="1">
      <alignment vertical="center" wrapText="1"/>
    </xf>
    <xf numFmtId="0" fontId="92" fillId="3" borderId="0" xfId="0" applyFont="1" applyFill="1" applyAlignment="1">
      <alignment vertical="center" wrapText="1"/>
    </xf>
    <xf numFmtId="0" fontId="94" fillId="3" borderId="0" xfId="0" applyFont="1" applyFill="1" applyAlignment="1">
      <alignment vertical="center" wrapText="1"/>
    </xf>
    <xf numFmtId="166" fontId="98" fillId="3" borderId="0" xfId="3" applyNumberFormat="1" applyFont="1" applyFill="1" applyAlignment="1">
      <alignment vertical="center"/>
    </xf>
    <xf numFmtId="172" fontId="98" fillId="3" borderId="0" xfId="3" applyNumberFormat="1" applyFont="1" applyFill="1" applyAlignment="1">
      <alignment vertical="center"/>
    </xf>
    <xf numFmtId="166" fontId="93" fillId="3" borderId="0" xfId="3" applyNumberFormat="1" applyFont="1" applyFill="1" applyAlignment="1">
      <alignment vertical="center"/>
    </xf>
    <xf numFmtId="43" fontId="98" fillId="3" borderId="0" xfId="3" applyFont="1" applyFill="1" applyAlignment="1">
      <alignment vertical="center"/>
    </xf>
    <xf numFmtId="43" fontId="93" fillId="3" borderId="0" xfId="3" applyFont="1" applyFill="1" applyAlignment="1">
      <alignment vertical="center"/>
    </xf>
    <xf numFmtId="168" fontId="84" fillId="0" borderId="5" xfId="3" applyNumberFormat="1" applyFont="1" applyFill="1" applyBorder="1" applyAlignment="1">
      <alignment horizontal="center" vertical="center" wrapText="1"/>
    </xf>
    <xf numFmtId="168" fontId="42" fillId="0" borderId="0" xfId="3" applyNumberFormat="1" applyFont="1" applyFill="1" applyAlignment="1">
      <alignment vertical="center"/>
    </xf>
    <xf numFmtId="168" fontId="41" fillId="0" borderId="3" xfId="3" applyNumberFormat="1" applyFont="1" applyFill="1" applyBorder="1" applyAlignment="1">
      <alignment horizontal="center" vertical="center" wrapText="1"/>
    </xf>
    <xf numFmtId="168" fontId="41" fillId="0" borderId="8" xfId="3" applyNumberFormat="1" applyFont="1" applyFill="1" applyBorder="1" applyAlignment="1">
      <alignment horizontal="center" vertical="center" wrapText="1"/>
    </xf>
    <xf numFmtId="168" fontId="41" fillId="0" borderId="4" xfId="3" applyNumberFormat="1" applyFont="1" applyFill="1" applyBorder="1" applyAlignment="1">
      <alignment vertical="center" wrapText="1"/>
    </xf>
    <xf numFmtId="168" fontId="84" fillId="0" borderId="5" xfId="3" applyNumberFormat="1" applyFont="1" applyFill="1" applyBorder="1" applyAlignment="1">
      <alignment horizontal="right" vertical="center" wrapText="1"/>
    </xf>
    <xf numFmtId="168" fontId="23" fillId="0" borderId="5" xfId="3" applyNumberFormat="1" applyFont="1" applyFill="1" applyBorder="1" applyAlignment="1">
      <alignment horizontal="center" vertical="center" wrapText="1"/>
    </xf>
    <xf numFmtId="168" fontId="42" fillId="0" borderId="5" xfId="3" applyNumberFormat="1" applyFont="1" applyFill="1" applyBorder="1" applyAlignment="1">
      <alignment vertical="center"/>
    </xf>
    <xf numFmtId="168" fontId="41" fillId="0" borderId="5" xfId="3" applyNumberFormat="1" applyFont="1" applyFill="1" applyBorder="1" applyAlignment="1">
      <alignment vertical="center"/>
    </xf>
    <xf numFmtId="168" fontId="23" fillId="0" borderId="5" xfId="3" applyNumberFormat="1" applyFont="1" applyFill="1" applyBorder="1" applyAlignment="1">
      <alignment vertical="center"/>
    </xf>
    <xf numFmtId="168" fontId="22" fillId="0" borderId="5" xfId="3" applyNumberFormat="1" applyFont="1" applyFill="1" applyBorder="1" applyAlignment="1">
      <alignment vertical="center"/>
    </xf>
    <xf numFmtId="168" fontId="85" fillId="0" borderId="6" xfId="3" applyNumberFormat="1" applyFont="1" applyFill="1" applyBorder="1" applyAlignment="1">
      <alignment vertical="center" wrapText="1"/>
    </xf>
    <xf numFmtId="0" fontId="84" fillId="4" borderId="5" xfId="0" applyFont="1" applyFill="1" applyBorder="1" applyAlignment="1">
      <alignment horizontal="center" vertical="center" wrapText="1"/>
    </xf>
    <xf numFmtId="0" fontId="84" fillId="4" borderId="5" xfId="0" applyFont="1" applyFill="1" applyBorder="1" applyAlignment="1">
      <alignment vertical="center" wrapText="1"/>
    </xf>
    <xf numFmtId="171" fontId="84" fillId="4" borderId="5" xfId="3" applyNumberFormat="1" applyFont="1" applyFill="1" applyBorder="1" applyAlignment="1">
      <alignment horizontal="center" vertical="center" wrapText="1"/>
    </xf>
    <xf numFmtId="43" fontId="84" fillId="4" borderId="5" xfId="3" applyFont="1" applyFill="1" applyBorder="1" applyAlignment="1">
      <alignment horizontal="center" vertical="center" wrapText="1"/>
    </xf>
    <xf numFmtId="172" fontId="84" fillId="4" borderId="5" xfId="3" applyNumberFormat="1" applyFont="1" applyFill="1" applyBorder="1" applyAlignment="1">
      <alignment horizontal="center" vertical="center" wrapText="1"/>
    </xf>
    <xf numFmtId="169" fontId="84" fillId="4" borderId="5" xfId="3" applyNumberFormat="1" applyFont="1" applyFill="1" applyBorder="1" applyAlignment="1">
      <alignment horizontal="center" vertical="center" wrapText="1"/>
    </xf>
    <xf numFmtId="43" fontId="41" fillId="4" borderId="5" xfId="3" applyFont="1" applyFill="1" applyBorder="1" applyAlignment="1">
      <alignment horizontal="center" vertical="center" wrapText="1"/>
    </xf>
    <xf numFmtId="0" fontId="84" fillId="4" borderId="0" xfId="0" applyFont="1" applyFill="1" applyAlignment="1">
      <alignment vertical="center"/>
    </xf>
    <xf numFmtId="169" fontId="41" fillId="0" borderId="5" xfId="3" applyNumberFormat="1" applyFont="1" applyFill="1" applyBorder="1" applyAlignment="1">
      <alignment vertical="center"/>
    </xf>
    <xf numFmtId="169" fontId="42" fillId="0" borderId="0" xfId="3" applyNumberFormat="1" applyFont="1" applyFill="1" applyAlignment="1">
      <alignment vertical="center"/>
    </xf>
    <xf numFmtId="169" fontId="41" fillId="0" borderId="4" xfId="3" applyNumberFormat="1" applyFont="1" applyFill="1" applyBorder="1" applyAlignment="1">
      <alignment vertical="center" wrapText="1"/>
    </xf>
    <xf numFmtId="169" fontId="84" fillId="0" borderId="5" xfId="3" applyNumberFormat="1" applyFont="1" applyFill="1" applyBorder="1" applyAlignment="1">
      <alignment horizontal="right" vertical="center" wrapText="1"/>
    </xf>
    <xf numFmtId="169" fontId="22" fillId="0" borderId="5" xfId="3" applyNumberFormat="1" applyFont="1" applyFill="1" applyBorder="1" applyAlignment="1">
      <alignment horizontal="center" vertical="center" wrapText="1"/>
    </xf>
    <xf numFmtId="169" fontId="85" fillId="0" borderId="6" xfId="3" applyNumberFormat="1" applyFont="1" applyFill="1" applyBorder="1" applyAlignment="1">
      <alignment vertical="center" wrapText="1"/>
    </xf>
    <xf numFmtId="0" fontId="108" fillId="5" borderId="5" xfId="0" applyFont="1" applyFill="1" applyBorder="1" applyAlignment="1">
      <alignment horizontal="center" vertical="center" wrapText="1"/>
    </xf>
    <xf numFmtId="0" fontId="108" fillId="5" borderId="5" xfId="0" applyFont="1" applyFill="1" applyBorder="1" applyAlignment="1">
      <alignment vertical="center" wrapText="1"/>
    </xf>
    <xf numFmtId="43" fontId="108" fillId="5" borderId="5" xfId="3" applyFont="1" applyFill="1" applyBorder="1" applyAlignment="1">
      <alignment horizontal="center" vertical="center" wrapText="1"/>
    </xf>
    <xf numFmtId="168" fontId="108" fillId="5" borderId="5" xfId="3" applyNumberFormat="1" applyFont="1" applyFill="1" applyBorder="1" applyAlignment="1">
      <alignment horizontal="center" vertical="center" wrapText="1"/>
    </xf>
    <xf numFmtId="169" fontId="108" fillId="5" borderId="5" xfId="3" applyNumberFormat="1" applyFont="1" applyFill="1" applyBorder="1" applyAlignment="1">
      <alignment horizontal="center" vertical="center" wrapText="1"/>
    </xf>
    <xf numFmtId="43" fontId="109" fillId="5" borderId="5" xfId="3" applyFont="1" applyFill="1" applyBorder="1" applyAlignment="1">
      <alignment horizontal="center" vertical="center" wrapText="1"/>
    </xf>
    <xf numFmtId="0" fontId="108" fillId="5" borderId="0" xfId="0" applyFont="1" applyFill="1" applyAlignment="1">
      <alignment vertical="center"/>
    </xf>
    <xf numFmtId="0" fontId="42" fillId="5" borderId="5" xfId="0" applyFont="1" applyFill="1" applyBorder="1" applyAlignment="1">
      <alignment horizontal="center" vertical="center" wrapText="1"/>
    </xf>
    <xf numFmtId="0" fontId="42" fillId="5" borderId="5" xfId="0" applyFont="1" applyFill="1" applyBorder="1" applyAlignment="1">
      <alignment vertical="center" wrapText="1"/>
    </xf>
    <xf numFmtId="43" fontId="42" fillId="5" borderId="5" xfId="3" applyFont="1" applyFill="1" applyBorder="1" applyAlignment="1">
      <alignment horizontal="center" vertical="center" wrapText="1"/>
    </xf>
    <xf numFmtId="168" fontId="42" fillId="5" borderId="5" xfId="3" applyNumberFormat="1" applyFont="1" applyFill="1" applyBorder="1" applyAlignment="1">
      <alignment horizontal="center" vertical="center" wrapText="1"/>
    </xf>
    <xf numFmtId="169" fontId="42" fillId="5" borderId="5" xfId="3" applyNumberFormat="1" applyFont="1" applyFill="1" applyBorder="1" applyAlignment="1">
      <alignment horizontal="center" vertical="center" wrapText="1"/>
    </xf>
    <xf numFmtId="0" fontId="42" fillId="5" borderId="0" xfId="0" applyFont="1" applyFill="1" applyAlignment="1">
      <alignment vertical="center"/>
    </xf>
    <xf numFmtId="0" fontId="110" fillId="5" borderId="5" xfId="0" applyFont="1" applyFill="1" applyBorder="1" applyAlignment="1">
      <alignment horizontal="center" vertical="center" wrapText="1"/>
    </xf>
    <xf numFmtId="0" fontId="110" fillId="5" borderId="5" xfId="0" applyFont="1" applyFill="1" applyBorder="1" applyAlignment="1">
      <alignment vertical="center" wrapText="1"/>
    </xf>
    <xf numFmtId="43" fontId="110" fillId="5" borderId="5" xfId="3" applyFont="1" applyFill="1" applyBorder="1" applyAlignment="1">
      <alignment horizontal="center" vertical="center" wrapText="1"/>
    </xf>
    <xf numFmtId="43" fontId="110" fillId="5" borderId="5" xfId="3" applyFont="1" applyFill="1" applyBorder="1" applyAlignment="1">
      <alignment horizontal="right" vertical="center" wrapText="1"/>
    </xf>
    <xf numFmtId="168" fontId="110" fillId="5" borderId="5" xfId="3" applyNumberFormat="1" applyFont="1" applyFill="1" applyBorder="1" applyAlignment="1">
      <alignment horizontal="center" vertical="center" wrapText="1"/>
    </xf>
    <xf numFmtId="169" fontId="110" fillId="5" borderId="5" xfId="3" applyNumberFormat="1" applyFont="1" applyFill="1" applyBorder="1" applyAlignment="1">
      <alignment horizontal="center" vertical="center" wrapText="1"/>
    </xf>
    <xf numFmtId="0" fontId="110" fillId="5" borderId="0" xfId="0" applyFont="1" applyFill="1" applyAlignment="1">
      <alignment vertical="center"/>
    </xf>
    <xf numFmtId="0" fontId="110" fillId="5" borderId="5" xfId="0" applyFont="1" applyFill="1" applyBorder="1" applyAlignment="1">
      <alignment horizontal="left" vertical="center" wrapText="1"/>
    </xf>
    <xf numFmtId="0" fontId="42" fillId="5" borderId="5" xfId="0" applyFont="1" applyFill="1" applyBorder="1" applyAlignment="1">
      <alignment horizontal="left" vertical="center" wrapText="1"/>
    </xf>
    <xf numFmtId="43" fontId="42" fillId="5" borderId="5" xfId="3" applyFont="1" applyFill="1" applyBorder="1" applyAlignment="1">
      <alignment horizontal="right" vertical="center" wrapText="1"/>
    </xf>
    <xf numFmtId="43" fontId="42" fillId="5" borderId="5" xfId="3" applyFont="1" applyFill="1" applyBorder="1" applyAlignment="1">
      <alignment vertical="center"/>
    </xf>
    <xf numFmtId="43" fontId="110" fillId="5" borderId="5" xfId="3" applyFont="1" applyFill="1" applyBorder="1" applyAlignment="1">
      <alignment vertical="center"/>
    </xf>
    <xf numFmtId="169" fontId="95" fillId="3" borderId="11" xfId="3" applyNumberFormat="1" applyFont="1" applyFill="1" applyBorder="1" applyAlignment="1">
      <alignment horizontal="center" vertical="center" wrapText="1"/>
    </xf>
    <xf numFmtId="3" fontId="111" fillId="3" borderId="0" xfId="12" applyNumberFormat="1" applyFont="1" applyFill="1" applyAlignment="1">
      <alignment horizontal="left"/>
    </xf>
    <xf numFmtId="43" fontId="112" fillId="3" borderId="0" xfId="3" applyFont="1" applyFill="1" applyAlignment="1"/>
    <xf numFmtId="43" fontId="111" fillId="3" borderId="0" xfId="3" applyFont="1" applyFill="1" applyAlignment="1">
      <alignment horizontal="right"/>
    </xf>
    <xf numFmtId="3" fontId="112" fillId="3" borderId="0" xfId="12" applyNumberFormat="1" applyFont="1" applyFill="1"/>
    <xf numFmtId="172" fontId="112" fillId="3" borderId="0" xfId="3" applyNumberFormat="1" applyFont="1" applyFill="1" applyAlignment="1"/>
    <xf numFmtId="169" fontId="112" fillId="3" borderId="0" xfId="3" applyNumberFormat="1" applyFont="1" applyFill="1" applyAlignment="1"/>
    <xf numFmtId="169" fontId="111" fillId="3" borderId="0" xfId="3" applyNumberFormat="1" applyFont="1" applyFill="1" applyAlignment="1"/>
    <xf numFmtId="3" fontId="111" fillId="3" borderId="0" xfId="12" applyNumberFormat="1" applyFont="1" applyFill="1"/>
    <xf numFmtId="3" fontId="113" fillId="3" borderId="0" xfId="12" applyNumberFormat="1" applyFont="1" applyFill="1" applyAlignment="1">
      <alignment horizontal="center" wrapText="1"/>
    </xf>
    <xf numFmtId="43" fontId="113" fillId="3" borderId="0" xfId="3" applyFont="1" applyFill="1" applyAlignment="1">
      <alignment horizontal="center" wrapText="1"/>
    </xf>
    <xf numFmtId="172" fontId="111" fillId="3" borderId="0" xfId="3" applyNumberFormat="1" applyFont="1" applyFill="1" applyAlignment="1"/>
    <xf numFmtId="43" fontId="111" fillId="3" borderId="0" xfId="3" applyFont="1" applyFill="1" applyAlignment="1"/>
    <xf numFmtId="3" fontId="112" fillId="3" borderId="0" xfId="12" applyNumberFormat="1" applyFont="1" applyFill="1" applyAlignment="1">
      <alignment horizontal="center"/>
    </xf>
    <xf numFmtId="3" fontId="112" fillId="3" borderId="0" xfId="12" applyNumberFormat="1" applyFont="1" applyFill="1" applyAlignment="1">
      <alignment wrapText="1"/>
    </xf>
    <xf numFmtId="43" fontId="113" fillId="3" borderId="0" xfId="3" applyFont="1" applyFill="1" applyBorder="1" applyAlignment="1">
      <alignment horizontal="right"/>
    </xf>
    <xf numFmtId="3" fontId="113" fillId="3" borderId="0" xfId="12" applyNumberFormat="1" applyFont="1" applyFill="1" applyAlignment="1">
      <alignment horizontal="right"/>
    </xf>
    <xf numFmtId="3" fontId="111" fillId="3" borderId="9" xfId="12" applyNumberFormat="1" applyFont="1" applyFill="1" applyBorder="1" applyAlignment="1">
      <alignment horizontal="center" vertical="center"/>
    </xf>
    <xf numFmtId="169" fontId="111" fillId="3" borderId="0" xfId="3" applyNumberFormat="1" applyFont="1" applyFill="1" applyAlignment="1">
      <alignment horizontal="center" vertical="center"/>
    </xf>
    <xf numFmtId="3" fontId="111" fillId="3" borderId="0" xfId="12" applyNumberFormat="1" applyFont="1" applyFill="1" applyAlignment="1">
      <alignment horizontal="center" vertical="center"/>
    </xf>
    <xf numFmtId="3" fontId="111" fillId="3" borderId="11" xfId="12" applyNumberFormat="1" applyFont="1" applyFill="1" applyBorder="1" applyAlignment="1">
      <alignment horizontal="center" vertical="center"/>
    </xf>
    <xf numFmtId="165" fontId="111" fillId="3" borderId="11" xfId="12" applyNumberFormat="1" applyFont="1" applyFill="1" applyBorder="1" applyAlignment="1">
      <alignment horizontal="center" vertical="center"/>
    </xf>
    <xf numFmtId="3" fontId="111" fillId="3" borderId="11" xfId="12" applyNumberFormat="1" applyFont="1" applyFill="1" applyBorder="1" applyAlignment="1">
      <alignment horizontal="center"/>
    </xf>
    <xf numFmtId="3" fontId="111" fillId="3" borderId="11" xfId="12" applyNumberFormat="1" applyFont="1" applyFill="1" applyBorder="1" applyAlignment="1">
      <alignment horizontal="center" wrapText="1"/>
    </xf>
    <xf numFmtId="43" fontId="111" fillId="3" borderId="11" xfId="3" applyFont="1" applyFill="1" applyBorder="1" applyAlignment="1">
      <alignment horizontal="center"/>
    </xf>
    <xf numFmtId="169" fontId="111" fillId="3" borderId="0" xfId="3" applyNumberFormat="1" applyFont="1" applyFill="1" applyAlignment="1">
      <alignment horizontal="center"/>
    </xf>
    <xf numFmtId="3" fontId="111" fillId="3" borderId="0" xfId="12" applyNumberFormat="1" applyFont="1" applyFill="1" applyAlignment="1">
      <alignment horizontal="center"/>
    </xf>
    <xf numFmtId="3" fontId="111" fillId="3" borderId="11" xfId="12" applyNumberFormat="1" applyFont="1" applyFill="1" applyBorder="1" applyAlignment="1">
      <alignment wrapText="1"/>
    </xf>
    <xf numFmtId="43" fontId="111" fillId="3" borderId="11" xfId="3" applyFont="1" applyFill="1" applyBorder="1" applyAlignment="1"/>
    <xf numFmtId="3" fontId="111" fillId="3" borderId="11" xfId="12" applyNumberFormat="1" applyFont="1" applyFill="1" applyBorder="1"/>
    <xf numFmtId="3" fontId="112" fillId="3" borderId="11" xfId="12" applyNumberFormat="1" applyFont="1" applyFill="1" applyBorder="1" applyAlignment="1">
      <alignment horizontal="center"/>
    </xf>
    <xf numFmtId="3" fontId="112" fillId="3" borderId="11" xfId="12" applyNumberFormat="1" applyFont="1" applyFill="1" applyBorder="1" applyAlignment="1">
      <alignment wrapText="1"/>
    </xf>
    <xf numFmtId="43" fontId="112" fillId="3" borderId="11" xfId="3" applyFont="1" applyFill="1" applyBorder="1" applyAlignment="1"/>
    <xf numFmtId="3" fontId="112" fillId="3" borderId="11" xfId="12" applyNumberFormat="1" applyFont="1" applyFill="1" applyBorder="1"/>
    <xf numFmtId="172" fontId="112" fillId="3" borderId="11" xfId="3" applyNumberFormat="1" applyFont="1" applyFill="1" applyBorder="1" applyAlignment="1"/>
    <xf numFmtId="173" fontId="112" fillId="3" borderId="11" xfId="3" applyNumberFormat="1" applyFont="1" applyFill="1" applyBorder="1" applyAlignment="1"/>
    <xf numFmtId="171" fontId="111" fillId="3" borderId="11" xfId="3" applyNumberFormat="1" applyFont="1" applyFill="1" applyBorder="1" applyAlignment="1"/>
    <xf numFmtId="0" fontId="111" fillId="3" borderId="11" xfId="16" applyFont="1" applyFill="1" applyBorder="1" applyAlignment="1">
      <alignment wrapText="1"/>
    </xf>
    <xf numFmtId="0" fontId="112" fillId="3" borderId="11" xfId="16" applyFont="1" applyFill="1" applyBorder="1" applyAlignment="1">
      <alignment wrapText="1"/>
    </xf>
    <xf numFmtId="43" fontId="112" fillId="3" borderId="11" xfId="3" applyFont="1" applyFill="1" applyBorder="1" applyAlignment="1">
      <alignment wrapText="1"/>
    </xf>
    <xf numFmtId="43" fontId="112" fillId="3" borderId="11" xfId="3" applyFont="1" applyFill="1" applyBorder="1" applyAlignment="1">
      <alignment horizontal="right"/>
    </xf>
    <xf numFmtId="0" fontId="112" fillId="3" borderId="11" xfId="0" applyFont="1" applyFill="1" applyBorder="1" applyAlignment="1">
      <alignment wrapText="1"/>
    </xf>
    <xf numFmtId="169" fontId="111" fillId="3" borderId="18" xfId="3" applyNumberFormat="1" applyFont="1" applyFill="1" applyBorder="1" applyAlignment="1"/>
    <xf numFmtId="167" fontId="111" fillId="3" borderId="11" xfId="3" applyNumberFormat="1" applyFont="1" applyFill="1" applyBorder="1" applyAlignment="1"/>
    <xf numFmtId="172" fontId="111" fillId="3" borderId="11" xfId="3" applyNumberFormat="1" applyFont="1" applyFill="1" applyBorder="1" applyAlignment="1"/>
    <xf numFmtId="171" fontId="112" fillId="3" borderId="11" xfId="3" applyNumberFormat="1" applyFont="1" applyFill="1" applyBorder="1" applyAlignment="1"/>
    <xf numFmtId="0" fontId="111" fillId="3" borderId="11" xfId="0" applyFont="1" applyFill="1" applyBorder="1" applyAlignment="1">
      <alignment horizontal="left" wrapText="1"/>
    </xf>
    <xf numFmtId="169" fontId="111" fillId="3" borderId="11" xfId="3" applyNumberFormat="1" applyFont="1" applyFill="1" applyBorder="1" applyAlignment="1"/>
    <xf numFmtId="3" fontId="112" fillId="3" borderId="11" xfId="0" applyNumberFormat="1" applyFont="1" applyFill="1" applyBorder="1" applyAlignment="1">
      <alignment wrapText="1"/>
    </xf>
    <xf numFmtId="43" fontId="111" fillId="3" borderId="11" xfId="3" applyFont="1" applyFill="1" applyBorder="1" applyAlignment="1">
      <alignment wrapText="1"/>
    </xf>
    <xf numFmtId="3" fontId="112" fillId="3" borderId="12" xfId="12" applyNumberFormat="1" applyFont="1" applyFill="1" applyBorder="1" applyAlignment="1">
      <alignment horizontal="center"/>
    </xf>
    <xf numFmtId="3" fontId="112" fillId="3" borderId="12" xfId="12" applyNumberFormat="1" applyFont="1" applyFill="1" applyBorder="1" applyAlignment="1">
      <alignment wrapText="1"/>
    </xf>
    <xf numFmtId="43" fontId="112" fillId="3" borderId="12" xfId="3" applyFont="1" applyFill="1" applyBorder="1" applyAlignment="1"/>
    <xf numFmtId="3" fontId="112" fillId="3" borderId="12" xfId="12" applyNumberFormat="1" applyFont="1" applyFill="1" applyBorder="1"/>
    <xf numFmtId="172" fontId="112" fillId="3" borderId="12" xfId="3" applyNumberFormat="1" applyFont="1" applyFill="1" applyBorder="1" applyAlignment="1"/>
    <xf numFmtId="3" fontId="113" fillId="3" borderId="0" xfId="12" applyNumberFormat="1" applyFont="1" applyFill="1"/>
    <xf numFmtId="172" fontId="113" fillId="3" borderId="0" xfId="3" applyNumberFormat="1" applyFont="1" applyFill="1" applyAlignment="1"/>
    <xf numFmtId="43" fontId="112" fillId="3" borderId="24" xfId="3" applyFont="1" applyFill="1" applyBorder="1" applyAlignment="1"/>
    <xf numFmtId="0" fontId="111" fillId="3" borderId="0" xfId="12" applyFont="1" applyFill="1" applyAlignment="1">
      <alignment wrapText="1"/>
    </xf>
    <xf numFmtId="0" fontId="113" fillId="3" borderId="0" xfId="0" applyFont="1" applyFill="1" applyAlignment="1">
      <alignment horizontal="center" wrapText="1"/>
    </xf>
    <xf numFmtId="43" fontId="111" fillId="3" borderId="0" xfId="3" applyFont="1" applyFill="1" applyAlignment="1">
      <alignment horizontal="center" wrapText="1"/>
    </xf>
    <xf numFmtId="0" fontId="111" fillId="3" borderId="0" xfId="0" applyFont="1" applyFill="1" applyAlignment="1">
      <alignment horizontal="center" wrapText="1"/>
    </xf>
    <xf numFmtId="0" fontId="111" fillId="3" borderId="0" xfId="12" applyFont="1" applyFill="1" applyAlignment="1">
      <alignment horizontal="center" wrapText="1"/>
    </xf>
    <xf numFmtId="43" fontId="111" fillId="3" borderId="0" xfId="3" applyFont="1" applyFill="1" applyAlignment="1">
      <alignment horizontal="center"/>
    </xf>
    <xf numFmtId="0" fontId="114" fillId="3" borderId="0" xfId="17" applyFont="1" applyFill="1" applyAlignment="1">
      <alignment horizontal="center" wrapText="1"/>
    </xf>
    <xf numFmtId="3" fontId="112" fillId="3" borderId="0" xfId="12" applyNumberFormat="1" applyFont="1" applyFill="1" applyAlignment="1">
      <alignment horizontal="center" wrapText="1"/>
    </xf>
    <xf numFmtId="3" fontId="114" fillId="3" borderId="0" xfId="12" applyNumberFormat="1" applyFont="1" applyFill="1" applyAlignment="1">
      <alignment horizontal="center" wrapText="1"/>
    </xf>
    <xf numFmtId="166" fontId="3" fillId="0" borderId="0" xfId="3" applyNumberFormat="1" applyFont="1" applyFill="1" applyAlignment="1">
      <alignment horizontal="center" vertical="center" wrapText="1"/>
    </xf>
    <xf numFmtId="0" fontId="13" fillId="6" borderId="0" xfId="0" applyFont="1" applyFill="1"/>
    <xf numFmtId="0" fontId="13" fillId="6" borderId="0" xfId="0" applyFont="1" applyFill="1" applyAlignment="1">
      <alignment wrapText="1"/>
    </xf>
    <xf numFmtId="14" fontId="13" fillId="6" borderId="0" xfId="0" applyNumberFormat="1" applyFont="1" applyFill="1" applyAlignment="1">
      <alignment horizontal="right"/>
    </xf>
    <xf numFmtId="0" fontId="13" fillId="6" borderId="0" xfId="0" applyFont="1" applyFill="1" applyAlignment="1">
      <alignment horizontal="center"/>
    </xf>
    <xf numFmtId="182" fontId="13" fillId="6" borderId="0" xfId="3" applyNumberFormat="1" applyFont="1" applyFill="1" applyAlignment="1">
      <alignment horizontal="right"/>
    </xf>
    <xf numFmtId="0" fontId="9" fillId="6" borderId="3" xfId="0" applyFont="1" applyFill="1" applyBorder="1" applyAlignment="1">
      <alignment horizontal="center" vertical="center" wrapText="1"/>
    </xf>
    <xf numFmtId="14" fontId="9" fillId="6" borderId="3" xfId="0" applyNumberFormat="1" applyFont="1" applyFill="1" applyBorder="1" applyAlignment="1">
      <alignment horizontal="right" vertical="center" wrapText="1"/>
    </xf>
    <xf numFmtId="182" fontId="9" fillId="6" borderId="3" xfId="3" applyNumberFormat="1" applyFont="1" applyFill="1" applyBorder="1" applyAlignment="1">
      <alignment horizontal="center" vertical="center" wrapText="1"/>
    </xf>
    <xf numFmtId="0" fontId="9" fillId="6" borderId="3" xfId="12"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24" xfId="0" applyFont="1" applyFill="1" applyBorder="1" applyAlignment="1">
      <alignment horizontal="center"/>
    </xf>
    <xf numFmtId="0" fontId="9" fillId="6" borderId="24" xfId="0" applyFont="1" applyFill="1" applyBorder="1" applyAlignment="1">
      <alignment horizontal="center" wrapText="1"/>
    </xf>
    <xf numFmtId="14" fontId="9" fillId="6" borderId="24" xfId="0" applyNumberFormat="1" applyFont="1" applyFill="1" applyBorder="1" applyAlignment="1">
      <alignment horizontal="right"/>
    </xf>
    <xf numFmtId="182" fontId="9" fillId="6" borderId="24" xfId="3" applyNumberFormat="1" applyFont="1" applyFill="1" applyBorder="1" applyAlignment="1">
      <alignment horizontal="right"/>
    </xf>
    <xf numFmtId="0" fontId="9" fillId="6" borderId="24" xfId="12" applyFont="1" applyFill="1" applyBorder="1" applyAlignment="1">
      <alignment horizontal="center"/>
    </xf>
    <xf numFmtId="0" fontId="9" fillId="6" borderId="0" xfId="0" applyFont="1" applyFill="1" applyAlignment="1">
      <alignment horizontal="center"/>
    </xf>
    <xf numFmtId="0" fontId="9" fillId="6" borderId="11" xfId="0" applyFont="1" applyFill="1" applyBorder="1" applyAlignment="1">
      <alignment horizontal="center"/>
    </xf>
    <xf numFmtId="0" fontId="9" fillId="6" borderId="11" xfId="0" applyFont="1" applyFill="1" applyBorder="1" applyAlignment="1">
      <alignment horizontal="left" wrapText="1"/>
    </xf>
    <xf numFmtId="14" fontId="9" fillId="6" borderId="11" xfId="0" applyNumberFormat="1" applyFont="1" applyFill="1" applyBorder="1" applyAlignment="1">
      <alignment horizontal="right"/>
    </xf>
    <xf numFmtId="0" fontId="9" fillId="6" borderId="11" xfId="0" applyFont="1" applyFill="1" applyBorder="1" applyAlignment="1">
      <alignment horizontal="center" wrapText="1"/>
    </xf>
    <xf numFmtId="182" fontId="9" fillId="6" borderId="11" xfId="3" applyNumberFormat="1" applyFont="1" applyFill="1" applyBorder="1" applyAlignment="1">
      <alignment wrapText="1"/>
    </xf>
    <xf numFmtId="0" fontId="9" fillId="6" borderId="11" xfId="12" applyFont="1" applyFill="1" applyBorder="1" applyAlignment="1">
      <alignment horizontal="center"/>
    </xf>
    <xf numFmtId="182" fontId="9" fillId="6" borderId="11" xfId="0" applyNumberFormat="1" applyFont="1" applyFill="1" applyBorder="1" applyAlignment="1">
      <alignment horizontal="center"/>
    </xf>
    <xf numFmtId="182" fontId="9" fillId="6" borderId="0" xfId="3" applyNumberFormat="1" applyFont="1" applyFill="1" applyAlignment="1">
      <alignment horizontal="center"/>
    </xf>
    <xf numFmtId="182" fontId="9" fillId="6" borderId="11" xfId="3" applyNumberFormat="1" applyFont="1" applyFill="1" applyBorder="1" applyAlignment="1"/>
    <xf numFmtId="182" fontId="9" fillId="6" borderId="11" xfId="3" applyNumberFormat="1" applyFont="1" applyFill="1" applyBorder="1" applyAlignment="1">
      <alignment horizontal="right"/>
    </xf>
    <xf numFmtId="182" fontId="13" fillId="6" borderId="11" xfId="0" applyNumberFormat="1" applyFont="1" applyFill="1" applyBorder="1" applyAlignment="1">
      <alignment horizontal="center"/>
    </xf>
    <xf numFmtId="182" fontId="13" fillId="6" borderId="0" xfId="0" applyNumberFormat="1" applyFont="1" applyFill="1" applyAlignment="1">
      <alignment horizontal="center"/>
    </xf>
    <xf numFmtId="0" fontId="13" fillId="6" borderId="11" xfId="0" applyFont="1" applyFill="1" applyBorder="1"/>
    <xf numFmtId="0" fontId="13" fillId="6" borderId="11" xfId="0" applyFont="1" applyFill="1" applyBorder="1" applyAlignment="1">
      <alignment wrapText="1"/>
    </xf>
    <xf numFmtId="14" fontId="13" fillId="6" borderId="11" xfId="0" quotePrefix="1" applyNumberFormat="1" applyFont="1" applyFill="1" applyBorder="1" applyAlignment="1">
      <alignment horizontal="right"/>
    </xf>
    <xf numFmtId="0" fontId="13" fillId="6" borderId="11" xfId="0" applyFont="1" applyFill="1" applyBorder="1" applyAlignment="1">
      <alignment horizontal="center"/>
    </xf>
    <xf numFmtId="49" fontId="13" fillId="6" borderId="11" xfId="0" applyNumberFormat="1" applyFont="1" applyFill="1" applyBorder="1" applyAlignment="1">
      <alignment horizontal="center"/>
    </xf>
    <xf numFmtId="182" fontId="13" fillId="6" borderId="11" xfId="3" quotePrefix="1" applyNumberFormat="1" applyFont="1" applyFill="1" applyBorder="1" applyAlignment="1">
      <alignment horizontal="right"/>
    </xf>
    <xf numFmtId="3" fontId="13" fillId="6" borderId="11" xfId="12" quotePrefix="1" applyNumberFormat="1" applyFont="1" applyFill="1" applyBorder="1" applyAlignment="1">
      <alignment horizontal="right"/>
    </xf>
    <xf numFmtId="3" fontId="9" fillId="6" borderId="11" xfId="12" applyNumberFormat="1" applyFont="1" applyFill="1" applyBorder="1" applyAlignment="1">
      <alignment horizontal="center"/>
    </xf>
    <xf numFmtId="182" fontId="13" fillId="6" borderId="0" xfId="3" applyNumberFormat="1" applyFont="1" applyFill="1" applyAlignment="1"/>
    <xf numFmtId="0" fontId="13" fillId="6" borderId="11" xfId="0" applyFont="1" applyFill="1" applyBorder="1" applyAlignment="1">
      <alignment horizontal="center" wrapText="1"/>
    </xf>
    <xf numFmtId="14" fontId="13" fillId="6" borderId="11" xfId="0" applyNumberFormat="1" applyFont="1" applyFill="1" applyBorder="1" applyAlignment="1">
      <alignment horizontal="right"/>
    </xf>
    <xf numFmtId="3" fontId="13" fillId="6" borderId="0" xfId="0" applyNumberFormat="1" applyFont="1" applyFill="1"/>
    <xf numFmtId="0" fontId="13" fillId="6" borderId="11" xfId="12" applyFont="1" applyFill="1" applyBorder="1" applyAlignment="1">
      <alignment wrapText="1"/>
    </xf>
    <xf numFmtId="0" fontId="13" fillId="6" borderId="11" xfId="12" quotePrefix="1" applyFont="1" applyFill="1" applyBorder="1" applyAlignment="1">
      <alignment horizontal="center" wrapText="1"/>
    </xf>
    <xf numFmtId="182" fontId="13" fillId="6" borderId="11" xfId="3" applyNumberFormat="1" applyFont="1" applyFill="1" applyBorder="1" applyAlignment="1">
      <alignment horizontal="right"/>
    </xf>
    <xf numFmtId="3" fontId="13" fillId="6" borderId="11" xfId="0" applyNumberFormat="1" applyFont="1" applyFill="1" applyBorder="1" applyAlignment="1">
      <alignment horizontal="right"/>
    </xf>
    <xf numFmtId="14" fontId="13" fillId="6" borderId="11" xfId="0" applyNumberFormat="1" applyFont="1" applyFill="1" applyBorder="1" applyAlignment="1">
      <alignment horizontal="right" wrapText="1"/>
    </xf>
    <xf numFmtId="3" fontId="9" fillId="6" borderId="11" xfId="0" applyNumberFormat="1" applyFont="1" applyFill="1" applyBorder="1" applyAlignment="1">
      <alignment horizontal="right"/>
    </xf>
    <xf numFmtId="0" fontId="13" fillId="6" borderId="11" xfId="12" applyFont="1" applyFill="1" applyBorder="1" applyAlignment="1">
      <alignment horizontal="center"/>
    </xf>
    <xf numFmtId="49" fontId="13" fillId="6" borderId="11" xfId="12" quotePrefix="1" applyNumberFormat="1" applyFont="1" applyFill="1" applyBorder="1" applyAlignment="1">
      <alignment horizontal="center" wrapText="1"/>
    </xf>
    <xf numFmtId="0" fontId="13" fillId="6" borderId="11" xfId="12" applyFont="1" applyFill="1" applyBorder="1" applyAlignment="1">
      <alignment horizontal="center" wrapText="1"/>
    </xf>
    <xf numFmtId="0" fontId="13" fillId="6" borderId="11" xfId="12" applyFont="1" applyFill="1" applyBorder="1" applyAlignment="1">
      <alignment horizontal="left" wrapText="1"/>
    </xf>
    <xf numFmtId="3" fontId="13" fillId="6" borderId="11" xfId="0" applyNumberFormat="1" applyFont="1" applyFill="1" applyBorder="1"/>
    <xf numFmtId="0" fontId="13" fillId="6" borderId="11" xfId="0" quotePrefix="1" applyFont="1" applyFill="1" applyBorder="1" applyAlignment="1">
      <alignment horizontal="center"/>
    </xf>
    <xf numFmtId="49" fontId="13" fillId="6" borderId="11" xfId="0" quotePrefix="1" applyNumberFormat="1" applyFont="1" applyFill="1" applyBorder="1" applyAlignment="1">
      <alignment horizontal="center"/>
    </xf>
    <xf numFmtId="0" fontId="13" fillId="6" borderId="12" xfId="0" applyFont="1" applyFill="1" applyBorder="1" applyAlignment="1">
      <alignment horizontal="center"/>
    </xf>
    <xf numFmtId="0" fontId="13" fillId="6" borderId="12" xfId="12" applyFont="1" applyFill="1" applyBorder="1" applyAlignment="1">
      <alignment horizontal="left" wrapText="1"/>
    </xf>
    <xf numFmtId="0" fontId="13" fillId="6" borderId="12" xfId="0" applyFont="1" applyFill="1" applyBorder="1"/>
    <xf numFmtId="14" fontId="13" fillId="6" borderId="12" xfId="0" applyNumberFormat="1" applyFont="1" applyFill="1" applyBorder="1" applyAlignment="1">
      <alignment horizontal="right"/>
    </xf>
    <xf numFmtId="49" fontId="13" fillId="6" borderId="12" xfId="0" quotePrefix="1" applyNumberFormat="1" applyFont="1" applyFill="1" applyBorder="1" applyAlignment="1">
      <alignment horizontal="center"/>
    </xf>
    <xf numFmtId="182" fontId="13" fillId="6" borderId="12" xfId="3" applyNumberFormat="1" applyFont="1" applyFill="1" applyBorder="1" applyAlignment="1">
      <alignment horizontal="right"/>
    </xf>
    <xf numFmtId="3" fontId="9" fillId="6" borderId="12" xfId="0" applyNumberFormat="1" applyFont="1" applyFill="1" applyBorder="1" applyAlignment="1">
      <alignment horizontal="right"/>
    </xf>
    <xf numFmtId="182" fontId="13" fillId="6" borderId="12" xfId="0" applyNumberFormat="1" applyFont="1" applyFill="1" applyBorder="1" applyAlignment="1">
      <alignment horizontal="center"/>
    </xf>
    <xf numFmtId="182" fontId="9" fillId="6" borderId="12" xfId="0" applyNumberFormat="1" applyFont="1" applyFill="1" applyBorder="1" applyAlignment="1">
      <alignment horizontal="center"/>
    </xf>
    <xf numFmtId="43" fontId="6" fillId="6" borderId="11" xfId="3" applyFont="1" applyFill="1" applyBorder="1" applyAlignment="1">
      <alignment horizontal="center" vertical="center" wrapText="1"/>
    </xf>
    <xf numFmtId="0" fontId="13" fillId="5" borderId="11" xfId="12" applyFont="1" applyFill="1" applyBorder="1" applyAlignment="1">
      <alignment wrapText="1"/>
    </xf>
    <xf numFmtId="166" fontId="13" fillId="6" borderId="11" xfId="3" applyNumberFormat="1" applyFont="1" applyFill="1" applyBorder="1" applyAlignment="1"/>
    <xf numFmtId="166" fontId="13" fillId="6" borderId="12" xfId="3" applyNumberFormat="1" applyFont="1" applyFill="1" applyBorder="1" applyAlignment="1"/>
    <xf numFmtId="0" fontId="13" fillId="6" borderId="3" xfId="0" applyFont="1" applyFill="1" applyBorder="1" applyAlignment="1">
      <alignment horizontal="center" vertical="center" wrapText="1"/>
    </xf>
    <xf numFmtId="166" fontId="71" fillId="0" borderId="0" xfId="3" applyNumberFormat="1" applyFont="1" applyAlignment="1">
      <alignment vertical="center"/>
    </xf>
    <xf numFmtId="166" fontId="6" fillId="0" borderId="0" xfId="3" applyNumberFormat="1" applyFont="1" applyAlignment="1">
      <alignment horizontal="right" vertical="center"/>
    </xf>
    <xf numFmtId="0" fontId="71" fillId="0" borderId="0" xfId="0" applyFont="1" applyAlignment="1">
      <alignment horizontal="left" vertical="center"/>
    </xf>
    <xf numFmtId="0" fontId="2" fillId="6" borderId="0" xfId="0" applyFont="1" applyFill="1" applyAlignment="1">
      <alignment vertical="center"/>
    </xf>
    <xf numFmtId="0" fontId="71" fillId="6" borderId="0" xfId="0" applyFont="1" applyFill="1"/>
    <xf numFmtId="43" fontId="71" fillId="6" borderId="0" xfId="3" applyFont="1" applyFill="1"/>
    <xf numFmtId="169" fontId="71" fillId="6" borderId="0" xfId="3" applyNumberFormat="1" applyFont="1" applyFill="1"/>
    <xf numFmtId="166" fontId="71" fillId="6" borderId="0" xfId="3" applyNumberFormat="1" applyFont="1" applyFill="1"/>
    <xf numFmtId="166" fontId="3" fillId="6" borderId="0" xfId="3" applyNumberFormat="1" applyFont="1" applyFill="1" applyAlignment="1">
      <alignment horizontal="right" vertical="center"/>
    </xf>
    <xf numFmtId="0" fontId="6" fillId="6" borderId="3" xfId="0" applyFont="1" applyFill="1" applyBorder="1" applyAlignment="1">
      <alignment horizontal="center" vertical="center" wrapText="1"/>
    </xf>
    <xf numFmtId="166" fontId="6" fillId="6" borderId="3" xfId="3" applyNumberFormat="1" applyFont="1" applyFill="1" applyBorder="1" applyAlignment="1">
      <alignment horizontal="center" vertical="center" wrapText="1"/>
    </xf>
    <xf numFmtId="0" fontId="2" fillId="6" borderId="24" xfId="0" applyFont="1" applyFill="1" applyBorder="1" applyAlignment="1">
      <alignment horizontal="center" vertical="center" wrapText="1"/>
    </xf>
    <xf numFmtId="0" fontId="2" fillId="6" borderId="24" xfId="0" applyFont="1" applyFill="1" applyBorder="1" applyAlignment="1">
      <alignment vertical="center" wrapText="1"/>
    </xf>
    <xf numFmtId="0" fontId="2" fillId="6" borderId="11" xfId="0" applyFont="1" applyFill="1" applyBorder="1" applyAlignment="1">
      <alignment horizontal="center" vertical="center" wrapText="1"/>
    </xf>
    <xf numFmtId="0" fontId="2" fillId="6" borderId="11" xfId="0" applyFont="1" applyFill="1" applyBorder="1" applyAlignment="1">
      <alignment vertical="center" wrapText="1"/>
    </xf>
    <xf numFmtId="169" fontId="6" fillId="6" borderId="11" xfId="3" applyNumberFormat="1" applyFont="1" applyFill="1" applyBorder="1" applyAlignment="1">
      <alignment horizontal="center" vertical="center" wrapText="1"/>
    </xf>
    <xf numFmtId="166" fontId="6" fillId="6" borderId="11" xfId="3" applyNumberFormat="1"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1" xfId="0" applyFont="1" applyFill="1" applyBorder="1" applyAlignment="1">
      <alignment vertical="center" wrapText="1"/>
    </xf>
    <xf numFmtId="43" fontId="2" fillId="6" borderId="11" xfId="3" applyFont="1" applyFill="1" applyBorder="1" applyAlignment="1">
      <alignment horizontal="center" vertical="center" wrapText="1"/>
    </xf>
    <xf numFmtId="0" fontId="73" fillId="6" borderId="0" xfId="0" applyFont="1" applyFill="1"/>
    <xf numFmtId="43" fontId="73" fillId="6" borderId="0" xfId="3" applyFont="1" applyFill="1"/>
    <xf numFmtId="166" fontId="73" fillId="6" borderId="0" xfId="3" applyNumberFormat="1" applyFont="1" applyFill="1"/>
    <xf numFmtId="166" fontId="2" fillId="6" borderId="11" xfId="3" applyNumberFormat="1" applyFont="1" applyFill="1" applyBorder="1" applyAlignment="1">
      <alignment horizontal="center" vertical="center" wrapText="1"/>
    </xf>
    <xf numFmtId="172" fontId="71" fillId="6" borderId="0" xfId="3" applyNumberFormat="1" applyFont="1" applyFill="1"/>
    <xf numFmtId="0" fontId="3" fillId="6" borderId="11" xfId="0" applyFont="1" applyFill="1" applyBorder="1" applyAlignment="1">
      <alignment horizontal="center" vertical="center" wrapText="1"/>
    </xf>
    <xf numFmtId="0" fontId="3" fillId="6" borderId="11" xfId="0" applyFont="1" applyFill="1" applyBorder="1" applyAlignment="1">
      <alignment vertical="center" wrapText="1"/>
    </xf>
    <xf numFmtId="0" fontId="75" fillId="6" borderId="0" xfId="0" applyFont="1" applyFill="1"/>
    <xf numFmtId="43" fontId="75" fillId="6" borderId="0" xfId="3" applyFont="1" applyFill="1"/>
    <xf numFmtId="166" fontId="75" fillId="6" borderId="0" xfId="3" applyNumberFormat="1" applyFont="1" applyFill="1"/>
    <xf numFmtId="173" fontId="71" fillId="6" borderId="0" xfId="3" applyNumberFormat="1" applyFont="1" applyFill="1"/>
    <xf numFmtId="0" fontId="2" fillId="6" borderId="12" xfId="0" applyFont="1" applyFill="1" applyBorder="1" applyAlignment="1">
      <alignment horizontal="center" vertical="center" wrapText="1"/>
    </xf>
    <xf numFmtId="0" fontId="2" fillId="6" borderId="12" xfId="0" applyFont="1" applyFill="1" applyBorder="1" applyAlignment="1">
      <alignment vertical="center" wrapText="1"/>
    </xf>
    <xf numFmtId="43" fontId="6" fillId="6" borderId="12" xfId="3" applyFont="1" applyFill="1" applyBorder="1" applyAlignment="1">
      <alignment horizontal="center" vertical="center" wrapText="1"/>
    </xf>
    <xf numFmtId="166" fontId="6" fillId="6" borderId="12" xfId="3" applyNumberFormat="1"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0" xfId="0" applyFont="1" applyFill="1" applyAlignment="1">
      <alignment vertical="center" wrapText="1"/>
    </xf>
    <xf numFmtId="166" fontId="6" fillId="6" borderId="0" xfId="3" applyNumberFormat="1" applyFont="1" applyFill="1" applyBorder="1" applyAlignment="1">
      <alignment horizontal="center" vertical="center" wrapText="1"/>
    </xf>
    <xf numFmtId="166" fontId="13" fillId="6" borderId="0" xfId="3" applyNumberFormat="1" applyFont="1" applyFill="1" applyAlignment="1"/>
    <xf numFmtId="166" fontId="9" fillId="6" borderId="3" xfId="3" applyNumberFormat="1" applyFont="1" applyFill="1" applyBorder="1" applyAlignment="1">
      <alignment horizontal="center" vertical="center" wrapText="1"/>
    </xf>
    <xf numFmtId="0" fontId="116" fillId="0" borderId="0" xfId="0" applyFont="1" applyAlignment="1">
      <alignment horizontal="justify"/>
    </xf>
    <xf numFmtId="0" fontId="2" fillId="6" borderId="0" xfId="0" applyFont="1" applyFill="1"/>
    <xf numFmtId="169" fontId="71" fillId="6" borderId="0" xfId="3" applyNumberFormat="1" applyFont="1" applyFill="1" applyAlignment="1"/>
    <xf numFmtId="172" fontId="73" fillId="6" borderId="0" xfId="3" applyNumberFormat="1" applyFont="1" applyFill="1"/>
    <xf numFmtId="172" fontId="41" fillId="6" borderId="0" xfId="3" applyNumberFormat="1" applyFont="1" applyFill="1"/>
    <xf numFmtId="0" fontId="41" fillId="6" borderId="0" xfId="0" applyFont="1" applyFill="1"/>
    <xf numFmtId="0" fontId="6" fillId="6" borderId="5" xfId="0" applyFont="1" applyFill="1" applyBorder="1" applyAlignment="1">
      <alignment vertical="center" wrapText="1"/>
    </xf>
    <xf numFmtId="0" fontId="6" fillId="6" borderId="0" xfId="0" applyFont="1" applyFill="1"/>
    <xf numFmtId="0" fontId="2" fillId="6" borderId="5" xfId="0" applyFont="1" applyFill="1" applyBorder="1" applyAlignment="1">
      <alignment vertical="center" wrapText="1"/>
    </xf>
    <xf numFmtId="0" fontId="6" fillId="6" borderId="0" xfId="0" applyFont="1" applyFill="1" applyAlignment="1">
      <alignment vertical="center"/>
    </xf>
    <xf numFmtId="166" fontId="0" fillId="0" borderId="0" xfId="3" applyNumberFormat="1" applyFont="1"/>
    <xf numFmtId="43" fontId="71" fillId="6" borderId="0" xfId="0" applyNumberFormat="1" applyFont="1" applyFill="1"/>
    <xf numFmtId="0" fontId="41" fillId="6" borderId="11" xfId="0" applyFont="1" applyFill="1" applyBorder="1" applyAlignment="1">
      <alignment vertical="center" wrapText="1"/>
    </xf>
    <xf numFmtId="0" fontId="42" fillId="6" borderId="11" xfId="0" applyFont="1" applyFill="1" applyBorder="1" applyAlignment="1">
      <alignment vertical="center" wrapText="1"/>
    </xf>
    <xf numFmtId="0" fontId="13" fillId="6" borderId="24" xfId="0" applyFont="1" applyFill="1" applyBorder="1" applyAlignment="1">
      <alignment horizontal="center"/>
    </xf>
    <xf numFmtId="0" fontId="13" fillId="6" borderId="24" xfId="12" applyFont="1" applyFill="1" applyBorder="1" applyAlignment="1">
      <alignment wrapText="1"/>
    </xf>
    <xf numFmtId="14" fontId="13" fillId="6" borderId="24" xfId="0" applyNumberFormat="1" applyFont="1" applyFill="1" applyBorder="1" applyAlignment="1">
      <alignment horizontal="right" wrapText="1"/>
    </xf>
    <xf numFmtId="49" fontId="13" fillId="6" borderId="24" xfId="0" applyNumberFormat="1" applyFont="1" applyFill="1" applyBorder="1" applyAlignment="1">
      <alignment horizontal="center"/>
    </xf>
    <xf numFmtId="166" fontId="13" fillId="6" borderId="24" xfId="3" applyNumberFormat="1" applyFont="1" applyFill="1" applyBorder="1" applyAlignment="1"/>
    <xf numFmtId="182" fontId="13" fillId="6" borderId="24" xfId="0" applyNumberFormat="1" applyFont="1" applyFill="1" applyBorder="1" applyAlignment="1">
      <alignment horizontal="center"/>
    </xf>
    <xf numFmtId="0" fontId="9" fillId="6" borderId="3" xfId="0" applyFont="1" applyFill="1" applyBorder="1" applyAlignment="1">
      <alignment horizontal="center"/>
    </xf>
    <xf numFmtId="0" fontId="9" fillId="6" borderId="3" xfId="0" applyFont="1" applyFill="1" applyBorder="1" applyAlignment="1">
      <alignment horizontal="center" wrapText="1"/>
    </xf>
    <xf numFmtId="14" fontId="9" fillId="6" borderId="3" xfId="0" applyNumberFormat="1" applyFont="1" applyFill="1" applyBorder="1" applyAlignment="1">
      <alignment horizontal="right"/>
    </xf>
    <xf numFmtId="182" fontId="9" fillId="6" borderId="3" xfId="3" applyNumberFormat="1" applyFont="1" applyFill="1" applyBorder="1" applyAlignment="1">
      <alignment horizontal="right"/>
    </xf>
    <xf numFmtId="166" fontId="9" fillId="6" borderId="3" xfId="3" applyNumberFormat="1" applyFont="1" applyFill="1" applyBorder="1" applyAlignment="1">
      <alignment horizontal="right"/>
    </xf>
    <xf numFmtId="166" fontId="9" fillId="6" borderId="3" xfId="3" applyNumberFormat="1" applyFont="1" applyFill="1" applyBorder="1" applyAlignment="1">
      <alignment vertical="center" wrapText="1"/>
    </xf>
    <xf numFmtId="166" fontId="9" fillId="6" borderId="3" xfId="3" applyNumberFormat="1" applyFont="1" applyFill="1" applyBorder="1" applyAlignment="1"/>
    <xf numFmtId="166" fontId="9" fillId="6" borderId="11" xfId="3" applyNumberFormat="1" applyFont="1" applyFill="1" applyBorder="1" applyAlignment="1"/>
    <xf numFmtId="166" fontId="9" fillId="6" borderId="12" xfId="3" applyNumberFormat="1" applyFont="1" applyFill="1" applyBorder="1" applyAlignment="1"/>
    <xf numFmtId="166" fontId="2" fillId="6" borderId="24" xfId="3" applyNumberFormat="1" applyFont="1" applyFill="1" applyBorder="1" applyAlignment="1">
      <alignment horizontal="center" vertical="center" wrapText="1"/>
    </xf>
    <xf numFmtId="166" fontId="13" fillId="6" borderId="0" xfId="0" applyNumberFormat="1" applyFont="1" applyFill="1"/>
    <xf numFmtId="171" fontId="71" fillId="6" borderId="0" xfId="3" applyNumberFormat="1" applyFont="1" applyFill="1"/>
    <xf numFmtId="166" fontId="73" fillId="6" borderId="0" xfId="3" applyNumberFormat="1" applyFont="1" applyFill="1" applyAlignment="1">
      <alignment horizontal="center"/>
    </xf>
    <xf numFmtId="0" fontId="42" fillId="6" borderId="0" xfId="0" applyFont="1" applyFill="1"/>
    <xf numFmtId="172" fontId="42" fillId="6" borderId="0" xfId="3" applyNumberFormat="1" applyFont="1" applyFill="1"/>
    <xf numFmtId="0" fontId="13" fillId="5" borderId="11" xfId="0" applyFont="1" applyFill="1" applyBorder="1" applyAlignment="1">
      <alignment horizontal="center"/>
    </xf>
    <xf numFmtId="14" fontId="13" fillId="5" borderId="11" xfId="0" applyNumberFormat="1" applyFont="1" applyFill="1" applyBorder="1" applyAlignment="1">
      <alignment horizontal="right"/>
    </xf>
    <xf numFmtId="0" fontId="13" fillId="5" borderId="11" xfId="12" applyFont="1" applyFill="1" applyBorder="1" applyAlignment="1">
      <alignment horizontal="center" wrapText="1"/>
    </xf>
    <xf numFmtId="182" fontId="13" fillId="5" borderId="11" xfId="3" applyNumberFormat="1" applyFont="1" applyFill="1" applyBorder="1" applyAlignment="1">
      <alignment horizontal="right"/>
    </xf>
    <xf numFmtId="3" fontId="13" fillId="5" borderId="11" xfId="0" applyNumberFormat="1" applyFont="1" applyFill="1" applyBorder="1" applyAlignment="1">
      <alignment horizontal="right"/>
    </xf>
    <xf numFmtId="0" fontId="13" fillId="5" borderId="11" xfId="0" applyFont="1" applyFill="1" applyBorder="1"/>
    <xf numFmtId="182" fontId="13" fillId="5" borderId="11" xfId="0" applyNumberFormat="1" applyFont="1" applyFill="1" applyBorder="1" applyAlignment="1">
      <alignment horizontal="center"/>
    </xf>
    <xf numFmtId="182" fontId="9" fillId="5" borderId="11" xfId="0" applyNumberFormat="1" applyFont="1" applyFill="1" applyBorder="1" applyAlignment="1">
      <alignment horizontal="center"/>
    </xf>
    <xf numFmtId="0" fontId="13" fillId="5" borderId="0" xfId="0" applyFont="1" applyFill="1"/>
    <xf numFmtId="166" fontId="6" fillId="6" borderId="0" xfId="3" applyNumberFormat="1" applyFont="1" applyFill="1" applyAlignment="1">
      <alignment vertical="center"/>
    </xf>
    <xf numFmtId="166" fontId="2" fillId="6" borderId="8" xfId="3" applyNumberFormat="1" applyFont="1" applyFill="1" applyBorder="1" applyAlignment="1">
      <alignment vertical="center" wrapText="1"/>
    </xf>
    <xf numFmtId="0" fontId="2" fillId="6" borderId="9" xfId="0" applyFont="1" applyFill="1" applyBorder="1" applyAlignment="1">
      <alignment horizontal="center" vertical="center" wrapText="1"/>
    </xf>
    <xf numFmtId="166" fontId="2" fillId="6" borderId="9" xfId="3" applyNumberFormat="1" applyFont="1" applyFill="1" applyBorder="1" applyAlignment="1">
      <alignment vertical="center" wrapText="1"/>
    </xf>
    <xf numFmtId="166" fontId="6" fillId="6" borderId="11" xfId="3" applyNumberFormat="1" applyFont="1" applyFill="1" applyBorder="1" applyAlignment="1">
      <alignment vertical="center"/>
    </xf>
    <xf numFmtId="3" fontId="6" fillId="6" borderId="0" xfId="0" applyNumberFormat="1" applyFont="1" applyFill="1" applyAlignment="1">
      <alignment vertical="center"/>
    </xf>
    <xf numFmtId="166" fontId="2" fillId="6" borderId="11" xfId="3" applyNumberFormat="1" applyFont="1" applyFill="1" applyBorder="1" applyAlignment="1">
      <alignment vertical="center" wrapText="1"/>
    </xf>
    <xf numFmtId="181" fontId="6" fillId="6" borderId="0" xfId="0" applyNumberFormat="1" applyFont="1" applyFill="1" applyAlignment="1">
      <alignment vertical="center"/>
    </xf>
    <xf numFmtId="166" fontId="6" fillId="6" borderId="11" xfId="3" applyNumberFormat="1" applyFont="1" applyFill="1" applyBorder="1" applyAlignment="1">
      <alignment vertical="center" wrapText="1"/>
    </xf>
    <xf numFmtId="43" fontId="6" fillId="6" borderId="0" xfId="3" applyFont="1" applyFill="1" applyAlignment="1">
      <alignment vertical="center"/>
    </xf>
    <xf numFmtId="0" fontId="6" fillId="6" borderId="11" xfId="0" applyFont="1" applyFill="1" applyBorder="1" applyAlignment="1">
      <alignment vertical="center"/>
    </xf>
    <xf numFmtId="43" fontId="6" fillId="6" borderId="11" xfId="3" applyFont="1" applyFill="1" applyBorder="1" applyAlignment="1">
      <alignment vertical="center"/>
    </xf>
    <xf numFmtId="166" fontId="3" fillId="6" borderId="11" xfId="3" applyNumberFormat="1" applyFont="1" applyFill="1" applyBorder="1" applyAlignment="1">
      <alignment wrapText="1"/>
    </xf>
    <xf numFmtId="3" fontId="6" fillId="6" borderId="11" xfId="0" applyNumberFormat="1" applyFont="1" applyFill="1" applyBorder="1" applyAlignment="1">
      <alignment wrapText="1"/>
    </xf>
    <xf numFmtId="166" fontId="6" fillId="6" borderId="11" xfId="3" applyNumberFormat="1" applyFont="1" applyFill="1" applyBorder="1" applyAlignment="1"/>
    <xf numFmtId="0" fontId="13" fillId="5" borderId="11" xfId="12" applyFont="1" applyFill="1" applyBorder="1" applyAlignment="1">
      <alignment horizontal="left" wrapText="1"/>
    </xf>
    <xf numFmtId="3" fontId="13" fillId="5" borderId="11" xfId="0" applyNumberFormat="1" applyFont="1" applyFill="1" applyBorder="1"/>
    <xf numFmtId="0" fontId="105" fillId="6" borderId="0" xfId="13" applyFont="1" applyFill="1"/>
    <xf numFmtId="0" fontId="118" fillId="6" borderId="0" xfId="16" applyFont="1" applyFill="1"/>
    <xf numFmtId="0" fontId="118" fillId="6" borderId="0" xfId="16" applyFont="1" applyFill="1" applyAlignment="1">
      <alignment horizontal="center"/>
    </xf>
    <xf numFmtId="3" fontId="120" fillId="6" borderId="0" xfId="16" applyNumberFormat="1" applyFont="1" applyFill="1" applyAlignment="1">
      <alignment horizontal="centerContinuous"/>
    </xf>
    <xf numFmtId="0" fontId="120" fillId="6" borderId="0" xfId="16" applyFont="1" applyFill="1" applyAlignment="1">
      <alignment horizontal="centerContinuous"/>
    </xf>
    <xf numFmtId="0" fontId="121" fillId="6" borderId="0" xfId="16" applyFont="1" applyFill="1" applyAlignment="1">
      <alignment horizontal="center" vertical="center"/>
    </xf>
    <xf numFmtId="0" fontId="118" fillId="6" borderId="3" xfId="16" applyFont="1" applyFill="1" applyBorder="1" applyAlignment="1">
      <alignment horizontal="center" vertical="center"/>
    </xf>
    <xf numFmtId="0" fontId="118" fillId="6" borderId="3" xfId="16" quotePrefix="1" applyFont="1" applyFill="1" applyBorder="1" applyAlignment="1">
      <alignment horizontal="center" vertical="center"/>
    </xf>
    <xf numFmtId="0" fontId="122" fillId="6" borderId="3" xfId="16" applyFont="1" applyFill="1" applyBorder="1" applyAlignment="1">
      <alignment horizontal="center" vertical="center"/>
    </xf>
    <xf numFmtId="179" fontId="122" fillId="6" borderId="3" xfId="16" applyNumberFormat="1" applyFont="1" applyFill="1" applyBorder="1" applyAlignment="1">
      <alignment horizontal="right" vertical="center"/>
    </xf>
    <xf numFmtId="0" fontId="118" fillId="6" borderId="3" xfId="16" applyFont="1" applyFill="1" applyBorder="1" applyAlignment="1">
      <alignment vertical="center"/>
    </xf>
    <xf numFmtId="0" fontId="118" fillId="6" borderId="0" xfId="16" applyFont="1" applyFill="1" applyAlignment="1">
      <alignment vertical="center"/>
    </xf>
    <xf numFmtId="3" fontId="123" fillId="6" borderId="3" xfId="13" applyNumberFormat="1" applyFont="1" applyFill="1" applyBorder="1" applyAlignment="1">
      <alignment horizontal="center" vertical="center" wrapText="1"/>
    </xf>
    <xf numFmtId="179" fontId="118" fillId="6" borderId="3" xfId="16" applyNumberFormat="1" applyFont="1" applyFill="1" applyBorder="1" applyAlignment="1">
      <alignment vertical="center"/>
    </xf>
    <xf numFmtId="3" fontId="118" fillId="6" borderId="0" xfId="16" applyNumberFormat="1" applyFont="1" applyFill="1"/>
    <xf numFmtId="171" fontId="118" fillId="6" borderId="0" xfId="4" applyNumberFormat="1" applyFont="1" applyFill="1"/>
    <xf numFmtId="43" fontId="118" fillId="6" borderId="0" xfId="3" applyFont="1" applyFill="1"/>
    <xf numFmtId="0" fontId="13" fillId="5" borderId="11" xfId="0" applyFont="1" applyFill="1" applyBorder="1" applyAlignment="1">
      <alignment wrapText="1"/>
    </xf>
    <xf numFmtId="14" fontId="13" fillId="5" borderId="11" xfId="0" applyNumberFormat="1" applyFont="1" applyFill="1" applyBorder="1" applyAlignment="1">
      <alignment horizontal="right" wrapText="1"/>
    </xf>
    <xf numFmtId="49" fontId="13" fillId="5" borderId="11" xfId="0" applyNumberFormat="1" applyFont="1" applyFill="1" applyBorder="1" applyAlignment="1">
      <alignment horizontal="center"/>
    </xf>
    <xf numFmtId="166" fontId="9" fillId="6" borderId="0" xfId="3" applyNumberFormat="1" applyFont="1" applyFill="1" applyAlignment="1">
      <alignment horizontal="center" vertical="center" wrapText="1"/>
    </xf>
    <xf numFmtId="166" fontId="9" fillId="6" borderId="0" xfId="3" applyNumberFormat="1" applyFont="1" applyFill="1" applyAlignment="1">
      <alignment horizontal="center"/>
    </xf>
    <xf numFmtId="166" fontId="13" fillId="5" borderId="0" xfId="3" applyNumberFormat="1" applyFont="1" applyFill="1" applyAlignment="1"/>
    <xf numFmtId="166" fontId="13" fillId="5" borderId="0" xfId="0" applyNumberFormat="1" applyFont="1" applyFill="1"/>
    <xf numFmtId="182" fontId="117" fillId="6" borderId="0" xfId="0" applyNumberFormat="1" applyFont="1" applyFill="1"/>
    <xf numFmtId="167" fontId="6" fillId="6" borderId="0" xfId="3" applyNumberFormat="1" applyFont="1" applyFill="1"/>
    <xf numFmtId="169" fontId="71" fillId="6" borderId="0" xfId="0" applyNumberFormat="1" applyFont="1" applyFill="1"/>
    <xf numFmtId="43" fontId="2" fillId="6" borderId="9" xfId="3" applyFont="1" applyFill="1" applyBorder="1" applyAlignment="1">
      <alignment vertical="center" wrapText="1"/>
    </xf>
    <xf numFmtId="43" fontId="2" fillId="6" borderId="11" xfId="3" applyFont="1" applyFill="1" applyBorder="1" applyAlignment="1">
      <alignment vertical="center" wrapText="1"/>
    </xf>
    <xf numFmtId="43" fontId="6" fillId="6" borderId="11" xfId="3" applyFont="1" applyFill="1" applyBorder="1" applyAlignment="1">
      <alignment vertical="center" wrapText="1"/>
    </xf>
    <xf numFmtId="0" fontId="124" fillId="6" borderId="0" xfId="0" applyFont="1" applyFill="1"/>
    <xf numFmtId="43" fontId="124" fillId="6" borderId="0" xfId="3" applyFont="1" applyFill="1"/>
    <xf numFmtId="166" fontId="124" fillId="6" borderId="0" xfId="3" applyNumberFormat="1" applyFont="1" applyFill="1"/>
    <xf numFmtId="43" fontId="6" fillId="6" borderId="11" xfId="3" applyFont="1" applyFill="1" applyBorder="1" applyAlignment="1"/>
    <xf numFmtId="166" fontId="6" fillId="6" borderId="0" xfId="0" applyNumberFormat="1" applyFont="1" applyFill="1" applyAlignment="1">
      <alignment vertical="center"/>
    </xf>
    <xf numFmtId="43" fontId="6" fillId="6" borderId="11" xfId="0" applyNumberFormat="1" applyFont="1" applyFill="1" applyBorder="1" applyAlignment="1">
      <alignment horizontal="center" vertical="center" wrapText="1"/>
    </xf>
    <xf numFmtId="0" fontId="6" fillId="6" borderId="12" xfId="0" applyFont="1" applyFill="1" applyBorder="1" applyAlignment="1">
      <alignment vertical="center"/>
    </xf>
    <xf numFmtId="3" fontId="6" fillId="6" borderId="12" xfId="0" applyNumberFormat="1" applyFont="1" applyFill="1" applyBorder="1" applyAlignment="1">
      <alignment wrapText="1"/>
    </xf>
    <xf numFmtId="166" fontId="6" fillId="6" borderId="12" xfId="3" applyNumberFormat="1" applyFont="1" applyFill="1" applyBorder="1" applyAlignment="1">
      <alignment vertical="center" wrapText="1"/>
    </xf>
    <xf numFmtId="166" fontId="6" fillId="6" borderId="12" xfId="3" applyNumberFormat="1" applyFont="1" applyFill="1" applyBorder="1" applyAlignment="1">
      <alignment vertical="center"/>
    </xf>
    <xf numFmtId="0" fontId="6" fillId="5" borderId="0" xfId="0" applyFont="1" applyFill="1" applyAlignment="1">
      <alignment vertical="center"/>
    </xf>
    <xf numFmtId="43" fontId="6" fillId="5" borderId="0" xfId="3" applyFont="1" applyFill="1" applyAlignment="1">
      <alignment vertical="center"/>
    </xf>
    <xf numFmtId="0" fontId="2" fillId="5" borderId="0" xfId="0" applyFont="1" applyFill="1" applyAlignment="1">
      <alignment vertical="center"/>
    </xf>
    <xf numFmtId="0" fontId="128" fillId="6" borderId="0" xfId="0" applyFont="1" applyFill="1" applyAlignment="1">
      <alignment vertical="center"/>
    </xf>
    <xf numFmtId="166" fontId="128" fillId="6" borderId="0" xfId="3" applyNumberFormat="1" applyFont="1" applyFill="1" applyAlignment="1">
      <alignment vertical="center"/>
    </xf>
    <xf numFmtId="43" fontId="128" fillId="6" borderId="0" xfId="3" applyFont="1" applyFill="1" applyAlignment="1">
      <alignment vertical="center"/>
    </xf>
    <xf numFmtId="43" fontId="125" fillId="6" borderId="0" xfId="3" applyFont="1" applyFill="1" applyAlignment="1">
      <alignment horizontal="center" vertical="center" wrapText="1"/>
    </xf>
    <xf numFmtId="166" fontId="128" fillId="6" borderId="0" xfId="3" applyNumberFormat="1" applyFont="1" applyFill="1" applyBorder="1" applyAlignment="1">
      <alignment vertical="center"/>
    </xf>
    <xf numFmtId="166" fontId="128" fillId="6" borderId="0" xfId="3" applyNumberFormat="1" applyFont="1" applyFill="1"/>
    <xf numFmtId="43" fontId="128" fillId="6" borderId="0" xfId="3" applyFont="1" applyFill="1"/>
    <xf numFmtId="167" fontId="6" fillId="6" borderId="11" xfId="3" applyNumberFormat="1" applyFont="1" applyFill="1" applyBorder="1" applyAlignment="1">
      <alignment horizontal="center" vertical="center" wrapText="1"/>
    </xf>
    <xf numFmtId="167" fontId="6" fillId="6" borderId="11" xfId="3" applyNumberFormat="1" applyFont="1" applyFill="1" applyBorder="1" applyAlignment="1">
      <alignment vertical="center" wrapText="1"/>
    </xf>
    <xf numFmtId="174" fontId="73" fillId="6" borderId="0" xfId="0" applyNumberFormat="1" applyFont="1" applyFill="1"/>
    <xf numFmtId="166" fontId="125" fillId="6" borderId="0" xfId="3" applyNumberFormat="1" applyFont="1" applyFill="1" applyAlignment="1">
      <alignment horizontal="center" vertical="center" wrapText="1"/>
    </xf>
    <xf numFmtId="166" fontId="126" fillId="6" borderId="0" xfId="3" applyNumberFormat="1" applyFont="1" applyFill="1" applyAlignment="1">
      <alignment horizontal="center" vertical="center" wrapText="1"/>
    </xf>
    <xf numFmtId="166" fontId="2" fillId="6" borderId="3" xfId="3" applyNumberFormat="1" applyFont="1" applyFill="1" applyBorder="1" applyAlignment="1">
      <alignment horizontal="center" vertical="center" wrapText="1"/>
    </xf>
    <xf numFmtId="166" fontId="125" fillId="6" borderId="0" xfId="3" applyNumberFormat="1" applyFont="1" applyFill="1" applyBorder="1" applyAlignment="1">
      <alignment horizontal="center" vertical="center"/>
    </xf>
    <xf numFmtId="172" fontId="6" fillId="6" borderId="11" xfId="3" applyNumberFormat="1" applyFont="1" applyFill="1" applyBorder="1" applyAlignment="1">
      <alignment horizontal="center" vertical="center" wrapText="1"/>
    </xf>
    <xf numFmtId="0" fontId="115" fillId="6" borderId="11" xfId="0" applyFont="1" applyFill="1" applyBorder="1" applyAlignment="1">
      <alignment horizontal="center" vertical="center" wrapText="1"/>
    </xf>
    <xf numFmtId="3" fontId="115" fillId="6" borderId="11" xfId="0" applyNumberFormat="1" applyFont="1" applyFill="1" applyBorder="1" applyAlignment="1">
      <alignment wrapText="1"/>
    </xf>
    <xf numFmtId="166" fontId="115" fillId="6" borderId="11" xfId="3" applyNumberFormat="1" applyFont="1" applyFill="1" applyBorder="1" applyAlignment="1">
      <alignment vertical="center" wrapText="1"/>
    </xf>
    <xf numFmtId="166" fontId="115" fillId="6" borderId="11" xfId="3" applyNumberFormat="1" applyFont="1" applyFill="1" applyBorder="1" applyAlignment="1">
      <alignment horizontal="center" vertical="center" wrapText="1"/>
    </xf>
    <xf numFmtId="43" fontId="115" fillId="6" borderId="11" xfId="3" applyFont="1" applyFill="1" applyBorder="1" applyAlignment="1">
      <alignment horizontal="center" vertical="center" wrapText="1"/>
    </xf>
    <xf numFmtId="166" fontId="115" fillId="6" borderId="11" xfId="3" applyNumberFormat="1" applyFont="1" applyFill="1" applyBorder="1" applyAlignment="1">
      <alignment vertical="center"/>
    </xf>
    <xf numFmtId="0" fontId="115" fillId="6" borderId="0" xfId="0" applyFont="1" applyFill="1" applyAlignment="1">
      <alignment vertical="center"/>
    </xf>
    <xf numFmtId="0" fontId="121" fillId="6" borderId="8" xfId="16" applyFont="1" applyFill="1" applyBorder="1" applyAlignment="1">
      <alignment horizontal="center" vertical="center" wrapText="1"/>
    </xf>
    <xf numFmtId="0" fontId="121" fillId="6" borderId="13" xfId="16" applyFont="1" applyFill="1" applyBorder="1" applyAlignment="1">
      <alignment horizontal="center" vertical="center" wrapText="1"/>
    </xf>
    <xf numFmtId="0" fontId="121" fillId="6" borderId="3" xfId="16" applyFont="1" applyFill="1" applyBorder="1" applyAlignment="1">
      <alignment horizontal="center" vertical="center" wrapText="1"/>
    </xf>
    <xf numFmtId="0" fontId="121" fillId="6" borderId="3" xfId="16" applyFont="1" applyFill="1" applyBorder="1" applyAlignment="1">
      <alignment horizontal="center" vertical="center"/>
    </xf>
    <xf numFmtId="174" fontId="71" fillId="6" borderId="0" xfId="0" applyNumberFormat="1" applyFont="1" applyFill="1"/>
    <xf numFmtId="166" fontId="3" fillId="6" borderId="11" xfId="3" applyNumberFormat="1" applyFont="1" applyFill="1" applyBorder="1" applyAlignment="1">
      <alignment horizontal="center" vertical="center" wrapText="1"/>
    </xf>
    <xf numFmtId="0" fontId="75" fillId="6" borderId="0" xfId="0" applyFont="1" applyFill="1" applyAlignment="1">
      <alignment vertical="center" wrapText="1"/>
    </xf>
    <xf numFmtId="166" fontId="2" fillId="6" borderId="0" xfId="3" applyNumberFormat="1" applyFont="1" applyFill="1" applyAlignment="1">
      <alignment vertical="center" wrapText="1"/>
    </xf>
    <xf numFmtId="166" fontId="3" fillId="6" borderId="0" xfId="3" applyNumberFormat="1" applyFont="1" applyFill="1" applyAlignment="1">
      <alignment vertical="center" wrapText="1"/>
    </xf>
    <xf numFmtId="172" fontId="9" fillId="6" borderId="0" xfId="3" applyNumberFormat="1" applyFont="1" applyFill="1" applyAlignment="1"/>
    <xf numFmtId="166" fontId="6" fillId="6" borderId="0" xfId="3" applyNumberFormat="1" applyFont="1" applyFill="1"/>
    <xf numFmtId="166" fontId="71" fillId="6" borderId="0" xfId="3" applyNumberFormat="1" applyFont="1" applyFill="1" applyAlignment="1">
      <alignment vertical="center"/>
    </xf>
    <xf numFmtId="166" fontId="42" fillId="6" borderId="0" xfId="3" applyNumberFormat="1" applyFont="1" applyFill="1"/>
    <xf numFmtId="0" fontId="130" fillId="0" borderId="29" xfId="0" applyFont="1" applyBorder="1" applyAlignment="1">
      <alignment horizontal="center" vertical="center" wrapText="1" readingOrder="1"/>
    </xf>
    <xf numFmtId="0" fontId="131" fillId="0" borderId="29" xfId="0" applyFont="1" applyBorder="1" applyAlignment="1">
      <alignment horizontal="center" vertical="center" wrapText="1" readingOrder="1"/>
    </xf>
    <xf numFmtId="0" fontId="0" fillId="0" borderId="0" xfId="0" applyAlignment="1">
      <alignment wrapText="1"/>
    </xf>
    <xf numFmtId="0" fontId="131" fillId="0" borderId="29" xfId="0" applyFont="1" applyBorder="1" applyAlignment="1">
      <alignment horizontal="center" vertical="top" wrapText="1" readingOrder="1"/>
    </xf>
    <xf numFmtId="166" fontId="131" fillId="0" borderId="29" xfId="3" applyNumberFormat="1" applyFont="1" applyBorder="1" applyAlignment="1">
      <alignment horizontal="center" vertical="top" wrapText="1" readingOrder="1"/>
    </xf>
    <xf numFmtId="175" fontId="71" fillId="6" borderId="0" xfId="0" applyNumberFormat="1" applyFont="1" applyFill="1"/>
    <xf numFmtId="178" fontId="71" fillId="6" borderId="0" xfId="0" applyNumberFormat="1" applyFont="1" applyFill="1"/>
    <xf numFmtId="187" fontId="73" fillId="6" borderId="0" xfId="0" applyNumberFormat="1" applyFont="1" applyFill="1"/>
    <xf numFmtId="166" fontId="71" fillId="6" borderId="0" xfId="0" applyNumberFormat="1" applyFont="1" applyFill="1"/>
    <xf numFmtId="0" fontId="3" fillId="6" borderId="0" xfId="0" applyFont="1" applyFill="1" applyAlignment="1">
      <alignment horizontal="right" vertical="center"/>
    </xf>
    <xf numFmtId="0" fontId="71" fillId="6" borderId="0" xfId="0" applyFont="1" applyFill="1" applyAlignment="1">
      <alignment vertical="center"/>
    </xf>
    <xf numFmtId="166" fontId="42" fillId="6" borderId="0" xfId="3" applyNumberFormat="1" applyFont="1" applyFill="1" applyAlignment="1">
      <alignment vertical="center"/>
    </xf>
    <xf numFmtId="0" fontId="42" fillId="6" borderId="0" xfId="0" applyFont="1" applyFill="1" applyAlignment="1">
      <alignment vertical="center"/>
    </xf>
    <xf numFmtId="166" fontId="42" fillId="6" borderId="11" xfId="3" applyNumberFormat="1" applyFont="1" applyFill="1" applyBorder="1"/>
    <xf numFmtId="0" fontId="35" fillId="0" borderId="5" xfId="0" applyFont="1" applyBorder="1" applyAlignment="1">
      <alignment vertical="center" wrapText="1"/>
    </xf>
    <xf numFmtId="0" fontId="42" fillId="6" borderId="3" xfId="0" applyFont="1" applyFill="1" applyBorder="1" applyAlignment="1">
      <alignment horizontal="center" vertical="center" wrapText="1"/>
    </xf>
    <xf numFmtId="0" fontId="143" fillId="0" borderId="0" xfId="0" applyFont="1" applyAlignment="1">
      <alignment horizontal="center" vertical="top" readingOrder="1"/>
    </xf>
    <xf numFmtId="0" fontId="143" fillId="0" borderId="0" xfId="0" applyFont="1" applyAlignment="1">
      <alignment wrapText="1"/>
    </xf>
    <xf numFmtId="0" fontId="6" fillId="0" borderId="0" xfId="0" applyFont="1" applyAlignment="1">
      <alignment horizontal="center" vertical="center"/>
    </xf>
    <xf numFmtId="182" fontId="145" fillId="6" borderId="5" xfId="3" applyNumberFormat="1" applyFont="1" applyFill="1" applyBorder="1" applyAlignment="1">
      <alignment horizontal="center" vertical="center" wrapText="1"/>
    </xf>
    <xf numFmtId="182" fontId="145" fillId="6" borderId="5" xfId="3" applyNumberFormat="1" applyFont="1" applyFill="1" applyBorder="1" applyAlignment="1">
      <alignment horizontal="left" vertical="center" wrapText="1"/>
    </xf>
    <xf numFmtId="164" fontId="145" fillId="6" borderId="5" xfId="3" applyNumberFormat="1" applyFont="1" applyFill="1" applyBorder="1" applyAlignment="1">
      <alignment horizontal="right" vertical="center" wrapText="1"/>
    </xf>
    <xf numFmtId="183" fontId="145" fillId="6" borderId="5" xfId="3" applyNumberFormat="1" applyFont="1" applyFill="1" applyBorder="1" applyAlignment="1">
      <alignment horizontal="right" vertical="center" wrapText="1"/>
    </xf>
    <xf numFmtId="182" fontId="145" fillId="6" borderId="5" xfId="3" applyNumberFormat="1" applyFont="1" applyFill="1" applyBorder="1" applyAlignment="1">
      <alignment horizontal="right" vertical="center"/>
    </xf>
    <xf numFmtId="182" fontId="145" fillId="6" borderId="0" xfId="3" applyNumberFormat="1" applyFont="1" applyFill="1" applyAlignment="1">
      <alignment vertical="center"/>
    </xf>
    <xf numFmtId="182" fontId="125" fillId="6" borderId="0" xfId="3" applyNumberFormat="1" applyFont="1" applyFill="1" applyAlignment="1">
      <alignment vertical="center"/>
    </xf>
    <xf numFmtId="164" fontId="138" fillId="6" borderId="0" xfId="3" applyNumberFormat="1" applyFont="1" applyFill="1" applyAlignment="1">
      <alignment horizontal="right" vertical="center"/>
    </xf>
    <xf numFmtId="183" fontId="138" fillId="6" borderId="0" xfId="3" applyNumberFormat="1" applyFont="1" applyFill="1" applyAlignment="1">
      <alignment horizontal="right" vertical="center"/>
    </xf>
    <xf numFmtId="182" fontId="138" fillId="6" borderId="0" xfId="3" applyNumberFormat="1" applyFont="1" applyFill="1" applyAlignment="1">
      <alignment vertical="center"/>
    </xf>
    <xf numFmtId="182" fontId="126" fillId="6" borderId="0" xfId="3" applyNumberFormat="1" applyFont="1" applyFill="1" applyAlignment="1">
      <alignment horizontal="center" vertical="center"/>
    </xf>
    <xf numFmtId="164" fontId="126" fillId="6" borderId="0" xfId="3" applyNumberFormat="1" applyFont="1" applyFill="1" applyAlignment="1">
      <alignment horizontal="right" vertical="center"/>
    </xf>
    <xf numFmtId="183" fontId="126" fillId="6" borderId="0" xfId="3" applyNumberFormat="1" applyFont="1" applyFill="1" applyAlignment="1">
      <alignment horizontal="right" vertical="center"/>
    </xf>
    <xf numFmtId="182" fontId="145" fillId="6" borderId="0" xfId="3" applyNumberFormat="1" applyFont="1" applyFill="1" applyAlignment="1">
      <alignment vertical="center" wrapText="1"/>
    </xf>
    <xf numFmtId="164" fontId="145" fillId="6" borderId="14" xfId="3" applyNumberFormat="1" applyFont="1" applyFill="1" applyBorder="1" applyAlignment="1">
      <alignment horizontal="center" vertical="center" wrapText="1"/>
    </xf>
    <xf numFmtId="182" fontId="137" fillId="6" borderId="0" xfId="3" applyNumberFormat="1" applyFont="1" applyFill="1" applyAlignment="1">
      <alignment vertical="center" wrapText="1"/>
    </xf>
    <xf numFmtId="164" fontId="145" fillId="6" borderId="3" xfId="3" applyNumberFormat="1" applyFont="1" applyFill="1" applyBorder="1" applyAlignment="1">
      <alignment horizontal="center" vertical="center" wrapText="1"/>
    </xf>
    <xf numFmtId="164" fontId="145" fillId="6" borderId="13" xfId="3" applyNumberFormat="1" applyFont="1" applyFill="1" applyBorder="1" applyAlignment="1">
      <alignment horizontal="center" vertical="center" wrapText="1"/>
    </xf>
    <xf numFmtId="164" fontId="145" fillId="6" borderId="16" xfId="3" applyNumberFormat="1" applyFont="1" applyFill="1" applyBorder="1" applyAlignment="1">
      <alignment horizontal="center" vertical="center" wrapText="1"/>
    </xf>
    <xf numFmtId="183" fontId="145" fillId="6" borderId="3" xfId="3" applyNumberFormat="1" applyFont="1" applyFill="1" applyBorder="1" applyAlignment="1">
      <alignment horizontal="center" vertical="center" wrapText="1"/>
    </xf>
    <xf numFmtId="182" fontId="145" fillId="6" borderId="3" xfId="3" applyNumberFormat="1" applyFont="1" applyFill="1" applyBorder="1" applyAlignment="1">
      <alignment horizontal="center" vertical="center"/>
    </xf>
    <xf numFmtId="182" fontId="145" fillId="6" borderId="3" xfId="3" applyNumberFormat="1" applyFont="1" applyFill="1" applyBorder="1" applyAlignment="1">
      <alignment horizontal="right" vertical="center"/>
    </xf>
    <xf numFmtId="182" fontId="137" fillId="6" borderId="0" xfId="3" applyNumberFormat="1" applyFont="1" applyFill="1" applyAlignment="1">
      <alignment horizontal="center" vertical="center"/>
    </xf>
    <xf numFmtId="182" fontId="145" fillId="6" borderId="7" xfId="3" applyNumberFormat="1" applyFont="1" applyFill="1" applyBorder="1" applyAlignment="1">
      <alignment horizontal="center" vertical="center" wrapText="1"/>
    </xf>
    <xf numFmtId="164" fontId="145" fillId="6" borderId="7" xfId="3" applyNumberFormat="1" applyFont="1" applyFill="1" applyBorder="1" applyAlignment="1">
      <alignment horizontal="right" vertical="center" wrapText="1"/>
    </xf>
    <xf numFmtId="183" fontId="145" fillId="6" borderId="7" xfId="3" applyNumberFormat="1" applyFont="1" applyFill="1" applyBorder="1" applyAlignment="1">
      <alignment horizontal="right" vertical="center" wrapText="1"/>
    </xf>
    <xf numFmtId="182" fontId="145" fillId="6" borderId="7" xfId="3" applyNumberFormat="1" applyFont="1" applyFill="1" applyBorder="1" applyAlignment="1">
      <alignment horizontal="right" vertical="center"/>
    </xf>
    <xf numFmtId="182" fontId="145" fillId="6" borderId="5" xfId="3" applyNumberFormat="1" applyFont="1" applyFill="1" applyBorder="1" applyAlignment="1">
      <alignment vertical="center" wrapText="1"/>
    </xf>
    <xf numFmtId="182" fontId="137" fillId="6" borderId="5" xfId="3" applyNumberFormat="1" applyFont="1" applyFill="1" applyBorder="1" applyAlignment="1">
      <alignment horizontal="center" vertical="center" wrapText="1"/>
    </xf>
    <xf numFmtId="182" fontId="137" fillId="6" borderId="5" xfId="3" applyNumberFormat="1" applyFont="1" applyFill="1" applyBorder="1" applyAlignment="1">
      <alignment vertical="center" wrapText="1"/>
    </xf>
    <xf numFmtId="164" fontId="137" fillId="6" borderId="5" xfId="3" applyNumberFormat="1" applyFont="1" applyFill="1" applyBorder="1" applyAlignment="1">
      <alignment horizontal="right" vertical="center"/>
    </xf>
    <xf numFmtId="183" fontId="137" fillId="6" borderId="5" xfId="3" applyNumberFormat="1" applyFont="1" applyFill="1" applyBorder="1" applyAlignment="1">
      <alignment horizontal="right" vertical="center"/>
    </xf>
    <xf numFmtId="182" fontId="137" fillId="6" borderId="5" xfId="3" applyNumberFormat="1" applyFont="1" applyFill="1" applyBorder="1" applyAlignment="1">
      <alignment horizontal="right" vertical="center"/>
    </xf>
    <xf numFmtId="182" fontId="137" fillId="6" borderId="0" xfId="3" applyNumberFormat="1" applyFont="1" applyFill="1" applyAlignment="1">
      <alignment vertical="center"/>
    </xf>
    <xf numFmtId="182" fontId="146" fillId="6" borderId="5" xfId="3" applyNumberFormat="1" applyFont="1" applyFill="1" applyBorder="1" applyAlignment="1">
      <alignment vertical="center" wrapText="1"/>
    </xf>
    <xf numFmtId="164" fontId="137" fillId="6" borderId="5" xfId="3" applyNumberFormat="1" applyFont="1" applyFill="1" applyBorder="1" applyAlignment="1">
      <alignment horizontal="right" vertical="center" wrapText="1"/>
    </xf>
    <xf numFmtId="182" fontId="137" fillId="6" borderId="5" xfId="3" applyNumberFormat="1" applyFont="1" applyFill="1" applyBorder="1" applyAlignment="1">
      <alignment horizontal="right" vertical="center" wrapText="1"/>
    </xf>
    <xf numFmtId="183" fontId="137" fillId="6" borderId="5" xfId="3" applyNumberFormat="1" applyFont="1" applyFill="1" applyBorder="1" applyAlignment="1">
      <alignment horizontal="right" vertical="center" wrapText="1"/>
    </xf>
    <xf numFmtId="182" fontId="146" fillId="6" borderId="5" xfId="0" applyNumberFormat="1" applyFont="1" applyFill="1" applyBorder="1" applyAlignment="1">
      <alignment vertical="center" wrapText="1"/>
    </xf>
    <xf numFmtId="182" fontId="138" fillId="6" borderId="0" xfId="3" applyNumberFormat="1" applyFont="1" applyFill="1" applyAlignment="1">
      <alignment horizontal="center" vertical="center"/>
    </xf>
    <xf numFmtId="3" fontId="147" fillId="6" borderId="0" xfId="0" applyNumberFormat="1" applyFont="1" applyFill="1" applyAlignment="1">
      <alignment horizontal="right"/>
    </xf>
    <xf numFmtId="0" fontId="147" fillId="6" borderId="0" xfId="0" applyFont="1" applyFill="1" applyAlignment="1">
      <alignment horizontal="right"/>
    </xf>
    <xf numFmtId="3" fontId="147" fillId="6" borderId="0" xfId="0" applyNumberFormat="1" applyFont="1" applyFill="1"/>
    <xf numFmtId="3" fontId="124" fillId="6" borderId="0" xfId="0" applyNumberFormat="1" applyFont="1" applyFill="1"/>
    <xf numFmtId="166" fontId="124" fillId="6" borderId="0" xfId="0" applyNumberFormat="1" applyFont="1" applyFill="1"/>
    <xf numFmtId="0" fontId="138" fillId="6" borderId="0" xfId="16" applyFont="1" applyFill="1"/>
    <xf numFmtId="0" fontId="138" fillId="6" borderId="0" xfId="16" applyFont="1" applyFill="1" applyAlignment="1">
      <alignment horizontal="center"/>
    </xf>
    <xf numFmtId="3" fontId="148" fillId="6" borderId="0" xfId="16" applyNumberFormat="1" applyFont="1" applyFill="1" applyAlignment="1">
      <alignment horizontal="centerContinuous"/>
    </xf>
    <xf numFmtId="0" fontId="148" fillId="6" borderId="0" xfId="16" applyFont="1" applyFill="1" applyAlignment="1">
      <alignment horizontal="centerContinuous"/>
    </xf>
    <xf numFmtId="0" fontId="149" fillId="6" borderId="0" xfId="16" applyFont="1" applyFill="1" applyAlignment="1">
      <alignment horizontal="center" vertical="center"/>
    </xf>
    <xf numFmtId="0" fontId="149" fillId="6" borderId="23" xfId="16" applyFont="1" applyFill="1" applyBorder="1" applyAlignment="1">
      <alignment horizontal="center" vertical="center" wrapText="1"/>
    </xf>
    <xf numFmtId="0" fontId="149" fillId="6" borderId="13" xfId="16" applyFont="1" applyFill="1" applyBorder="1" applyAlignment="1">
      <alignment horizontal="center" vertical="center" wrapText="1"/>
    </xf>
    <xf numFmtId="0" fontId="149" fillId="6" borderId="3" xfId="16" applyFont="1" applyFill="1" applyBorder="1" applyAlignment="1">
      <alignment horizontal="center" vertical="center" wrapText="1"/>
    </xf>
    <xf numFmtId="0" fontId="138" fillId="6" borderId="3" xfId="16" applyFont="1" applyFill="1" applyBorder="1" applyAlignment="1">
      <alignment horizontal="center" vertical="center"/>
    </xf>
    <xf numFmtId="0" fontId="138" fillId="6" borderId="3" xfId="16" applyFont="1" applyFill="1" applyBorder="1" applyAlignment="1">
      <alignment horizontal="center" vertical="center" wrapText="1"/>
    </xf>
    <xf numFmtId="0" fontId="138" fillId="6" borderId="3" xfId="16" quotePrefix="1" applyFont="1" applyFill="1" applyBorder="1" applyAlignment="1">
      <alignment horizontal="center" vertical="center"/>
    </xf>
    <xf numFmtId="0" fontId="138" fillId="6" borderId="3" xfId="16" quotePrefix="1" applyFont="1" applyFill="1" applyBorder="1" applyAlignment="1">
      <alignment horizontal="center" vertical="center" wrapText="1"/>
    </xf>
    <xf numFmtId="0" fontId="138" fillId="6" borderId="6" xfId="16" applyFont="1" applyFill="1" applyBorder="1" applyAlignment="1">
      <alignment horizontal="center" vertical="center"/>
    </xf>
    <xf numFmtId="0" fontId="138" fillId="6" borderId="6" xfId="16" applyFont="1" applyFill="1" applyBorder="1" applyAlignment="1">
      <alignment vertical="center" wrapText="1"/>
    </xf>
    <xf numFmtId="179" fontId="138" fillId="6" borderId="6" xfId="16" applyNumberFormat="1" applyFont="1" applyFill="1" applyBorder="1" applyAlignment="1">
      <alignment vertical="center"/>
    </xf>
    <xf numFmtId="179" fontId="138" fillId="6" borderId="6" xfId="4" applyNumberFormat="1" applyFont="1" applyFill="1" applyBorder="1" applyAlignment="1">
      <alignment vertical="center"/>
    </xf>
    <xf numFmtId="179" fontId="138" fillId="6" borderId="6" xfId="16" applyNumberFormat="1" applyFont="1" applyFill="1" applyBorder="1" applyAlignment="1">
      <alignment horizontal="center" vertical="center"/>
    </xf>
    <xf numFmtId="179" fontId="149" fillId="6" borderId="3" xfId="16" applyNumberFormat="1" applyFont="1" applyFill="1" applyBorder="1" applyAlignment="1">
      <alignment vertical="center"/>
    </xf>
    <xf numFmtId="0" fontId="138" fillId="6" borderId="0" xfId="16" applyFont="1" applyFill="1" applyAlignment="1">
      <alignment vertical="center"/>
    </xf>
    <xf numFmtId="0" fontId="138" fillId="6" borderId="0" xfId="16" applyFont="1" applyFill="1" applyAlignment="1">
      <alignment horizontal="center" vertical="center"/>
    </xf>
    <xf numFmtId="0" fontId="138" fillId="6" borderId="0" xfId="16" applyFont="1" applyFill="1" applyAlignment="1">
      <alignment vertical="center" wrapText="1"/>
    </xf>
    <xf numFmtId="179" fontId="138" fillId="6" borderId="0" xfId="16" applyNumberFormat="1" applyFont="1" applyFill="1" applyAlignment="1">
      <alignment vertical="center"/>
    </xf>
    <xf numFmtId="179" fontId="138" fillId="6" borderId="0" xfId="4" applyNumberFormat="1" applyFont="1" applyFill="1" applyBorder="1" applyAlignment="1">
      <alignment vertical="center"/>
    </xf>
    <xf numFmtId="179" fontId="138" fillId="6" borderId="0" xfId="16" applyNumberFormat="1" applyFont="1" applyFill="1" applyAlignment="1">
      <alignment horizontal="center" vertical="center"/>
    </xf>
    <xf numFmtId="179" fontId="149" fillId="6" borderId="0" xfId="16" applyNumberFormat="1" applyFont="1" applyFill="1" applyAlignment="1">
      <alignment vertical="center"/>
    </xf>
    <xf numFmtId="0" fontId="150" fillId="6" borderId="0" xfId="16" applyFont="1" applyFill="1" applyAlignment="1">
      <alignment horizontal="center" vertical="center"/>
    </xf>
    <xf numFmtId="0" fontId="150" fillId="6" borderId="0" xfId="16" applyFont="1" applyFill="1" applyAlignment="1">
      <alignment vertical="center"/>
    </xf>
    <xf numFmtId="179" fontId="150" fillId="6" borderId="0" xfId="4" applyNumberFormat="1" applyFont="1" applyFill="1" applyBorder="1" applyAlignment="1">
      <alignment vertical="center"/>
    </xf>
    <xf numFmtId="179" fontId="150" fillId="6" borderId="0" xfId="16" applyNumberFormat="1" applyFont="1" applyFill="1" applyAlignment="1">
      <alignment vertical="center"/>
    </xf>
    <xf numFmtId="179" fontId="150" fillId="6" borderId="0" xfId="16" applyNumberFormat="1" applyFont="1" applyFill="1" applyAlignment="1">
      <alignment horizontal="center" vertical="center"/>
    </xf>
    <xf numFmtId="179" fontId="152" fillId="6" borderId="0" xfId="16" applyNumberFormat="1" applyFont="1" applyFill="1" applyAlignment="1">
      <alignment vertical="center"/>
    </xf>
    <xf numFmtId="0" fontId="152" fillId="6" borderId="0" xfId="16" applyFont="1" applyFill="1" applyAlignment="1">
      <alignment horizontal="center" vertical="center" wrapText="1"/>
    </xf>
    <xf numFmtId="0" fontId="152" fillId="6" borderId="0" xfId="0" applyFont="1" applyFill="1" applyAlignment="1">
      <alignment horizontal="center" vertical="center" wrapText="1"/>
    </xf>
    <xf numFmtId="0" fontId="152" fillId="6" borderId="0" xfId="16" applyFont="1" applyFill="1" applyAlignment="1">
      <alignment vertical="center" wrapText="1"/>
    </xf>
    <xf numFmtId="179" fontId="152" fillId="6" borderId="0" xfId="4" applyNumberFormat="1" applyFont="1" applyFill="1" applyBorder="1" applyAlignment="1">
      <alignment vertical="center"/>
    </xf>
    <xf numFmtId="0" fontId="150" fillId="6" borderId="0" xfId="0" applyFont="1" applyFill="1"/>
    <xf numFmtId="43" fontId="150" fillId="6" borderId="0" xfId="5" applyFont="1" applyFill="1"/>
    <xf numFmtId="166" fontId="150" fillId="6" borderId="0" xfId="5" applyNumberFormat="1" applyFont="1" applyFill="1"/>
    <xf numFmtId="0" fontId="150" fillId="6" borderId="0" xfId="16" applyFont="1" applyFill="1" applyAlignment="1">
      <alignment vertical="center" wrapText="1"/>
    </xf>
    <xf numFmtId="3" fontId="138" fillId="6" borderId="0" xfId="16" applyNumberFormat="1" applyFont="1" applyFill="1"/>
    <xf numFmtId="168" fontId="138" fillId="6" borderId="0" xfId="4" applyNumberFormat="1" applyFont="1" applyFill="1"/>
    <xf numFmtId="43" fontId="138" fillId="6" borderId="0" xfId="3" applyFont="1" applyFill="1"/>
    <xf numFmtId="179" fontId="138" fillId="6" borderId="0" xfId="16" applyNumberFormat="1" applyFont="1" applyFill="1"/>
    <xf numFmtId="180" fontId="138" fillId="6" borderId="0" xfId="16" applyNumberFormat="1" applyFont="1" applyFill="1"/>
    <xf numFmtId="169" fontId="138" fillId="6" borderId="0" xfId="3" applyNumberFormat="1" applyFont="1" applyFill="1"/>
    <xf numFmtId="0" fontId="153" fillId="6" borderId="0" xfId="13" applyFont="1" applyFill="1"/>
    <xf numFmtId="0" fontId="154" fillId="6" borderId="0" xfId="16" applyFont="1" applyFill="1"/>
    <xf numFmtId="0" fontId="154" fillId="6" borderId="0" xfId="16" applyFont="1" applyFill="1" applyAlignment="1">
      <alignment horizontal="center"/>
    </xf>
    <xf numFmtId="3" fontId="156" fillId="6" borderId="0" xfId="16" applyNumberFormat="1" applyFont="1" applyFill="1" applyAlignment="1">
      <alignment horizontal="centerContinuous"/>
    </xf>
    <xf numFmtId="0" fontId="156" fillId="6" borderId="0" xfId="16" applyFont="1" applyFill="1" applyAlignment="1">
      <alignment horizontal="centerContinuous"/>
    </xf>
    <xf numFmtId="0" fontId="157" fillId="6" borderId="0" xfId="16" applyFont="1" applyFill="1" applyAlignment="1">
      <alignment horizontal="center" vertical="center"/>
    </xf>
    <xf numFmtId="0" fontId="157" fillId="6" borderId="3" xfId="16" applyFont="1" applyFill="1" applyBorder="1" applyAlignment="1">
      <alignment horizontal="center" vertical="center" wrapText="1"/>
    </xf>
    <xf numFmtId="0" fontId="157" fillId="6" borderId="13" xfId="16" applyFont="1" applyFill="1" applyBorder="1" applyAlignment="1">
      <alignment horizontal="center" vertical="center" wrapText="1"/>
    </xf>
    <xf numFmtId="0" fontId="157" fillId="6" borderId="8" xfId="16" applyFont="1" applyFill="1" applyBorder="1" applyAlignment="1">
      <alignment horizontal="center" vertical="center" wrapText="1"/>
    </xf>
    <xf numFmtId="0" fontId="154" fillId="6" borderId="3" xfId="16" applyFont="1" applyFill="1" applyBorder="1" applyAlignment="1">
      <alignment horizontal="center" vertical="center"/>
    </xf>
    <xf numFmtId="0" fontId="154" fillId="6" borderId="3" xfId="16" quotePrefix="1" applyFont="1" applyFill="1" applyBorder="1" applyAlignment="1">
      <alignment horizontal="center" vertical="center"/>
    </xf>
    <xf numFmtId="0" fontId="157" fillId="6" borderId="3" xfId="16" applyFont="1" applyFill="1" applyBorder="1" applyAlignment="1">
      <alignment horizontal="center" vertical="center"/>
    </xf>
    <xf numFmtId="0" fontId="158" fillId="6" borderId="3" xfId="16" applyFont="1" applyFill="1" applyBorder="1" applyAlignment="1">
      <alignment horizontal="center" vertical="center"/>
    </xf>
    <xf numFmtId="179" fontId="158" fillId="6" borderId="3" xfId="16" applyNumberFormat="1" applyFont="1" applyFill="1" applyBorder="1" applyAlignment="1">
      <alignment horizontal="right" vertical="center"/>
    </xf>
    <xf numFmtId="0" fontId="154" fillId="6" borderId="3" xfId="16" applyFont="1" applyFill="1" applyBorder="1" applyAlignment="1">
      <alignment vertical="center"/>
    </xf>
    <xf numFmtId="0" fontId="154" fillId="6" borderId="0" xfId="16" applyFont="1" applyFill="1" applyAlignment="1">
      <alignment vertical="center"/>
    </xf>
    <xf numFmtId="3" fontId="159" fillId="6" borderId="3" xfId="13" applyNumberFormat="1" applyFont="1" applyFill="1" applyBorder="1" applyAlignment="1">
      <alignment horizontal="center" vertical="center" wrapText="1"/>
    </xf>
    <xf numFmtId="179" fontId="154" fillId="6" borderId="3" xfId="16" applyNumberFormat="1" applyFont="1" applyFill="1" applyBorder="1" applyAlignment="1">
      <alignment vertical="center"/>
    </xf>
    <xf numFmtId="3" fontId="154" fillId="6" borderId="0" xfId="16" applyNumberFormat="1" applyFont="1" applyFill="1"/>
    <xf numFmtId="171" fontId="154" fillId="6" borderId="0" xfId="4" applyNumberFormat="1" applyFont="1" applyFill="1"/>
    <xf numFmtId="43" fontId="154" fillId="6" borderId="0" xfId="3" applyFont="1" applyFill="1"/>
    <xf numFmtId="0" fontId="160" fillId="6" borderId="0" xfId="16" applyFont="1" applyFill="1" applyAlignment="1">
      <alignment horizontal="center" vertical="center"/>
    </xf>
    <xf numFmtId="0" fontId="160" fillId="6" borderId="0" xfId="16" applyFont="1" applyFill="1" applyAlignment="1">
      <alignment vertical="center"/>
    </xf>
    <xf numFmtId="179" fontId="160" fillId="6" borderId="0" xfId="4" applyNumberFormat="1" applyFont="1" applyFill="1" applyBorder="1" applyAlignment="1">
      <alignment vertical="center"/>
    </xf>
    <xf numFmtId="179" fontId="160" fillId="6" borderId="0" xfId="16" applyNumberFormat="1" applyFont="1" applyFill="1" applyAlignment="1">
      <alignment vertical="center"/>
    </xf>
    <xf numFmtId="179" fontId="162" fillId="6" borderId="0" xfId="16" applyNumberFormat="1" applyFont="1" applyFill="1" applyAlignment="1">
      <alignment vertical="center"/>
    </xf>
    <xf numFmtId="0" fontId="162" fillId="6" borderId="0" xfId="16" applyFont="1" applyFill="1" applyAlignment="1">
      <alignment horizontal="center" vertical="center" wrapText="1"/>
    </xf>
    <xf numFmtId="0" fontId="162" fillId="6" borderId="0" xfId="0" applyFont="1" applyFill="1" applyAlignment="1">
      <alignment horizontal="center" vertical="center" wrapText="1"/>
    </xf>
    <xf numFmtId="0" fontId="162" fillId="6" borderId="0" xfId="16" applyFont="1" applyFill="1" applyAlignment="1">
      <alignment vertical="center" wrapText="1"/>
    </xf>
    <xf numFmtId="179" fontId="162" fillId="6" borderId="0" xfId="4" applyNumberFormat="1" applyFont="1" applyFill="1" applyBorder="1" applyAlignment="1">
      <alignment vertical="center"/>
    </xf>
    <xf numFmtId="0" fontId="160" fillId="6" borderId="0" xfId="0" applyFont="1" applyFill="1"/>
    <xf numFmtId="43" fontId="160" fillId="6" borderId="0" xfId="5" applyFont="1" applyFill="1"/>
    <xf numFmtId="166" fontId="160" fillId="6" borderId="0" xfId="5" applyNumberFormat="1" applyFont="1" applyFill="1"/>
    <xf numFmtId="0" fontId="163" fillId="6" borderId="0" xfId="0" applyFont="1" applyFill="1"/>
    <xf numFmtId="0" fontId="137" fillId="6" borderId="0" xfId="0" applyFont="1" applyFill="1"/>
    <xf numFmtId="0" fontId="138" fillId="6" borderId="0" xfId="19" applyFont="1" applyFill="1"/>
    <xf numFmtId="0" fontId="145" fillId="6" borderId="0" xfId="19" applyFont="1" applyFill="1"/>
    <xf numFmtId="0" fontId="149" fillId="6" borderId="0" xfId="19" applyFont="1" applyFill="1"/>
    <xf numFmtId="1" fontId="149" fillId="6" borderId="0" xfId="19" applyNumberFormat="1" applyFont="1" applyFill="1" applyAlignment="1">
      <alignment horizontal="right"/>
    </xf>
    <xf numFmtId="0" fontId="146" fillId="6" borderId="17" xfId="0" applyFont="1" applyFill="1" applyBorder="1" applyAlignment="1">
      <alignment vertical="center"/>
    </xf>
    <xf numFmtId="0" fontId="146" fillId="6" borderId="0" xfId="0" applyFont="1" applyFill="1" applyAlignment="1">
      <alignment vertical="center"/>
    </xf>
    <xf numFmtId="1" fontId="165" fillId="6" borderId="8" xfId="0" applyNumberFormat="1" applyFont="1" applyFill="1" applyBorder="1" applyAlignment="1">
      <alignment horizontal="left" vertical="center" wrapText="1"/>
    </xf>
    <xf numFmtId="0" fontId="165" fillId="6" borderId="25" xfId="0" applyFont="1" applyFill="1" applyBorder="1" applyAlignment="1">
      <alignment horizontal="center" vertical="center" wrapText="1"/>
    </xf>
    <xf numFmtId="0" fontId="165" fillId="6" borderId="8" xfId="0" applyFont="1" applyFill="1" applyBorder="1" applyAlignment="1">
      <alignment horizontal="center" vertical="center" wrapText="1"/>
    </xf>
    <xf numFmtId="0" fontId="166" fillId="6" borderId="0" xfId="0" applyFont="1" applyFill="1"/>
    <xf numFmtId="0" fontId="167" fillId="6" borderId="0" xfId="0" applyFont="1" applyFill="1"/>
    <xf numFmtId="0" fontId="165" fillId="6" borderId="16" xfId="0" applyFont="1" applyFill="1" applyBorder="1" applyAlignment="1">
      <alignment horizontal="center" vertical="center" wrapText="1"/>
    </xf>
    <xf numFmtId="0" fontId="165" fillId="6" borderId="3" xfId="0" applyFont="1" applyFill="1" applyBorder="1" applyAlignment="1">
      <alignment horizontal="center" vertical="center" wrapText="1"/>
    </xf>
    <xf numFmtId="0" fontId="165" fillId="6" borderId="13" xfId="0" applyFont="1" applyFill="1" applyBorder="1" applyAlignment="1">
      <alignment horizontal="center" vertical="center" wrapText="1"/>
    </xf>
    <xf numFmtId="0" fontId="137" fillId="6" borderId="3" xfId="0" applyFont="1" applyFill="1" applyBorder="1" applyAlignment="1">
      <alignment horizontal="center" vertical="center" wrapText="1"/>
    </xf>
    <xf numFmtId="1" fontId="137" fillId="6" borderId="3" xfId="0" applyNumberFormat="1" applyFont="1" applyFill="1" applyBorder="1" applyAlignment="1">
      <alignment horizontal="right" vertical="center" wrapText="1"/>
    </xf>
    <xf numFmtId="0" fontId="125" fillId="6" borderId="16" xfId="0" applyFont="1" applyFill="1" applyBorder="1" applyAlignment="1">
      <alignment vertical="center" wrapText="1"/>
    </xf>
    <xf numFmtId="0" fontId="145" fillId="6" borderId="8" xfId="0" applyFont="1" applyFill="1" applyBorder="1" applyAlignment="1">
      <alignment horizontal="center" vertical="center" wrapText="1"/>
    </xf>
    <xf numFmtId="1" fontId="145" fillId="6" borderId="8" xfId="0" applyNumberFormat="1" applyFont="1" applyFill="1" applyBorder="1" applyAlignment="1">
      <alignment horizontal="right" vertical="center" wrapText="1"/>
    </xf>
    <xf numFmtId="0" fontId="125" fillId="6" borderId="13" xfId="0" applyFont="1" applyFill="1" applyBorder="1" applyAlignment="1">
      <alignment vertical="center" wrapText="1"/>
    </xf>
    <xf numFmtId="0" fontId="168" fillId="6" borderId="8" xfId="0" applyFont="1" applyFill="1" applyBorder="1"/>
    <xf numFmtId="0" fontId="145" fillId="6" borderId="0" xfId="0" applyFont="1" applyFill="1"/>
    <xf numFmtId="0" fontId="168" fillId="6" borderId="0" xfId="0" applyFont="1" applyFill="1"/>
    <xf numFmtId="49" fontId="149" fillId="6" borderId="16" xfId="2" applyNumberFormat="1" applyFont="1" applyFill="1" applyBorder="1" applyAlignment="1">
      <alignment horizontal="center" vertical="top" wrapText="1"/>
    </xf>
    <xf numFmtId="0" fontId="145" fillId="6" borderId="16" xfId="2" applyFont="1" applyFill="1" applyBorder="1" applyAlignment="1">
      <alignment vertical="top" wrapText="1"/>
    </xf>
    <xf numFmtId="189" fontId="169" fillId="6" borderId="7" xfId="2" applyNumberFormat="1" applyFont="1" applyFill="1" applyBorder="1" applyAlignment="1">
      <alignment vertical="center" wrapText="1"/>
    </xf>
    <xf numFmtId="1" fontId="169" fillId="6" borderId="7" xfId="2" applyNumberFormat="1" applyFont="1" applyFill="1" applyBorder="1" applyAlignment="1">
      <alignment horizontal="right" vertical="center" wrapText="1"/>
    </xf>
    <xf numFmtId="49" fontId="138" fillId="6" borderId="5" xfId="2" applyNumberFormat="1" applyFont="1" applyFill="1" applyBorder="1" applyAlignment="1">
      <alignment horizontal="center" vertical="center" wrapText="1"/>
    </xf>
    <xf numFmtId="0" fontId="137" fillId="6" borderId="5" xfId="2" applyFont="1" applyFill="1" applyBorder="1" applyAlignment="1">
      <alignment vertical="top" wrapText="1"/>
    </xf>
    <xf numFmtId="189" fontId="170" fillId="6" borderId="5" xfId="2" applyNumberFormat="1" applyFont="1" applyFill="1" applyBorder="1" applyAlignment="1">
      <alignment vertical="center" wrapText="1"/>
    </xf>
    <xf numFmtId="1" fontId="170" fillId="6" borderId="5" xfId="2" quotePrefix="1" applyNumberFormat="1" applyFont="1" applyFill="1" applyBorder="1" applyAlignment="1">
      <alignment horizontal="right" vertical="center" wrapText="1"/>
    </xf>
    <xf numFmtId="0" fontId="145" fillId="6" borderId="16" xfId="0" applyFont="1" applyFill="1" applyBorder="1" applyAlignment="1">
      <alignment horizontal="center" vertical="center" wrapText="1"/>
    </xf>
    <xf numFmtId="0" fontId="145" fillId="6" borderId="16" xfId="0" applyFont="1" applyFill="1" applyBorder="1" applyAlignment="1">
      <alignment horizontal="left" vertical="center" wrapText="1"/>
    </xf>
    <xf numFmtId="49" fontId="138" fillId="6" borderId="5" xfId="2" applyNumberFormat="1" applyFont="1" applyFill="1" applyBorder="1" applyAlignment="1">
      <alignment horizontal="center" vertical="top" wrapText="1"/>
    </xf>
    <xf numFmtId="49" fontId="149" fillId="6" borderId="5" xfId="2" applyNumberFormat="1" applyFont="1" applyFill="1" applyBorder="1" applyAlignment="1">
      <alignment horizontal="center" vertical="top" wrapText="1"/>
    </xf>
    <xf numFmtId="0" fontId="145" fillId="6" borderId="5" xfId="2" applyFont="1" applyFill="1" applyBorder="1" applyAlignment="1">
      <alignment vertical="top" wrapText="1"/>
    </xf>
    <xf numFmtId="189" fontId="169" fillId="6" borderId="5" xfId="2" applyNumberFormat="1" applyFont="1" applyFill="1" applyBorder="1" applyAlignment="1">
      <alignment vertical="center" wrapText="1"/>
    </xf>
    <xf numFmtId="1" fontId="169" fillId="6" borderId="5" xfId="2" applyNumberFormat="1" applyFont="1" applyFill="1" applyBorder="1" applyAlignment="1">
      <alignment horizontal="right" vertical="center" wrapText="1"/>
    </xf>
    <xf numFmtId="1" fontId="169" fillId="6" borderId="5" xfId="2" quotePrefix="1" applyNumberFormat="1" applyFont="1" applyFill="1" applyBorder="1" applyAlignment="1">
      <alignment horizontal="right" vertical="center" wrapText="1"/>
    </xf>
    <xf numFmtId="189" fontId="169" fillId="6" borderId="5" xfId="2" quotePrefix="1" applyNumberFormat="1" applyFont="1" applyFill="1" applyBorder="1" applyAlignment="1">
      <alignment vertical="center" wrapText="1"/>
    </xf>
    <xf numFmtId="49" fontId="149" fillId="6" borderId="16" xfId="2" applyNumberFormat="1" applyFont="1" applyFill="1" applyBorder="1" applyAlignment="1">
      <alignment horizontal="center" vertical="center" wrapText="1"/>
    </xf>
    <xf numFmtId="1" fontId="169" fillId="6" borderId="7" xfId="2" quotePrefix="1" applyNumberFormat="1" applyFont="1" applyFill="1" applyBorder="1" applyAlignment="1">
      <alignment horizontal="right" vertical="center" wrapText="1"/>
    </xf>
    <xf numFmtId="0" fontId="145" fillId="6" borderId="8" xfId="0" applyFont="1" applyFill="1" applyBorder="1" applyAlignment="1">
      <alignment horizontal="left" vertical="center" wrapText="1"/>
    </xf>
    <xf numFmtId="189" fontId="169" fillId="6" borderId="4" xfId="2" applyNumberFormat="1" applyFont="1" applyFill="1" applyBorder="1" applyAlignment="1">
      <alignment vertical="center" wrapText="1"/>
    </xf>
    <xf numFmtId="1" fontId="169" fillId="6" borderId="4" xfId="2" applyNumberFormat="1" applyFont="1" applyFill="1" applyBorder="1" applyAlignment="1">
      <alignment horizontal="right" vertical="center" wrapText="1"/>
    </xf>
    <xf numFmtId="49" fontId="149" fillId="6" borderId="5" xfId="2" applyNumberFormat="1" applyFont="1" applyFill="1" applyBorder="1" applyAlignment="1">
      <alignment horizontal="center" vertical="center" wrapText="1"/>
    </xf>
    <xf numFmtId="0" fontId="171" fillId="6" borderId="5" xfId="2" applyFont="1" applyFill="1" applyBorder="1" applyAlignment="1">
      <alignment vertical="top" wrapText="1"/>
    </xf>
    <xf numFmtId="1" fontId="145" fillId="6" borderId="0" xfId="0" applyNumberFormat="1" applyFont="1" applyFill="1" applyAlignment="1">
      <alignment horizontal="right"/>
    </xf>
    <xf numFmtId="1" fontId="163" fillId="6" borderId="0" xfId="0" applyNumberFormat="1" applyFont="1" applyFill="1" applyAlignment="1">
      <alignment horizontal="right"/>
    </xf>
    <xf numFmtId="166" fontId="128" fillId="6" borderId="11" xfId="3" applyNumberFormat="1" applyFont="1" applyFill="1" applyBorder="1" applyAlignment="1">
      <alignment horizontal="center" vertical="center" wrapText="1"/>
    </xf>
    <xf numFmtId="0" fontId="2" fillId="6" borderId="0" xfId="0" applyFont="1" applyFill="1" applyAlignment="1">
      <alignment horizontal="center"/>
    </xf>
    <xf numFmtId="172" fontId="2" fillId="6" borderId="0" xfId="3" applyNumberFormat="1" applyFont="1" applyFill="1" applyAlignment="1"/>
    <xf numFmtId="166" fontId="9" fillId="0" borderId="0" xfId="3" applyNumberFormat="1" applyFont="1" applyFill="1" applyAlignment="1">
      <alignment horizontal="center" vertical="center" wrapText="1"/>
    </xf>
    <xf numFmtId="0" fontId="71" fillId="0" borderId="0" xfId="0" applyFont="1" applyAlignment="1">
      <alignment wrapText="1"/>
    </xf>
    <xf numFmtId="43" fontId="88" fillId="0" borderId="0" xfId="3" applyFont="1" applyFill="1" applyBorder="1" applyAlignment="1" applyProtection="1">
      <alignment vertical="center"/>
    </xf>
    <xf numFmtId="191" fontId="13" fillId="0" borderId="0" xfId="21" applyNumberFormat="1" applyFont="1" applyFill="1" applyBorder="1" applyAlignment="1" applyProtection="1">
      <alignment vertical="center"/>
    </xf>
    <xf numFmtId="0" fontId="13" fillId="0" borderId="0" xfId="20" applyFont="1" applyAlignment="1">
      <alignment vertical="center"/>
    </xf>
    <xf numFmtId="166" fontId="13" fillId="0" borderId="0" xfId="21" applyNumberFormat="1" applyFont="1" applyFill="1" applyBorder="1" applyAlignment="1" applyProtection="1">
      <alignment vertical="center" shrinkToFit="1"/>
    </xf>
    <xf numFmtId="166" fontId="13" fillId="0" borderId="0" xfId="3" applyNumberFormat="1" applyFont="1" applyFill="1" applyBorder="1" applyAlignment="1" applyProtection="1">
      <alignment vertical="center"/>
    </xf>
    <xf numFmtId="43" fontId="43" fillId="0" borderId="0" xfId="3" applyFont="1" applyFill="1" applyBorder="1" applyAlignment="1" applyProtection="1">
      <alignment horizontal="center" vertical="center"/>
    </xf>
    <xf numFmtId="190" fontId="3" fillId="0" borderId="0" xfId="21" applyNumberFormat="1" applyFont="1" applyFill="1" applyBorder="1" applyAlignment="1" applyProtection="1">
      <alignment vertical="center"/>
    </xf>
    <xf numFmtId="0" fontId="88" fillId="0" borderId="0" xfId="20" applyFont="1" applyAlignment="1">
      <alignment vertical="center" wrapText="1"/>
    </xf>
    <xf numFmtId="43" fontId="87" fillId="0" borderId="8" xfId="3" applyFont="1" applyFill="1" applyBorder="1" applyAlignment="1" applyProtection="1">
      <alignment horizontal="center" vertical="center" wrapText="1"/>
    </xf>
    <xf numFmtId="43" fontId="87" fillId="0" borderId="38" xfId="3" applyFont="1" applyFill="1" applyBorder="1" applyAlignment="1" applyProtection="1">
      <alignment horizontal="center" vertical="center" wrapText="1"/>
    </xf>
    <xf numFmtId="43" fontId="87" fillId="0" borderId="0" xfId="3" applyFont="1" applyFill="1" applyBorder="1" applyAlignment="1" applyProtection="1">
      <alignment horizontal="center" vertical="center" wrapText="1"/>
    </xf>
    <xf numFmtId="0" fontId="72" fillId="0" borderId="0" xfId="20" applyFont="1" applyAlignment="1">
      <alignment vertical="center"/>
    </xf>
    <xf numFmtId="190" fontId="72" fillId="0" borderId="49" xfId="21" applyNumberFormat="1" applyFont="1" applyFill="1" applyBorder="1" applyAlignment="1" applyProtection="1">
      <alignment vertical="center"/>
    </xf>
    <xf numFmtId="191" fontId="72" fillId="0" borderId="49" xfId="21" applyNumberFormat="1" applyFont="1" applyFill="1" applyBorder="1" applyAlignment="1" applyProtection="1">
      <alignment vertical="center"/>
    </xf>
    <xf numFmtId="190" fontId="72" fillId="0" borderId="49" xfId="21" applyNumberFormat="1" applyFont="1" applyFill="1" applyBorder="1" applyAlignment="1" applyProtection="1">
      <alignment horizontal="center" vertical="center"/>
    </xf>
    <xf numFmtId="191" fontId="72" fillId="0" borderId="49" xfId="21" applyNumberFormat="1" applyFont="1" applyFill="1" applyBorder="1" applyAlignment="1" applyProtection="1">
      <alignment horizontal="center" vertical="center"/>
    </xf>
    <xf numFmtId="0" fontId="72" fillId="0" borderId="0" xfId="20" applyFont="1" applyAlignment="1">
      <alignment horizontal="center" vertical="center"/>
    </xf>
    <xf numFmtId="166" fontId="87" fillId="0" borderId="50" xfId="3" applyNumberFormat="1" applyFont="1" applyFill="1" applyBorder="1" applyAlignment="1" applyProtection="1">
      <alignment horizontal="right" vertical="center" wrapText="1"/>
    </xf>
    <xf numFmtId="166" fontId="87" fillId="0" borderId="51" xfId="3" applyNumberFormat="1" applyFont="1" applyFill="1" applyBorder="1" applyAlignment="1" applyProtection="1">
      <alignment horizontal="right" vertical="center" wrapText="1"/>
    </xf>
    <xf numFmtId="0" fontId="87" fillId="0" borderId="0" xfId="20" applyFont="1" applyAlignment="1">
      <alignment vertical="center"/>
    </xf>
    <xf numFmtId="0" fontId="2" fillId="0" borderId="0" xfId="20" applyFont="1" applyAlignment="1">
      <alignment horizontal="center" vertical="center" wrapText="1"/>
    </xf>
    <xf numFmtId="166" fontId="41" fillId="0" borderId="0" xfId="21" applyNumberFormat="1" applyFont="1" applyFill="1" applyBorder="1" applyAlignment="1" applyProtection="1">
      <alignment horizontal="right" vertical="center" wrapText="1"/>
    </xf>
    <xf numFmtId="166" fontId="87" fillId="0" borderId="0" xfId="3" applyNumberFormat="1" applyFont="1" applyFill="1" applyBorder="1" applyAlignment="1" applyProtection="1">
      <alignment horizontal="right" vertical="center" wrapText="1"/>
    </xf>
    <xf numFmtId="43" fontId="87" fillId="0" borderId="0" xfId="3" applyFont="1" applyFill="1" applyBorder="1" applyAlignment="1" applyProtection="1">
      <alignment horizontal="right" vertical="center" wrapText="1"/>
    </xf>
    <xf numFmtId="190" fontId="41" fillId="0" borderId="0" xfId="21" applyNumberFormat="1" applyFont="1" applyFill="1" applyBorder="1" applyAlignment="1" applyProtection="1">
      <alignment horizontal="right" vertical="center" wrapText="1"/>
    </xf>
    <xf numFmtId="192" fontId="41" fillId="0" borderId="0" xfId="21" applyNumberFormat="1" applyFont="1" applyFill="1" applyBorder="1" applyAlignment="1" applyProtection="1">
      <alignment horizontal="right" vertical="center" wrapText="1"/>
    </xf>
    <xf numFmtId="0" fontId="9" fillId="0" borderId="0" xfId="20" applyFont="1" applyAlignment="1">
      <alignment vertical="center"/>
    </xf>
    <xf numFmtId="166" fontId="13" fillId="0" borderId="0" xfId="21" applyNumberFormat="1" applyFont="1" applyFill="1" applyBorder="1" applyAlignment="1" applyProtection="1">
      <alignment vertical="center"/>
    </xf>
    <xf numFmtId="190" fontId="13" fillId="0" borderId="0" xfId="21" applyNumberFormat="1" applyFont="1" applyFill="1" applyBorder="1" applyAlignment="1" applyProtection="1">
      <alignment vertical="center"/>
    </xf>
    <xf numFmtId="166" fontId="13" fillId="0" borderId="0" xfId="3" applyNumberFormat="1" applyFont="1" applyFill="1" applyAlignment="1">
      <alignment vertical="center"/>
    </xf>
    <xf numFmtId="0" fontId="13" fillId="0" borderId="0" xfId="0" applyFont="1" applyAlignment="1">
      <alignment vertical="center"/>
    </xf>
    <xf numFmtId="172" fontId="13" fillId="0" borderId="0" xfId="3" applyNumberFormat="1" applyFont="1" applyFill="1" applyAlignment="1">
      <alignment vertical="center"/>
    </xf>
    <xf numFmtId="0" fontId="87" fillId="0" borderId="33" xfId="20" applyFont="1" applyBorder="1" applyAlignment="1">
      <alignment horizontal="center" vertical="center" wrapText="1"/>
    </xf>
    <xf numFmtId="166" fontId="87" fillId="0" borderId="33" xfId="21" applyNumberFormat="1" applyFont="1" applyFill="1" applyBorder="1" applyAlignment="1" applyProtection="1">
      <alignment horizontal="right" vertical="center" wrapText="1"/>
    </xf>
    <xf numFmtId="166" fontId="87" fillId="0" borderId="33" xfId="3" applyNumberFormat="1" applyFont="1" applyFill="1" applyBorder="1" applyAlignment="1" applyProtection="1">
      <alignment horizontal="right" vertical="center" wrapText="1"/>
    </xf>
    <xf numFmtId="43" fontId="87" fillId="0" borderId="33" xfId="3" applyFont="1" applyFill="1" applyBorder="1" applyAlignment="1" applyProtection="1">
      <alignment horizontal="right" vertical="center" wrapText="1"/>
    </xf>
    <xf numFmtId="170" fontId="87" fillId="0" borderId="33" xfId="3" applyNumberFormat="1" applyFont="1" applyFill="1" applyBorder="1" applyAlignment="1" applyProtection="1">
      <alignment horizontal="right" vertical="center" wrapText="1"/>
    </xf>
    <xf numFmtId="0" fontId="72" fillId="0" borderId="36" xfId="20" applyFont="1" applyBorder="1" applyAlignment="1">
      <alignment horizontal="center" vertical="center" wrapText="1"/>
    </xf>
    <xf numFmtId="0" fontId="72" fillId="0" borderId="37" xfId="20" applyFont="1" applyBorder="1" applyAlignment="1">
      <alignment horizontal="center" vertical="center" wrapText="1"/>
    </xf>
    <xf numFmtId="0" fontId="72" fillId="0" borderId="37" xfId="20" applyFont="1" applyBorder="1" applyAlignment="1">
      <alignment vertical="center"/>
    </xf>
    <xf numFmtId="43" fontId="72" fillId="0" borderId="37" xfId="3" applyFont="1" applyFill="1" applyBorder="1" applyAlignment="1">
      <alignment vertical="center"/>
    </xf>
    <xf numFmtId="0" fontId="72" fillId="0" borderId="39" xfId="20" applyFont="1" applyBorder="1" applyAlignment="1">
      <alignment horizontal="center" vertical="center" wrapText="1"/>
    </xf>
    <xf numFmtId="190" fontId="72" fillId="0" borderId="48" xfId="21" applyNumberFormat="1" applyFont="1" applyFill="1" applyBorder="1" applyAlignment="1" applyProtection="1">
      <alignment vertical="center"/>
    </xf>
    <xf numFmtId="191" fontId="72" fillId="0" borderId="48" xfId="21" applyNumberFormat="1" applyFont="1" applyFill="1" applyBorder="1" applyAlignment="1" applyProtection="1">
      <alignment vertical="center"/>
    </xf>
    <xf numFmtId="190" fontId="72" fillId="0" borderId="36" xfId="21" applyNumberFormat="1" applyFont="1" applyFill="1" applyBorder="1" applyAlignment="1" applyProtection="1">
      <alignment vertical="center"/>
    </xf>
    <xf numFmtId="191" fontId="72" fillId="0" borderId="36" xfId="21" applyNumberFormat="1" applyFont="1" applyFill="1" applyBorder="1" applyAlignment="1" applyProtection="1">
      <alignment vertical="center"/>
    </xf>
    <xf numFmtId="0" fontId="72" fillId="0" borderId="53" xfId="20" applyFont="1" applyBorder="1" applyAlignment="1">
      <alignment vertical="center"/>
    </xf>
    <xf numFmtId="0" fontId="72" fillId="0" borderId="39" xfId="20" applyFont="1" applyBorder="1" applyAlignment="1">
      <alignment vertical="center"/>
    </xf>
    <xf numFmtId="190" fontId="72" fillId="0" borderId="39" xfId="21" applyNumberFormat="1" applyFont="1" applyFill="1" applyBorder="1" applyAlignment="1" applyProtection="1">
      <alignment vertical="center"/>
    </xf>
    <xf numFmtId="191" fontId="72" fillId="0" borderId="39" xfId="21" applyNumberFormat="1" applyFont="1" applyFill="1" applyBorder="1" applyAlignment="1" applyProtection="1">
      <alignment vertical="center"/>
    </xf>
    <xf numFmtId="0" fontId="72" fillId="0" borderId="54" xfId="20" applyFont="1" applyBorder="1" applyAlignment="1">
      <alignment vertical="center"/>
    </xf>
    <xf numFmtId="0" fontId="87" fillId="0" borderId="33" xfId="20" applyFont="1" applyBorder="1" applyAlignment="1">
      <alignment vertical="center" wrapText="1"/>
    </xf>
    <xf numFmtId="0" fontId="2" fillId="0" borderId="0" xfId="20" applyFont="1" applyAlignment="1">
      <alignment vertical="center" wrapText="1"/>
    </xf>
    <xf numFmtId="166" fontId="89" fillId="0" borderId="0" xfId="3" applyNumberFormat="1" applyFont="1" applyFill="1" applyBorder="1" applyAlignment="1">
      <alignment horizontal="center" vertical="center" wrapText="1"/>
    </xf>
    <xf numFmtId="0" fontId="72" fillId="0" borderId="36" xfId="20" applyFont="1" applyBorder="1" applyAlignment="1">
      <alignment vertical="center"/>
    </xf>
    <xf numFmtId="166" fontId="72" fillId="0" borderId="36" xfId="21" applyNumberFormat="1" applyFont="1" applyFill="1" applyBorder="1" applyAlignment="1" applyProtection="1">
      <alignment horizontal="right" vertical="center" wrapText="1" shrinkToFit="1"/>
    </xf>
    <xf numFmtId="166" fontId="72" fillId="0" borderId="36" xfId="3" applyNumberFormat="1" applyFont="1" applyFill="1" applyBorder="1" applyAlignment="1" applyProtection="1">
      <alignment horizontal="right" vertical="center" wrapText="1" shrinkToFit="1"/>
    </xf>
    <xf numFmtId="43" fontId="72" fillId="0" borderId="36" xfId="3" applyFont="1" applyFill="1" applyBorder="1" applyAlignment="1" applyProtection="1">
      <alignment horizontal="right" vertical="center" wrapText="1" shrinkToFit="1"/>
    </xf>
    <xf numFmtId="43" fontId="72" fillId="0" borderId="36" xfId="3" applyFont="1" applyFill="1" applyBorder="1" applyAlignment="1" applyProtection="1">
      <alignment vertical="center"/>
    </xf>
    <xf numFmtId="166" fontId="72" fillId="0" borderId="37" xfId="3" applyNumberFormat="1" applyFont="1" applyFill="1" applyBorder="1" applyAlignment="1">
      <alignment horizontal="center" vertical="center" wrapText="1"/>
    </xf>
    <xf numFmtId="166" fontId="72" fillId="0" borderId="37" xfId="21" applyNumberFormat="1" applyFont="1" applyFill="1" applyBorder="1" applyAlignment="1" applyProtection="1">
      <alignment horizontal="right" vertical="center" wrapText="1" shrinkToFit="1"/>
    </xf>
    <xf numFmtId="166" fontId="72" fillId="0" borderId="37" xfId="3" applyNumberFormat="1" applyFont="1" applyFill="1" applyBorder="1" applyAlignment="1" applyProtection="1">
      <alignment horizontal="right" vertical="center" wrapText="1" shrinkToFit="1"/>
    </xf>
    <xf numFmtId="43" fontId="72" fillId="0" borderId="37" xfId="3" applyFont="1" applyFill="1" applyBorder="1" applyAlignment="1" applyProtection="1">
      <alignment horizontal="right" vertical="center" wrapText="1" shrinkToFit="1"/>
    </xf>
    <xf numFmtId="43" fontId="72" fillId="0" borderId="37" xfId="3" applyFont="1" applyFill="1" applyBorder="1" applyAlignment="1" applyProtection="1">
      <alignment vertical="center"/>
    </xf>
    <xf numFmtId="43" fontId="72" fillId="0" borderId="37" xfId="3" applyFont="1" applyFill="1" applyBorder="1" applyAlignment="1" applyProtection="1">
      <alignment horizontal="center" vertical="center" wrapText="1" shrinkToFit="1"/>
    </xf>
    <xf numFmtId="43" fontId="72" fillId="0" borderId="37" xfId="3" applyFont="1" applyFill="1" applyBorder="1" applyAlignment="1" applyProtection="1">
      <alignment horizontal="center" vertical="center"/>
    </xf>
    <xf numFmtId="166" fontId="72" fillId="0" borderId="37" xfId="21" applyNumberFormat="1" applyFont="1" applyFill="1" applyBorder="1" applyAlignment="1">
      <alignment vertical="center"/>
    </xf>
    <xf numFmtId="166" fontId="72" fillId="0" borderId="39" xfId="3" applyNumberFormat="1" applyFont="1" applyFill="1" applyBorder="1" applyAlignment="1">
      <alignment horizontal="center" vertical="center" wrapText="1"/>
    </xf>
    <xf numFmtId="166" fontId="72" fillId="0" borderId="39" xfId="21" applyNumberFormat="1" applyFont="1" applyFill="1" applyBorder="1" applyAlignment="1" applyProtection="1">
      <alignment horizontal="right" vertical="center" wrapText="1" shrinkToFit="1"/>
    </xf>
    <xf numFmtId="166" fontId="72" fillId="0" borderId="39" xfId="3" applyNumberFormat="1" applyFont="1" applyFill="1" applyBorder="1" applyAlignment="1" applyProtection="1">
      <alignment horizontal="right" vertical="center" wrapText="1" shrinkToFit="1"/>
    </xf>
    <xf numFmtId="43" fontId="72" fillId="0" borderId="39" xfId="3" applyFont="1" applyFill="1" applyBorder="1" applyAlignment="1" applyProtection="1">
      <alignment horizontal="right" vertical="center" wrapText="1" shrinkToFit="1"/>
    </xf>
    <xf numFmtId="43" fontId="72" fillId="0" borderId="39" xfId="3" applyFont="1" applyFill="1" applyBorder="1" applyAlignment="1" applyProtection="1">
      <alignment vertical="center"/>
    </xf>
    <xf numFmtId="166" fontId="42" fillId="0" borderId="0" xfId="3" applyNumberFormat="1" applyFont="1" applyFill="1" applyBorder="1" applyAlignment="1">
      <alignment horizontal="center" vertical="center" wrapText="1"/>
    </xf>
    <xf numFmtId="166" fontId="72" fillId="0" borderId="40" xfId="3" applyNumberFormat="1" applyFont="1" applyFill="1" applyBorder="1" applyAlignment="1">
      <alignment horizontal="center" vertical="center" wrapText="1"/>
    </xf>
    <xf numFmtId="0" fontId="134" fillId="0" borderId="37" xfId="20" applyFont="1" applyBorder="1" applyAlignment="1">
      <alignment horizontal="center" vertical="center" wrapText="1"/>
    </xf>
    <xf numFmtId="0" fontId="134" fillId="0" borderId="37" xfId="20" applyFont="1" applyBorder="1" applyAlignment="1">
      <alignment vertical="center"/>
    </xf>
    <xf numFmtId="166" fontId="134" fillId="0" borderId="37" xfId="3" applyNumberFormat="1" applyFont="1" applyFill="1" applyBorder="1" applyAlignment="1">
      <alignment horizontal="center" vertical="center" wrapText="1"/>
    </xf>
    <xf numFmtId="166" fontId="134" fillId="0" borderId="37" xfId="21" applyNumberFormat="1" applyFont="1" applyFill="1" applyBorder="1" applyAlignment="1" applyProtection="1">
      <alignment horizontal="right" vertical="center" wrapText="1" shrinkToFit="1"/>
    </xf>
    <xf numFmtId="166" fontId="134" fillId="0" borderId="37" xfId="3" applyNumberFormat="1" applyFont="1" applyFill="1" applyBorder="1" applyAlignment="1" applyProtection="1">
      <alignment horizontal="right" vertical="center" wrapText="1" shrinkToFit="1"/>
    </xf>
    <xf numFmtId="43" fontId="134" fillId="0" borderId="37" xfId="3" applyFont="1" applyFill="1" applyBorder="1" applyAlignment="1" applyProtection="1">
      <alignment horizontal="right" vertical="center" wrapText="1" shrinkToFit="1"/>
    </xf>
    <xf numFmtId="43" fontId="134" fillId="0" borderId="37" xfId="3" applyFont="1" applyFill="1" applyBorder="1" applyAlignment="1" applyProtection="1">
      <alignment vertical="center"/>
    </xf>
    <xf numFmtId="190" fontId="134" fillId="0" borderId="49" xfId="21" applyNumberFormat="1" applyFont="1" applyFill="1" applyBorder="1" applyAlignment="1" applyProtection="1">
      <alignment vertical="center"/>
    </xf>
    <xf numFmtId="191" fontId="134" fillId="0" borderId="49" xfId="21" applyNumberFormat="1" applyFont="1" applyFill="1" applyBorder="1" applyAlignment="1" applyProtection="1">
      <alignment vertical="center"/>
    </xf>
    <xf numFmtId="0" fontId="134" fillId="0" borderId="0" xfId="20" applyFont="1" applyAlignment="1">
      <alignment vertical="center"/>
    </xf>
    <xf numFmtId="171" fontId="87" fillId="0" borderId="33" xfId="3" applyNumberFormat="1" applyFont="1" applyFill="1" applyBorder="1" applyAlignment="1" applyProtection="1">
      <alignment horizontal="right" vertical="center" wrapText="1"/>
    </xf>
    <xf numFmtId="0" fontId="6" fillId="6" borderId="0" xfId="0" applyFont="1" applyFill="1" applyAlignment="1">
      <alignment vertical="center" wrapText="1"/>
    </xf>
    <xf numFmtId="43" fontId="174" fillId="0" borderId="0" xfId="3" applyFont="1" applyFill="1" applyBorder="1" applyAlignment="1" applyProtection="1">
      <alignment vertical="center"/>
    </xf>
    <xf numFmtId="43" fontId="134" fillId="0" borderId="36" xfId="3" applyFont="1" applyFill="1" applyBorder="1" applyAlignment="1" applyProtection="1">
      <alignment horizontal="right" vertical="center" wrapText="1" shrinkToFit="1"/>
    </xf>
    <xf numFmtId="43" fontId="134" fillId="0" borderId="37" xfId="3" applyFont="1" applyFill="1" applyBorder="1" applyAlignment="1" applyProtection="1">
      <alignment horizontal="center" vertical="center" wrapText="1" shrinkToFit="1"/>
    </xf>
    <xf numFmtId="43" fontId="134" fillId="0" borderId="39" xfId="3" applyFont="1" applyFill="1" applyBorder="1" applyAlignment="1" applyProtection="1">
      <alignment horizontal="right" vertical="center" wrapText="1" shrinkToFit="1"/>
    </xf>
    <xf numFmtId="43" fontId="175" fillId="0" borderId="0" xfId="3" applyFont="1" applyFill="1" applyBorder="1" applyAlignment="1" applyProtection="1">
      <alignment horizontal="center" vertical="center" wrapText="1"/>
    </xf>
    <xf numFmtId="43" fontId="175" fillId="0" borderId="8" xfId="3" applyFont="1" applyFill="1" applyBorder="1" applyAlignment="1" applyProtection="1">
      <alignment horizontal="center" vertical="center" wrapText="1"/>
    </xf>
    <xf numFmtId="43" fontId="175" fillId="0" borderId="33" xfId="3" applyFont="1" applyFill="1" applyBorder="1" applyAlignment="1" applyProtection="1">
      <alignment horizontal="right" vertical="center" wrapText="1"/>
    </xf>
    <xf numFmtId="0" fontId="117" fillId="0" borderId="0" xfId="20" applyFont="1" applyAlignment="1">
      <alignment vertical="center"/>
    </xf>
    <xf numFmtId="172" fontId="176" fillId="0" borderId="0" xfId="3" applyNumberFormat="1" applyFont="1" applyFill="1" applyAlignment="1">
      <alignment vertical="center"/>
    </xf>
    <xf numFmtId="171" fontId="174" fillId="0" borderId="0" xfId="3" applyNumberFormat="1" applyFont="1" applyFill="1" applyBorder="1" applyAlignment="1" applyProtection="1">
      <alignment vertical="center"/>
    </xf>
    <xf numFmtId="171" fontId="175" fillId="0" borderId="8" xfId="3" applyNumberFormat="1" applyFont="1" applyFill="1" applyBorder="1" applyAlignment="1" applyProtection="1">
      <alignment horizontal="center" vertical="center" wrapText="1"/>
    </xf>
    <xf numFmtId="171" fontId="134" fillId="0" borderId="36" xfId="3" applyNumberFormat="1" applyFont="1" applyFill="1" applyBorder="1" applyAlignment="1" applyProtection="1">
      <alignment horizontal="right" vertical="center" wrapText="1" shrinkToFit="1"/>
    </xf>
    <xf numFmtId="171" fontId="134" fillId="0" borderId="37" xfId="3" applyNumberFormat="1" applyFont="1" applyFill="1" applyBorder="1" applyAlignment="1" applyProtection="1">
      <alignment horizontal="right" vertical="center" wrapText="1" shrinkToFit="1"/>
    </xf>
    <xf numFmtId="171" fontId="134" fillId="0" borderId="37" xfId="3" applyNumberFormat="1" applyFont="1" applyFill="1" applyBorder="1" applyAlignment="1" applyProtection="1">
      <alignment horizontal="center" vertical="center" wrapText="1" shrinkToFit="1"/>
    </xf>
    <xf numFmtId="171" fontId="134" fillId="0" borderId="39" xfId="3" applyNumberFormat="1" applyFont="1" applyFill="1" applyBorder="1" applyAlignment="1" applyProtection="1">
      <alignment horizontal="right" vertical="center" wrapText="1" shrinkToFit="1"/>
    </xf>
    <xf numFmtId="171" fontId="175" fillId="0" borderId="33" xfId="3" applyNumberFormat="1" applyFont="1" applyFill="1" applyBorder="1" applyAlignment="1" applyProtection="1">
      <alignment horizontal="right" vertical="center" wrapText="1"/>
    </xf>
    <xf numFmtId="171" fontId="175" fillId="0" borderId="0" xfId="3" applyNumberFormat="1" applyFont="1" applyFill="1" applyBorder="1" applyAlignment="1" applyProtection="1">
      <alignment horizontal="center" vertical="center" wrapText="1"/>
    </xf>
    <xf numFmtId="171" fontId="117" fillId="0" borderId="0" xfId="20" applyNumberFormat="1" applyFont="1" applyAlignment="1">
      <alignment vertical="center"/>
    </xf>
    <xf numFmtId="171" fontId="132" fillId="0" borderId="0" xfId="0" applyNumberFormat="1" applyFont="1" applyAlignment="1">
      <alignment vertical="center" wrapText="1"/>
    </xf>
    <xf numFmtId="171" fontId="176" fillId="0" borderId="0" xfId="3" applyNumberFormat="1" applyFont="1" applyFill="1" applyAlignment="1">
      <alignment vertical="center"/>
    </xf>
    <xf numFmtId="170" fontId="175" fillId="0" borderId="33" xfId="3" applyNumberFormat="1" applyFont="1" applyFill="1" applyBorder="1" applyAlignment="1" applyProtection="1">
      <alignment horizontal="right" vertical="center" wrapText="1"/>
    </xf>
    <xf numFmtId="43" fontId="175" fillId="0" borderId="0" xfId="3" applyFont="1" applyFill="1" applyBorder="1" applyAlignment="1" applyProtection="1">
      <alignment horizontal="right" vertical="center" wrapText="1"/>
    </xf>
    <xf numFmtId="171" fontId="175" fillId="0" borderId="0" xfId="3" applyNumberFormat="1" applyFont="1" applyFill="1" applyBorder="1" applyAlignment="1" applyProtection="1">
      <alignment horizontal="right" vertical="center" wrapText="1"/>
    </xf>
    <xf numFmtId="43" fontId="88" fillId="5" borderId="0" xfId="3" applyFont="1" applyFill="1" applyBorder="1" applyAlignment="1" applyProtection="1">
      <alignment vertical="center"/>
    </xf>
    <xf numFmtId="43" fontId="87" fillId="5" borderId="47" xfId="3" applyFont="1" applyFill="1" applyBorder="1" applyAlignment="1" applyProtection="1">
      <alignment horizontal="center" vertical="center" wrapText="1"/>
    </xf>
    <xf numFmtId="43" fontId="72" fillId="5" borderId="36" xfId="3" applyFont="1" applyFill="1" applyBorder="1" applyAlignment="1" applyProtection="1">
      <alignment horizontal="right" vertical="center" wrapText="1" shrinkToFit="1"/>
    </xf>
    <xf numFmtId="43" fontId="72" fillId="5" borderId="37" xfId="3" applyFont="1" applyFill="1" applyBorder="1" applyAlignment="1" applyProtection="1">
      <alignment horizontal="right" vertical="center" wrapText="1" shrinkToFit="1"/>
    </xf>
    <xf numFmtId="43" fontId="134" fillId="5" borderId="37" xfId="3" applyFont="1" applyFill="1" applyBorder="1" applyAlignment="1" applyProtection="1">
      <alignment horizontal="right" vertical="center" wrapText="1" shrinkToFit="1"/>
    </xf>
    <xf numFmtId="43" fontId="72" fillId="5" borderId="37" xfId="3" applyFont="1" applyFill="1" applyBorder="1" applyAlignment="1" applyProtection="1">
      <alignment horizontal="center" vertical="center" wrapText="1" shrinkToFit="1"/>
    </xf>
    <xf numFmtId="43" fontId="72" fillId="5" borderId="39" xfId="3" applyFont="1" applyFill="1" applyBorder="1" applyAlignment="1" applyProtection="1">
      <alignment horizontal="right" vertical="center" wrapText="1" shrinkToFit="1"/>
    </xf>
    <xf numFmtId="166" fontId="87" fillId="5" borderId="33" xfId="3" applyNumberFormat="1" applyFont="1" applyFill="1" applyBorder="1" applyAlignment="1" applyProtection="1">
      <alignment horizontal="right" vertical="center" wrapText="1"/>
    </xf>
    <xf numFmtId="43" fontId="87" fillId="5" borderId="0" xfId="3" applyFont="1" applyFill="1" applyBorder="1" applyAlignment="1" applyProtection="1">
      <alignment horizontal="center" vertical="center" wrapText="1"/>
    </xf>
    <xf numFmtId="43" fontId="175" fillId="0" borderId="38" xfId="3" applyFont="1" applyFill="1" applyBorder="1" applyAlignment="1" applyProtection="1">
      <alignment horizontal="center" vertical="center" wrapText="1"/>
    </xf>
    <xf numFmtId="43" fontId="175" fillId="0" borderId="52" xfId="3" applyFont="1" applyFill="1" applyBorder="1" applyAlignment="1" applyProtection="1">
      <alignment horizontal="center" vertical="center" wrapText="1"/>
    </xf>
    <xf numFmtId="167" fontId="71" fillId="6" borderId="0" xfId="3" applyNumberFormat="1" applyFont="1" applyFill="1"/>
    <xf numFmtId="167" fontId="2" fillId="6" borderId="11" xfId="3" applyNumberFormat="1" applyFont="1" applyFill="1" applyBorder="1" applyAlignment="1">
      <alignment horizontal="center" vertical="center" wrapText="1"/>
    </xf>
    <xf numFmtId="167" fontId="3" fillId="6" borderId="11" xfId="3" applyNumberFormat="1" applyFont="1" applyFill="1" applyBorder="1" applyAlignment="1">
      <alignment horizontal="center" vertical="center" wrapText="1"/>
    </xf>
    <xf numFmtId="167" fontId="132" fillId="6" borderId="11" xfId="3" applyNumberFormat="1" applyFont="1" applyFill="1" applyBorder="1" applyAlignment="1">
      <alignment horizontal="center" vertical="center" wrapText="1"/>
    </xf>
    <xf numFmtId="167" fontId="6" fillId="6" borderId="12" xfId="3" applyNumberFormat="1" applyFont="1" applyFill="1" applyBorder="1" applyAlignment="1">
      <alignment horizontal="center" vertical="center" wrapText="1"/>
    </xf>
    <xf numFmtId="167" fontId="6" fillId="6" borderId="0" xfId="3" applyNumberFormat="1" applyFont="1" applyFill="1" applyBorder="1" applyAlignment="1">
      <alignment horizontal="center" vertical="center" wrapText="1"/>
    </xf>
    <xf numFmtId="167" fontId="2" fillId="6" borderId="0" xfId="3" applyNumberFormat="1" applyFont="1" applyFill="1" applyAlignment="1"/>
    <xf numFmtId="167" fontId="124" fillId="6" borderId="0" xfId="3" applyNumberFormat="1" applyFont="1" applyFill="1"/>
    <xf numFmtId="169" fontId="2" fillId="6" borderId="24" xfId="3" applyNumberFormat="1" applyFont="1" applyFill="1" applyBorder="1" applyAlignment="1">
      <alignment horizontal="center" vertical="center" wrapText="1"/>
    </xf>
    <xf numFmtId="169" fontId="132" fillId="6" borderId="11" xfId="3" applyNumberFormat="1" applyFont="1" applyFill="1" applyBorder="1" applyAlignment="1">
      <alignment horizontal="center" vertical="center" wrapText="1"/>
    </xf>
    <xf numFmtId="167" fontId="71" fillId="6" borderId="0" xfId="0" applyNumberFormat="1" applyFont="1" applyFill="1"/>
    <xf numFmtId="170" fontId="71" fillId="6" borderId="0" xfId="0" applyNumberFormat="1" applyFont="1" applyFill="1"/>
    <xf numFmtId="167" fontId="75" fillId="6" borderId="0" xfId="0" applyNumberFormat="1" applyFont="1" applyFill="1"/>
    <xf numFmtId="0" fontId="0" fillId="6" borderId="0" xfId="0" applyFill="1" applyAlignment="1">
      <alignment wrapText="1"/>
    </xf>
    <xf numFmtId="0" fontId="43" fillId="6" borderId="11" xfId="0" applyFont="1" applyFill="1" applyBorder="1" applyAlignment="1">
      <alignment vertical="center" wrapText="1"/>
    </xf>
    <xf numFmtId="0" fontId="178" fillId="0" borderId="0" xfId="0" applyFont="1" applyAlignment="1">
      <alignment horizontal="center" vertical="top" readingOrder="1"/>
    </xf>
    <xf numFmtId="185" fontId="47" fillId="0" borderId="49" xfId="0" applyNumberFormat="1" applyFont="1" applyBorder="1" applyAlignment="1">
      <alignment horizontal="right" vertical="center" wrapText="1" readingOrder="1"/>
    </xf>
    <xf numFmtId="0" fontId="4" fillId="0" borderId="49" xfId="0" applyFont="1" applyBorder="1" applyAlignment="1">
      <alignment horizontal="left" vertical="center" wrapText="1" readingOrder="1"/>
    </xf>
    <xf numFmtId="185" fontId="4" fillId="0" borderId="49" xfId="0" applyNumberFormat="1" applyFont="1" applyBorder="1" applyAlignment="1">
      <alignment horizontal="right" vertical="center" wrapText="1" readingOrder="1"/>
    </xf>
    <xf numFmtId="0" fontId="144" fillId="0" borderId="49" xfId="0" applyFont="1" applyBorder="1" applyAlignment="1">
      <alignment horizontal="left" vertical="top" wrapText="1" readingOrder="1"/>
    </xf>
    <xf numFmtId="0" fontId="144" fillId="0" borderId="50" xfId="0" applyFont="1" applyBorder="1" applyAlignment="1">
      <alignment horizontal="left" vertical="top" wrapText="1" readingOrder="1"/>
    </xf>
    <xf numFmtId="0" fontId="4" fillId="0" borderId="50" xfId="0" applyFont="1" applyBorder="1" applyAlignment="1">
      <alignment horizontal="left" vertical="center" wrapText="1" readingOrder="1"/>
    </xf>
    <xf numFmtId="185" fontId="4" fillId="0" borderId="50" xfId="0" applyNumberFormat="1" applyFont="1" applyBorder="1" applyAlignment="1">
      <alignment horizontal="right" vertical="center" wrapText="1" readingOrder="1"/>
    </xf>
    <xf numFmtId="0" fontId="143" fillId="0" borderId="0" xfId="0" applyFont="1" applyAlignment="1">
      <alignment horizontal="center" vertical="top" wrapText="1" readingOrder="1"/>
    </xf>
    <xf numFmtId="0" fontId="86" fillId="0" borderId="0" xfId="0" applyFont="1" applyAlignment="1">
      <alignment vertical="center"/>
    </xf>
    <xf numFmtId="166" fontId="6" fillId="0" borderId="0" xfId="3" applyNumberFormat="1" applyFont="1" applyFill="1" applyAlignment="1">
      <alignment vertical="center"/>
    </xf>
    <xf numFmtId="166" fontId="143" fillId="0" borderId="0" xfId="3" applyNumberFormat="1" applyFont="1" applyAlignment="1">
      <alignment wrapText="1"/>
    </xf>
    <xf numFmtId="166" fontId="86" fillId="0" borderId="0" xfId="3" applyNumberFormat="1" applyFont="1" applyFill="1" applyAlignment="1">
      <alignment vertical="center"/>
    </xf>
    <xf numFmtId="173" fontId="143" fillId="0" borderId="0" xfId="3" applyNumberFormat="1" applyFont="1" applyAlignment="1">
      <alignment wrapText="1"/>
    </xf>
    <xf numFmtId="185" fontId="173" fillId="6" borderId="49" xfId="0" applyNumberFormat="1" applyFont="1" applyFill="1" applyBorder="1" applyAlignment="1">
      <alignment horizontal="right" vertical="center" wrapText="1" readingOrder="1"/>
    </xf>
    <xf numFmtId="0" fontId="110" fillId="6" borderId="0" xfId="0" applyFont="1" applyFill="1" applyAlignment="1">
      <alignment horizontal="center" vertical="top" readingOrder="1"/>
    </xf>
    <xf numFmtId="166" fontId="115" fillId="6" borderId="0" xfId="3" applyNumberFormat="1" applyFont="1" applyFill="1" applyAlignment="1">
      <alignment wrapText="1"/>
    </xf>
    <xf numFmtId="0" fontId="115" fillId="6" borderId="0" xfId="0" applyFont="1" applyFill="1" applyAlignment="1">
      <alignment wrapText="1"/>
    </xf>
    <xf numFmtId="0" fontId="143" fillId="0" borderId="58" xfId="0" applyFont="1" applyBorder="1" applyAlignment="1">
      <alignment wrapText="1"/>
    </xf>
    <xf numFmtId="0" fontId="100" fillId="0" borderId="58" xfId="0" applyFont="1" applyBorder="1" applyAlignment="1">
      <alignment horizontal="center" vertical="center" wrapText="1" readingOrder="1"/>
    </xf>
    <xf numFmtId="0" fontId="143" fillId="0" borderId="49" xfId="0" applyFont="1" applyBorder="1" applyAlignment="1">
      <alignment wrapText="1"/>
    </xf>
    <xf numFmtId="0" fontId="115" fillId="6" borderId="49" xfId="0" applyFont="1" applyFill="1" applyBorder="1" applyAlignment="1">
      <alignment wrapText="1"/>
    </xf>
    <xf numFmtId="0" fontId="6" fillId="0" borderId="49" xfId="0" applyFont="1" applyBorder="1" applyAlignment="1">
      <alignment vertical="center"/>
    </xf>
    <xf numFmtId="0" fontId="6" fillId="0" borderId="50" xfId="0" applyFont="1" applyBorder="1" applyAlignment="1">
      <alignment vertical="center"/>
    </xf>
    <xf numFmtId="0" fontId="73" fillId="6" borderId="0" xfId="0" applyFont="1" applyFill="1" applyAlignment="1">
      <alignment wrapText="1"/>
    </xf>
    <xf numFmtId="0" fontId="63" fillId="0" borderId="49" xfId="0" applyFont="1" applyBorder="1" applyAlignment="1">
      <alignment horizontal="left" vertical="center" wrapText="1" readingOrder="1"/>
    </xf>
    <xf numFmtId="185" fontId="76" fillId="0" borderId="58" xfId="0" applyNumberFormat="1" applyFont="1" applyBorder="1" applyAlignment="1">
      <alignment horizontal="right" vertical="center" wrapText="1" readingOrder="1"/>
    </xf>
    <xf numFmtId="186" fontId="131" fillId="0" borderId="49" xfId="0" applyNumberFormat="1" applyFont="1" applyBorder="1" applyAlignment="1">
      <alignment horizontal="center" vertical="center" wrapText="1" readingOrder="1"/>
    </xf>
    <xf numFmtId="185" fontId="131" fillId="0" borderId="49" xfId="0" applyNumberFormat="1" applyFont="1" applyBorder="1" applyAlignment="1">
      <alignment horizontal="right" vertical="center" wrapText="1" readingOrder="1"/>
    </xf>
    <xf numFmtId="185" fontId="76" fillId="0" borderId="49" xfId="0" applyNumberFormat="1" applyFont="1" applyBorder="1" applyAlignment="1">
      <alignment horizontal="right" vertical="center" wrapText="1" readingOrder="1"/>
    </xf>
    <xf numFmtId="185" fontId="63" fillId="0" borderId="49" xfId="0" applyNumberFormat="1" applyFont="1" applyBorder="1" applyAlignment="1">
      <alignment horizontal="right" vertical="center" wrapText="1" readingOrder="1"/>
    </xf>
    <xf numFmtId="0" fontId="63" fillId="6" borderId="49" xfId="0" applyFont="1" applyFill="1" applyBorder="1" applyAlignment="1">
      <alignment horizontal="left" vertical="center" wrapText="1" readingOrder="1"/>
    </xf>
    <xf numFmtId="185" fontId="131" fillId="6" borderId="49" xfId="0" applyNumberFormat="1" applyFont="1" applyFill="1" applyBorder="1" applyAlignment="1">
      <alignment horizontal="right" vertical="center" wrapText="1" readingOrder="1"/>
    </xf>
    <xf numFmtId="186" fontId="131" fillId="0" borderId="50" xfId="0" applyNumberFormat="1" applyFont="1" applyBorder="1" applyAlignment="1">
      <alignment horizontal="center" vertical="center" wrapText="1" readingOrder="1"/>
    </xf>
    <xf numFmtId="0" fontId="63" fillId="6" borderId="50" xfId="0" applyFont="1" applyFill="1" applyBorder="1" applyAlignment="1">
      <alignment horizontal="left" vertical="center" wrapText="1" readingOrder="1"/>
    </xf>
    <xf numFmtId="185" fontId="131" fillId="6" borderId="50" xfId="0" applyNumberFormat="1" applyFont="1" applyFill="1" applyBorder="1" applyAlignment="1">
      <alignment horizontal="right" vertical="center" wrapText="1" readingOrder="1"/>
    </xf>
    <xf numFmtId="185" fontId="131" fillId="0" borderId="50" xfId="0" applyNumberFormat="1" applyFont="1" applyBorder="1" applyAlignment="1">
      <alignment horizontal="right" vertical="center" wrapText="1" readingOrder="1"/>
    </xf>
    <xf numFmtId="185" fontId="76" fillId="0" borderId="50" xfId="0" applyNumberFormat="1" applyFont="1" applyBorder="1" applyAlignment="1">
      <alignment horizontal="right" vertical="center" wrapText="1" readingOrder="1"/>
    </xf>
    <xf numFmtId="0" fontId="6" fillId="6" borderId="11" xfId="0" applyFont="1" applyFill="1" applyBorder="1" applyAlignment="1">
      <alignment horizontal="left" vertical="center" wrapText="1"/>
    </xf>
    <xf numFmtId="43" fontId="174" fillId="5" borderId="0" xfId="3" applyFont="1" applyFill="1" applyBorder="1" applyAlignment="1" applyProtection="1">
      <alignment vertical="center"/>
    </xf>
    <xf numFmtId="43" fontId="175" fillId="5" borderId="16" xfId="3" applyFont="1" applyFill="1" applyBorder="1" applyAlignment="1" applyProtection="1">
      <alignment horizontal="center" vertical="center" wrapText="1"/>
    </xf>
    <xf numFmtId="43" fontId="87" fillId="5" borderId="16" xfId="3" applyFont="1" applyFill="1" applyBorder="1" applyAlignment="1" applyProtection="1">
      <alignment horizontal="center" vertical="center" wrapText="1"/>
    </xf>
    <xf numFmtId="43" fontId="134" fillId="5" borderId="36" xfId="3" applyFont="1" applyFill="1" applyBorder="1" applyAlignment="1" applyProtection="1">
      <alignment horizontal="right" vertical="center" wrapText="1" shrinkToFit="1"/>
    </xf>
    <xf numFmtId="43" fontId="134" fillId="5" borderId="37" xfId="3" applyFont="1" applyFill="1" applyBorder="1" applyAlignment="1" applyProtection="1">
      <alignment horizontal="center" vertical="center" wrapText="1" shrinkToFit="1"/>
    </xf>
    <xf numFmtId="43" fontId="134" fillId="5" borderId="39" xfId="3" applyFont="1" applyFill="1" applyBorder="1" applyAlignment="1" applyProtection="1">
      <alignment horizontal="right" vertical="center" wrapText="1" shrinkToFit="1"/>
    </xf>
    <xf numFmtId="166" fontId="175" fillId="5" borderId="33" xfId="3" applyNumberFormat="1" applyFont="1" applyFill="1" applyBorder="1" applyAlignment="1" applyProtection="1">
      <alignment horizontal="right" vertical="center" wrapText="1"/>
    </xf>
    <xf numFmtId="43" fontId="175" fillId="5" borderId="0" xfId="3" applyFont="1" applyFill="1" applyBorder="1" applyAlignment="1" applyProtection="1">
      <alignment horizontal="center" vertical="center" wrapText="1"/>
    </xf>
    <xf numFmtId="0" fontId="22" fillId="0" borderId="0" xfId="0" applyFont="1"/>
    <xf numFmtId="0" fontId="18" fillId="0" borderId="0" xfId="0" applyFont="1" applyAlignment="1">
      <alignment horizontal="centerContinuous" vertical="center" wrapText="1"/>
    </xf>
    <xf numFmtId="0" fontId="17" fillId="0" borderId="0" xfId="24" applyFont="1" applyAlignment="1">
      <alignment horizontal="right" vertical="center"/>
    </xf>
    <xf numFmtId="0" fontId="29" fillId="0" borderId="3" xfId="0" applyFont="1" applyBorder="1" applyAlignment="1">
      <alignment horizontal="center" vertical="center" wrapText="1"/>
    </xf>
    <xf numFmtId="0" fontId="29" fillId="0" borderId="3" xfId="24" applyFont="1" applyBorder="1" applyAlignment="1">
      <alignment horizontal="center" vertical="center" wrapText="1"/>
    </xf>
    <xf numFmtId="0" fontId="25" fillId="0" borderId="0" xfId="0" applyFont="1"/>
    <xf numFmtId="0" fontId="71" fillId="0" borderId="4" xfId="0" applyFont="1" applyBorder="1" applyAlignment="1">
      <alignment horizontal="center" vertical="center" wrapText="1"/>
    </xf>
    <xf numFmtId="0" fontId="71" fillId="0" borderId="4" xfId="0" applyFont="1" applyBorder="1" applyAlignment="1">
      <alignment vertical="center" wrapText="1"/>
    </xf>
    <xf numFmtId="0" fontId="35" fillId="0" borderId="4" xfId="0" applyFont="1" applyBorder="1" applyAlignment="1">
      <alignment vertical="center" wrapText="1"/>
    </xf>
    <xf numFmtId="3" fontId="71" fillId="0" borderId="4" xfId="0" applyNumberFormat="1" applyFont="1" applyBorder="1" applyAlignment="1">
      <alignment vertical="center" wrapText="1"/>
    </xf>
    <xf numFmtId="3" fontId="71" fillId="0" borderId="0" xfId="0" applyNumberFormat="1" applyFont="1"/>
    <xf numFmtId="0" fontId="71" fillId="0" borderId="0" xfId="0" applyFont="1"/>
    <xf numFmtId="0" fontId="73" fillId="0" borderId="5" xfId="0" applyFont="1" applyBorder="1" applyAlignment="1">
      <alignment horizontal="center" vertical="center" wrapText="1"/>
    </xf>
    <xf numFmtId="0" fontId="73" fillId="0" borderId="5" xfId="0" applyFont="1" applyBorder="1" applyAlignment="1">
      <alignment vertical="center" wrapText="1"/>
    </xf>
    <xf numFmtId="0" fontId="36" fillId="0" borderId="5" xfId="0" applyFont="1" applyBorder="1" applyAlignment="1">
      <alignment vertical="center" wrapText="1"/>
    </xf>
    <xf numFmtId="3" fontId="73" fillId="0" borderId="5" xfId="0" applyNumberFormat="1" applyFont="1" applyBorder="1" applyAlignment="1">
      <alignment vertical="center" wrapText="1"/>
    </xf>
    <xf numFmtId="3" fontId="73" fillId="0" borderId="0" xfId="0" applyNumberFormat="1" applyFont="1"/>
    <xf numFmtId="0" fontId="73" fillId="0" borderId="0" xfId="0" applyFont="1"/>
    <xf numFmtId="0" fontId="71" fillId="0" borderId="5" xfId="0" applyFont="1" applyBorder="1" applyAlignment="1">
      <alignment horizontal="center" vertical="center" wrapText="1"/>
    </xf>
    <xf numFmtId="0" fontId="71" fillId="0" borderId="5" xfId="0" applyFont="1" applyBorder="1" applyAlignment="1">
      <alignment vertical="center" wrapText="1"/>
    </xf>
    <xf numFmtId="3" fontId="71" fillId="0" borderId="5" xfId="0" applyNumberFormat="1" applyFont="1" applyBorder="1" applyAlignment="1">
      <alignment vertical="center" wrapText="1"/>
    </xf>
    <xf numFmtId="0" fontId="29" fillId="0" borderId="5" xfId="0" applyFont="1" applyBorder="1" applyAlignment="1">
      <alignment horizontal="center" vertical="center" wrapText="1"/>
    </xf>
    <xf numFmtId="0" fontId="29" fillId="0" borderId="5" xfId="0" applyFont="1" applyBorder="1" applyAlignment="1">
      <alignment horizontal="left" vertical="center" wrapText="1"/>
    </xf>
    <xf numFmtId="3" fontId="29" fillId="0" borderId="5" xfId="0" applyNumberFormat="1" applyFont="1" applyBorder="1" applyAlignment="1">
      <alignment vertical="center" wrapText="1"/>
    </xf>
    <xf numFmtId="3" fontId="25" fillId="0" borderId="0" xfId="0" applyNumberFormat="1" applyFont="1"/>
    <xf numFmtId="0" fontId="29" fillId="0" borderId="0" xfId="0" applyFont="1"/>
    <xf numFmtId="0" fontId="71" fillId="0" borderId="5" xfId="0" applyFont="1" applyBorder="1" applyAlignment="1">
      <alignment horizontal="left" vertical="center" wrapText="1"/>
    </xf>
    <xf numFmtId="195" fontId="71" fillId="0" borderId="5" xfId="3" applyNumberFormat="1" applyFont="1" applyBorder="1" applyAlignment="1">
      <alignment vertical="center" wrapText="1"/>
    </xf>
    <xf numFmtId="164" fontId="71" fillId="0" borderId="5" xfId="3" applyNumberFormat="1" applyFont="1" applyBorder="1" applyAlignment="1">
      <alignment vertical="center" wrapText="1"/>
    </xf>
    <xf numFmtId="0" fontId="79" fillId="0" borderId="5" xfId="0" applyFont="1" applyBorder="1" applyAlignment="1">
      <alignment vertical="center" wrapText="1"/>
    </xf>
    <xf numFmtId="164" fontId="79" fillId="3" borderId="5" xfId="3" applyNumberFormat="1" applyFont="1" applyFill="1" applyBorder="1" applyAlignment="1">
      <alignment horizontal="center" vertical="center" wrapText="1"/>
    </xf>
    <xf numFmtId="0" fontId="79" fillId="0" borderId="0" xfId="0" applyFont="1" applyAlignment="1">
      <alignment horizontal="center"/>
    </xf>
    <xf numFmtId="49" fontId="79" fillId="0" borderId="5" xfId="0" applyNumberFormat="1" applyFont="1" applyBorder="1" applyAlignment="1">
      <alignment vertical="center" wrapText="1"/>
    </xf>
    <xf numFmtId="164" fontId="79" fillId="3" borderId="5" xfId="3" applyNumberFormat="1" applyFont="1" applyFill="1" applyBorder="1" applyAlignment="1">
      <alignment horizontal="left" vertical="center" wrapText="1"/>
    </xf>
    <xf numFmtId="0" fontId="79" fillId="0" borderId="0" xfId="0" applyFont="1"/>
    <xf numFmtId="0" fontId="79" fillId="0" borderId="5" xfId="0" applyFont="1" applyBorder="1" applyAlignment="1">
      <alignment horizontal="left" vertical="center" wrapText="1"/>
    </xf>
    <xf numFmtId="166" fontId="79" fillId="3" borderId="5" xfId="3" applyNumberFormat="1" applyFont="1" applyFill="1" applyBorder="1" applyAlignment="1">
      <alignment horizontal="left" vertical="center" wrapText="1"/>
    </xf>
    <xf numFmtId="49" fontId="79" fillId="0" borderId="5" xfId="0" applyNumberFormat="1" applyFont="1" applyBorder="1" applyAlignment="1">
      <alignment horizontal="center" vertical="center" wrapText="1"/>
    </xf>
    <xf numFmtId="166" fontId="6" fillId="6" borderId="11" xfId="3" applyNumberFormat="1" applyFont="1" applyFill="1" applyBorder="1" applyAlignment="1">
      <alignment horizontal="left" vertical="center" wrapText="1" shrinkToFit="1"/>
    </xf>
    <xf numFmtId="49" fontId="79" fillId="0" borderId="6" xfId="0" applyNumberFormat="1" applyFont="1" applyBorder="1" applyAlignment="1">
      <alignment horizontal="center" vertical="center" wrapText="1"/>
    </xf>
    <xf numFmtId="49" fontId="79" fillId="3" borderId="6" xfId="0" applyNumberFormat="1" applyFont="1" applyFill="1" applyBorder="1" applyAlignment="1">
      <alignment vertical="center" wrapText="1"/>
    </xf>
    <xf numFmtId="0" fontId="79" fillId="3" borderId="6" xfId="0" applyFont="1" applyFill="1" applyBorder="1" applyAlignment="1">
      <alignment horizontal="left" vertical="center" wrapText="1"/>
    </xf>
    <xf numFmtId="166" fontId="79" fillId="3" borderId="6" xfId="3" applyNumberFormat="1" applyFont="1" applyFill="1" applyBorder="1" applyAlignment="1">
      <alignment horizontal="left" vertical="center" wrapText="1"/>
    </xf>
    <xf numFmtId="0" fontId="29" fillId="0" borderId="4" xfId="0" applyFont="1" applyBorder="1" applyAlignment="1">
      <alignment horizontal="center" vertical="center" wrapText="1"/>
    </xf>
    <xf numFmtId="0" fontId="181" fillId="0" borderId="4" xfId="0" applyFont="1" applyBorder="1" applyAlignment="1">
      <alignment horizontal="left" vertical="center" wrapText="1"/>
    </xf>
    <xf numFmtId="3" fontId="47" fillId="0" borderId="4" xfId="0" applyNumberFormat="1" applyFont="1" applyBorder="1" applyAlignment="1">
      <alignment horizontal="right" vertical="center" wrapText="1"/>
    </xf>
    <xf numFmtId="0" fontId="25" fillId="0" borderId="15" xfId="0" applyFont="1" applyBorder="1" applyAlignment="1">
      <alignment horizontal="center" vertical="center" wrapText="1"/>
    </xf>
    <xf numFmtId="0" fontId="182" fillId="0" borderId="15" xfId="0" applyFont="1" applyBorder="1" applyAlignment="1">
      <alignment horizontal="left" vertical="center" wrapText="1"/>
    </xf>
    <xf numFmtId="3" fontId="4" fillId="0" borderId="15" xfId="0" applyNumberFormat="1" applyFont="1" applyBorder="1" applyAlignment="1">
      <alignment horizontal="right" vertical="center" wrapText="1"/>
    </xf>
    <xf numFmtId="0" fontId="25" fillId="0" borderId="6" xfId="0" applyFont="1" applyBorder="1" applyAlignment="1">
      <alignment horizontal="center" vertical="center" wrapText="1"/>
    </xf>
    <xf numFmtId="0" fontId="182" fillId="0" borderId="6" xfId="0" applyFont="1" applyBorder="1" applyAlignment="1">
      <alignment horizontal="left" vertical="center" wrapText="1"/>
    </xf>
    <xf numFmtId="3" fontId="4" fillId="0" borderId="6" xfId="0" applyNumberFormat="1" applyFont="1" applyBorder="1" applyAlignment="1">
      <alignment horizontal="right" vertical="center" wrapText="1"/>
    </xf>
    <xf numFmtId="3" fontId="13" fillId="0" borderId="0" xfId="0" applyNumberFormat="1" applyFont="1"/>
    <xf numFmtId="3" fontId="22" fillId="0" borderId="0" xfId="0" applyNumberFormat="1" applyFont="1"/>
    <xf numFmtId="3" fontId="29" fillId="0" borderId="0" xfId="0" applyNumberFormat="1" applyFont="1"/>
    <xf numFmtId="0" fontId="25" fillId="0" borderId="0" xfId="0" applyFont="1" applyAlignment="1">
      <alignment horizontal="center"/>
    </xf>
    <xf numFmtId="3" fontId="25" fillId="0" borderId="0" xfId="0" applyNumberFormat="1" applyFont="1" applyAlignment="1">
      <alignment horizontal="center"/>
    </xf>
    <xf numFmtId="0" fontId="71" fillId="6" borderId="0" xfId="0" applyFont="1" applyFill="1" applyAlignment="1">
      <alignment horizontal="left" vertical="center" wrapText="1"/>
    </xf>
    <xf numFmtId="14" fontId="71" fillId="6" borderId="0" xfId="0" applyNumberFormat="1" applyFont="1" applyFill="1" applyAlignment="1">
      <alignment horizontal="center" vertical="center" wrapText="1"/>
    </xf>
    <xf numFmtId="0" fontId="71" fillId="6" borderId="0" xfId="0" applyFont="1" applyFill="1" applyAlignment="1">
      <alignment horizontal="center" vertical="center" wrapText="1"/>
    </xf>
    <xf numFmtId="3" fontId="71" fillId="6" borderId="0" xfId="0" applyNumberFormat="1" applyFont="1" applyFill="1" applyAlignment="1">
      <alignment horizontal="right" vertical="center" wrapText="1"/>
    </xf>
    <xf numFmtId="0" fontId="71" fillId="6" borderId="0" xfId="0" applyFont="1" applyFill="1" applyAlignment="1">
      <alignment vertical="center" wrapText="1"/>
    </xf>
    <xf numFmtId="0" fontId="71" fillId="6" borderId="0" xfId="0" applyFont="1" applyFill="1" applyAlignment="1">
      <alignment horizontal="right" vertical="center" wrapText="1"/>
    </xf>
    <xf numFmtId="43" fontId="22" fillId="0" borderId="0" xfId="3" applyFont="1"/>
    <xf numFmtId="43" fontId="17" fillId="0" borderId="0" xfId="3" applyFont="1" applyFill="1" applyBorder="1" applyAlignment="1">
      <alignment horizontal="right" vertical="center"/>
    </xf>
    <xf numFmtId="43" fontId="29" fillId="0" borderId="3" xfId="3" applyFont="1" applyFill="1" applyBorder="1" applyAlignment="1">
      <alignment horizontal="center" vertical="center" wrapText="1"/>
    </xf>
    <xf numFmtId="43" fontId="22" fillId="0" borderId="0" xfId="3" applyFont="1" applyBorder="1"/>
    <xf numFmtId="0" fontId="106" fillId="0" borderId="0" xfId="0" applyFont="1"/>
    <xf numFmtId="0" fontId="71" fillId="6" borderId="0" xfId="0" applyFont="1" applyFill="1" applyAlignment="1">
      <alignment wrapText="1"/>
    </xf>
    <xf numFmtId="166" fontId="41" fillId="6" borderId="5" xfId="3" applyNumberFormat="1" applyFont="1" applyFill="1" applyBorder="1" applyAlignment="1">
      <alignment vertical="center" wrapText="1"/>
    </xf>
    <xf numFmtId="166" fontId="41" fillId="6" borderId="0" xfId="3" applyNumberFormat="1" applyFont="1" applyFill="1"/>
    <xf numFmtId="0" fontId="42" fillId="6" borderId="5" xfId="0" applyFont="1" applyFill="1" applyBorder="1" applyAlignment="1">
      <alignment horizontal="center" vertical="center" wrapText="1"/>
    </xf>
    <xf numFmtId="0" fontId="42" fillId="6" borderId="5" xfId="0" applyFont="1" applyFill="1" applyBorder="1" applyAlignment="1">
      <alignment vertical="center" wrapText="1"/>
    </xf>
    <xf numFmtId="0" fontId="41" fillId="6" borderId="5" xfId="0" applyFont="1" applyFill="1" applyBorder="1" applyAlignment="1">
      <alignment horizontal="center" vertical="center" wrapText="1"/>
    </xf>
    <xf numFmtId="0" fontId="41" fillId="6" borderId="5" xfId="0" applyFont="1" applyFill="1" applyBorder="1" applyAlignment="1">
      <alignment vertical="center" wrapText="1"/>
    </xf>
    <xf numFmtId="0" fontId="73" fillId="6" borderId="0" xfId="0" applyFont="1" applyFill="1" applyAlignment="1">
      <alignment vertical="center"/>
    </xf>
    <xf numFmtId="0" fontId="2" fillId="6" borderId="0" xfId="0" applyFont="1" applyFill="1" applyAlignment="1">
      <alignment horizontal="right"/>
    </xf>
    <xf numFmtId="0" fontId="3" fillId="6" borderId="0" xfId="0" applyFont="1" applyFill="1" applyAlignment="1">
      <alignment horizontal="right"/>
    </xf>
    <xf numFmtId="0" fontId="119" fillId="6" borderId="0" xfId="16" applyFont="1" applyFill="1" applyAlignment="1">
      <alignment horizontal="center"/>
    </xf>
    <xf numFmtId="0" fontId="120" fillId="6" borderId="0" xfId="16" applyFont="1" applyFill="1" applyAlignment="1">
      <alignment horizontal="center"/>
    </xf>
    <xf numFmtId="0" fontId="87" fillId="6" borderId="3" xfId="0" applyFont="1" applyFill="1" applyBorder="1" applyAlignment="1">
      <alignment horizontal="center" vertical="center" wrapText="1"/>
    </xf>
    <xf numFmtId="0" fontId="76" fillId="6" borderId="8" xfId="0" applyFont="1" applyFill="1" applyBorder="1" applyAlignment="1">
      <alignment horizontal="center" wrapText="1"/>
    </xf>
    <xf numFmtId="166" fontId="3" fillId="6" borderId="0" xfId="3" applyNumberFormat="1" applyFont="1" applyFill="1" applyAlignment="1">
      <alignment horizontal="center" vertical="center" wrapText="1"/>
    </xf>
    <xf numFmtId="166" fontId="41" fillId="6" borderId="3" xfId="3" applyNumberFormat="1" applyFont="1" applyFill="1" applyBorder="1" applyAlignment="1">
      <alignment horizontal="center" vertical="center" wrapText="1"/>
    </xf>
    <xf numFmtId="43" fontId="6" fillId="6" borderId="0" xfId="3" applyFont="1" applyFill="1"/>
    <xf numFmtId="166" fontId="79" fillId="0" borderId="0" xfId="0" applyNumberFormat="1" applyFont="1"/>
    <xf numFmtId="168" fontId="79" fillId="3" borderId="5" xfId="3" applyNumberFormat="1" applyFont="1" applyFill="1" applyBorder="1" applyAlignment="1">
      <alignment horizontal="left" vertical="center" wrapText="1"/>
    </xf>
    <xf numFmtId="14" fontId="41" fillId="6" borderId="3" xfId="0" applyNumberFormat="1" applyFont="1" applyFill="1" applyBorder="1" applyAlignment="1">
      <alignment horizontal="center" vertical="center" wrapText="1"/>
    </xf>
    <xf numFmtId="0" fontId="41" fillId="6" borderId="3" xfId="0" applyFont="1" applyFill="1" applyBorder="1" applyAlignment="1">
      <alignment horizontal="center" vertical="center" wrapText="1"/>
    </xf>
    <xf numFmtId="0" fontId="41" fillId="6" borderId="3" xfId="12" applyFont="1" applyFill="1" applyBorder="1" applyAlignment="1">
      <alignment horizontal="center" vertical="center" wrapText="1"/>
    </xf>
    <xf numFmtId="0" fontId="41" fillId="6" borderId="4" xfId="0" applyFont="1" applyFill="1" applyBorder="1" applyAlignment="1">
      <alignment horizontal="center" vertical="center" wrapText="1"/>
    </xf>
    <xf numFmtId="3" fontId="41" fillId="6" borderId="5" xfId="0" applyNumberFormat="1" applyFont="1" applyFill="1" applyBorder="1" applyAlignment="1">
      <alignment horizontal="right" vertical="center" wrapText="1"/>
    </xf>
    <xf numFmtId="3" fontId="42" fillId="6" borderId="5" xfId="12" quotePrefix="1" applyNumberFormat="1" applyFont="1" applyFill="1" applyBorder="1" applyAlignment="1">
      <alignment horizontal="right" vertical="center" wrapText="1"/>
    </xf>
    <xf numFmtId="0" fontId="42" fillId="6" borderId="5" xfId="0" quotePrefix="1" applyFont="1" applyFill="1" applyBorder="1" applyAlignment="1">
      <alignment horizontal="center" vertical="center" wrapText="1"/>
    </xf>
    <xf numFmtId="0" fontId="42" fillId="6" borderId="0" xfId="0" applyFont="1" applyFill="1" applyAlignment="1">
      <alignment vertical="center" wrapText="1"/>
    </xf>
    <xf numFmtId="3" fontId="42" fillId="6" borderId="5" xfId="0" applyNumberFormat="1" applyFont="1" applyFill="1" applyBorder="1" applyAlignment="1">
      <alignment horizontal="right" vertical="center" wrapText="1"/>
    </xf>
    <xf numFmtId="3" fontId="42" fillId="6" borderId="5" xfId="0" applyNumberFormat="1" applyFont="1" applyFill="1" applyBorder="1" applyAlignment="1">
      <alignment vertical="center" wrapText="1"/>
    </xf>
    <xf numFmtId="0" fontId="42" fillId="6" borderId="5" xfId="12" applyFont="1" applyFill="1" applyBorder="1" applyAlignment="1">
      <alignment horizontal="left" vertical="center" wrapText="1"/>
    </xf>
    <xf numFmtId="0" fontId="42" fillId="6" borderId="5" xfId="12" applyFont="1" applyFill="1" applyBorder="1" applyAlignment="1">
      <alignment horizontal="center" vertical="center" wrapText="1"/>
    </xf>
    <xf numFmtId="0" fontId="110" fillId="6" borderId="5" xfId="0" applyFont="1" applyFill="1" applyBorder="1" applyAlignment="1">
      <alignment horizontal="center" vertical="center" wrapText="1"/>
    </xf>
    <xf numFmtId="0" fontId="42" fillId="6" borderId="6" xfId="0" applyFont="1" applyFill="1" applyBorder="1" applyAlignment="1">
      <alignment horizontal="center" vertical="center" wrapText="1"/>
    </xf>
    <xf numFmtId="0" fontId="42" fillId="6" borderId="0" xfId="0" applyFont="1" applyFill="1" applyAlignment="1">
      <alignment horizontal="center" vertical="center" wrapText="1"/>
    </xf>
    <xf numFmtId="0" fontId="42" fillId="6" borderId="0" xfId="0" applyFont="1" applyFill="1" applyAlignment="1">
      <alignment horizontal="left" vertical="center" wrapText="1"/>
    </xf>
    <xf numFmtId="14" fontId="42" fillId="6" borderId="0" xfId="0" applyNumberFormat="1" applyFont="1" applyFill="1" applyAlignment="1">
      <alignment horizontal="center" vertical="center" wrapText="1"/>
    </xf>
    <xf numFmtId="0" fontId="42" fillId="6" borderId="0" xfId="0" applyFont="1" applyFill="1" applyAlignment="1">
      <alignment horizontal="right" vertical="center" wrapText="1"/>
    </xf>
    <xf numFmtId="182" fontId="42" fillId="6" borderId="0" xfId="3" applyNumberFormat="1" applyFont="1" applyFill="1" applyAlignment="1">
      <alignment horizontal="right" vertical="center" wrapText="1"/>
    </xf>
    <xf numFmtId="166" fontId="42" fillId="6" borderId="0" xfId="3" applyNumberFormat="1" applyFont="1" applyFill="1" applyAlignment="1">
      <alignment vertical="center" wrapText="1"/>
    </xf>
    <xf numFmtId="166" fontId="43" fillId="6" borderId="17" xfId="3" applyNumberFormat="1" applyFont="1" applyFill="1" applyBorder="1" applyAlignment="1">
      <alignment vertical="center" wrapText="1"/>
    </xf>
    <xf numFmtId="166" fontId="41" fillId="6" borderId="4" xfId="3" applyNumberFormat="1" applyFont="1" applyFill="1" applyBorder="1" applyAlignment="1">
      <alignment vertical="center" wrapText="1"/>
    </xf>
    <xf numFmtId="166" fontId="43" fillId="6" borderId="5" xfId="3" applyNumberFormat="1" applyFont="1" applyFill="1" applyBorder="1" applyAlignment="1">
      <alignment vertical="center" wrapText="1"/>
    </xf>
    <xf numFmtId="166" fontId="42" fillId="6" borderId="5" xfId="3" applyNumberFormat="1" applyFont="1" applyFill="1" applyBorder="1" applyAlignment="1">
      <alignment vertical="center" wrapText="1"/>
    </xf>
    <xf numFmtId="166" fontId="42" fillId="6" borderId="6" xfId="3" applyNumberFormat="1" applyFont="1" applyFill="1" applyBorder="1" applyAlignment="1">
      <alignment vertical="center" wrapText="1"/>
    </xf>
    <xf numFmtId="0" fontId="185" fillId="6" borderId="0" xfId="0" applyFont="1" applyFill="1" applyAlignment="1">
      <alignment horizontal="center" vertical="center" wrapText="1"/>
    </xf>
    <xf numFmtId="166" fontId="184" fillId="6" borderId="3" xfId="3" applyNumberFormat="1" applyFont="1" applyFill="1" applyBorder="1" applyAlignment="1">
      <alignment horizontal="center" vertical="center" wrapText="1"/>
    </xf>
    <xf numFmtId="166" fontId="184" fillId="6" borderId="13" xfId="3" applyNumberFormat="1" applyFont="1" applyFill="1" applyBorder="1" applyAlignment="1">
      <alignment horizontal="center" vertical="center" wrapText="1"/>
    </xf>
    <xf numFmtId="166" fontId="184" fillId="6" borderId="16" xfId="3" applyNumberFormat="1" applyFont="1" applyFill="1" applyBorder="1" applyAlignment="1">
      <alignment horizontal="center" vertical="center" wrapText="1"/>
    </xf>
    <xf numFmtId="0" fontId="185" fillId="6" borderId="3" xfId="0" applyFont="1" applyFill="1" applyBorder="1" applyAlignment="1">
      <alignment horizontal="center" vertical="center" wrapText="1"/>
    </xf>
    <xf numFmtId="166" fontId="185" fillId="6" borderId="3" xfId="3" applyNumberFormat="1" applyFont="1" applyFill="1" applyBorder="1" applyAlignment="1">
      <alignment horizontal="center" vertical="center" wrapText="1"/>
    </xf>
    <xf numFmtId="3" fontId="184" fillId="6" borderId="4" xfId="0" applyNumberFormat="1" applyFont="1" applyFill="1" applyBorder="1" applyAlignment="1">
      <alignment horizontal="center" vertical="center" wrapText="1"/>
    </xf>
    <xf numFmtId="166" fontId="184" fillId="6" borderId="4" xfId="3" applyNumberFormat="1" applyFont="1" applyFill="1" applyBorder="1" applyAlignment="1">
      <alignment vertical="center" wrapText="1"/>
    </xf>
    <xf numFmtId="0" fontId="184" fillId="6" borderId="0" xfId="0" applyFont="1" applyFill="1" applyAlignment="1">
      <alignment vertical="center" wrapText="1"/>
    </xf>
    <xf numFmtId="3" fontId="184" fillId="6" borderId="7" xfId="0" applyNumberFormat="1" applyFont="1" applyFill="1" applyBorder="1" applyAlignment="1">
      <alignment horizontal="center" vertical="center" wrapText="1"/>
    </xf>
    <xf numFmtId="3" fontId="184" fillId="6" borderId="7" xfId="0" applyNumberFormat="1" applyFont="1" applyFill="1" applyBorder="1" applyAlignment="1">
      <alignment horizontal="left" vertical="center" wrapText="1"/>
    </xf>
    <xf numFmtId="166" fontId="184" fillId="6" borderId="5" xfId="3" applyNumberFormat="1" applyFont="1" applyFill="1" applyBorder="1" applyAlignment="1">
      <alignment vertical="center" wrapText="1"/>
    </xf>
    <xf numFmtId="166" fontId="184" fillId="6" borderId="7" xfId="3" applyNumberFormat="1" applyFont="1" applyFill="1" applyBorder="1" applyAlignment="1">
      <alignment vertical="center" wrapText="1"/>
    </xf>
    <xf numFmtId="3" fontId="185" fillId="6" borderId="7" xfId="0" applyNumberFormat="1" applyFont="1" applyFill="1" applyBorder="1" applyAlignment="1">
      <alignment horizontal="center" vertical="center" wrapText="1"/>
    </xf>
    <xf numFmtId="3" fontId="185" fillId="6" borderId="7" xfId="0" applyNumberFormat="1" applyFont="1" applyFill="1" applyBorder="1" applyAlignment="1">
      <alignment horizontal="left" vertical="center" wrapText="1"/>
    </xf>
    <xf numFmtId="3" fontId="186" fillId="6" borderId="7" xfId="0" applyNumberFormat="1" applyFont="1" applyFill="1" applyBorder="1" applyAlignment="1">
      <alignment horizontal="center" vertical="center" wrapText="1"/>
    </xf>
    <xf numFmtId="3" fontId="186" fillId="6" borderId="7" xfId="0" applyNumberFormat="1" applyFont="1" applyFill="1" applyBorder="1" applyAlignment="1">
      <alignment horizontal="left" vertical="center" wrapText="1"/>
    </xf>
    <xf numFmtId="166" fontId="187" fillId="6" borderId="7" xfId="3" applyNumberFormat="1" applyFont="1" applyFill="1" applyBorder="1" applyAlignment="1">
      <alignment vertical="center" wrapText="1"/>
    </xf>
    <xf numFmtId="0" fontId="187" fillId="6" borderId="0" xfId="0" applyFont="1" applyFill="1" applyAlignment="1">
      <alignment vertical="center" wrapText="1"/>
    </xf>
    <xf numFmtId="3" fontId="184" fillId="6" borderId="16" xfId="0" applyNumberFormat="1" applyFont="1" applyFill="1" applyBorder="1" applyAlignment="1">
      <alignment horizontal="center" vertical="center" wrapText="1"/>
    </xf>
    <xf numFmtId="3" fontId="184" fillId="6" borderId="16" xfId="0" applyNumberFormat="1" applyFont="1" applyFill="1" applyBorder="1" applyAlignment="1">
      <alignment horizontal="left" vertical="center" wrapText="1"/>
    </xf>
    <xf numFmtId="166" fontId="184" fillId="6" borderId="16" xfId="3" applyNumberFormat="1" applyFont="1" applyFill="1" applyBorder="1" applyAlignment="1">
      <alignment vertical="center" wrapText="1"/>
    </xf>
    <xf numFmtId="3" fontId="184" fillId="6" borderId="4" xfId="0" applyNumberFormat="1" applyFont="1" applyFill="1" applyBorder="1" applyAlignment="1">
      <alignment horizontal="left" vertical="center" wrapText="1"/>
    </xf>
    <xf numFmtId="3" fontId="184" fillId="6" borderId="5" xfId="0" applyNumberFormat="1" applyFont="1" applyFill="1" applyBorder="1" applyAlignment="1">
      <alignment horizontal="center" vertical="center" wrapText="1"/>
    </xf>
    <xf numFmtId="3" fontId="184" fillId="6" borderId="5" xfId="0" applyNumberFormat="1" applyFont="1" applyFill="1" applyBorder="1" applyAlignment="1">
      <alignment horizontal="left" vertical="center" wrapText="1"/>
    </xf>
    <xf numFmtId="0" fontId="184" fillId="6" borderId="5" xfId="0" applyFont="1" applyFill="1" applyBorder="1" applyAlignment="1">
      <alignment horizontal="justify" vertical="center" wrapText="1"/>
    </xf>
    <xf numFmtId="3" fontId="186" fillId="6" borderId="5" xfId="0" applyNumberFormat="1" applyFont="1" applyFill="1" applyBorder="1" applyAlignment="1">
      <alignment horizontal="center" vertical="center" wrapText="1"/>
    </xf>
    <xf numFmtId="3" fontId="186" fillId="6" borderId="5" xfId="0" applyNumberFormat="1" applyFont="1" applyFill="1" applyBorder="1" applyAlignment="1">
      <alignment horizontal="left" vertical="center" wrapText="1"/>
    </xf>
    <xf numFmtId="166" fontId="186" fillId="6" borderId="5" xfId="3" applyNumberFormat="1" applyFont="1" applyFill="1" applyBorder="1" applyAlignment="1">
      <alignment vertical="center" wrapText="1"/>
    </xf>
    <xf numFmtId="0" fontId="186" fillId="6" borderId="0" xfId="0" applyFont="1" applyFill="1" applyAlignment="1">
      <alignment vertical="center" wrapText="1"/>
    </xf>
    <xf numFmtId="166" fontId="187" fillId="6" borderId="5" xfId="3" applyNumberFormat="1" applyFont="1" applyFill="1" applyBorder="1" applyAlignment="1">
      <alignment vertical="center" wrapText="1"/>
    </xf>
    <xf numFmtId="166" fontId="185" fillId="6" borderId="5" xfId="3" applyNumberFormat="1" applyFont="1" applyFill="1" applyBorder="1" applyAlignment="1">
      <alignment vertical="center" wrapText="1"/>
    </xf>
    <xf numFmtId="3" fontId="187" fillId="6" borderId="5" xfId="0" applyNumberFormat="1" applyFont="1" applyFill="1" applyBorder="1" applyAlignment="1">
      <alignment horizontal="center" vertical="center" wrapText="1"/>
    </xf>
    <xf numFmtId="3" fontId="187" fillId="6" borderId="5" xfId="0" applyNumberFormat="1" applyFont="1" applyFill="1" applyBorder="1" applyAlignment="1">
      <alignment horizontal="left" vertical="center" wrapText="1"/>
    </xf>
    <xf numFmtId="0" fontId="184" fillId="6" borderId="5" xfId="0" applyFont="1" applyFill="1" applyBorder="1" applyAlignment="1">
      <alignment vertical="center" wrapText="1"/>
    </xf>
    <xf numFmtId="3" fontId="185" fillId="6" borderId="5" xfId="0" applyNumberFormat="1" applyFont="1" applyFill="1" applyBorder="1" applyAlignment="1">
      <alignment horizontal="center" vertical="center" wrapText="1"/>
    </xf>
    <xf numFmtId="0" fontId="185" fillId="6" borderId="0" xfId="0" applyFont="1" applyFill="1" applyAlignment="1">
      <alignment vertical="center" wrapText="1"/>
    </xf>
    <xf numFmtId="3" fontId="185" fillId="6" borderId="5" xfId="0" applyNumberFormat="1" applyFont="1" applyFill="1" applyBorder="1" applyAlignment="1">
      <alignment horizontal="left" vertical="center" wrapText="1"/>
    </xf>
    <xf numFmtId="3" fontId="185" fillId="6" borderId="6" xfId="0" applyNumberFormat="1" applyFont="1" applyFill="1" applyBorder="1" applyAlignment="1">
      <alignment horizontal="center" vertical="center" wrapText="1"/>
    </xf>
    <xf numFmtId="0" fontId="185" fillId="6" borderId="6" xfId="0" applyFont="1" applyFill="1" applyBorder="1" applyAlignment="1">
      <alignment horizontal="justify" vertical="center" wrapText="1"/>
    </xf>
    <xf numFmtId="166" fontId="185" fillId="6" borderId="6" xfId="3" applyNumberFormat="1" applyFont="1" applyFill="1" applyBorder="1" applyAlignment="1">
      <alignment vertical="center" wrapText="1"/>
    </xf>
    <xf numFmtId="166" fontId="188" fillId="6" borderId="13" xfId="3" applyNumberFormat="1" applyFont="1" applyFill="1" applyBorder="1" applyAlignment="1">
      <alignment horizontal="center" vertical="center" wrapText="1"/>
    </xf>
    <xf numFmtId="0" fontId="88" fillId="6" borderId="0" xfId="0" applyFont="1" applyFill="1" applyAlignment="1">
      <alignment vertical="center" wrapText="1"/>
    </xf>
    <xf numFmtId="166" fontId="88" fillId="6" borderId="0" xfId="3" applyNumberFormat="1" applyFont="1" applyFill="1" applyAlignment="1">
      <alignment vertical="center" wrapText="1"/>
    </xf>
    <xf numFmtId="0" fontId="136" fillId="6" borderId="0" xfId="0" applyFont="1" applyFill="1" applyAlignment="1">
      <alignment vertical="center" wrapText="1"/>
    </xf>
    <xf numFmtId="0" fontId="189" fillId="6" borderId="17" xfId="0" applyFont="1" applyFill="1" applyBorder="1" applyAlignment="1">
      <alignment vertical="center" wrapText="1"/>
    </xf>
    <xf numFmtId="166" fontId="88" fillId="6" borderId="0" xfId="3" applyNumberFormat="1" applyFont="1" applyFill="1" applyAlignment="1">
      <alignment horizontal="center" vertical="center" wrapText="1"/>
    </xf>
    <xf numFmtId="0" fontId="136" fillId="6" borderId="0" xfId="0" applyFont="1" applyFill="1" applyAlignment="1">
      <alignment horizontal="center" vertical="center" wrapText="1"/>
    </xf>
    <xf numFmtId="0" fontId="88" fillId="6" borderId="3" xfId="0" applyFont="1" applyFill="1" applyBorder="1" applyAlignment="1">
      <alignment horizontal="center" vertical="center" wrapText="1"/>
    </xf>
    <xf numFmtId="3" fontId="87" fillId="6" borderId="4" xfId="0" applyNumberFormat="1" applyFont="1" applyFill="1" applyBorder="1" applyAlignment="1">
      <alignment horizontal="center" vertical="center" wrapText="1"/>
    </xf>
    <xf numFmtId="166" fontId="87" fillId="6" borderId="4" xfId="3" applyNumberFormat="1" applyFont="1" applyFill="1" applyBorder="1" applyAlignment="1">
      <alignment vertical="center" wrapText="1"/>
    </xf>
    <xf numFmtId="166" fontId="87" fillId="6" borderId="0" xfId="3" applyNumberFormat="1" applyFont="1" applyFill="1" applyAlignment="1">
      <alignment vertical="center" wrapText="1"/>
    </xf>
    <xf numFmtId="0" fontId="135" fillId="6" borderId="0" xfId="0" applyFont="1" applyFill="1" applyAlignment="1">
      <alignment vertical="center" wrapText="1"/>
    </xf>
    <xf numFmtId="3" fontId="135" fillId="0" borderId="5" xfId="0" applyNumberFormat="1" applyFont="1" applyBorder="1" applyAlignment="1">
      <alignment horizontal="center" vertical="center" wrapText="1"/>
    </xf>
    <xf numFmtId="3" fontId="141" fillId="0" borderId="5" xfId="0" applyNumberFormat="1" applyFont="1" applyBorder="1" applyAlignment="1">
      <alignment horizontal="left" vertical="center" wrapText="1"/>
    </xf>
    <xf numFmtId="166" fontId="87" fillId="6" borderId="5" xfId="3" applyNumberFormat="1" applyFont="1" applyFill="1" applyBorder="1" applyAlignment="1">
      <alignment vertical="center" wrapText="1"/>
    </xf>
    <xf numFmtId="166" fontId="87" fillId="6" borderId="7" xfId="3" applyNumberFormat="1" applyFont="1" applyFill="1" applyBorder="1" applyAlignment="1">
      <alignment vertical="center" wrapText="1"/>
    </xf>
    <xf numFmtId="3" fontId="136" fillId="0" borderId="5" xfId="0" applyNumberFormat="1" applyFont="1" applyBorder="1" applyAlignment="1">
      <alignment horizontal="center" vertical="center" wrapText="1"/>
    </xf>
    <xf numFmtId="3" fontId="142" fillId="0" borderId="5" xfId="0" applyNumberFormat="1" applyFont="1" applyBorder="1" applyAlignment="1">
      <alignment horizontal="left" vertical="center" wrapText="1"/>
    </xf>
    <xf numFmtId="3" fontId="189" fillId="6" borderId="7" xfId="0" applyNumberFormat="1" applyFont="1" applyFill="1" applyBorder="1" applyAlignment="1">
      <alignment horizontal="center" vertical="center" wrapText="1"/>
    </xf>
    <xf numFmtId="3" fontId="189" fillId="6" borderId="7" xfId="0" applyNumberFormat="1" applyFont="1" applyFill="1" applyBorder="1" applyAlignment="1">
      <alignment horizontal="left" vertical="center" wrapText="1"/>
    </xf>
    <xf numFmtId="166" fontId="190" fillId="6" borderId="7" xfId="3" applyNumberFormat="1" applyFont="1" applyFill="1" applyBorder="1" applyAlignment="1">
      <alignment vertical="center" wrapText="1"/>
    </xf>
    <xf numFmtId="166" fontId="190" fillId="6" borderId="0" xfId="3" applyNumberFormat="1" applyFont="1" applyFill="1" applyAlignment="1">
      <alignment vertical="center" wrapText="1"/>
    </xf>
    <xf numFmtId="0" fontId="191" fillId="6" borderId="0" xfId="0" applyFont="1" applyFill="1" applyAlignment="1">
      <alignment vertical="center" wrapText="1"/>
    </xf>
    <xf numFmtId="166" fontId="88" fillId="6" borderId="7" xfId="3" applyNumberFormat="1" applyFont="1" applyFill="1" applyBorder="1" applyAlignment="1">
      <alignment vertical="center" wrapText="1"/>
    </xf>
    <xf numFmtId="166" fontId="189" fillId="6" borderId="7" xfId="3" applyNumberFormat="1" applyFont="1" applyFill="1" applyBorder="1" applyAlignment="1">
      <alignment vertical="center" wrapText="1"/>
    </xf>
    <xf numFmtId="0" fontId="87" fillId="0" borderId="5" xfId="0" applyFont="1" applyBorder="1" applyAlignment="1">
      <alignment wrapText="1"/>
    </xf>
    <xf numFmtId="0" fontId="87" fillId="0" borderId="6" xfId="0" applyFont="1" applyBorder="1" applyAlignment="1">
      <alignment wrapText="1"/>
    </xf>
    <xf numFmtId="3" fontId="88" fillId="6" borderId="5" xfId="0" applyNumberFormat="1" applyFont="1" applyFill="1" applyBorder="1" applyAlignment="1">
      <alignment horizontal="center" vertical="center" wrapText="1"/>
    </xf>
    <xf numFmtId="0" fontId="88" fillId="6" borderId="5" xfId="0" applyFont="1" applyFill="1" applyBorder="1" applyAlignment="1">
      <alignment horizontal="justify" vertical="center" wrapText="1"/>
    </xf>
    <xf numFmtId="166" fontId="88" fillId="6" borderId="5" xfId="3" applyNumberFormat="1" applyFont="1" applyFill="1" applyBorder="1" applyAlignment="1">
      <alignment vertical="center" wrapText="1"/>
    </xf>
    <xf numFmtId="166" fontId="136" fillId="6" borderId="0" xfId="3" applyNumberFormat="1" applyFont="1" applyFill="1" applyAlignment="1">
      <alignment vertical="center" wrapText="1"/>
    </xf>
    <xf numFmtId="0" fontId="189" fillId="6" borderId="0" xfId="0" applyFont="1" applyFill="1" applyAlignment="1">
      <alignment horizontal="center" vertical="center" wrapText="1"/>
    </xf>
    <xf numFmtId="3" fontId="42" fillId="6" borderId="0" xfId="0" applyNumberFormat="1" applyFont="1" applyFill="1" applyAlignment="1">
      <alignment vertical="center"/>
    </xf>
    <xf numFmtId="3" fontId="41" fillId="6" borderId="5" xfId="0" applyNumberFormat="1" applyFont="1" applyFill="1" applyBorder="1" applyAlignment="1">
      <alignment wrapText="1"/>
    </xf>
    <xf numFmtId="3" fontId="41" fillId="6" borderId="0" xfId="0" applyNumberFormat="1" applyFont="1" applyFill="1" applyAlignment="1">
      <alignment vertical="center"/>
    </xf>
    <xf numFmtId="0" fontId="41" fillId="6" borderId="0" xfId="0" applyFont="1" applyFill="1" applyAlignment="1">
      <alignment vertical="center"/>
    </xf>
    <xf numFmtId="3" fontId="42" fillId="6" borderId="5" xfId="0" applyNumberFormat="1" applyFont="1" applyFill="1" applyBorder="1" applyAlignment="1">
      <alignment wrapText="1"/>
    </xf>
    <xf numFmtId="43" fontId="42" fillId="6" borderId="5" xfId="3" applyFont="1" applyFill="1" applyBorder="1" applyAlignment="1">
      <alignment vertical="center" wrapText="1"/>
    </xf>
    <xf numFmtId="169" fontId="42" fillId="6" borderId="5" xfId="3" applyNumberFormat="1" applyFont="1" applyFill="1" applyBorder="1" applyAlignment="1">
      <alignment vertical="center" wrapText="1"/>
    </xf>
    <xf numFmtId="187" fontId="42" fillId="6" borderId="0" xfId="0" applyNumberFormat="1" applyFont="1" applyFill="1" applyAlignment="1">
      <alignment vertical="center"/>
    </xf>
    <xf numFmtId="3" fontId="110" fillId="6" borderId="5" xfId="0" applyNumberFormat="1" applyFont="1" applyFill="1" applyBorder="1" applyAlignment="1">
      <alignment wrapText="1"/>
    </xf>
    <xf numFmtId="166" fontId="110" fillId="6" borderId="5" xfId="3" applyNumberFormat="1" applyFont="1" applyFill="1" applyBorder="1" applyAlignment="1">
      <alignment vertical="center" wrapText="1"/>
    </xf>
    <xf numFmtId="3" fontId="110" fillId="6" borderId="0" xfId="0" applyNumberFormat="1" applyFont="1" applyFill="1" applyAlignment="1">
      <alignment vertical="center"/>
    </xf>
    <xf numFmtId="0" fontId="110" fillId="6" borderId="0" xfId="0" applyFont="1" applyFill="1" applyAlignment="1">
      <alignment vertical="center"/>
    </xf>
    <xf numFmtId="171" fontId="41" fillId="6" borderId="5" xfId="3" applyNumberFormat="1" applyFont="1" applyFill="1" applyBorder="1" applyAlignment="1">
      <alignment vertical="center" wrapText="1"/>
    </xf>
    <xf numFmtId="187" fontId="41" fillId="6" borderId="0" xfId="0" applyNumberFormat="1" applyFont="1" applyFill="1" applyAlignment="1">
      <alignment vertical="center"/>
    </xf>
    <xf numFmtId="171" fontId="42" fillId="6" borderId="5" xfId="3" applyNumberFormat="1" applyFont="1" applyFill="1" applyBorder="1" applyAlignment="1">
      <alignment vertical="center" wrapText="1"/>
    </xf>
    <xf numFmtId="179" fontId="42" fillId="6" borderId="0" xfId="0" applyNumberFormat="1" applyFont="1" applyFill="1" applyAlignment="1">
      <alignment vertical="center"/>
    </xf>
    <xf numFmtId="3" fontId="42" fillId="6" borderId="5" xfId="0" applyNumberFormat="1" applyFont="1" applyFill="1" applyBorder="1" applyAlignment="1">
      <alignment horizontal="left" wrapText="1"/>
    </xf>
    <xf numFmtId="0" fontId="43" fillId="6" borderId="5" xfId="0" applyFont="1" applyFill="1" applyBorder="1" applyAlignment="1">
      <alignment horizontal="center" vertical="center" wrapText="1"/>
    </xf>
    <xf numFmtId="3" fontId="43" fillId="6" borderId="5" xfId="0" applyNumberFormat="1" applyFont="1" applyFill="1" applyBorder="1" applyAlignment="1">
      <alignment wrapText="1"/>
    </xf>
    <xf numFmtId="3" fontId="43" fillId="6" borderId="0" xfId="0" applyNumberFormat="1" applyFont="1" applyFill="1" applyAlignment="1">
      <alignment vertical="center"/>
    </xf>
    <xf numFmtId="0" fontId="43" fillId="6" borderId="0" xfId="0" applyFont="1" applyFill="1" applyAlignment="1">
      <alignment vertical="center"/>
    </xf>
    <xf numFmtId="43" fontId="42" fillId="6" borderId="5" xfId="3" applyFont="1" applyFill="1" applyBorder="1" applyAlignment="1">
      <alignment horizontal="right" vertical="center" wrapText="1"/>
    </xf>
    <xf numFmtId="43" fontId="42" fillId="6" borderId="0" xfId="3" applyFont="1" applyFill="1" applyAlignment="1">
      <alignment vertical="center"/>
    </xf>
    <xf numFmtId="197" fontId="42" fillId="6" borderId="0" xfId="0" applyNumberFormat="1" applyFont="1" applyFill="1" applyAlignment="1">
      <alignment vertical="center"/>
    </xf>
    <xf numFmtId="4" fontId="42" fillId="6" borderId="5" xfId="3" applyNumberFormat="1" applyFont="1" applyFill="1" applyBorder="1" applyAlignment="1">
      <alignment vertical="center" wrapText="1"/>
    </xf>
    <xf numFmtId="3" fontId="41" fillId="6" borderId="5" xfId="0" applyNumberFormat="1" applyFont="1" applyFill="1" applyBorder="1" applyAlignment="1">
      <alignment vertical="center" wrapText="1"/>
    </xf>
    <xf numFmtId="4" fontId="41" fillId="6" borderId="5" xfId="3" applyNumberFormat="1" applyFont="1" applyFill="1" applyBorder="1" applyAlignment="1">
      <alignment vertical="center" wrapText="1"/>
    </xf>
    <xf numFmtId="2" fontId="42" fillId="6" borderId="5" xfId="0" applyNumberFormat="1" applyFont="1" applyFill="1" applyBorder="1" applyAlignment="1">
      <alignment vertical="center" wrapText="1"/>
    </xf>
    <xf numFmtId="2" fontId="42" fillId="6" borderId="6" xfId="0" applyNumberFormat="1" applyFont="1" applyFill="1" applyBorder="1" applyAlignment="1">
      <alignment vertical="center" wrapText="1"/>
    </xf>
    <xf numFmtId="4" fontId="42" fillId="6" borderId="6" xfId="3" applyNumberFormat="1" applyFont="1" applyFill="1" applyBorder="1" applyAlignment="1">
      <alignment vertical="center" wrapText="1"/>
    </xf>
    <xf numFmtId="166" fontId="42" fillId="6" borderId="5" xfId="3" applyNumberFormat="1" applyFont="1" applyFill="1" applyBorder="1" applyAlignment="1">
      <alignment vertical="center"/>
    </xf>
    <xf numFmtId="0" fontId="41" fillId="6" borderId="5" xfId="0" applyFont="1" applyFill="1" applyBorder="1" applyAlignment="1">
      <alignment horizontal="left" vertical="center" wrapText="1"/>
    </xf>
    <xf numFmtId="43" fontId="42" fillId="6" borderId="5" xfId="3" applyFont="1" applyFill="1" applyBorder="1" applyAlignment="1">
      <alignment horizontal="center" vertical="center" wrapText="1"/>
    </xf>
    <xf numFmtId="0" fontId="43" fillId="6" borderId="5" xfId="0" applyFont="1" applyFill="1" applyBorder="1" applyAlignment="1">
      <alignment vertical="center" wrapText="1"/>
    </xf>
    <xf numFmtId="4" fontId="43" fillId="6" borderId="5" xfId="3" applyNumberFormat="1" applyFont="1" applyFill="1" applyBorder="1" applyAlignment="1">
      <alignment vertical="center" wrapText="1"/>
    </xf>
    <xf numFmtId="166" fontId="43" fillId="6" borderId="5" xfId="3" applyNumberFormat="1" applyFont="1" applyFill="1" applyBorder="1" applyAlignment="1">
      <alignment vertical="center"/>
    </xf>
    <xf numFmtId="0" fontId="42" fillId="6" borderId="5" xfId="0" applyFont="1" applyFill="1" applyBorder="1" applyAlignment="1">
      <alignment vertical="center"/>
    </xf>
    <xf numFmtId="0" fontId="76" fillId="6" borderId="29" xfId="0" applyFont="1" applyFill="1" applyBorder="1" applyAlignment="1">
      <alignment horizontal="center" vertical="center" wrapText="1"/>
    </xf>
    <xf numFmtId="0" fontId="72" fillId="6" borderId="58" xfId="0" applyFont="1" applyFill="1" applyBorder="1" applyAlignment="1">
      <alignment horizontal="left" wrapText="1"/>
    </xf>
    <xf numFmtId="185" fontId="72" fillId="6" borderId="58" xfId="0" applyNumberFormat="1" applyFont="1" applyFill="1" applyBorder="1" applyAlignment="1">
      <alignment horizontal="right" wrapText="1"/>
    </xf>
    <xf numFmtId="0" fontId="72" fillId="6" borderId="49" xfId="0" applyFont="1" applyFill="1" applyBorder="1" applyAlignment="1">
      <alignment horizontal="left" wrapText="1"/>
    </xf>
    <xf numFmtId="185" fontId="72" fillId="6" borderId="49" xfId="0" applyNumberFormat="1" applyFont="1" applyFill="1" applyBorder="1" applyAlignment="1">
      <alignment horizontal="right" wrapText="1"/>
    </xf>
    <xf numFmtId="0" fontId="72" fillId="6" borderId="50" xfId="0" applyFont="1" applyFill="1" applyBorder="1" applyAlignment="1">
      <alignment horizontal="left" wrapText="1"/>
    </xf>
    <xf numFmtId="185" fontId="72" fillId="6" borderId="50" xfId="0" applyNumberFormat="1" applyFont="1" applyFill="1" applyBorder="1" applyAlignment="1">
      <alignment horizontal="right" wrapText="1"/>
    </xf>
    <xf numFmtId="3" fontId="122" fillId="6" borderId="3" xfId="16" applyNumberFormat="1" applyFont="1" applyFill="1" applyBorder="1" applyAlignment="1">
      <alignment horizontal="right" vertical="center"/>
    </xf>
    <xf numFmtId="0" fontId="194" fillId="6" borderId="0" xfId="0" applyFont="1" applyFill="1"/>
    <xf numFmtId="171" fontId="197" fillId="6" borderId="0" xfId="3" applyNumberFormat="1" applyFont="1" applyFill="1" applyAlignment="1">
      <alignment horizontal="center" vertical="center" wrapText="1"/>
    </xf>
    <xf numFmtId="171" fontId="198" fillId="6" borderId="0" xfId="3" applyNumberFormat="1" applyFont="1" applyFill="1" applyAlignment="1">
      <alignment vertical="center"/>
    </xf>
    <xf numFmtId="171" fontId="197" fillId="6" borderId="0" xfId="3" applyNumberFormat="1" applyFont="1" applyFill="1" applyAlignment="1">
      <alignment vertical="center" wrapText="1"/>
    </xf>
    <xf numFmtId="171" fontId="126" fillId="6" borderId="0" xfId="3" applyNumberFormat="1" applyFont="1" applyFill="1" applyAlignment="1">
      <alignment horizontal="center" vertical="center" wrapText="1"/>
    </xf>
    <xf numFmtId="171" fontId="124" fillId="6" borderId="0" xfId="3" applyNumberFormat="1" applyFont="1" applyFill="1" applyAlignment="1">
      <alignment vertical="center"/>
    </xf>
    <xf numFmtId="171" fontId="126" fillId="6" borderId="0" xfId="3" applyNumberFormat="1" applyFont="1" applyFill="1" applyAlignment="1">
      <alignment vertical="center" wrapText="1"/>
    </xf>
    <xf numFmtId="0" fontId="194" fillId="0" borderId="0" xfId="0" applyFont="1"/>
    <xf numFmtId="43" fontId="194" fillId="0" borderId="0" xfId="3" applyFont="1"/>
    <xf numFmtId="0" fontId="138" fillId="6" borderId="0" xfId="0" applyFont="1" applyFill="1" applyAlignment="1">
      <alignment vertical="center" wrapText="1"/>
    </xf>
    <xf numFmtId="166" fontId="138" fillId="6" borderId="0" xfId="3" applyNumberFormat="1" applyFont="1" applyFill="1" applyAlignment="1">
      <alignment vertical="center" wrapText="1"/>
    </xf>
    <xf numFmtId="0" fontId="200" fillId="6" borderId="0" xfId="0" applyFont="1" applyFill="1" applyAlignment="1">
      <alignment vertical="center" wrapText="1"/>
    </xf>
    <xf numFmtId="166" fontId="200" fillId="6" borderId="0" xfId="3" applyNumberFormat="1" applyFont="1" applyFill="1" applyAlignment="1">
      <alignment vertical="center" wrapText="1"/>
    </xf>
    <xf numFmtId="0" fontId="128" fillId="6" borderId="0" xfId="0" applyFont="1" applyFill="1" applyAlignment="1">
      <alignment vertical="center" wrapText="1"/>
    </xf>
    <xf numFmtId="0" fontId="128" fillId="0" borderId="0" xfId="0" applyFont="1" applyAlignment="1">
      <alignment vertical="center"/>
    </xf>
    <xf numFmtId="172" fontId="125" fillId="0" borderId="0" xfId="3" applyNumberFormat="1" applyFont="1" applyFill="1" applyAlignment="1">
      <alignment vertical="center"/>
    </xf>
    <xf numFmtId="0" fontId="107" fillId="0" borderId="0" xfId="0" applyFont="1"/>
    <xf numFmtId="0" fontId="126" fillId="0" borderId="0" xfId="0" applyFont="1" applyAlignment="1">
      <alignment horizontal="center" vertical="center" wrapText="1"/>
    </xf>
    <xf numFmtId="169" fontId="126" fillId="0" borderId="0" xfId="3" applyNumberFormat="1" applyFont="1" applyFill="1" applyAlignment="1">
      <alignment horizontal="center" vertical="center" wrapText="1"/>
    </xf>
    <xf numFmtId="166" fontId="126" fillId="0" borderId="0" xfId="3" applyNumberFormat="1" applyFont="1" applyFill="1" applyAlignment="1">
      <alignment horizontal="center" vertical="center" wrapText="1"/>
    </xf>
    <xf numFmtId="172" fontId="126" fillId="0" borderId="0" xfId="3" applyNumberFormat="1" applyFont="1" applyFill="1" applyAlignment="1">
      <alignment horizontal="center" vertical="center" wrapText="1"/>
    </xf>
    <xf numFmtId="169" fontId="126" fillId="0" borderId="0" xfId="0" applyNumberFormat="1" applyFont="1" applyAlignment="1">
      <alignment horizontal="center" vertical="center" wrapText="1"/>
    </xf>
    <xf numFmtId="169" fontId="128" fillId="0" borderId="0" xfId="3" applyNumberFormat="1" applyFont="1" applyFill="1" applyAlignment="1">
      <alignment vertical="center"/>
    </xf>
    <xf numFmtId="166" fontId="128" fillId="0" borderId="0" xfId="3" applyNumberFormat="1" applyFont="1" applyFill="1" applyAlignment="1">
      <alignment vertical="center"/>
    </xf>
    <xf numFmtId="3" fontId="125" fillId="0" borderId="0" xfId="0" applyNumberFormat="1" applyFont="1"/>
    <xf numFmtId="172" fontId="128" fillId="0" borderId="0" xfId="3" applyNumberFormat="1" applyFont="1" applyFill="1" applyAlignment="1">
      <alignment vertical="center"/>
    </xf>
    <xf numFmtId="0" fontId="128" fillId="0" borderId="0" xfId="0" applyFont="1" applyAlignment="1">
      <alignment horizontal="center" vertical="center"/>
    </xf>
    <xf numFmtId="0" fontId="201" fillId="0" borderId="0" xfId="0" applyFont="1" applyAlignment="1">
      <alignment vertical="center"/>
    </xf>
    <xf numFmtId="0" fontId="128" fillId="0" borderId="0" xfId="0" applyFont="1" applyAlignment="1">
      <alignment horizontal="center" vertical="top" readingOrder="1"/>
    </xf>
    <xf numFmtId="0" fontId="3" fillId="6" borderId="0" xfId="0" applyFont="1" applyFill="1" applyAlignment="1">
      <alignment horizontal="center" vertical="center" wrapText="1"/>
    </xf>
    <xf numFmtId="0" fontId="203" fillId="0" borderId="0" xfId="0" applyFont="1" applyAlignment="1">
      <alignment vertical="center" wrapText="1"/>
    </xf>
    <xf numFmtId="0" fontId="129" fillId="0" borderId="0" xfId="0" applyFont="1" applyAlignment="1">
      <alignment vertical="center"/>
    </xf>
    <xf numFmtId="0" fontId="116" fillId="0" borderId="0" xfId="0" applyFont="1" applyAlignment="1">
      <alignment horizontal="center" vertical="top" wrapText="1"/>
    </xf>
    <xf numFmtId="0" fontId="116" fillId="0" borderId="0" xfId="0" applyFont="1"/>
    <xf numFmtId="0" fontId="129" fillId="0" borderId="0" xfId="0" applyFont="1"/>
    <xf numFmtId="0" fontId="129" fillId="0" borderId="0" xfId="0" applyFont="1" applyAlignment="1">
      <alignment horizontal="center" vertical="top" wrapText="1"/>
    </xf>
    <xf numFmtId="0" fontId="205" fillId="7" borderId="60" xfId="0" applyFont="1" applyFill="1" applyBorder="1" applyAlignment="1">
      <alignment horizontal="center" vertical="center" wrapText="1"/>
    </xf>
    <xf numFmtId="0" fontId="205" fillId="7" borderId="61" xfId="0" applyFont="1" applyFill="1" applyBorder="1" applyAlignment="1">
      <alignment horizontal="center" vertical="center" wrapText="1"/>
    </xf>
    <xf numFmtId="0" fontId="205" fillId="7" borderId="62" xfId="0" applyFont="1" applyFill="1" applyBorder="1" applyAlignment="1">
      <alignment horizontal="center" vertical="center" wrapText="1"/>
    </xf>
    <xf numFmtId="37" fontId="129" fillId="7" borderId="64" xfId="0" applyNumberFormat="1" applyFont="1" applyFill="1" applyBorder="1" applyAlignment="1">
      <alignment horizontal="right" vertical="center" wrapText="1"/>
    </xf>
    <xf numFmtId="0" fontId="129" fillId="7" borderId="64" xfId="0" applyFont="1" applyFill="1" applyBorder="1" applyAlignment="1">
      <alignment horizontal="left" vertical="center" wrapText="1"/>
    </xf>
    <xf numFmtId="0" fontId="129" fillId="7" borderId="64" xfId="0" applyFont="1" applyFill="1" applyBorder="1" applyAlignment="1">
      <alignment horizontal="right" vertical="center" wrapText="1"/>
    </xf>
    <xf numFmtId="172" fontId="3" fillId="6" borderId="0" xfId="3" applyNumberFormat="1" applyFont="1" applyFill="1" applyAlignment="1">
      <alignment horizontal="center" vertical="center" wrapText="1"/>
    </xf>
    <xf numFmtId="169" fontId="3" fillId="6" borderId="0" xfId="3" applyNumberFormat="1" applyFont="1" applyFill="1" applyAlignment="1">
      <alignment horizontal="center" vertical="center" wrapText="1"/>
    </xf>
    <xf numFmtId="166" fontId="76" fillId="0" borderId="0" xfId="3" applyNumberFormat="1" applyFont="1" applyFill="1" applyBorder="1" applyAlignment="1">
      <alignment horizontal="right" vertical="center" wrapText="1"/>
    </xf>
    <xf numFmtId="0" fontId="8" fillId="6" borderId="0" xfId="0" applyFont="1" applyFill="1" applyAlignment="1">
      <alignment vertical="center"/>
    </xf>
    <xf numFmtId="0" fontId="206" fillId="6" borderId="0" xfId="0" applyFont="1" applyFill="1" applyAlignment="1">
      <alignment vertical="center"/>
    </xf>
    <xf numFmtId="0" fontId="9" fillId="6" borderId="0" xfId="0" applyFont="1" applyFill="1"/>
    <xf numFmtId="166" fontId="9" fillId="6" borderId="0" xfId="3" applyNumberFormat="1" applyFont="1" applyFill="1"/>
    <xf numFmtId="0" fontId="3" fillId="6" borderId="0" xfId="0" applyFont="1" applyFill="1" applyAlignment="1">
      <alignment vertical="center" wrapText="1"/>
    </xf>
    <xf numFmtId="171" fontId="9" fillId="6" borderId="0" xfId="3" applyNumberFormat="1" applyFont="1" applyFill="1" applyAlignment="1"/>
    <xf numFmtId="37" fontId="205" fillId="7" borderId="63" xfId="0" applyNumberFormat="1" applyFont="1" applyFill="1" applyBorder="1" applyAlignment="1">
      <alignment horizontal="right" vertical="center" wrapText="1"/>
    </xf>
    <xf numFmtId="0" fontId="205" fillId="0" borderId="0" xfId="0" applyFont="1"/>
    <xf numFmtId="0" fontId="129" fillId="7" borderId="0" xfId="0" applyFont="1" applyFill="1" applyAlignment="1">
      <alignment horizontal="left" vertical="center" wrapText="1"/>
    </xf>
    <xf numFmtId="0" fontId="129" fillId="7" borderId="0" xfId="0" applyFont="1" applyFill="1" applyAlignment="1">
      <alignment horizontal="right" vertical="center" wrapText="1"/>
    </xf>
    <xf numFmtId="37" fontId="129" fillId="7" borderId="0" xfId="0" applyNumberFormat="1" applyFont="1" applyFill="1" applyAlignment="1">
      <alignment horizontal="right" vertical="center" wrapText="1"/>
    </xf>
    <xf numFmtId="0" fontId="139" fillId="0" borderId="0" xfId="0" applyFont="1"/>
    <xf numFmtId="0" fontId="139" fillId="0" borderId="0" xfId="0" applyFont="1" applyAlignment="1">
      <alignment horizontal="center" vertical="top" wrapText="1"/>
    </xf>
    <xf numFmtId="0" fontId="114" fillId="7" borderId="60" xfId="0" applyFont="1" applyFill="1" applyBorder="1" applyAlignment="1">
      <alignment horizontal="center" vertical="center" wrapText="1"/>
    </xf>
    <xf numFmtId="0" fontId="114" fillId="7" borderId="62" xfId="0" applyFont="1" applyFill="1" applyBorder="1" applyAlignment="1">
      <alignment horizontal="center" vertical="center" wrapText="1"/>
    </xf>
    <xf numFmtId="3" fontId="139" fillId="7" borderId="62" xfId="0" applyNumberFormat="1" applyFont="1" applyFill="1" applyBorder="1" applyAlignment="1">
      <alignment horizontal="right" vertical="center" wrapText="1"/>
    </xf>
    <xf numFmtId="0" fontId="139" fillId="7" borderId="61" xfId="0" applyFont="1" applyFill="1" applyBorder="1" applyAlignment="1">
      <alignment horizontal="left" vertical="center" wrapText="1"/>
    </xf>
    <xf numFmtId="187" fontId="139" fillId="0" borderId="0" xfId="0" applyNumberFormat="1" applyFont="1"/>
    <xf numFmtId="43" fontId="25" fillId="0" borderId="0" xfId="0" applyNumberFormat="1" applyFont="1" applyAlignment="1">
      <alignment horizontal="center"/>
    </xf>
    <xf numFmtId="43" fontId="208" fillId="0" borderId="5" xfId="3" applyFont="1" applyBorder="1" applyAlignment="1">
      <alignment horizontal="right" vertical="center" wrapText="1"/>
    </xf>
    <xf numFmtId="0" fontId="208" fillId="0" borderId="0" xfId="0" applyFont="1"/>
    <xf numFmtId="43" fontId="25" fillId="0" borderId="0" xfId="0" applyNumberFormat="1" applyFont="1"/>
    <xf numFmtId="166" fontId="208" fillId="0" borderId="0" xfId="3" applyNumberFormat="1" applyFont="1" applyBorder="1" applyAlignment="1"/>
    <xf numFmtId="0" fontId="209" fillId="0" borderId="0" xfId="0" applyFont="1"/>
    <xf numFmtId="3" fontId="75" fillId="6" borderId="0" xfId="0" applyNumberFormat="1" applyFont="1" applyFill="1" applyAlignment="1">
      <alignment horizontal="center" vertical="center" wrapText="1"/>
    </xf>
    <xf numFmtId="0" fontId="75" fillId="6" borderId="0" xfId="0" applyFont="1" applyFill="1" applyAlignment="1">
      <alignment horizontal="center" vertical="center" wrapText="1"/>
    </xf>
    <xf numFmtId="14" fontId="42" fillId="6" borderId="5" xfId="0" applyNumberFormat="1" applyFont="1" applyFill="1" applyBorder="1" applyAlignment="1">
      <alignment horizontal="center" vertical="center" wrapText="1"/>
    </xf>
    <xf numFmtId="0" fontId="41" fillId="6" borderId="0" xfId="0" applyFont="1" applyFill="1" applyAlignment="1">
      <alignment horizontal="center" vertical="center" wrapText="1"/>
    </xf>
    <xf numFmtId="43" fontId="209" fillId="0" borderId="0" xfId="0" applyNumberFormat="1" applyFont="1"/>
    <xf numFmtId="166" fontId="22" fillId="0" borderId="0" xfId="0" applyNumberFormat="1" applyFont="1"/>
    <xf numFmtId="166" fontId="194" fillId="0" borderId="0" xfId="0" applyNumberFormat="1" applyFont="1"/>
    <xf numFmtId="166" fontId="210" fillId="0" borderId="0" xfId="3" applyNumberFormat="1" applyFont="1" applyBorder="1"/>
    <xf numFmtId="193" fontId="139" fillId="0" borderId="0" xfId="0" applyNumberFormat="1" applyFont="1"/>
    <xf numFmtId="0" fontId="202" fillId="0" borderId="0" xfId="0" applyFont="1" applyAlignment="1">
      <alignment wrapText="1"/>
    </xf>
    <xf numFmtId="0" fontId="110" fillId="6" borderId="5" xfId="12" applyFont="1" applyFill="1" applyBorder="1" applyAlignment="1">
      <alignment horizontal="left" vertical="center" wrapText="1"/>
    </xf>
    <xf numFmtId="3" fontId="42" fillId="6" borderId="0" xfId="0" applyNumberFormat="1" applyFont="1" applyFill="1" applyAlignment="1">
      <alignment vertical="center" wrapText="1"/>
    </xf>
    <xf numFmtId="171" fontId="110" fillId="6" borderId="5" xfId="3" applyNumberFormat="1" applyFont="1" applyFill="1" applyBorder="1" applyAlignment="1">
      <alignment vertical="center" wrapText="1"/>
    </xf>
    <xf numFmtId="166" fontId="13" fillId="6" borderId="23" xfId="3" applyNumberFormat="1" applyFont="1" applyFill="1" applyBorder="1" applyAlignment="1">
      <alignment horizontal="center" vertical="center"/>
    </xf>
    <xf numFmtId="43" fontId="6" fillId="6" borderId="3" xfId="3" applyFont="1" applyFill="1" applyBorder="1" applyAlignment="1">
      <alignment vertical="center"/>
    </xf>
    <xf numFmtId="0" fontId="6" fillId="6" borderId="3" xfId="0" applyFont="1" applyFill="1" applyBorder="1" applyAlignment="1">
      <alignment vertical="center"/>
    </xf>
    <xf numFmtId="3" fontId="6" fillId="6" borderId="3" xfId="0" applyNumberFormat="1" applyFont="1" applyFill="1" applyBorder="1" applyAlignment="1">
      <alignment vertical="center"/>
    </xf>
    <xf numFmtId="0" fontId="2" fillId="6" borderId="3" xfId="0" applyFont="1" applyFill="1" applyBorder="1" applyAlignment="1">
      <alignment vertical="center"/>
    </xf>
    <xf numFmtId="3" fontId="2" fillId="6" borderId="3" xfId="0" applyNumberFormat="1" applyFont="1" applyFill="1" applyBorder="1" applyAlignment="1">
      <alignment vertical="center"/>
    </xf>
    <xf numFmtId="166" fontId="6" fillId="6" borderId="3" xfId="3" applyNumberFormat="1" applyFont="1" applyFill="1" applyBorder="1" applyAlignment="1">
      <alignment vertical="center"/>
    </xf>
    <xf numFmtId="0" fontId="6" fillId="5" borderId="3" xfId="0" applyFont="1" applyFill="1" applyBorder="1" applyAlignment="1">
      <alignment vertical="center" wrapText="1"/>
    </xf>
    <xf numFmtId="171" fontId="3" fillId="6" borderId="0" xfId="3" applyNumberFormat="1" applyFont="1" applyFill="1" applyAlignment="1">
      <alignment horizontal="center" vertical="center" wrapText="1"/>
    </xf>
    <xf numFmtId="171" fontId="71" fillId="6" borderId="0" xfId="3" applyNumberFormat="1" applyFont="1" applyFill="1" applyAlignment="1">
      <alignment vertical="center"/>
    </xf>
    <xf numFmtId="171" fontId="3" fillId="6" borderId="0" xfId="3" applyNumberFormat="1" applyFont="1" applyFill="1" applyAlignment="1">
      <alignment vertical="center" wrapText="1"/>
    </xf>
    <xf numFmtId="3" fontId="42" fillId="5" borderId="5" xfId="0" applyNumberFormat="1" applyFont="1" applyFill="1" applyBorder="1" applyAlignment="1">
      <alignment wrapText="1"/>
    </xf>
    <xf numFmtId="166" fontId="42" fillId="5" borderId="5" xfId="3" applyNumberFormat="1" applyFont="1" applyFill="1" applyBorder="1" applyAlignment="1">
      <alignment vertical="center" wrapText="1"/>
    </xf>
    <xf numFmtId="3" fontId="42" fillId="5" borderId="0" xfId="0" applyNumberFormat="1" applyFont="1" applyFill="1" applyAlignment="1">
      <alignment vertical="center"/>
    </xf>
    <xf numFmtId="43" fontId="42" fillId="5" borderId="5" xfId="3" applyFont="1" applyFill="1" applyBorder="1" applyAlignment="1">
      <alignment vertical="center" wrapText="1"/>
    </xf>
    <xf numFmtId="0" fontId="42" fillId="5" borderId="5" xfId="12" applyFont="1" applyFill="1" applyBorder="1" applyAlignment="1">
      <alignment horizontal="left" vertical="center" wrapText="1"/>
    </xf>
    <xf numFmtId="3" fontId="42" fillId="5" borderId="5" xfId="0" applyNumberFormat="1" applyFont="1" applyFill="1" applyBorder="1" applyAlignment="1">
      <alignment vertical="center" wrapText="1"/>
    </xf>
    <xf numFmtId="4" fontId="42" fillId="5" borderId="5" xfId="3" applyNumberFormat="1" applyFont="1" applyFill="1" applyBorder="1" applyAlignment="1">
      <alignment vertical="center" wrapText="1"/>
    </xf>
    <xf numFmtId="0" fontId="42" fillId="6" borderId="7" xfId="0" applyFont="1" applyFill="1" applyBorder="1" applyAlignment="1">
      <alignment horizontal="center" vertical="center" wrapText="1"/>
    </xf>
    <xf numFmtId="0" fontId="42" fillId="6" borderId="7" xfId="12" applyFont="1" applyFill="1" applyBorder="1" applyAlignment="1">
      <alignment horizontal="left" vertical="center" wrapText="1"/>
    </xf>
    <xf numFmtId="0" fontId="42" fillId="6" borderId="7" xfId="12" applyFont="1" applyFill="1" applyBorder="1" applyAlignment="1">
      <alignment horizontal="center" vertical="center" wrapText="1"/>
    </xf>
    <xf numFmtId="14" fontId="42" fillId="6" borderId="7" xfId="0" applyNumberFormat="1" applyFont="1" applyFill="1" applyBorder="1" applyAlignment="1">
      <alignment horizontal="center" vertical="center" wrapText="1"/>
    </xf>
    <xf numFmtId="0" fontId="42" fillId="6" borderId="7" xfId="0" quotePrefix="1" applyFont="1" applyFill="1" applyBorder="1" applyAlignment="1">
      <alignment horizontal="center" vertical="center" wrapText="1"/>
    </xf>
    <xf numFmtId="3" fontId="41" fillId="6" borderId="7" xfId="0" applyNumberFormat="1" applyFont="1" applyFill="1" applyBorder="1" applyAlignment="1">
      <alignment horizontal="right" vertical="center" wrapText="1"/>
    </xf>
    <xf numFmtId="3" fontId="42" fillId="6" borderId="7" xfId="0" applyNumberFormat="1" applyFont="1" applyFill="1" applyBorder="1" applyAlignment="1">
      <alignment horizontal="right" vertical="center" wrapText="1"/>
    </xf>
    <xf numFmtId="3" fontId="42" fillId="6" borderId="7" xfId="12" quotePrefix="1" applyNumberFormat="1" applyFont="1" applyFill="1" applyBorder="1" applyAlignment="1">
      <alignment horizontal="right" vertical="center" wrapText="1"/>
    </xf>
    <xf numFmtId="182" fontId="42" fillId="6" borderId="7" xfId="3" applyNumberFormat="1" applyFont="1" applyFill="1" applyBorder="1" applyAlignment="1">
      <alignment vertical="center" wrapText="1"/>
    </xf>
    <xf numFmtId="3" fontId="41" fillId="6" borderId="3" xfId="12" applyNumberFormat="1" applyFont="1" applyFill="1" applyBorder="1" applyAlignment="1">
      <alignment horizontal="center" vertical="center" wrapText="1"/>
    </xf>
    <xf numFmtId="167" fontId="42" fillId="5" borderId="5" xfId="3" applyNumberFormat="1" applyFont="1" applyFill="1" applyBorder="1" applyAlignment="1">
      <alignment vertical="center" wrapText="1"/>
    </xf>
    <xf numFmtId="169" fontId="42" fillId="5" borderId="5" xfId="3" applyNumberFormat="1" applyFont="1" applyFill="1" applyBorder="1" applyAlignment="1">
      <alignment vertical="center" wrapText="1"/>
    </xf>
    <xf numFmtId="167" fontId="42" fillId="5" borderId="0" xfId="3" applyNumberFormat="1" applyFont="1" applyFill="1" applyAlignment="1">
      <alignment vertical="center"/>
    </xf>
    <xf numFmtId="167" fontId="43" fillId="6" borderId="5" xfId="3" applyNumberFormat="1" applyFont="1" applyFill="1" applyBorder="1" applyAlignment="1">
      <alignment vertical="center" wrapText="1"/>
    </xf>
    <xf numFmtId="173" fontId="42" fillId="6" borderId="5" xfId="3" applyNumberFormat="1" applyFont="1" applyFill="1" applyBorder="1" applyAlignment="1">
      <alignment vertical="center" wrapText="1"/>
    </xf>
    <xf numFmtId="169" fontId="42" fillId="6" borderId="0" xfId="3" applyNumberFormat="1" applyFont="1" applyFill="1"/>
    <xf numFmtId="169" fontId="139" fillId="0" borderId="0" xfId="3" applyNumberFormat="1" applyFont="1"/>
    <xf numFmtId="175" fontId="139" fillId="0" borderId="0" xfId="0" applyNumberFormat="1" applyFont="1"/>
    <xf numFmtId="166" fontId="88" fillId="6" borderId="0" xfId="0" applyNumberFormat="1" applyFont="1" applyFill="1" applyAlignment="1">
      <alignment vertical="center" wrapText="1"/>
    </xf>
    <xf numFmtId="3" fontId="211" fillId="6" borderId="7" xfId="0" applyNumberFormat="1" applyFont="1" applyFill="1" applyBorder="1" applyAlignment="1">
      <alignment horizontal="center" vertical="center" wrapText="1"/>
    </xf>
    <xf numFmtId="3" fontId="211" fillId="6" borderId="7" xfId="0" applyNumberFormat="1" applyFont="1" applyFill="1" applyBorder="1" applyAlignment="1">
      <alignment horizontal="left" vertical="center" wrapText="1"/>
    </xf>
    <xf numFmtId="166" fontId="211" fillId="6" borderId="7" xfId="3" applyNumberFormat="1" applyFont="1" applyFill="1" applyBorder="1" applyAlignment="1">
      <alignment vertical="center" wrapText="1"/>
    </xf>
    <xf numFmtId="166" fontId="211" fillId="6" borderId="0" xfId="3" applyNumberFormat="1" applyFont="1" applyFill="1" applyAlignment="1">
      <alignment vertical="center" wrapText="1"/>
    </xf>
    <xf numFmtId="0" fontId="211" fillId="6" borderId="0" xfId="0" applyFont="1" applyFill="1" applyAlignment="1">
      <alignment vertical="center" wrapText="1"/>
    </xf>
    <xf numFmtId="0" fontId="42" fillId="6" borderId="0" xfId="0" applyFont="1" applyFill="1" applyAlignment="1">
      <alignment wrapText="1"/>
    </xf>
    <xf numFmtId="185" fontId="42" fillId="6" borderId="0" xfId="0" applyNumberFormat="1" applyFont="1" applyFill="1" applyAlignment="1">
      <alignment wrapText="1"/>
    </xf>
    <xf numFmtId="3" fontId="42" fillId="6" borderId="0" xfId="0" applyNumberFormat="1" applyFont="1" applyFill="1" applyAlignment="1">
      <alignment wrapText="1"/>
    </xf>
    <xf numFmtId="166" fontId="42" fillId="6" borderId="0" xfId="3" applyNumberFormat="1" applyFont="1" applyFill="1" applyAlignment="1">
      <alignment wrapText="1"/>
    </xf>
    <xf numFmtId="43" fontId="71" fillId="6" borderId="0" xfId="3" applyFont="1" applyFill="1" applyAlignment="1"/>
    <xf numFmtId="43" fontId="76" fillId="6" borderId="29" xfId="3" applyFont="1" applyFill="1" applyBorder="1" applyAlignment="1">
      <alignment horizontal="center" vertical="center" wrapText="1"/>
    </xf>
    <xf numFmtId="43" fontId="76" fillId="6" borderId="8" xfId="3" applyFont="1" applyFill="1" applyBorder="1" applyAlignment="1">
      <alignment horizontal="right" wrapText="1"/>
    </xf>
    <xf numFmtId="43" fontId="72" fillId="6" borderId="58" xfId="3" applyFont="1" applyFill="1" applyBorder="1" applyAlignment="1">
      <alignment horizontal="right" wrapText="1"/>
    </xf>
    <xf numFmtId="43" fontId="72" fillId="6" borderId="49" xfId="3" applyFont="1" applyFill="1" applyBorder="1" applyAlignment="1">
      <alignment horizontal="right" wrapText="1"/>
    </xf>
    <xf numFmtId="43" fontId="72" fillId="6" borderId="50" xfId="3" applyFont="1" applyFill="1" applyBorder="1" applyAlignment="1">
      <alignment horizontal="right" wrapText="1"/>
    </xf>
    <xf numFmtId="171" fontId="72" fillId="6" borderId="49" xfId="3" applyNumberFormat="1" applyFont="1" applyFill="1" applyBorder="1" applyAlignment="1">
      <alignment horizontal="right" wrapText="1"/>
    </xf>
    <xf numFmtId="0" fontId="72" fillId="6" borderId="0" xfId="0" applyFont="1" applyFill="1" applyAlignment="1">
      <alignment horizontal="center"/>
    </xf>
    <xf numFmtId="0" fontId="72" fillId="6" borderId="8" xfId="0" applyFont="1" applyFill="1" applyBorder="1" applyAlignment="1">
      <alignment wrapText="1"/>
    </xf>
    <xf numFmtId="0" fontId="72" fillId="6" borderId="58" xfId="0" applyFont="1" applyFill="1" applyBorder="1" applyAlignment="1">
      <alignment wrapText="1"/>
    </xf>
    <xf numFmtId="0" fontId="72" fillId="6" borderId="49" xfId="0" applyFont="1" applyFill="1" applyBorder="1" applyAlignment="1">
      <alignment wrapText="1"/>
    </xf>
    <xf numFmtId="0" fontId="72" fillId="6" borderId="50" xfId="0" applyFont="1" applyFill="1" applyBorder="1" applyAlignment="1">
      <alignment wrapText="1"/>
    </xf>
    <xf numFmtId="0" fontId="110" fillId="6" borderId="11" xfId="0" applyFont="1" applyFill="1" applyBorder="1" applyAlignment="1">
      <alignment vertical="center" wrapText="1"/>
    </xf>
    <xf numFmtId="171" fontId="71" fillId="6" borderId="0" xfId="3" applyNumberFormat="1" applyFont="1" applyFill="1" applyAlignment="1"/>
    <xf numFmtId="171" fontId="76" fillId="6" borderId="29" xfId="3" applyNumberFormat="1" applyFont="1" applyFill="1" applyBorder="1" applyAlignment="1">
      <alignment horizontal="center" vertical="center" wrapText="1"/>
    </xf>
    <xf numFmtId="185" fontId="76" fillId="6" borderId="8" xfId="0" applyNumberFormat="1" applyFont="1" applyFill="1" applyBorder="1" applyAlignment="1">
      <alignment horizontal="right" wrapText="1"/>
    </xf>
    <xf numFmtId="171" fontId="76" fillId="6" borderId="8" xfId="3" applyNumberFormat="1" applyFont="1" applyFill="1" applyBorder="1" applyAlignment="1">
      <alignment horizontal="right" wrapText="1"/>
    </xf>
    <xf numFmtId="171" fontId="72" fillId="6" borderId="58" xfId="3" applyNumberFormat="1" applyFont="1" applyFill="1" applyBorder="1" applyAlignment="1">
      <alignment horizontal="right" wrapText="1"/>
    </xf>
    <xf numFmtId="171" fontId="72" fillId="6" borderId="50" xfId="3" applyNumberFormat="1" applyFont="1" applyFill="1" applyBorder="1" applyAlignment="1">
      <alignment horizontal="right" wrapText="1"/>
    </xf>
    <xf numFmtId="171" fontId="6" fillId="6" borderId="0" xfId="3" applyNumberFormat="1" applyFont="1" applyFill="1" applyAlignment="1"/>
    <xf numFmtId="0" fontId="6" fillId="6" borderId="0" xfId="0" applyFont="1" applyFill="1" applyAlignment="1">
      <alignment horizontal="left"/>
    </xf>
    <xf numFmtId="43" fontId="6" fillId="6" borderId="0" xfId="3" applyFont="1" applyFill="1" applyAlignment="1"/>
    <xf numFmtId="166" fontId="72" fillId="6" borderId="0" xfId="3" applyNumberFormat="1" applyFont="1" applyFill="1" applyAlignment="1">
      <alignment horizontal="right"/>
    </xf>
    <xf numFmtId="0" fontId="72" fillId="6" borderId="0" xfId="0" applyFont="1" applyFill="1"/>
    <xf numFmtId="0" fontId="134" fillId="6" borderId="49" xfId="0" applyFont="1" applyFill="1" applyBorder="1" applyAlignment="1">
      <alignment wrapText="1"/>
    </xf>
    <xf numFmtId="0" fontId="134" fillId="6" borderId="49" xfId="0" applyFont="1" applyFill="1" applyBorder="1" applyAlignment="1">
      <alignment horizontal="left" wrapText="1"/>
    </xf>
    <xf numFmtId="185" fontId="134" fillId="6" borderId="49" xfId="0" applyNumberFormat="1" applyFont="1" applyFill="1" applyBorder="1" applyAlignment="1">
      <alignment horizontal="right" wrapText="1"/>
    </xf>
    <xf numFmtId="43" fontId="134" fillId="6" borderId="49" xfId="3" applyFont="1" applyFill="1" applyBorder="1" applyAlignment="1">
      <alignment horizontal="right" wrapText="1"/>
    </xf>
    <xf numFmtId="171" fontId="134" fillId="6" borderId="49" xfId="3" applyNumberFormat="1" applyFont="1" applyFill="1" applyBorder="1" applyAlignment="1">
      <alignment horizontal="right" wrapText="1"/>
    </xf>
    <xf numFmtId="0" fontId="110" fillId="6" borderId="0" xfId="0" applyFont="1" applyFill="1" applyAlignment="1">
      <alignment wrapText="1"/>
    </xf>
    <xf numFmtId="166" fontId="110" fillId="6" borderId="0" xfId="3" applyNumberFormat="1" applyFont="1" applyFill="1" applyAlignment="1">
      <alignment wrapText="1"/>
    </xf>
    <xf numFmtId="168" fontId="134" fillId="6" borderId="49" xfId="3" applyNumberFormat="1" applyFont="1" applyFill="1" applyBorder="1" applyAlignment="1">
      <alignment horizontal="right" wrapText="1"/>
    </xf>
    <xf numFmtId="169" fontId="72" fillId="6" borderId="50" xfId="3" applyNumberFormat="1" applyFont="1" applyFill="1" applyBorder="1" applyAlignment="1">
      <alignment horizontal="right" wrapText="1"/>
    </xf>
    <xf numFmtId="169" fontId="72" fillId="6" borderId="49" xfId="3" applyNumberFormat="1" applyFont="1" applyFill="1" applyBorder="1" applyAlignment="1">
      <alignment horizontal="right" wrapText="1"/>
    </xf>
    <xf numFmtId="204" fontId="72" fillId="6" borderId="49" xfId="0" applyNumberFormat="1" applyFont="1" applyFill="1" applyBorder="1" applyAlignment="1">
      <alignment horizontal="right" wrapText="1"/>
    </xf>
    <xf numFmtId="168" fontId="42" fillId="6" borderId="0" xfId="3" applyNumberFormat="1" applyFont="1" applyFill="1" applyAlignment="1">
      <alignment wrapText="1"/>
    </xf>
    <xf numFmtId="43" fontId="42" fillId="6" borderId="0" xfId="3" applyFont="1" applyFill="1" applyAlignment="1">
      <alignment wrapText="1"/>
    </xf>
    <xf numFmtId="169" fontId="42" fillId="6" borderId="0" xfId="3" applyNumberFormat="1" applyFont="1" applyFill="1" applyAlignment="1">
      <alignment wrapText="1"/>
    </xf>
    <xf numFmtId="207" fontId="110" fillId="6" borderId="0" xfId="0" applyNumberFormat="1" applyFont="1" applyFill="1" applyAlignment="1">
      <alignment wrapText="1"/>
    </xf>
    <xf numFmtId="208" fontId="42" fillId="6" borderId="0" xfId="0" applyNumberFormat="1" applyFont="1" applyFill="1" applyAlignment="1">
      <alignment wrapText="1"/>
    </xf>
    <xf numFmtId="201" fontId="72" fillId="6" borderId="49" xfId="0" applyNumberFormat="1" applyFont="1" applyFill="1" applyBorder="1" applyAlignment="1">
      <alignment horizontal="right" wrapText="1"/>
    </xf>
    <xf numFmtId="166" fontId="42" fillId="6" borderId="0" xfId="0" applyNumberFormat="1" applyFont="1" applyFill="1" applyAlignment="1">
      <alignment wrapText="1"/>
    </xf>
    <xf numFmtId="205" fontId="72" fillId="6" borderId="49" xfId="0" applyNumberFormat="1" applyFont="1" applyFill="1" applyBorder="1" applyAlignment="1">
      <alignment horizontal="right" wrapText="1"/>
    </xf>
    <xf numFmtId="203" fontId="72" fillId="6" borderId="49" xfId="0" applyNumberFormat="1" applyFont="1" applyFill="1" applyBorder="1" applyAlignment="1">
      <alignment horizontal="right" wrapText="1"/>
    </xf>
    <xf numFmtId="206" fontId="42" fillId="6" borderId="0" xfId="0" applyNumberFormat="1" applyFont="1" applyFill="1" applyAlignment="1">
      <alignment wrapText="1"/>
    </xf>
    <xf numFmtId="168" fontId="72" fillId="6" borderId="49" xfId="3" applyNumberFormat="1" applyFont="1" applyFill="1" applyBorder="1" applyAlignment="1">
      <alignment horizontal="right" wrapText="1"/>
    </xf>
    <xf numFmtId="167" fontId="72" fillId="6" borderId="49" xfId="3" applyNumberFormat="1" applyFont="1" applyFill="1" applyBorder="1" applyAlignment="1">
      <alignment horizontal="right" wrapText="1"/>
    </xf>
    <xf numFmtId="202" fontId="72" fillId="6" borderId="49" xfId="0" applyNumberFormat="1" applyFont="1" applyFill="1" applyBorder="1" applyAlignment="1">
      <alignment horizontal="right" wrapText="1"/>
    </xf>
    <xf numFmtId="168" fontId="71" fillId="6" borderId="0" xfId="3" applyNumberFormat="1" applyFont="1" applyFill="1" applyAlignment="1"/>
    <xf numFmtId="168" fontId="72" fillId="6" borderId="58" xfId="3" applyNumberFormat="1" applyFont="1" applyFill="1" applyBorder="1" applyAlignment="1">
      <alignment horizontal="right" wrapText="1"/>
    </xf>
    <xf numFmtId="168" fontId="72" fillId="6" borderId="50" xfId="3" applyNumberFormat="1" applyFont="1" applyFill="1" applyBorder="1" applyAlignment="1">
      <alignment horizontal="right" wrapText="1"/>
    </xf>
    <xf numFmtId="168" fontId="72" fillId="6" borderId="0" xfId="3" applyNumberFormat="1" applyFont="1" applyFill="1" applyAlignment="1">
      <alignment horizontal="right"/>
    </xf>
    <xf numFmtId="169" fontId="76" fillId="6" borderId="8" xfId="3" applyNumberFormat="1" applyFont="1" applyFill="1" applyBorder="1" applyAlignment="1">
      <alignment horizontal="right" wrapText="1"/>
    </xf>
    <xf numFmtId="0" fontId="72" fillId="6" borderId="16" xfId="0" applyFont="1" applyFill="1" applyBorder="1" applyAlignment="1">
      <alignment horizontal="center" vertical="center" wrapText="1"/>
    </xf>
    <xf numFmtId="0" fontId="76" fillId="6" borderId="16" xfId="0" applyFont="1" applyFill="1" applyBorder="1" applyAlignment="1">
      <alignment horizontal="center" vertical="center" wrapText="1"/>
    </xf>
    <xf numFmtId="168" fontId="76" fillId="6" borderId="0" xfId="3" applyNumberFormat="1" applyFont="1" applyFill="1" applyBorder="1" applyAlignment="1">
      <alignment horizontal="center" vertical="center" wrapText="1"/>
    </xf>
    <xf numFmtId="0" fontId="72" fillId="8" borderId="49" xfId="0" applyFont="1" applyFill="1" applyBorder="1" applyAlignment="1">
      <alignment wrapText="1"/>
    </xf>
    <xf numFmtId="0" fontId="72" fillId="8" borderId="49" xfId="0" applyFont="1" applyFill="1" applyBorder="1" applyAlignment="1">
      <alignment horizontal="left" wrapText="1"/>
    </xf>
    <xf numFmtId="185" fontId="72" fillId="8" borderId="49" xfId="0" applyNumberFormat="1" applyFont="1" applyFill="1" applyBorder="1" applyAlignment="1">
      <alignment horizontal="right" wrapText="1"/>
    </xf>
    <xf numFmtId="43" fontId="72" fillId="8" borderId="49" xfId="3" applyFont="1" applyFill="1" applyBorder="1" applyAlignment="1">
      <alignment horizontal="right" wrapText="1"/>
    </xf>
    <xf numFmtId="171" fontId="72" fillId="8" borderId="49" xfId="3" applyNumberFormat="1" applyFont="1" applyFill="1" applyBorder="1" applyAlignment="1">
      <alignment horizontal="right" wrapText="1"/>
    </xf>
    <xf numFmtId="168" fontId="72" fillId="8" borderId="49" xfId="3" applyNumberFormat="1" applyFont="1" applyFill="1" applyBorder="1" applyAlignment="1">
      <alignment horizontal="right" wrapText="1"/>
    </xf>
    <xf numFmtId="0" fontId="42" fillId="8" borderId="0" xfId="0" applyFont="1" applyFill="1" applyAlignment="1">
      <alignment wrapText="1"/>
    </xf>
    <xf numFmtId="168" fontId="42" fillId="6" borderId="0" xfId="3" applyNumberFormat="1" applyFont="1" applyFill="1" applyAlignment="1">
      <alignment vertical="center" wrapText="1"/>
    </xf>
    <xf numFmtId="168" fontId="42" fillId="8" borderId="0" xfId="3" applyNumberFormat="1" applyFont="1" applyFill="1" applyAlignment="1">
      <alignment wrapText="1"/>
    </xf>
    <xf numFmtId="172" fontId="76" fillId="6" borderId="8" xfId="3" applyNumberFormat="1" applyFont="1" applyFill="1" applyBorder="1" applyAlignment="1">
      <alignment horizontal="right" wrapText="1"/>
    </xf>
    <xf numFmtId="202" fontId="42" fillId="6" borderId="0" xfId="0" applyNumberFormat="1" applyFont="1" applyFill="1" applyAlignment="1">
      <alignment wrapText="1"/>
    </xf>
    <xf numFmtId="0" fontId="76" fillId="6" borderId="49" xfId="0" applyFont="1" applyFill="1" applyBorder="1" applyAlignment="1">
      <alignment wrapText="1"/>
    </xf>
    <xf numFmtId="0" fontId="76" fillId="6" borderId="49" xfId="0" applyFont="1" applyFill="1" applyBorder="1" applyAlignment="1">
      <alignment horizontal="left" wrapText="1"/>
    </xf>
    <xf numFmtId="185" fontId="76" fillId="6" borderId="49" xfId="0" applyNumberFormat="1" applyFont="1" applyFill="1" applyBorder="1" applyAlignment="1">
      <alignment horizontal="right" wrapText="1"/>
    </xf>
    <xf numFmtId="0" fontId="76" fillId="6" borderId="59" xfId="0" applyFont="1" applyFill="1" applyBorder="1" applyAlignment="1">
      <alignment wrapText="1"/>
    </xf>
    <xf numFmtId="0" fontId="76" fillId="6" borderId="59" xfId="0" applyFont="1" applyFill="1" applyBorder="1" applyAlignment="1">
      <alignment horizontal="left" wrapText="1"/>
    </xf>
    <xf numFmtId="168" fontId="76" fillId="6" borderId="59" xfId="3" applyNumberFormat="1" applyFont="1" applyFill="1" applyBorder="1" applyAlignment="1">
      <alignment horizontal="right" wrapText="1"/>
    </xf>
    <xf numFmtId="0" fontId="41" fillId="6" borderId="0" xfId="0" applyFont="1" applyFill="1" applyAlignment="1">
      <alignment wrapText="1"/>
    </xf>
    <xf numFmtId="0" fontId="42" fillId="6" borderId="11" xfId="0" applyFont="1" applyFill="1" applyBorder="1"/>
    <xf numFmtId="166" fontId="71" fillId="6" borderId="0" xfId="3" applyNumberFormat="1" applyFont="1" applyFill="1" applyAlignment="1">
      <alignment wrapText="1"/>
    </xf>
    <xf numFmtId="3" fontId="184" fillId="5" borderId="5" xfId="0" applyNumberFormat="1" applyFont="1" applyFill="1" applyBorder="1" applyAlignment="1">
      <alignment horizontal="center" vertical="center" wrapText="1"/>
    </xf>
    <xf numFmtId="0" fontId="184" fillId="5" borderId="5" xfId="0" applyFont="1" applyFill="1" applyBorder="1" applyAlignment="1">
      <alignment horizontal="justify" vertical="center" wrapText="1"/>
    </xf>
    <xf numFmtId="166" fontId="184" fillId="5" borderId="5" xfId="3" applyNumberFormat="1" applyFont="1" applyFill="1" applyBorder="1" applyAlignment="1">
      <alignment vertical="center" wrapText="1"/>
    </xf>
    <xf numFmtId="166" fontId="186" fillId="5" borderId="5" xfId="3" applyNumberFormat="1" applyFont="1" applyFill="1" applyBorder="1" applyAlignment="1">
      <alignment vertical="center" wrapText="1"/>
    </xf>
    <xf numFmtId="0" fontId="184" fillId="5" borderId="0" xfId="0" applyFont="1" applyFill="1" applyAlignment="1">
      <alignment vertical="center" wrapText="1"/>
    </xf>
    <xf numFmtId="3" fontId="186" fillId="5" borderId="5" xfId="0" applyNumberFormat="1" applyFont="1" applyFill="1" applyBorder="1" applyAlignment="1">
      <alignment horizontal="center" vertical="center" wrapText="1"/>
    </xf>
    <xf numFmtId="3" fontId="186" fillId="5" borderId="5" xfId="0" applyNumberFormat="1" applyFont="1" applyFill="1" applyBorder="1" applyAlignment="1">
      <alignment horizontal="left" vertical="center" wrapText="1"/>
    </xf>
    <xf numFmtId="0" fontId="186" fillId="5" borderId="0" xfId="0" applyFont="1" applyFill="1" applyAlignment="1">
      <alignment vertical="center" wrapText="1"/>
    </xf>
    <xf numFmtId="43" fontId="186" fillId="6" borderId="5" xfId="3" applyFont="1" applyFill="1" applyBorder="1" applyAlignment="1">
      <alignment vertical="center" wrapText="1"/>
    </xf>
    <xf numFmtId="0" fontId="2" fillId="6" borderId="3" xfId="0" applyFont="1" applyFill="1" applyBorder="1" applyAlignment="1">
      <alignment horizontal="center" vertical="center" wrapText="1"/>
    </xf>
    <xf numFmtId="171" fontId="2" fillId="6" borderId="0" xfId="3" applyNumberFormat="1" applyFont="1" applyFill="1" applyAlignment="1">
      <alignment horizontal="center" vertical="center" wrapText="1"/>
    </xf>
    <xf numFmtId="171" fontId="2" fillId="6" borderId="0" xfId="3" applyNumberFormat="1" applyFont="1" applyFill="1" applyAlignment="1">
      <alignment horizontal="center" vertical="center"/>
    </xf>
    <xf numFmtId="0" fontId="2" fillId="6" borderId="0" xfId="0" applyFont="1" applyFill="1" applyAlignment="1">
      <alignment horizontal="center" wrapText="1"/>
    </xf>
    <xf numFmtId="0" fontId="3" fillId="6" borderId="0" xfId="0" applyFont="1" applyFill="1" applyAlignment="1">
      <alignment horizontal="center" wrapText="1"/>
    </xf>
    <xf numFmtId="0" fontId="6" fillId="6" borderId="0" xfId="0" applyFont="1" applyFill="1" applyAlignment="1">
      <alignment horizontal="right" vertical="center" wrapText="1"/>
    </xf>
    <xf numFmtId="3" fontId="6" fillId="6" borderId="0" xfId="0" applyNumberFormat="1" applyFont="1" applyFill="1" applyAlignment="1">
      <alignment horizontal="right" vertical="center" wrapText="1"/>
    </xf>
    <xf numFmtId="182" fontId="6" fillId="6" borderId="0" xfId="3" applyNumberFormat="1" applyFont="1" applyFill="1" applyAlignment="1">
      <alignment horizontal="right" vertical="center" wrapText="1"/>
    </xf>
    <xf numFmtId="0" fontId="2" fillId="6" borderId="3" xfId="12" applyFont="1" applyFill="1" applyBorder="1" applyAlignment="1">
      <alignment horizontal="center" vertical="center" wrapText="1"/>
    </xf>
    <xf numFmtId="182" fontId="2" fillId="6" borderId="3" xfId="3" applyNumberFormat="1" applyFont="1" applyFill="1" applyBorder="1" applyAlignment="1">
      <alignment horizontal="center" vertical="center" wrapText="1"/>
    </xf>
    <xf numFmtId="182" fontId="6" fillId="6" borderId="8" xfId="3" applyNumberFormat="1" applyFont="1" applyFill="1" applyBorder="1" applyAlignment="1">
      <alignment horizontal="center" vertical="center" wrapText="1"/>
    </xf>
    <xf numFmtId="0" fontId="6" fillId="6" borderId="8" xfId="0" applyFont="1" applyFill="1" applyBorder="1" applyAlignment="1">
      <alignment horizontal="center" vertical="center" wrapText="1"/>
    </xf>
    <xf numFmtId="0" fontId="2" fillId="6" borderId="8" xfId="12" applyFont="1" applyFill="1" applyBorder="1" applyAlignment="1">
      <alignment horizontal="center" vertical="center" wrapText="1"/>
    </xf>
    <xf numFmtId="182" fontId="2" fillId="6" borderId="8" xfId="3" applyNumberFormat="1" applyFont="1" applyFill="1" applyBorder="1" applyAlignment="1">
      <alignment horizontal="center" vertical="center" wrapText="1"/>
    </xf>
    <xf numFmtId="182" fontId="2" fillId="6" borderId="8" xfId="12" applyNumberFormat="1" applyFont="1" applyFill="1" applyBorder="1" applyAlignment="1">
      <alignment horizontal="center" vertical="center" wrapText="1"/>
    </xf>
    <xf numFmtId="3" fontId="2" fillId="6" borderId="4" xfId="12" applyNumberFormat="1" applyFont="1" applyFill="1" applyBorder="1" applyAlignment="1">
      <alignment horizontal="right" wrapText="1"/>
    </xf>
    <xf numFmtId="182" fontId="2" fillId="6" borderId="4" xfId="3" applyNumberFormat="1" applyFont="1" applyFill="1" applyBorder="1" applyAlignment="1">
      <alignment horizontal="right" wrapText="1"/>
    </xf>
    <xf numFmtId="3" fontId="3" fillId="6" borderId="5" xfId="12" quotePrefix="1" applyNumberFormat="1" applyFont="1" applyFill="1" applyBorder="1" applyAlignment="1">
      <alignment horizontal="right" wrapText="1"/>
    </xf>
    <xf numFmtId="182" fontId="6" fillId="6" borderId="5" xfId="3" applyNumberFormat="1" applyFont="1" applyFill="1" applyBorder="1" applyAlignment="1">
      <alignment horizontal="right" wrapText="1"/>
    </xf>
    <xf numFmtId="3" fontId="6" fillId="6" borderId="5" xfId="12" quotePrefix="1" applyNumberFormat="1" applyFont="1" applyFill="1" applyBorder="1" applyAlignment="1">
      <alignment horizontal="right" wrapText="1"/>
    </xf>
    <xf numFmtId="3" fontId="6" fillId="6" borderId="5" xfId="0" applyNumberFormat="1" applyFont="1" applyFill="1" applyBorder="1" applyAlignment="1">
      <alignment horizontal="right" wrapText="1"/>
    </xf>
    <xf numFmtId="3" fontId="2" fillId="6" borderId="5" xfId="12" quotePrefix="1" applyNumberFormat="1" applyFont="1" applyFill="1" applyBorder="1" applyAlignment="1">
      <alignment horizontal="right" wrapText="1"/>
    </xf>
    <xf numFmtId="182" fontId="2" fillId="6" borderId="5" xfId="3" applyNumberFormat="1" applyFont="1" applyFill="1" applyBorder="1" applyAlignment="1">
      <alignment horizontal="right" wrapText="1"/>
    </xf>
    <xf numFmtId="3" fontId="6" fillId="0" borderId="5" xfId="0" applyNumberFormat="1" applyFont="1" applyBorder="1" applyAlignment="1">
      <alignment horizontal="right" wrapText="1"/>
    </xf>
    <xf numFmtId="182" fontId="6" fillId="0" borderId="5" xfId="3" applyNumberFormat="1" applyFont="1" applyFill="1" applyBorder="1" applyAlignment="1">
      <alignment horizontal="right" wrapText="1"/>
    </xf>
    <xf numFmtId="182" fontId="3" fillId="6" borderId="5" xfId="3" applyNumberFormat="1" applyFont="1" applyFill="1" applyBorder="1" applyAlignment="1">
      <alignment horizontal="right" wrapText="1"/>
    </xf>
    <xf numFmtId="182" fontId="3" fillId="0" borderId="5" xfId="3" applyNumberFormat="1" applyFont="1" applyFill="1" applyBorder="1" applyAlignment="1">
      <alignment horizontal="right" wrapText="1"/>
    </xf>
    <xf numFmtId="0" fontId="6" fillId="6" borderId="5" xfId="0" applyFont="1" applyFill="1" applyBorder="1" applyAlignment="1">
      <alignment horizontal="right" wrapText="1"/>
    </xf>
    <xf numFmtId="0" fontId="6" fillId="6" borderId="6" xfId="0" applyFont="1" applyFill="1" applyBorder="1" applyAlignment="1">
      <alignment horizontal="right" wrapText="1"/>
    </xf>
    <xf numFmtId="182" fontId="3" fillId="6" borderId="6" xfId="3" applyNumberFormat="1" applyFont="1" applyFill="1" applyBorder="1" applyAlignment="1">
      <alignment horizontal="right" wrapText="1"/>
    </xf>
    <xf numFmtId="0" fontId="6" fillId="6" borderId="0" xfId="0" applyFont="1" applyFill="1" applyAlignment="1">
      <alignment horizontal="center" vertical="center" wrapText="1"/>
    </xf>
    <xf numFmtId="0" fontId="6" fillId="6" borderId="0" xfId="0" applyFont="1" applyFill="1" applyAlignment="1">
      <alignment horizontal="left" vertical="center" wrapText="1"/>
    </xf>
    <xf numFmtId="14" fontId="6" fillId="6" borderId="0" xfId="0" applyNumberFormat="1" applyFont="1" applyFill="1" applyAlignment="1">
      <alignment horizontal="center" vertical="center" wrapText="1"/>
    </xf>
    <xf numFmtId="14" fontId="2" fillId="6" borderId="3" xfId="0" applyNumberFormat="1" applyFont="1" applyFill="1" applyBorder="1" applyAlignment="1">
      <alignment horizontal="center" vertical="center" wrapText="1"/>
    </xf>
    <xf numFmtId="14" fontId="6" fillId="6" borderId="8" xfId="0" applyNumberFormat="1" applyFont="1" applyFill="1" applyBorder="1" applyAlignment="1">
      <alignment horizontal="center" vertical="center" wrapText="1"/>
    </xf>
    <xf numFmtId="0" fontId="6" fillId="6" borderId="8" xfId="12" applyFont="1" applyFill="1" applyBorder="1" applyAlignment="1">
      <alignment horizontal="center" vertical="center" wrapText="1"/>
    </xf>
    <xf numFmtId="0" fontId="2" fillId="6" borderId="8" xfId="0" applyFont="1" applyFill="1" applyBorder="1" applyAlignment="1">
      <alignment horizontal="left" vertical="center" wrapText="1"/>
    </xf>
    <xf numFmtId="0" fontId="2" fillId="6" borderId="8" xfId="0" applyFont="1" applyFill="1" applyBorder="1" applyAlignment="1">
      <alignment horizontal="center" vertical="center" wrapText="1"/>
    </xf>
    <xf numFmtId="14" fontId="2" fillId="6" borderId="8" xfId="0" applyNumberFormat="1" applyFont="1" applyFill="1" applyBorder="1" applyAlignment="1">
      <alignment horizontal="center" vertical="center" wrapText="1"/>
    </xf>
    <xf numFmtId="0" fontId="6" fillId="6" borderId="4" xfId="0" applyFont="1" applyFill="1" applyBorder="1" applyAlignment="1">
      <alignment horizontal="center" wrapText="1"/>
    </xf>
    <xf numFmtId="0" fontId="2" fillId="6" borderId="4" xfId="0" applyFont="1" applyFill="1" applyBorder="1" applyAlignment="1">
      <alignment horizontal="left" wrapText="1"/>
    </xf>
    <xf numFmtId="0" fontId="2" fillId="6" borderId="4" xfId="0" applyFont="1" applyFill="1" applyBorder="1" applyAlignment="1">
      <alignment horizontal="center" wrapText="1"/>
    </xf>
    <xf numFmtId="14" fontId="2" fillId="6" borderId="4" xfId="0" applyNumberFormat="1" applyFont="1" applyFill="1" applyBorder="1" applyAlignment="1">
      <alignment horizontal="center" wrapText="1"/>
    </xf>
    <xf numFmtId="0" fontId="6" fillId="6" borderId="5" xfId="0" applyFont="1" applyFill="1" applyBorder="1" applyAlignment="1">
      <alignment horizontal="center" wrapText="1"/>
    </xf>
    <xf numFmtId="0" fontId="6" fillId="6" borderId="5" xfId="0" applyFont="1" applyFill="1" applyBorder="1" applyAlignment="1">
      <alignment horizontal="left" wrapText="1"/>
    </xf>
    <xf numFmtId="14" fontId="6" fillId="6" borderId="5" xfId="0" applyNumberFormat="1" applyFont="1" applyFill="1" applyBorder="1" applyAlignment="1">
      <alignment wrapText="1"/>
    </xf>
    <xf numFmtId="3" fontId="3" fillId="6" borderId="5" xfId="12" applyNumberFormat="1" applyFont="1" applyFill="1" applyBorder="1" applyAlignment="1">
      <alignment horizontal="right" wrapText="1"/>
    </xf>
    <xf numFmtId="0" fontId="6" fillId="6" borderId="0" xfId="0" applyFont="1" applyFill="1" applyAlignment="1">
      <alignment wrapText="1"/>
    </xf>
    <xf numFmtId="0" fontId="2" fillId="6" borderId="5" xfId="0" applyFont="1" applyFill="1" applyBorder="1" applyAlignment="1">
      <alignment horizontal="center" wrapText="1"/>
    </xf>
    <xf numFmtId="14" fontId="2" fillId="6" borderId="5" xfId="0" applyNumberFormat="1" applyFont="1" applyFill="1" applyBorder="1" applyAlignment="1">
      <alignment wrapText="1"/>
    </xf>
    <xf numFmtId="3" fontId="8" fillId="6" borderId="5" xfId="12" applyNumberFormat="1" applyFont="1" applyFill="1" applyBorder="1" applyAlignment="1">
      <alignment horizontal="right" wrapText="1"/>
    </xf>
    <xf numFmtId="0" fontId="2" fillId="6" borderId="0" xfId="0" applyFont="1" applyFill="1" applyAlignment="1">
      <alignment wrapText="1"/>
    </xf>
    <xf numFmtId="0" fontId="6" fillId="6" borderId="5" xfId="12" applyFont="1" applyFill="1" applyBorder="1" applyAlignment="1">
      <alignment horizontal="center" wrapText="1"/>
    </xf>
    <xf numFmtId="14" fontId="6" fillId="6" borderId="5" xfId="0" applyNumberFormat="1" applyFont="1" applyFill="1" applyBorder="1" applyAlignment="1">
      <alignment horizontal="center" wrapText="1"/>
    </xf>
    <xf numFmtId="0" fontId="6" fillId="0" borderId="5" xfId="0" applyFont="1" applyBorder="1" applyAlignment="1">
      <alignment horizontal="center" wrapText="1"/>
    </xf>
    <xf numFmtId="0" fontId="6" fillId="0" borderId="5" xfId="12" applyFont="1" applyBorder="1" applyAlignment="1">
      <alignment horizontal="center" wrapText="1"/>
    </xf>
    <xf numFmtId="14" fontId="6" fillId="0" borderId="5" xfId="0" applyNumberFormat="1" applyFont="1" applyBorder="1" applyAlignment="1">
      <alignment horizontal="center" wrapText="1"/>
    </xf>
    <xf numFmtId="3" fontId="3" fillId="0" borderId="5" xfId="12" applyNumberFormat="1" applyFont="1" applyBorder="1" applyAlignment="1">
      <alignment horizontal="right" wrapText="1"/>
    </xf>
    <xf numFmtId="0" fontId="6" fillId="0" borderId="0" xfId="0" applyFont="1" applyAlignment="1">
      <alignment wrapText="1"/>
    </xf>
    <xf numFmtId="182" fontId="6" fillId="0" borderId="0" xfId="0" applyNumberFormat="1" applyFont="1" applyAlignment="1">
      <alignment wrapText="1"/>
    </xf>
    <xf numFmtId="14" fontId="6" fillId="6" borderId="5" xfId="0" quotePrefix="1" applyNumberFormat="1" applyFont="1" applyFill="1" applyBorder="1" applyAlignment="1">
      <alignment horizontal="center" wrapText="1"/>
    </xf>
    <xf numFmtId="182" fontId="6" fillId="6" borderId="0" xfId="0" applyNumberFormat="1" applyFont="1" applyFill="1" applyAlignment="1">
      <alignment wrapText="1"/>
    </xf>
    <xf numFmtId="0" fontId="6" fillId="6" borderId="5" xfId="12" applyFont="1" applyFill="1" applyBorder="1" applyAlignment="1">
      <alignment horizontal="left" wrapText="1"/>
    </xf>
    <xf numFmtId="0" fontId="6" fillId="0" borderId="5" xfId="12" applyFont="1" applyBorder="1" applyAlignment="1">
      <alignment horizontal="left" wrapText="1"/>
    </xf>
    <xf numFmtId="196" fontId="6" fillId="6" borderId="5" xfId="0" applyNumberFormat="1" applyFont="1" applyFill="1" applyBorder="1" applyAlignment="1">
      <alignment horizontal="center"/>
    </xf>
    <xf numFmtId="3" fontId="3" fillId="6" borderId="5" xfId="12" applyNumberFormat="1" applyFont="1" applyFill="1" applyBorder="1" applyAlignment="1">
      <alignment horizontal="center" wrapText="1"/>
    </xf>
    <xf numFmtId="0" fontId="6" fillId="6" borderId="6" xfId="0" applyFont="1" applyFill="1" applyBorder="1" applyAlignment="1">
      <alignment horizontal="center" vertical="center" wrapText="1"/>
    </xf>
    <xf numFmtId="0" fontId="6" fillId="6" borderId="6" xfId="0" applyFont="1" applyFill="1" applyBorder="1" applyAlignment="1">
      <alignment horizontal="left" vertical="center" wrapText="1"/>
    </xf>
    <xf numFmtId="14" fontId="6" fillId="6" borderId="6" xfId="0" applyNumberFormat="1" applyFont="1" applyFill="1" applyBorder="1" applyAlignment="1">
      <alignment horizontal="center" vertical="center" wrapText="1"/>
    </xf>
    <xf numFmtId="182" fontId="6" fillId="6" borderId="6" xfId="3" applyNumberFormat="1" applyFont="1" applyFill="1" applyBorder="1" applyAlignment="1">
      <alignment horizontal="right" vertical="center" wrapText="1"/>
    </xf>
    <xf numFmtId="171" fontId="3" fillId="6" borderId="0" xfId="3" applyNumberFormat="1" applyFont="1" applyFill="1" applyBorder="1" applyAlignment="1">
      <alignment horizontal="center" vertical="center" wrapText="1"/>
    </xf>
    <xf numFmtId="171" fontId="6" fillId="6" borderId="0" xfId="3" applyNumberFormat="1" applyFont="1" applyFill="1" applyAlignment="1">
      <alignment vertical="center"/>
    </xf>
    <xf numFmtId="182" fontId="6" fillId="6" borderId="17" xfId="3" applyNumberFormat="1" applyFont="1" applyFill="1" applyBorder="1" applyAlignment="1">
      <alignment horizontal="center" vertical="center" wrapText="1"/>
    </xf>
    <xf numFmtId="169" fontId="71" fillId="6" borderId="0" xfId="3" applyNumberFormat="1" applyFont="1" applyFill="1" applyAlignment="1">
      <alignment vertical="center"/>
    </xf>
    <xf numFmtId="0" fontId="6" fillId="5" borderId="5" xfId="0" applyFont="1" applyFill="1" applyBorder="1" applyAlignment="1">
      <alignment horizontal="center" wrapText="1"/>
    </xf>
    <xf numFmtId="0" fontId="2" fillId="5" borderId="5" xfId="0" applyFont="1" applyFill="1" applyBorder="1" applyAlignment="1">
      <alignment vertical="center" wrapText="1"/>
    </xf>
    <xf numFmtId="0" fontId="2" fillId="5" borderId="5" xfId="0" applyFont="1" applyFill="1" applyBorder="1" applyAlignment="1">
      <alignment horizontal="center" wrapText="1"/>
    </xf>
    <xf numFmtId="14" fontId="2" fillId="5" borderId="5" xfId="0" applyNumberFormat="1" applyFont="1" applyFill="1" applyBorder="1" applyAlignment="1">
      <alignment wrapText="1"/>
    </xf>
    <xf numFmtId="182" fontId="2" fillId="5" borderId="5" xfId="3" applyNumberFormat="1" applyFont="1" applyFill="1" applyBorder="1" applyAlignment="1">
      <alignment horizontal="right" wrapText="1"/>
    </xf>
    <xf numFmtId="0" fontId="2" fillId="5" borderId="0" xfId="0" applyFont="1" applyFill="1" applyAlignment="1">
      <alignment wrapText="1"/>
    </xf>
    <xf numFmtId="3" fontId="115" fillId="6" borderId="5" xfId="0" applyNumberFormat="1" applyFont="1" applyFill="1" applyBorder="1" applyAlignment="1">
      <alignment horizontal="right" wrapText="1"/>
    </xf>
    <xf numFmtId="14" fontId="115" fillId="6" borderId="5" xfId="0" applyNumberFormat="1" applyFont="1" applyFill="1" applyBorder="1" applyAlignment="1">
      <alignment horizontal="center" wrapText="1"/>
    </xf>
    <xf numFmtId="3" fontId="115" fillId="0" borderId="5" xfId="0" applyNumberFormat="1" applyFont="1" applyBorder="1" applyAlignment="1">
      <alignment horizontal="right" wrapText="1"/>
    </xf>
    <xf numFmtId="3" fontId="115" fillId="8" borderId="5" xfId="0" applyNumberFormat="1" applyFont="1" applyFill="1" applyBorder="1" applyAlignment="1">
      <alignment horizontal="right" wrapText="1"/>
    </xf>
    <xf numFmtId="0" fontId="115" fillId="6" borderId="5" xfId="0" applyFont="1" applyFill="1" applyBorder="1" applyAlignment="1">
      <alignment horizontal="right" wrapText="1"/>
    </xf>
    <xf numFmtId="0" fontId="115" fillId="6" borderId="6" xfId="0" applyFont="1" applyFill="1" applyBorder="1" applyAlignment="1">
      <alignment horizontal="right" wrapText="1"/>
    </xf>
    <xf numFmtId="0" fontId="6" fillId="9" borderId="5" xfId="0" applyFont="1" applyFill="1" applyBorder="1" applyAlignment="1">
      <alignment horizontal="center" wrapText="1"/>
    </xf>
    <xf numFmtId="0" fontId="6" fillId="9" borderId="5" xfId="0" applyFont="1" applyFill="1" applyBorder="1" applyAlignment="1">
      <alignment vertical="center" wrapText="1"/>
    </xf>
    <xf numFmtId="14" fontId="6" fillId="9" borderId="5" xfId="0" applyNumberFormat="1" applyFont="1" applyFill="1" applyBorder="1" applyAlignment="1">
      <alignment wrapText="1"/>
    </xf>
    <xf numFmtId="182" fontId="6" fillId="9" borderId="5" xfId="3" applyNumberFormat="1" applyFont="1" applyFill="1" applyBorder="1" applyAlignment="1">
      <alignment horizontal="right" wrapText="1"/>
    </xf>
    <xf numFmtId="0" fontId="6" fillId="9" borderId="0" xfId="0" applyFont="1" applyFill="1" applyAlignment="1">
      <alignment wrapText="1"/>
    </xf>
    <xf numFmtId="3" fontId="115" fillId="6" borderId="5" xfId="12" quotePrefix="1" applyNumberFormat="1" applyFont="1" applyFill="1" applyBorder="1" applyAlignment="1">
      <alignment horizontal="right" wrapText="1"/>
    </xf>
    <xf numFmtId="3" fontId="115" fillId="9" borderId="5" xfId="12" quotePrefix="1" applyNumberFormat="1" applyFont="1" applyFill="1" applyBorder="1" applyAlignment="1">
      <alignment horizontal="right" wrapText="1"/>
    </xf>
    <xf numFmtId="0" fontId="115" fillId="6" borderId="0" xfId="0" applyFont="1" applyFill="1" applyAlignment="1">
      <alignment horizontal="right" vertical="center" wrapText="1"/>
    </xf>
    <xf numFmtId="3" fontId="115" fillId="6" borderId="0" xfId="0" applyNumberFormat="1" applyFont="1" applyFill="1" applyAlignment="1">
      <alignment horizontal="right" vertical="center" wrapText="1"/>
    </xf>
    <xf numFmtId="0" fontId="173" fillId="6" borderId="3" xfId="12" applyFont="1" applyFill="1" applyBorder="1" applyAlignment="1">
      <alignment horizontal="center" vertical="center" wrapText="1"/>
    </xf>
    <xf numFmtId="0" fontId="115" fillId="6" borderId="8" xfId="12" applyFont="1" applyFill="1" applyBorder="1" applyAlignment="1">
      <alignment horizontal="center" vertical="center" wrapText="1"/>
    </xf>
    <xf numFmtId="0" fontId="173" fillId="6" borderId="8" xfId="12" applyFont="1" applyFill="1" applyBorder="1" applyAlignment="1">
      <alignment horizontal="center" vertical="center" wrapText="1"/>
    </xf>
    <xf numFmtId="3" fontId="173" fillId="6" borderId="4" xfId="12" applyNumberFormat="1" applyFont="1" applyFill="1" applyBorder="1" applyAlignment="1">
      <alignment horizontal="right" wrapText="1"/>
    </xf>
    <xf numFmtId="3" fontId="132" fillId="6" borderId="5" xfId="12" quotePrefix="1" applyNumberFormat="1" applyFont="1" applyFill="1" applyBorder="1" applyAlignment="1">
      <alignment horizontal="right" wrapText="1"/>
    </xf>
    <xf numFmtId="3" fontId="173" fillId="5" borderId="5" xfId="12" quotePrefix="1" applyNumberFormat="1" applyFont="1" applyFill="1" applyBorder="1" applyAlignment="1">
      <alignment horizontal="right" wrapText="1"/>
    </xf>
    <xf numFmtId="0" fontId="6" fillId="8" borderId="5" xfId="0" applyFont="1" applyFill="1" applyBorder="1" applyAlignment="1">
      <alignment horizontal="center" wrapText="1"/>
    </xf>
    <xf numFmtId="0" fontId="6" fillId="8" borderId="5" xfId="0" applyFont="1" applyFill="1" applyBorder="1" applyAlignment="1">
      <alignment vertical="center" wrapText="1"/>
    </xf>
    <xf numFmtId="0" fontId="6" fillId="8" borderId="5" xfId="12" applyFont="1" applyFill="1" applyBorder="1" applyAlignment="1">
      <alignment horizontal="center" wrapText="1"/>
    </xf>
    <xf numFmtId="14" fontId="6" fillId="8" borderId="5" xfId="0" applyNumberFormat="1" applyFont="1" applyFill="1" applyBorder="1" applyAlignment="1">
      <alignment horizontal="center" wrapText="1"/>
    </xf>
    <xf numFmtId="182" fontId="6" fillId="8" borderId="5" xfId="3" applyNumberFormat="1" applyFont="1" applyFill="1" applyBorder="1" applyAlignment="1">
      <alignment horizontal="right" wrapText="1"/>
    </xf>
    <xf numFmtId="0" fontId="6" fillId="8" borderId="0" xfId="0" applyFont="1" applyFill="1" applyAlignment="1">
      <alignment wrapText="1"/>
    </xf>
    <xf numFmtId="210" fontId="6" fillId="6" borderId="5" xfId="3" applyNumberFormat="1" applyFont="1" applyFill="1" applyBorder="1" applyAlignment="1">
      <alignment horizontal="right" wrapText="1"/>
    </xf>
    <xf numFmtId="182" fontId="6" fillId="6" borderId="15" xfId="3" applyNumberFormat="1" applyFont="1" applyFill="1" applyBorder="1" applyAlignment="1">
      <alignment horizontal="right" wrapText="1"/>
    </xf>
    <xf numFmtId="14" fontId="41" fillId="6" borderId="0" xfId="0" applyNumberFormat="1" applyFont="1" applyFill="1" applyAlignment="1">
      <alignment vertical="center" wrapText="1"/>
    </xf>
    <xf numFmtId="0" fontId="41" fillId="6" borderId="8" xfId="0" applyFont="1" applyFill="1" applyBorder="1" applyAlignment="1">
      <alignment horizontal="center" vertical="center" wrapText="1"/>
    </xf>
    <xf numFmtId="166" fontId="42" fillId="6" borderId="11" xfId="3" applyNumberFormat="1" applyFont="1" applyFill="1" applyBorder="1" applyAlignment="1">
      <alignment horizontal="center" wrapText="1"/>
    </xf>
    <xf numFmtId="0" fontId="43" fillId="6" borderId="11" xfId="0" applyFont="1" applyFill="1" applyBorder="1"/>
    <xf numFmtId="166" fontId="43" fillId="6" borderId="11" xfId="3" applyNumberFormat="1" applyFont="1" applyFill="1" applyBorder="1"/>
    <xf numFmtId="166" fontId="43" fillId="6" borderId="11" xfId="3" applyNumberFormat="1" applyFont="1" applyFill="1" applyBorder="1" applyAlignment="1">
      <alignment horizontal="center" wrapText="1"/>
    </xf>
    <xf numFmtId="0" fontId="43" fillId="6" borderId="0" xfId="0" applyFont="1" applyFill="1"/>
    <xf numFmtId="0" fontId="42" fillId="6" borderId="11" xfId="12" applyFont="1" applyFill="1" applyBorder="1" applyAlignment="1">
      <alignment horizontal="left" wrapText="1"/>
    </xf>
    <xf numFmtId="43" fontId="42" fillId="6" borderId="11" xfId="3" applyFont="1" applyFill="1" applyBorder="1"/>
    <xf numFmtId="171" fontId="42" fillId="6" borderId="11" xfId="3" applyNumberFormat="1" applyFont="1" applyFill="1" applyBorder="1"/>
    <xf numFmtId="171" fontId="42" fillId="6" borderId="11" xfId="3" applyNumberFormat="1" applyFont="1" applyFill="1" applyBorder="1" applyAlignment="1">
      <alignment horizontal="center" wrapText="1"/>
    </xf>
    <xf numFmtId="166" fontId="41" fillId="6" borderId="11" xfId="3" applyNumberFormat="1" applyFont="1" applyFill="1" applyBorder="1"/>
    <xf numFmtId="43" fontId="43" fillId="6" borderId="11" xfId="3" applyFont="1" applyFill="1" applyBorder="1"/>
    <xf numFmtId="43" fontId="42" fillId="6" borderId="11" xfId="3" applyFont="1" applyFill="1" applyBorder="1" applyAlignment="1">
      <alignment horizontal="center" wrapText="1"/>
    </xf>
    <xf numFmtId="166" fontId="41" fillId="6" borderId="11" xfId="3" applyNumberFormat="1" applyFont="1" applyFill="1" applyBorder="1" applyAlignment="1">
      <alignment horizontal="center" wrapText="1"/>
    </xf>
    <xf numFmtId="43" fontId="41" fillId="6" borderId="11" xfId="3" applyFont="1" applyFill="1" applyBorder="1"/>
    <xf numFmtId="43" fontId="41" fillId="6" borderId="11" xfId="3" applyFont="1" applyFill="1" applyBorder="1" applyAlignment="1">
      <alignment horizontal="center" wrapText="1"/>
    </xf>
    <xf numFmtId="0" fontId="41" fillId="6" borderId="11" xfId="0" applyFont="1" applyFill="1" applyBorder="1"/>
    <xf numFmtId="166" fontId="84" fillId="6" borderId="11" xfId="3" applyNumberFormat="1" applyFont="1" applyFill="1" applyBorder="1"/>
    <xf numFmtId="166" fontId="42" fillId="6" borderId="11" xfId="3" applyNumberFormat="1" applyFont="1" applyFill="1" applyBorder="1" applyAlignment="1"/>
    <xf numFmtId="0" fontId="42" fillId="6" borderId="12" xfId="0" applyFont="1" applyFill="1" applyBorder="1"/>
    <xf numFmtId="166" fontId="42" fillId="6" borderId="12" xfId="3" applyNumberFormat="1" applyFont="1" applyFill="1" applyBorder="1"/>
    <xf numFmtId="166" fontId="42" fillId="6" borderId="12" xfId="3" applyNumberFormat="1" applyFont="1" applyFill="1" applyBorder="1" applyAlignment="1"/>
    <xf numFmtId="166" fontId="42" fillId="6" borderId="0" xfId="3" applyNumberFormat="1" applyFont="1" applyFill="1" applyAlignment="1"/>
    <xf numFmtId="0" fontId="110" fillId="6" borderId="11" xfId="0" applyFont="1" applyFill="1" applyBorder="1"/>
    <xf numFmtId="166" fontId="110" fillId="6" borderId="11" xfId="3" applyNumberFormat="1" applyFont="1" applyFill="1" applyBorder="1"/>
    <xf numFmtId="166" fontId="214" fillId="6" borderId="11" xfId="3" applyNumberFormat="1" applyFont="1" applyFill="1" applyBorder="1"/>
    <xf numFmtId="166" fontId="110" fillId="6" borderId="11" xfId="3" applyNumberFormat="1" applyFont="1" applyFill="1" applyBorder="1" applyAlignment="1">
      <alignment horizontal="center" wrapText="1"/>
    </xf>
    <xf numFmtId="0" fontId="110" fillId="6" borderId="0" xfId="0" applyFont="1" applyFill="1"/>
    <xf numFmtId="166" fontId="214" fillId="6" borderId="11" xfId="3" applyNumberFormat="1" applyFont="1" applyFill="1" applyBorder="1" applyAlignment="1">
      <alignment horizontal="center" wrapText="1"/>
    </xf>
    <xf numFmtId="0" fontId="214" fillId="6" borderId="0" xfId="0" applyFont="1" applyFill="1"/>
    <xf numFmtId="166" fontId="41" fillId="6" borderId="8" xfId="3" applyNumberFormat="1" applyFont="1" applyFill="1" applyBorder="1" applyAlignment="1">
      <alignment horizontal="center" vertical="center" wrapText="1"/>
    </xf>
    <xf numFmtId="166" fontId="41" fillId="6" borderId="13" xfId="3" applyNumberFormat="1" applyFont="1" applyFill="1" applyBorder="1" applyAlignment="1">
      <alignment horizontal="center" vertical="center" wrapText="1"/>
    </xf>
    <xf numFmtId="0" fontId="43" fillId="6" borderId="0" xfId="0" applyFont="1" applyFill="1" applyAlignment="1">
      <alignment horizontal="center" vertical="center" wrapText="1"/>
    </xf>
    <xf numFmtId="0" fontId="6" fillId="6" borderId="0" xfId="0" applyFont="1" applyFill="1" applyAlignment="1">
      <alignment horizontal="center" vertical="top" wrapText="1"/>
    </xf>
    <xf numFmtId="0" fontId="43" fillId="6" borderId="0" xfId="0" applyFont="1" applyFill="1" applyAlignment="1">
      <alignment vertical="center" wrapText="1"/>
    </xf>
    <xf numFmtId="0" fontId="41" fillId="6" borderId="0" xfId="0" applyFont="1" applyFill="1" applyAlignment="1">
      <alignment vertical="center" wrapText="1"/>
    </xf>
    <xf numFmtId="166" fontId="43" fillId="6" borderId="0" xfId="3" applyNumberFormat="1" applyFont="1" applyFill="1" applyAlignment="1">
      <alignment horizontal="center" vertical="center" wrapText="1"/>
    </xf>
    <xf numFmtId="172" fontId="43" fillId="6" borderId="0" xfId="3" applyNumberFormat="1" applyFont="1" applyFill="1" applyAlignment="1">
      <alignment horizontal="center" vertical="center" wrapText="1"/>
    </xf>
    <xf numFmtId="169" fontId="43" fillId="6" borderId="0" xfId="3" applyNumberFormat="1" applyFont="1" applyFill="1" applyAlignment="1">
      <alignment horizontal="center" vertical="center" wrapText="1"/>
    </xf>
    <xf numFmtId="166" fontId="41" fillId="6" borderId="0" xfId="3" applyNumberFormat="1" applyFont="1" applyFill="1" applyBorder="1" applyAlignment="1">
      <alignment horizontal="right" vertical="center" wrapText="1"/>
    </xf>
    <xf numFmtId="0" fontId="84" fillId="6" borderId="0" xfId="0" applyFont="1" applyFill="1" applyAlignment="1">
      <alignment vertical="center"/>
    </xf>
    <xf numFmtId="171" fontId="41" fillId="6" borderId="0" xfId="3" applyNumberFormat="1" applyFont="1" applyFill="1" applyAlignment="1"/>
    <xf numFmtId="172" fontId="41" fillId="6" borderId="0" xfId="3" applyNumberFormat="1" applyFont="1" applyFill="1" applyAlignment="1"/>
    <xf numFmtId="0" fontId="215" fillId="0" borderId="0" xfId="0" applyFont="1" applyAlignment="1">
      <alignment wrapText="1"/>
    </xf>
    <xf numFmtId="0" fontId="217" fillId="0" borderId="0" xfId="0" applyFont="1" applyAlignment="1">
      <alignment vertical="center" wrapText="1"/>
    </xf>
    <xf numFmtId="0" fontId="215" fillId="0" borderId="0" xfId="0" applyFont="1"/>
    <xf numFmtId="0" fontId="215" fillId="0" borderId="0" xfId="0" applyFont="1" applyAlignment="1">
      <alignment horizontal="center" vertical="top" readingOrder="1"/>
    </xf>
    <xf numFmtId="166" fontId="71" fillId="6" borderId="0" xfId="0" applyNumberFormat="1" applyFont="1" applyFill="1" applyAlignment="1">
      <alignment wrapText="1"/>
    </xf>
    <xf numFmtId="0" fontId="41" fillId="5" borderId="11" xfId="0" applyFont="1" applyFill="1" applyBorder="1"/>
    <xf numFmtId="0" fontId="41" fillId="5" borderId="11" xfId="0" applyFont="1" applyFill="1" applyBorder="1" applyAlignment="1">
      <alignment vertical="center" wrapText="1"/>
    </xf>
    <xf numFmtId="166" fontId="41" fillId="5" borderId="11" xfId="3" applyNumberFormat="1" applyFont="1" applyFill="1" applyBorder="1"/>
    <xf numFmtId="0" fontId="41" fillId="5" borderId="0" xfId="0" applyFont="1" applyFill="1"/>
    <xf numFmtId="0" fontId="75" fillId="6" borderId="0" xfId="0" applyFont="1" applyFill="1" applyAlignment="1">
      <alignment horizontal="center"/>
    </xf>
    <xf numFmtId="0" fontId="2" fillId="0" borderId="0" xfId="0" applyFont="1" applyAlignment="1">
      <alignment vertical="center" wrapText="1"/>
    </xf>
    <xf numFmtId="0" fontId="2" fillId="0" borderId="0" xfId="0" applyFont="1"/>
    <xf numFmtId="0" fontId="6" fillId="6" borderId="0" xfId="0" applyFont="1" applyFill="1" applyAlignment="1">
      <alignment horizontal="center"/>
    </xf>
    <xf numFmtId="166" fontId="6" fillId="6" borderId="0" xfId="3" applyNumberFormat="1" applyFont="1" applyFill="1" applyAlignment="1"/>
    <xf numFmtId="43" fontId="41" fillId="6" borderId="3" xfId="3" applyFont="1" applyFill="1" applyBorder="1" applyAlignment="1">
      <alignment horizontal="center" vertical="center" wrapText="1"/>
    </xf>
    <xf numFmtId="0" fontId="214" fillId="6" borderId="11" xfId="0" applyFont="1" applyFill="1" applyBorder="1" applyAlignment="1">
      <alignment vertical="center" wrapText="1"/>
    </xf>
    <xf numFmtId="166" fontId="43" fillId="6" borderId="0" xfId="0" applyNumberFormat="1" applyFont="1" applyFill="1"/>
    <xf numFmtId="0" fontId="110" fillId="6" borderId="9" xfId="0" applyFont="1" applyFill="1" applyBorder="1" applyAlignment="1">
      <alignment horizontal="center" wrapText="1"/>
    </xf>
    <xf numFmtId="0" fontId="110" fillId="6" borderId="9" xfId="0" applyFont="1" applyFill="1" applyBorder="1" applyAlignment="1">
      <alignment vertical="center" wrapText="1"/>
    </xf>
    <xf numFmtId="166" fontId="110" fillId="6" borderId="9" xfId="3" applyNumberFormat="1" applyFont="1" applyFill="1" applyBorder="1"/>
    <xf numFmtId="166" fontId="110" fillId="6" borderId="9" xfId="3" applyNumberFormat="1" applyFont="1" applyFill="1" applyBorder="1" applyAlignment="1">
      <alignment vertical="center" wrapText="1"/>
    </xf>
    <xf numFmtId="166" fontId="110" fillId="6" borderId="9" xfId="3" applyNumberFormat="1" applyFont="1" applyFill="1" applyBorder="1" applyAlignment="1">
      <alignment horizontal="center" wrapText="1"/>
    </xf>
    <xf numFmtId="0" fontId="214" fillId="6" borderId="11" xfId="0" applyFont="1" applyFill="1" applyBorder="1"/>
    <xf numFmtId="43" fontId="41" fillId="6" borderId="8" xfId="3" applyFont="1" applyFill="1" applyBorder="1" applyAlignment="1">
      <alignment horizontal="center" vertical="center" wrapText="1"/>
    </xf>
    <xf numFmtId="43" fontId="110" fillId="6" borderId="9" xfId="3" applyFont="1" applyFill="1" applyBorder="1" applyAlignment="1">
      <alignment horizontal="center" wrapText="1"/>
    </xf>
    <xf numFmtId="43" fontId="110" fillId="6" borderId="11" xfId="3" applyFont="1" applyFill="1" applyBorder="1"/>
    <xf numFmtId="43" fontId="214" fillId="6" borderId="11" xfId="3" applyFont="1" applyFill="1" applyBorder="1"/>
    <xf numFmtId="43" fontId="42" fillId="6" borderId="12" xfId="3" applyFont="1" applyFill="1" applyBorder="1"/>
    <xf numFmtId="43" fontId="42" fillId="6" borderId="0" xfId="3" applyFont="1" applyFill="1"/>
    <xf numFmtId="3" fontId="209" fillId="0" borderId="0" xfId="0" applyNumberFormat="1" applyFont="1"/>
    <xf numFmtId="168" fontId="208" fillId="0" borderId="0" xfId="0" applyNumberFormat="1" applyFont="1"/>
    <xf numFmtId="0" fontId="73" fillId="6" borderId="0" xfId="0" applyFont="1" applyFill="1" applyAlignment="1">
      <alignment horizontal="center"/>
    </xf>
    <xf numFmtId="3" fontId="6" fillId="6" borderId="0" xfId="0" applyNumberFormat="1" applyFont="1" applyFill="1"/>
    <xf numFmtId="0" fontId="71" fillId="6" borderId="0" xfId="0" applyFont="1" applyFill="1" applyAlignment="1">
      <alignment horizontal="center"/>
    </xf>
    <xf numFmtId="3" fontId="71" fillId="6" borderId="0" xfId="0" applyNumberFormat="1" applyFont="1" applyFill="1"/>
    <xf numFmtId="0" fontId="71" fillId="5" borderId="0" xfId="0" applyFont="1" applyFill="1"/>
    <xf numFmtId="3" fontId="6" fillId="5" borderId="0" xfId="0" applyNumberFormat="1" applyFont="1" applyFill="1"/>
    <xf numFmtId="0" fontId="73" fillId="6" borderId="4" xfId="0" applyFont="1" applyFill="1" applyBorder="1" applyAlignment="1">
      <alignment horizontal="center" vertical="center" wrapText="1"/>
    </xf>
    <xf numFmtId="0" fontId="73" fillId="5" borderId="4" xfId="0" applyFont="1" applyFill="1" applyBorder="1" applyAlignment="1">
      <alignment horizontal="center" vertical="center" wrapText="1"/>
    </xf>
    <xf numFmtId="3" fontId="71" fillId="6" borderId="0" xfId="0" applyNumberFormat="1" applyFont="1" applyFill="1" applyAlignment="1">
      <alignment horizontal="center"/>
    </xf>
    <xf numFmtId="0" fontId="73" fillId="6" borderId="5" xfId="0" applyFont="1" applyFill="1" applyBorder="1" applyAlignment="1">
      <alignment horizontal="center" vertical="center"/>
    </xf>
    <xf numFmtId="0" fontId="73" fillId="6" borderId="5" xfId="0" applyFont="1" applyFill="1" applyBorder="1" applyAlignment="1">
      <alignment vertical="center"/>
    </xf>
    <xf numFmtId="3" fontId="73" fillId="6" borderId="5" xfId="0" applyNumberFormat="1" applyFont="1" applyFill="1" applyBorder="1" applyAlignment="1">
      <alignment vertical="center"/>
    </xf>
    <xf numFmtId="3" fontId="73" fillId="0" borderId="5" xfId="0" applyNumberFormat="1" applyFont="1" applyBorder="1" applyAlignment="1">
      <alignment vertical="center"/>
    </xf>
    <xf numFmtId="3" fontId="73" fillId="5" borderId="5" xfId="0" applyNumberFormat="1" applyFont="1" applyFill="1" applyBorder="1" applyAlignment="1">
      <alignment vertical="center"/>
    </xf>
    <xf numFmtId="3" fontId="73" fillId="6" borderId="5" xfId="0" applyNumberFormat="1" applyFont="1" applyFill="1" applyBorder="1"/>
    <xf numFmtId="3" fontId="73" fillId="6" borderId="0" xfId="0" applyNumberFormat="1" applyFont="1" applyFill="1"/>
    <xf numFmtId="0" fontId="71" fillId="5" borderId="5" xfId="0" applyFont="1" applyFill="1" applyBorder="1" applyAlignment="1">
      <alignment horizontal="center" vertical="center"/>
    </xf>
    <xf numFmtId="0" fontId="71" fillId="5" borderId="5" xfId="0" applyFont="1" applyFill="1" applyBorder="1" applyAlignment="1">
      <alignment vertical="center"/>
    </xf>
    <xf numFmtId="3" fontId="71" fillId="5" borderId="5" xfId="0" applyNumberFormat="1" applyFont="1" applyFill="1" applyBorder="1" applyAlignment="1">
      <alignment vertical="center"/>
    </xf>
    <xf numFmtId="3" fontId="71" fillId="5" borderId="5" xfId="0" applyNumberFormat="1" applyFont="1" applyFill="1" applyBorder="1"/>
    <xf numFmtId="3" fontId="71" fillId="5" borderId="0" xfId="0" applyNumberFormat="1" applyFont="1" applyFill="1"/>
    <xf numFmtId="0" fontId="75" fillId="6" borderId="5" xfId="0" applyFont="1" applyFill="1" applyBorder="1" applyAlignment="1">
      <alignment horizontal="center" vertical="center"/>
    </xf>
    <xf numFmtId="0" fontId="75" fillId="6" borderId="5" xfId="0" applyFont="1" applyFill="1" applyBorder="1" applyAlignment="1">
      <alignment vertical="center" wrapText="1"/>
    </xf>
    <xf numFmtId="3" fontId="75" fillId="6" borderId="5" xfId="0" applyNumberFormat="1" applyFont="1" applyFill="1" applyBorder="1" applyAlignment="1">
      <alignment vertical="center"/>
    </xf>
    <xf numFmtId="3" fontId="75" fillId="5" borderId="5" xfId="0" applyNumberFormat="1" applyFont="1" applyFill="1" applyBorder="1" applyAlignment="1">
      <alignment vertical="center"/>
    </xf>
    <xf numFmtId="3" fontId="75" fillId="6" borderId="0" xfId="0" applyNumberFormat="1" applyFont="1" applyFill="1"/>
    <xf numFmtId="0" fontId="71" fillId="6" borderId="5" xfId="0" applyFont="1" applyFill="1" applyBorder="1" applyAlignment="1">
      <alignment horizontal="center" vertical="center"/>
    </xf>
    <xf numFmtId="0" fontId="71" fillId="6" borderId="5" xfId="0" applyFont="1" applyFill="1" applyBorder="1" applyAlignment="1">
      <alignment vertical="center"/>
    </xf>
    <xf numFmtId="3" fontId="71" fillId="6" borderId="5" xfId="0" applyNumberFormat="1" applyFont="1" applyFill="1" applyBorder="1" applyAlignment="1">
      <alignment vertical="center"/>
    </xf>
    <xf numFmtId="3" fontId="71" fillId="6" borderId="5" xfId="0" applyNumberFormat="1" applyFont="1" applyFill="1" applyBorder="1"/>
    <xf numFmtId="165" fontId="73" fillId="6" borderId="0" xfId="0" applyNumberFormat="1" applyFont="1" applyFill="1"/>
    <xf numFmtId="3" fontId="73" fillId="5" borderId="0" xfId="0" applyNumberFormat="1" applyFont="1" applyFill="1"/>
    <xf numFmtId="3" fontId="71" fillId="0" borderId="5" xfId="0" applyNumberFormat="1" applyFont="1" applyBorder="1" applyAlignment="1">
      <alignment vertical="center"/>
    </xf>
    <xf numFmtId="0" fontId="75" fillId="6" borderId="5" xfId="0" applyFont="1" applyFill="1" applyBorder="1" applyAlignment="1">
      <alignment vertical="center"/>
    </xf>
    <xf numFmtId="3" fontId="75" fillId="0" borderId="5" xfId="0" applyNumberFormat="1" applyFont="1" applyBorder="1" applyAlignment="1">
      <alignment vertical="center"/>
    </xf>
    <xf numFmtId="3" fontId="71" fillId="6" borderId="5" xfId="0" applyNumberFormat="1" applyFont="1" applyFill="1" applyBorder="1" applyAlignment="1">
      <alignment vertical="center" wrapText="1"/>
    </xf>
    <xf numFmtId="0" fontId="71" fillId="6" borderId="15" xfId="0" applyFont="1" applyFill="1" applyBorder="1" applyAlignment="1">
      <alignment horizontal="center" vertical="center"/>
    </xf>
    <xf numFmtId="0" fontId="71" fillId="6" borderId="15" xfId="0" applyFont="1" applyFill="1" applyBorder="1" applyAlignment="1">
      <alignment vertical="center"/>
    </xf>
    <xf numFmtId="3" fontId="71" fillId="0" borderId="15" xfId="0" applyNumberFormat="1" applyFont="1" applyBorder="1" applyAlignment="1">
      <alignment vertical="center"/>
    </xf>
    <xf numFmtId="3" fontId="71" fillId="5" borderId="15" xfId="0" applyNumberFormat="1" applyFont="1" applyFill="1" applyBorder="1" applyAlignment="1">
      <alignment vertical="center"/>
    </xf>
    <xf numFmtId="3" fontId="71" fillId="6" borderId="15" xfId="0" applyNumberFormat="1" applyFont="1" applyFill="1" applyBorder="1"/>
    <xf numFmtId="0" fontId="71" fillId="6" borderId="6" xfId="0" applyFont="1" applyFill="1" applyBorder="1" applyAlignment="1">
      <alignment horizontal="center" vertical="center"/>
    </xf>
    <xf numFmtId="0" fontId="71" fillId="6" borderId="6" xfId="0" applyFont="1" applyFill="1" applyBorder="1" applyAlignment="1">
      <alignment vertical="center"/>
    </xf>
    <xf numFmtId="3" fontId="71" fillId="0" borderId="6" xfId="0" applyNumberFormat="1" applyFont="1" applyBorder="1" applyAlignment="1">
      <alignment vertical="center"/>
    </xf>
    <xf numFmtId="3" fontId="71" fillId="5" borderId="6" xfId="0" applyNumberFormat="1" applyFont="1" applyFill="1" applyBorder="1" applyAlignment="1">
      <alignment vertical="center"/>
    </xf>
    <xf numFmtId="3" fontId="71" fillId="6" borderId="6" xfId="0" applyNumberFormat="1" applyFont="1" applyFill="1" applyBorder="1"/>
    <xf numFmtId="3" fontId="71" fillId="6" borderId="0" xfId="0" applyNumberFormat="1" applyFont="1" applyFill="1" applyAlignment="1">
      <alignment vertical="center"/>
    </xf>
    <xf numFmtId="3" fontId="71" fillId="5" borderId="0" xfId="0" applyNumberFormat="1" applyFont="1" applyFill="1" applyAlignment="1">
      <alignment vertical="center"/>
    </xf>
    <xf numFmtId="3" fontId="73" fillId="6" borderId="0" xfId="0" applyNumberFormat="1" applyFont="1" applyFill="1" applyAlignment="1">
      <alignment vertical="center"/>
    </xf>
    <xf numFmtId="3" fontId="73" fillId="5" borderId="0" xfId="0" applyNumberFormat="1" applyFont="1" applyFill="1" applyAlignment="1">
      <alignment vertical="center"/>
    </xf>
    <xf numFmtId="3" fontId="73" fillId="5" borderId="5" xfId="0" applyNumberFormat="1" applyFont="1" applyFill="1" applyBorder="1"/>
    <xf numFmtId="0" fontId="71" fillId="6" borderId="0" xfId="0" applyFont="1" applyFill="1" applyAlignment="1">
      <alignment horizontal="left" wrapText="1"/>
    </xf>
    <xf numFmtId="0" fontId="71" fillId="6" borderId="0" xfId="0" applyFont="1" applyFill="1" applyAlignment="1">
      <alignment horizontal="center" vertical="center"/>
    </xf>
    <xf numFmtId="0" fontId="6" fillId="5" borderId="0" xfId="0" applyFont="1" applyFill="1"/>
    <xf numFmtId="165" fontId="6" fillId="6" borderId="0" xfId="0" applyNumberFormat="1" applyFont="1" applyFill="1"/>
    <xf numFmtId="165" fontId="6" fillId="5" borderId="0" xfId="0" applyNumberFormat="1" applyFont="1" applyFill="1"/>
    <xf numFmtId="43" fontId="208" fillId="0" borderId="0" xfId="0" applyNumberFormat="1" applyFont="1"/>
    <xf numFmtId="0" fontId="29" fillId="0" borderId="67" xfId="0" applyFont="1" applyBorder="1" applyAlignment="1">
      <alignment horizontal="center" vertical="center" wrapText="1"/>
    </xf>
    <xf numFmtId="0" fontId="29" fillId="0" borderId="67" xfId="0" applyFont="1" applyBorder="1" applyAlignment="1">
      <alignment vertical="center" wrapText="1"/>
    </xf>
    <xf numFmtId="0" fontId="181" fillId="0" borderId="67" xfId="0" applyFont="1" applyBorder="1" applyAlignment="1">
      <alignment vertical="center" wrapText="1"/>
    </xf>
    <xf numFmtId="43" fontId="29" fillId="0" borderId="67" xfId="3" applyFont="1" applyBorder="1" applyAlignment="1">
      <alignment horizontal="right" vertical="center" wrapText="1"/>
    </xf>
    <xf numFmtId="3" fontId="29" fillId="0" borderId="67" xfId="0" applyNumberFormat="1" applyFont="1" applyBorder="1" applyAlignment="1">
      <alignment horizontal="right" vertical="center" wrapText="1"/>
    </xf>
    <xf numFmtId="0" fontId="25" fillId="0" borderId="68" xfId="0" applyFont="1" applyBorder="1" applyAlignment="1">
      <alignment vertical="center" wrapText="1"/>
    </xf>
    <xf numFmtId="43" fontId="25" fillId="0" borderId="68" xfId="3" applyFont="1" applyBorder="1" applyAlignment="1">
      <alignment horizontal="right" vertical="center" wrapText="1"/>
    </xf>
    <xf numFmtId="3" fontId="25" fillId="0" borderId="68" xfId="0" applyNumberFormat="1" applyFont="1" applyBorder="1" applyAlignment="1">
      <alignment horizontal="right" vertical="center" wrapText="1"/>
    </xf>
    <xf numFmtId="0" fontId="208" fillId="0" borderId="68" xfId="0" applyFont="1" applyBorder="1" applyAlignment="1">
      <alignment vertical="center" wrapText="1"/>
    </xf>
    <xf numFmtId="43" fontId="208" fillId="0" borderId="68" xfId="3" applyFont="1" applyBorder="1" applyAlignment="1">
      <alignment horizontal="right" vertical="center" wrapText="1"/>
    </xf>
    <xf numFmtId="3" fontId="208" fillId="0" borderId="68" xfId="0" applyNumberFormat="1" applyFont="1" applyBorder="1" applyAlignment="1">
      <alignment horizontal="right" vertical="center" wrapText="1"/>
    </xf>
    <xf numFmtId="0" fontId="208" fillId="0" borderId="68" xfId="0" applyFont="1" applyBorder="1" applyAlignment="1">
      <alignment horizontal="center" vertical="center" wrapText="1"/>
    </xf>
    <xf numFmtId="0" fontId="29" fillId="0" borderId="68" xfId="0" applyFont="1" applyBorder="1" applyAlignment="1">
      <alignment horizontal="center" vertical="center" wrapText="1"/>
    </xf>
    <xf numFmtId="0" fontId="29" fillId="0" borderId="68" xfId="0" applyFont="1" applyBorder="1" applyAlignment="1">
      <alignment vertical="center" wrapText="1"/>
    </xf>
    <xf numFmtId="0" fontId="181" fillId="0" borderId="68" xfId="0" applyFont="1" applyBorder="1" applyAlignment="1">
      <alignment vertical="center" wrapText="1"/>
    </xf>
    <xf numFmtId="43" fontId="29" fillId="0" borderId="68" xfId="3" applyFont="1" applyBorder="1" applyAlignment="1">
      <alignment horizontal="right" vertical="center" wrapText="1"/>
    </xf>
    <xf numFmtId="3" fontId="29" fillId="0" borderId="68" xfId="0" applyNumberFormat="1" applyFont="1" applyBorder="1" applyAlignment="1">
      <alignment horizontal="right" vertical="center" wrapText="1"/>
    </xf>
    <xf numFmtId="3" fontId="75" fillId="0" borderId="68" xfId="0" applyNumberFormat="1" applyFont="1" applyBorder="1" applyAlignment="1">
      <alignment horizontal="center" vertical="center" wrapText="1"/>
    </xf>
    <xf numFmtId="0" fontId="25" fillId="0" borderId="68" xfId="0" applyFont="1" applyBorder="1" applyAlignment="1">
      <alignment horizontal="center" vertical="center" wrapText="1"/>
    </xf>
    <xf numFmtId="0" fontId="182" fillId="0" borderId="68" xfId="0" applyFont="1" applyBorder="1" applyAlignment="1">
      <alignment horizontal="center" vertical="center" wrapText="1"/>
    </xf>
    <xf numFmtId="171" fontId="25" fillId="0" borderId="68" xfId="3" applyNumberFormat="1" applyFont="1" applyBorder="1" applyAlignment="1">
      <alignment horizontal="right" vertical="center" wrapText="1"/>
    </xf>
    <xf numFmtId="3" fontId="208" fillId="3" borderId="68" xfId="3" applyNumberFormat="1" applyFont="1" applyFill="1" applyBorder="1" applyAlignment="1">
      <alignment horizontal="left" vertical="center" wrapText="1"/>
    </xf>
    <xf numFmtId="0" fontId="182" fillId="0" borderId="68" xfId="0" applyFont="1" applyBorder="1" applyAlignment="1">
      <alignment vertical="center" wrapText="1"/>
    </xf>
    <xf numFmtId="166" fontId="25" fillId="0" borderId="68" xfId="3" applyNumberFormat="1" applyFont="1" applyBorder="1" applyAlignment="1">
      <alignment horizontal="right" vertical="center" wrapText="1"/>
    </xf>
    <xf numFmtId="0" fontId="29" fillId="0" borderId="68" xfId="0" applyFont="1" applyBorder="1" applyAlignment="1">
      <alignment horizontal="left" vertical="center" wrapText="1"/>
    </xf>
    <xf numFmtId="43" fontId="25" fillId="3" borderId="68" xfId="3" applyFont="1" applyFill="1" applyBorder="1" applyAlignment="1">
      <alignment horizontal="right" vertical="center" wrapText="1"/>
    </xf>
    <xf numFmtId="3" fontId="25" fillId="3" borderId="68" xfId="0" applyNumberFormat="1" applyFont="1" applyFill="1" applyBorder="1" applyAlignment="1">
      <alignment horizontal="right" vertical="center" wrapText="1"/>
    </xf>
    <xf numFmtId="49" fontId="25" fillId="0" borderId="68" xfId="0" applyNumberFormat="1" applyFont="1" applyBorder="1" applyAlignment="1">
      <alignment horizontal="center" vertical="center" wrapText="1"/>
    </xf>
    <xf numFmtId="3" fontId="25" fillId="3" borderId="68" xfId="3" applyNumberFormat="1" applyFont="1" applyFill="1" applyBorder="1" applyAlignment="1">
      <alignment horizontal="right" vertical="center" wrapText="1"/>
    </xf>
    <xf numFmtId="43" fontId="22" fillId="0" borderId="68" xfId="3" applyFont="1" applyBorder="1" applyAlignment="1">
      <alignment vertical="center" wrapText="1"/>
    </xf>
    <xf numFmtId="3" fontId="25" fillId="3" borderId="68" xfId="3" applyNumberFormat="1" applyFont="1" applyFill="1" applyBorder="1" applyAlignment="1">
      <alignment horizontal="center" vertical="center" wrapText="1"/>
    </xf>
    <xf numFmtId="0" fontId="181" fillId="0" borderId="68" xfId="0" applyFont="1" applyBorder="1" applyAlignment="1">
      <alignment horizontal="left" vertical="center" wrapText="1"/>
    </xf>
    <xf numFmtId="3" fontId="181" fillId="0" borderId="68" xfId="0" applyNumberFormat="1" applyFont="1" applyBorder="1" applyAlignment="1">
      <alignment horizontal="right" vertical="center" wrapText="1"/>
    </xf>
    <xf numFmtId="0" fontId="182" fillId="0" borderId="68" xfId="0" applyFont="1" applyBorder="1" applyAlignment="1">
      <alignment horizontal="left" vertical="center" wrapText="1"/>
    </xf>
    <xf numFmtId="3" fontId="182" fillId="0" borderId="68" xfId="0" applyNumberFormat="1" applyFont="1" applyBorder="1" applyAlignment="1">
      <alignment horizontal="right" vertical="center" wrapText="1"/>
    </xf>
    <xf numFmtId="0" fontId="182" fillId="0" borderId="69" xfId="0" applyFont="1" applyBorder="1" applyAlignment="1">
      <alignment horizontal="left" vertical="center" wrapText="1"/>
    </xf>
    <xf numFmtId="0" fontId="182" fillId="0" borderId="69" xfId="0" applyFont="1" applyBorder="1" applyAlignment="1">
      <alignment horizontal="center" vertical="center" wrapText="1"/>
    </xf>
    <xf numFmtId="43" fontId="25" fillId="0" borderId="69" xfId="3" applyFont="1" applyBorder="1" applyAlignment="1">
      <alignment horizontal="right" vertical="center" wrapText="1"/>
    </xf>
    <xf numFmtId="3" fontId="25" fillId="0" borderId="69" xfId="0" applyNumberFormat="1" applyFont="1" applyBorder="1" applyAlignment="1">
      <alignment horizontal="right" vertical="center" wrapText="1"/>
    </xf>
    <xf numFmtId="3" fontId="182" fillId="0" borderId="69" xfId="0" applyNumberFormat="1" applyFont="1" applyBorder="1" applyAlignment="1">
      <alignment horizontal="right" vertical="center" wrapText="1"/>
    </xf>
    <xf numFmtId="43" fontId="29" fillId="0" borderId="0" xfId="3" applyFont="1" applyBorder="1" applyAlignment="1"/>
    <xf numFmtId="43" fontId="25" fillId="0" borderId="0" xfId="3" applyFont="1" applyAlignment="1">
      <alignment horizontal="center"/>
    </xf>
    <xf numFmtId="169" fontId="42" fillId="6" borderId="11" xfId="3" applyNumberFormat="1" applyFont="1" applyFill="1" applyBorder="1"/>
    <xf numFmtId="3" fontId="71" fillId="6" borderId="0" xfId="37" applyNumberFormat="1" applyFont="1" applyFill="1" applyProtection="1">
      <protection locked="0"/>
    </xf>
    <xf numFmtId="3" fontId="71" fillId="6" borderId="0" xfId="38" applyNumberFormat="1" applyFont="1" applyFill="1" applyAlignment="1" applyProtection="1">
      <alignment horizontal="left" wrapText="1"/>
      <protection locked="0"/>
    </xf>
    <xf numFmtId="3" fontId="73" fillId="6" borderId="70" xfId="37" applyNumberFormat="1" applyFont="1" applyFill="1" applyBorder="1" applyAlignment="1" applyProtection="1">
      <alignment horizontal="center" vertical="center" wrapText="1"/>
      <protection locked="0"/>
    </xf>
    <xf numFmtId="3" fontId="73" fillId="6" borderId="4" xfId="37" applyNumberFormat="1" applyFont="1" applyFill="1" applyBorder="1" applyAlignment="1" applyProtection="1">
      <alignment horizontal="center" vertical="center" wrapText="1"/>
      <protection locked="0"/>
    </xf>
    <xf numFmtId="3" fontId="73" fillId="6" borderId="4" xfId="37" applyNumberFormat="1" applyFont="1" applyFill="1" applyBorder="1" applyAlignment="1" applyProtection="1">
      <alignment horizontal="left" vertical="center" wrapText="1"/>
      <protection locked="0"/>
    </xf>
    <xf numFmtId="3" fontId="71" fillId="6" borderId="4" xfId="37" applyNumberFormat="1" applyFont="1" applyFill="1" applyBorder="1" applyAlignment="1" applyProtection="1">
      <alignment horizontal="center" vertical="center" wrapText="1"/>
      <protection hidden="1"/>
    </xf>
    <xf numFmtId="3" fontId="71" fillId="0" borderId="5" xfId="37" applyNumberFormat="1" applyFont="1" applyBorder="1" applyAlignment="1" applyProtection="1">
      <alignment horizontal="center" vertical="top" wrapText="1"/>
      <protection locked="0"/>
    </xf>
    <xf numFmtId="3" fontId="71" fillId="0" borderId="5" xfId="37" applyNumberFormat="1" applyFont="1" applyBorder="1" applyAlignment="1" applyProtection="1">
      <alignment horizontal="left" vertical="center" wrapText="1"/>
      <protection locked="0"/>
    </xf>
    <xf numFmtId="3" fontId="73" fillId="6" borderId="5" xfId="37" applyNumberFormat="1" applyFont="1" applyFill="1" applyBorder="1" applyAlignment="1" applyProtection="1">
      <alignment horizontal="right" vertical="center" wrapText="1"/>
      <protection hidden="1"/>
    </xf>
    <xf numFmtId="3" fontId="71" fillId="0" borderId="5" xfId="37" applyNumberFormat="1" applyFont="1" applyBorder="1" applyAlignment="1" applyProtection="1">
      <alignment horizontal="right" vertical="center" wrapText="1"/>
      <protection hidden="1"/>
    </xf>
    <xf numFmtId="3" fontId="71" fillId="0" borderId="0" xfId="37" applyNumberFormat="1" applyFont="1" applyProtection="1">
      <protection locked="0"/>
    </xf>
    <xf numFmtId="3" fontId="75" fillId="0" borderId="5" xfId="37" applyNumberFormat="1" applyFont="1" applyBorder="1" applyAlignment="1" applyProtection="1">
      <alignment horizontal="left" vertical="center" wrapText="1"/>
      <protection locked="0"/>
    </xf>
    <xf numFmtId="3" fontId="75" fillId="0" borderId="5" xfId="37" applyNumberFormat="1" applyFont="1" applyBorder="1" applyAlignment="1" applyProtection="1">
      <alignment horizontal="right" vertical="center" wrapText="1"/>
      <protection hidden="1"/>
    </xf>
    <xf numFmtId="3" fontId="73" fillId="0" borderId="5" xfId="37" applyNumberFormat="1" applyFont="1" applyBorder="1" applyAlignment="1" applyProtection="1">
      <alignment horizontal="right" vertical="center" wrapText="1"/>
      <protection hidden="1"/>
    </xf>
    <xf numFmtId="3" fontId="73" fillId="0" borderId="5" xfId="37" applyNumberFormat="1" applyFont="1" applyBorder="1" applyAlignment="1" applyProtection="1">
      <alignment horizontal="center" vertical="top" wrapText="1"/>
      <protection locked="0"/>
    </xf>
    <xf numFmtId="3" fontId="73" fillId="0" borderId="5" xfId="37" applyNumberFormat="1" applyFont="1" applyBorder="1" applyAlignment="1" applyProtection="1">
      <alignment horizontal="left" vertical="center" wrapText="1"/>
      <protection locked="0"/>
    </xf>
    <xf numFmtId="3" fontId="71" fillId="0" borderId="5" xfId="37" applyNumberFormat="1" applyFont="1" applyBorder="1" applyAlignment="1" applyProtection="1">
      <alignment horizontal="right" vertical="top" wrapText="1"/>
      <protection hidden="1"/>
    </xf>
    <xf numFmtId="3" fontId="71" fillId="6" borderId="5" xfId="37" applyNumberFormat="1" applyFont="1" applyFill="1" applyBorder="1" applyAlignment="1" applyProtection="1">
      <alignment horizontal="center" vertical="top" wrapText="1"/>
      <protection locked="0"/>
    </xf>
    <xf numFmtId="3" fontId="71" fillId="6" borderId="5" xfId="37" applyNumberFormat="1" applyFont="1" applyFill="1" applyBorder="1" applyAlignment="1" applyProtection="1">
      <alignment horizontal="left" vertical="center" wrapText="1"/>
      <protection locked="0"/>
    </xf>
    <xf numFmtId="3" fontId="71" fillId="6" borderId="5" xfId="37" applyNumberFormat="1" applyFont="1" applyFill="1" applyBorder="1" applyAlignment="1" applyProtection="1">
      <alignment horizontal="right" vertical="center" wrapText="1"/>
      <protection hidden="1"/>
    </xf>
    <xf numFmtId="3" fontId="71" fillId="6" borderId="5" xfId="37" applyNumberFormat="1" applyFont="1" applyFill="1" applyBorder="1" applyAlignment="1" applyProtection="1">
      <alignment horizontal="right" vertical="center" wrapText="1"/>
      <protection locked="0"/>
    </xf>
    <xf numFmtId="3" fontId="75" fillId="0" borderId="5" xfId="37" applyNumberFormat="1" applyFont="1" applyBorder="1" applyAlignment="1" applyProtection="1">
      <alignment horizontal="right" vertical="center" wrapText="1"/>
      <protection locked="0"/>
    </xf>
    <xf numFmtId="3" fontId="73" fillId="0" borderId="5" xfId="37" applyNumberFormat="1" applyFont="1" applyBorder="1" applyAlignment="1" applyProtection="1">
      <alignment horizontal="center" vertical="center" wrapText="1"/>
      <protection locked="0"/>
    </xf>
    <xf numFmtId="3" fontId="71" fillId="0" borderId="5" xfId="37" applyNumberFormat="1" applyFont="1" applyBorder="1" applyProtection="1">
      <protection locked="0"/>
    </xf>
    <xf numFmtId="3" fontId="75" fillId="0" borderId="5" xfId="37" applyNumberFormat="1" applyFont="1" applyBorder="1" applyAlignment="1" applyProtection="1">
      <alignment vertical="center"/>
      <protection locked="0"/>
    </xf>
    <xf numFmtId="3" fontId="71" fillId="6" borderId="5" xfId="37" applyNumberFormat="1" applyFont="1" applyFill="1" applyBorder="1" applyProtection="1">
      <protection locked="0"/>
    </xf>
    <xf numFmtId="3" fontId="71" fillId="6" borderId="5" xfId="37" applyNumberFormat="1" applyFont="1" applyFill="1" applyBorder="1" applyAlignment="1" applyProtection="1">
      <alignment vertical="center"/>
      <protection locked="0"/>
    </xf>
    <xf numFmtId="3" fontId="71" fillId="0" borderId="6" xfId="37" applyNumberFormat="1" applyFont="1" applyBorder="1" applyProtection="1">
      <protection locked="0"/>
    </xf>
    <xf numFmtId="3" fontId="71" fillId="0" borderId="6" xfId="37" applyNumberFormat="1" applyFont="1" applyBorder="1" applyAlignment="1" applyProtection="1">
      <alignment vertical="center"/>
      <protection locked="0"/>
    </xf>
    <xf numFmtId="3" fontId="71" fillId="0" borderId="6" xfId="37" applyNumberFormat="1" applyFont="1" applyBorder="1" applyAlignment="1" applyProtection="1">
      <alignment horizontal="right" vertical="center" wrapText="1"/>
      <protection hidden="1"/>
    </xf>
    <xf numFmtId="3" fontId="71" fillId="0" borderId="6" xfId="37" applyNumberFormat="1" applyFont="1" applyBorder="1" applyAlignment="1" applyProtection="1">
      <alignment horizontal="right" vertical="center"/>
      <protection hidden="1"/>
    </xf>
    <xf numFmtId="43" fontId="71" fillId="0" borderId="6" xfId="3" applyFont="1" applyFill="1" applyBorder="1" applyAlignment="1" applyProtection="1">
      <alignment horizontal="right" vertical="center"/>
      <protection hidden="1"/>
    </xf>
    <xf numFmtId="3" fontId="71" fillId="5" borderId="0" xfId="37" applyNumberFormat="1" applyFont="1" applyFill="1" applyProtection="1">
      <protection locked="0"/>
    </xf>
    <xf numFmtId="3" fontId="73" fillId="5" borderId="0" xfId="37" applyNumberFormat="1" applyFont="1" applyFill="1" applyProtection="1">
      <protection locked="0"/>
    </xf>
    <xf numFmtId="3" fontId="73" fillId="10" borderId="0" xfId="37" applyNumberFormat="1" applyFont="1" applyFill="1" applyProtection="1">
      <protection locked="0"/>
    </xf>
    <xf numFmtId="3" fontId="71" fillId="0" borderId="0" xfId="37" applyNumberFormat="1" applyFont="1" applyAlignment="1" applyProtection="1">
      <alignment horizontal="center"/>
      <protection locked="0"/>
    </xf>
    <xf numFmtId="3" fontId="71" fillId="0" borderId="0" xfId="37" applyNumberFormat="1" applyFont="1" applyAlignment="1" applyProtection="1">
      <alignment horizontal="center" vertical="center" wrapText="1"/>
      <protection locked="0"/>
    </xf>
    <xf numFmtId="167" fontId="25" fillId="0" borderId="68" xfId="3" applyNumberFormat="1" applyFont="1" applyBorder="1" applyAlignment="1">
      <alignment horizontal="right" vertical="center" wrapText="1"/>
    </xf>
    <xf numFmtId="3" fontId="25" fillId="3" borderId="68" xfId="3" applyNumberFormat="1" applyFont="1" applyFill="1" applyBorder="1" applyAlignment="1">
      <alignment horizontal="left" vertical="center" wrapText="1"/>
    </xf>
    <xf numFmtId="0" fontId="29" fillId="0" borderId="71" xfId="0" applyFont="1" applyBorder="1" applyAlignment="1">
      <alignment horizontal="center" vertical="center" wrapText="1"/>
    </xf>
    <xf numFmtId="0" fontId="29" fillId="0" borderId="71" xfId="0" applyFont="1" applyBorder="1" applyAlignment="1">
      <alignment vertical="center" wrapText="1"/>
    </xf>
    <xf numFmtId="0" fontId="181" fillId="0" borderId="71" xfId="0" applyFont="1" applyBorder="1" applyAlignment="1">
      <alignment vertical="center" wrapText="1"/>
    </xf>
    <xf numFmtId="43" fontId="29" fillId="0" borderId="71" xfId="3" applyFont="1" applyBorder="1" applyAlignment="1">
      <alignment horizontal="right" vertical="center" wrapText="1"/>
    </xf>
    <xf numFmtId="3" fontId="29" fillId="0" borderId="71" xfId="0" applyNumberFormat="1" applyFont="1" applyBorder="1" applyAlignment="1">
      <alignment horizontal="right" vertical="center" wrapText="1"/>
    </xf>
    <xf numFmtId="0" fontId="208" fillId="0" borderId="67" xfId="0" applyFont="1" applyBorder="1" applyAlignment="1">
      <alignment horizontal="center" vertical="center" wrapText="1"/>
    </xf>
    <xf numFmtId="0" fontId="208" fillId="0" borderId="67" xfId="0" applyFont="1" applyBorder="1" applyAlignment="1">
      <alignment vertical="center" wrapText="1"/>
    </xf>
    <xf numFmtId="43" fontId="208" fillId="0" borderId="67" xfId="3" applyFont="1" applyBorder="1" applyAlignment="1">
      <alignment horizontal="right" vertical="center" wrapText="1"/>
    </xf>
    <xf numFmtId="3" fontId="208" fillId="0" borderId="67" xfId="0" applyNumberFormat="1" applyFont="1" applyBorder="1" applyAlignment="1">
      <alignment horizontal="right" vertical="center" wrapText="1"/>
    </xf>
    <xf numFmtId="169" fontId="186" fillId="6" borderId="5" xfId="3" applyNumberFormat="1" applyFont="1" applyFill="1" applyBorder="1" applyAlignment="1">
      <alignment vertical="center" wrapText="1"/>
    </xf>
    <xf numFmtId="4" fontId="208" fillId="0" borderId="0" xfId="0" applyNumberFormat="1" applyFont="1"/>
    <xf numFmtId="164" fontId="22" fillId="0" borderId="0" xfId="0" applyNumberFormat="1" applyFont="1"/>
    <xf numFmtId="3" fontId="6" fillId="9" borderId="5" xfId="12" quotePrefix="1" applyNumberFormat="1" applyFont="1" applyFill="1" applyBorder="1" applyAlignment="1">
      <alignment horizontal="right" wrapText="1"/>
    </xf>
    <xf numFmtId="0" fontId="115" fillId="6" borderId="5" xfId="0" applyFont="1" applyFill="1" applyBorder="1" applyAlignment="1">
      <alignment horizontal="center" wrapText="1"/>
    </xf>
    <xf numFmtId="0" fontId="115" fillId="6" borderId="5" xfId="0" applyFont="1" applyFill="1" applyBorder="1" applyAlignment="1">
      <alignment vertical="center" wrapText="1"/>
    </xf>
    <xf numFmtId="14" fontId="115" fillId="6" borderId="5" xfId="0" applyNumberFormat="1" applyFont="1" applyFill="1" applyBorder="1" applyAlignment="1">
      <alignment wrapText="1"/>
    </xf>
    <xf numFmtId="182" fontId="115" fillId="6" borderId="5" xfId="3" applyNumberFormat="1" applyFont="1" applyFill="1" applyBorder="1" applyAlignment="1">
      <alignment horizontal="right" wrapText="1"/>
    </xf>
    <xf numFmtId="171" fontId="42" fillId="6" borderId="0" xfId="3" applyNumberFormat="1" applyFont="1" applyFill="1"/>
    <xf numFmtId="3" fontId="208" fillId="0" borderId="68" xfId="0" applyNumberFormat="1" applyFont="1" applyBorder="1" applyAlignment="1">
      <alignment horizontal="left" vertical="center" wrapText="1"/>
    </xf>
    <xf numFmtId="0" fontId="217" fillId="0" borderId="0" xfId="0" applyFont="1" applyAlignment="1">
      <alignment horizontal="center" wrapText="1"/>
    </xf>
    <xf numFmtId="0" fontId="6" fillId="6" borderId="70" xfId="0" applyFont="1" applyFill="1" applyBorder="1" applyAlignment="1">
      <alignment wrapText="1"/>
    </xf>
    <xf numFmtId="0" fontId="216" fillId="0" borderId="0" xfId="0" applyFont="1" applyAlignment="1">
      <alignment wrapText="1"/>
    </xf>
    <xf numFmtId="0" fontId="216" fillId="0" borderId="0" xfId="0" applyFont="1" applyAlignment="1">
      <alignment vertical="center" wrapText="1"/>
    </xf>
    <xf numFmtId="0" fontId="217" fillId="0" borderId="0" xfId="0" applyFont="1" applyAlignment="1">
      <alignment wrapText="1"/>
    </xf>
    <xf numFmtId="0" fontId="222" fillId="0" borderId="70" xfId="0" applyFont="1" applyBorder="1" applyAlignment="1">
      <alignment wrapText="1"/>
    </xf>
    <xf numFmtId="0" fontId="222" fillId="0" borderId="0" xfId="0" applyFont="1" applyAlignment="1">
      <alignment horizontal="center" vertical="top" readingOrder="1"/>
    </xf>
    <xf numFmtId="0" fontId="222" fillId="0" borderId="0" xfId="0" applyFont="1" applyAlignment="1">
      <alignment wrapText="1"/>
    </xf>
    <xf numFmtId="0" fontId="222" fillId="0" borderId="77" xfId="0" applyFont="1" applyBorder="1" applyAlignment="1">
      <alignment wrapText="1"/>
    </xf>
    <xf numFmtId="0" fontId="223" fillId="0" borderId="78" xfId="0" applyFont="1" applyBorder="1" applyAlignment="1">
      <alignment horizontal="center" vertical="center" wrapText="1" readingOrder="1"/>
    </xf>
    <xf numFmtId="0" fontId="223" fillId="0" borderId="76" xfId="0" applyFont="1" applyBorder="1" applyAlignment="1">
      <alignment horizontal="center" vertical="center" wrapText="1" readingOrder="1"/>
    </xf>
    <xf numFmtId="185" fontId="225" fillId="0" borderId="70" xfId="0" applyNumberFormat="1" applyFont="1" applyBorder="1" applyAlignment="1">
      <alignment horizontal="right" vertical="center" wrapText="1" readingOrder="1"/>
    </xf>
    <xf numFmtId="0" fontId="226" fillId="0" borderId="70" xfId="0" applyFont="1" applyBorder="1" applyAlignment="1">
      <alignment horizontal="right" vertical="center" wrapText="1" readingOrder="1"/>
    </xf>
    <xf numFmtId="185" fontId="226" fillId="0" borderId="70" xfId="0" applyNumberFormat="1" applyFont="1" applyBorder="1" applyAlignment="1">
      <alignment horizontal="right" vertical="center" wrapText="1" readingOrder="1"/>
    </xf>
    <xf numFmtId="0" fontId="6" fillId="6" borderId="70" xfId="0" applyFont="1" applyFill="1" applyBorder="1" applyAlignment="1">
      <alignment horizontal="center" vertical="center" wrapText="1"/>
    </xf>
    <xf numFmtId="166" fontId="6" fillId="6" borderId="70" xfId="3" applyNumberFormat="1" applyFont="1" applyFill="1" applyBorder="1" applyAlignment="1">
      <alignment horizontal="center" vertical="center" wrapText="1"/>
    </xf>
    <xf numFmtId="0" fontId="2" fillId="6" borderId="70" xfId="0" applyFont="1" applyFill="1" applyBorder="1" applyAlignment="1">
      <alignment horizontal="center" vertical="center" wrapText="1"/>
    </xf>
    <xf numFmtId="166" fontId="2" fillId="6" borderId="70" xfId="3" applyNumberFormat="1" applyFont="1" applyFill="1" applyBorder="1" applyAlignment="1">
      <alignment wrapText="1"/>
    </xf>
    <xf numFmtId="166" fontId="6" fillId="6" borderId="70" xfId="3" applyNumberFormat="1" applyFont="1" applyFill="1" applyBorder="1" applyAlignment="1">
      <alignment wrapText="1"/>
    </xf>
    <xf numFmtId="0" fontId="6" fillId="6" borderId="70" xfId="0" applyFont="1" applyFill="1" applyBorder="1" applyAlignment="1">
      <alignment horizontal="left" wrapText="1"/>
    </xf>
    <xf numFmtId="0" fontId="6" fillId="6" borderId="70" xfId="0" applyFont="1" applyFill="1" applyBorder="1" applyAlignment="1">
      <alignment vertical="center" wrapText="1"/>
    </xf>
    <xf numFmtId="0" fontId="6" fillId="6" borderId="70" xfId="0" applyFont="1" applyFill="1" applyBorder="1" applyAlignment="1">
      <alignment horizontal="center" wrapText="1"/>
    </xf>
    <xf numFmtId="166" fontId="2" fillId="6" borderId="70" xfId="3" applyNumberFormat="1" applyFont="1" applyFill="1" applyBorder="1" applyAlignment="1">
      <alignment vertical="center" wrapText="1"/>
    </xf>
    <xf numFmtId="0" fontId="2" fillId="6" borderId="70" xfId="0" applyFont="1" applyFill="1" applyBorder="1" applyAlignment="1">
      <alignment horizontal="center" wrapText="1"/>
    </xf>
    <xf numFmtId="3" fontId="2" fillId="6" borderId="70" xfId="0" applyNumberFormat="1" applyFont="1" applyFill="1" applyBorder="1" applyAlignment="1">
      <alignment wrapText="1"/>
    </xf>
    <xf numFmtId="3" fontId="6" fillId="6" borderId="70" xfId="0" applyNumberFormat="1" applyFont="1" applyFill="1" applyBorder="1" applyAlignment="1">
      <alignment wrapText="1"/>
    </xf>
    <xf numFmtId="0" fontId="2" fillId="6" borderId="70" xfId="0" applyFont="1" applyFill="1" applyBorder="1" applyAlignment="1">
      <alignment wrapText="1"/>
    </xf>
    <xf numFmtId="0" fontId="3" fillId="6" borderId="70" xfId="0" applyFont="1" applyFill="1" applyBorder="1" applyAlignment="1">
      <alignment horizontal="center" wrapText="1"/>
    </xf>
    <xf numFmtId="0" fontId="3" fillId="6" borderId="70" xfId="0" applyFont="1" applyFill="1" applyBorder="1" applyAlignment="1">
      <alignment wrapText="1"/>
    </xf>
    <xf numFmtId="166" fontId="3" fillId="6" borderId="70" xfId="3" applyNumberFormat="1" applyFont="1" applyFill="1" applyBorder="1" applyAlignment="1">
      <alignment wrapText="1"/>
    </xf>
    <xf numFmtId="0" fontId="3" fillId="6" borderId="0" xfId="0" applyFont="1" applyFill="1"/>
    <xf numFmtId="3" fontId="6" fillId="6" borderId="70" xfId="0" applyNumberFormat="1" applyFont="1" applyFill="1" applyBorder="1" applyAlignment="1">
      <alignment horizontal="left" wrapText="1"/>
    </xf>
    <xf numFmtId="43" fontId="6" fillId="6" borderId="70" xfId="3" applyFont="1" applyFill="1" applyBorder="1" applyAlignment="1">
      <alignment horizontal="center" wrapText="1"/>
    </xf>
    <xf numFmtId="43" fontId="6" fillId="6" borderId="70" xfId="3" applyFont="1" applyFill="1" applyBorder="1" applyAlignment="1">
      <alignment horizontal="left" wrapText="1"/>
    </xf>
    <xf numFmtId="0" fontId="6" fillId="6" borderId="70" xfId="12" applyFont="1" applyFill="1" applyBorder="1" applyAlignment="1">
      <alignment horizontal="left" wrapText="1"/>
    </xf>
    <xf numFmtId="0" fontId="2" fillId="6" borderId="70" xfId="0" applyFont="1" applyFill="1" applyBorder="1" applyAlignment="1">
      <alignment horizontal="left" wrapText="1"/>
    </xf>
    <xf numFmtId="166" fontId="6" fillId="6" borderId="70" xfId="3" applyNumberFormat="1" applyFont="1" applyFill="1" applyBorder="1" applyAlignment="1"/>
    <xf numFmtId="2" fontId="6" fillId="6" borderId="70" xfId="0" applyNumberFormat="1" applyFont="1" applyFill="1" applyBorder="1" applyAlignment="1">
      <alignment wrapText="1"/>
    </xf>
    <xf numFmtId="166" fontId="6" fillId="6" borderId="0" xfId="3" applyNumberFormat="1" applyFont="1" applyFill="1" applyAlignment="1">
      <alignment vertical="center" wrapText="1"/>
    </xf>
    <xf numFmtId="43" fontId="6" fillId="6" borderId="70" xfId="3" applyFont="1" applyFill="1" applyBorder="1" applyAlignment="1">
      <alignment wrapText="1"/>
    </xf>
    <xf numFmtId="167" fontId="6" fillId="6" borderId="70" xfId="3" applyNumberFormat="1" applyFont="1" applyFill="1" applyBorder="1" applyAlignment="1">
      <alignment wrapText="1"/>
    </xf>
    <xf numFmtId="169" fontId="6" fillId="6" borderId="70" xfId="3" applyNumberFormat="1" applyFont="1" applyFill="1" applyBorder="1" applyAlignment="1">
      <alignment wrapText="1"/>
    </xf>
    <xf numFmtId="169" fontId="6" fillId="6" borderId="0" xfId="0" applyNumberFormat="1" applyFont="1" applyFill="1"/>
    <xf numFmtId="3" fontId="189" fillId="5" borderId="7" xfId="0" applyNumberFormat="1" applyFont="1" applyFill="1" applyBorder="1" applyAlignment="1">
      <alignment horizontal="center" vertical="center" wrapText="1"/>
    </xf>
    <xf numFmtId="3" fontId="189" fillId="5" borderId="7" xfId="0" applyNumberFormat="1" applyFont="1" applyFill="1" applyBorder="1" applyAlignment="1">
      <alignment horizontal="left" vertical="center" wrapText="1"/>
    </xf>
    <xf numFmtId="166" fontId="189" fillId="5" borderId="7" xfId="3" applyNumberFormat="1" applyFont="1" applyFill="1" applyBorder="1" applyAlignment="1">
      <alignment vertical="center" wrapText="1"/>
    </xf>
    <xf numFmtId="172" fontId="189" fillId="5" borderId="7" xfId="3" applyNumberFormat="1" applyFont="1" applyFill="1" applyBorder="1" applyAlignment="1">
      <alignment vertical="center" wrapText="1"/>
    </xf>
    <xf numFmtId="166" fontId="189" fillId="5" borderId="0" xfId="3" applyNumberFormat="1" applyFont="1" applyFill="1" applyAlignment="1">
      <alignment vertical="center" wrapText="1"/>
    </xf>
    <xf numFmtId="0" fontId="213" fillId="5" borderId="0" xfId="0" applyFont="1" applyFill="1" applyAlignment="1">
      <alignment vertical="center" wrapText="1"/>
    </xf>
    <xf numFmtId="168" fontId="2" fillId="6" borderId="0" xfId="3" applyNumberFormat="1" applyFont="1" applyFill="1" applyAlignment="1"/>
    <xf numFmtId="0" fontId="132" fillId="6" borderId="70" xfId="0" applyFont="1" applyFill="1" applyBorder="1" applyAlignment="1">
      <alignment horizontal="center" wrapText="1"/>
    </xf>
    <xf numFmtId="0" fontId="132" fillId="6" borderId="70" xfId="0" applyFont="1" applyFill="1" applyBorder="1" applyAlignment="1">
      <alignment wrapText="1"/>
    </xf>
    <xf numFmtId="166" fontId="173" fillId="6" borderId="70" xfId="3" applyNumberFormat="1" applyFont="1" applyFill="1" applyBorder="1" applyAlignment="1">
      <alignment wrapText="1"/>
    </xf>
    <xf numFmtId="166" fontId="132" fillId="6" borderId="70" xfId="3" applyNumberFormat="1" applyFont="1" applyFill="1" applyBorder="1" applyAlignment="1">
      <alignment wrapText="1"/>
    </xf>
    <xf numFmtId="167" fontId="132" fillId="6" borderId="70" xfId="3" applyNumberFormat="1" applyFont="1" applyFill="1" applyBorder="1" applyAlignment="1">
      <alignment wrapText="1"/>
    </xf>
    <xf numFmtId="168" fontId="132" fillId="6" borderId="0" xfId="3" applyNumberFormat="1" applyFont="1" applyFill="1" applyAlignment="1"/>
    <xf numFmtId="0" fontId="132" fillId="6" borderId="0" xfId="0" applyFont="1" applyFill="1"/>
    <xf numFmtId="166" fontId="128" fillId="6" borderId="0" xfId="3" applyNumberFormat="1" applyFont="1" applyFill="1" applyBorder="1" applyAlignment="1">
      <alignment horizontal="center" vertical="center" wrapText="1"/>
    </xf>
    <xf numFmtId="43" fontId="128" fillId="6" borderId="0" xfId="3" applyFont="1" applyFill="1" applyBorder="1" applyAlignment="1">
      <alignment horizontal="center" vertical="center" wrapText="1"/>
    </xf>
    <xf numFmtId="166" fontId="126" fillId="6" borderId="0" xfId="3" applyNumberFormat="1" applyFont="1" applyFill="1" applyAlignment="1">
      <alignment vertical="center" wrapText="1"/>
    </xf>
    <xf numFmtId="0" fontId="128" fillId="6" borderId="0" xfId="0" applyFont="1" applyFill="1"/>
    <xf numFmtId="0" fontId="228" fillId="6" borderId="0" xfId="0" applyFont="1" applyFill="1"/>
    <xf numFmtId="0" fontId="227" fillId="6" borderId="0" xfId="0" applyFont="1" applyFill="1" applyAlignment="1">
      <alignment vertical="center" wrapText="1"/>
    </xf>
    <xf numFmtId="0" fontId="229" fillId="6" borderId="0" xfId="0" applyFont="1" applyFill="1" applyAlignment="1">
      <alignment vertical="center" wrapText="1"/>
    </xf>
    <xf numFmtId="0" fontId="227" fillId="6" borderId="0" xfId="0" applyFont="1" applyFill="1" applyAlignment="1">
      <alignment horizontal="center" vertical="center" wrapText="1"/>
    </xf>
    <xf numFmtId="166" fontId="228" fillId="6" borderId="0" xfId="3" applyNumberFormat="1" applyFont="1" applyFill="1"/>
    <xf numFmtId="166" fontId="227" fillId="6" borderId="0" xfId="3" applyNumberFormat="1" applyFont="1" applyFill="1" applyAlignment="1">
      <alignment horizontal="center" vertical="center" wrapText="1"/>
    </xf>
    <xf numFmtId="172" fontId="227" fillId="6" borderId="0" xfId="3" applyNumberFormat="1" applyFont="1" applyFill="1" applyAlignment="1">
      <alignment horizontal="center" vertical="center" wrapText="1"/>
    </xf>
    <xf numFmtId="169" fontId="228" fillId="6" borderId="0" xfId="3" applyNumberFormat="1" applyFont="1" applyFill="1"/>
    <xf numFmtId="169" fontId="227" fillId="6" borderId="0" xfId="3" applyNumberFormat="1" applyFont="1" applyFill="1" applyAlignment="1">
      <alignment horizontal="center" vertical="center" wrapText="1"/>
    </xf>
    <xf numFmtId="166" fontId="229" fillId="6" borderId="0" xfId="3" applyNumberFormat="1" applyFont="1" applyFill="1" applyBorder="1" applyAlignment="1">
      <alignment horizontal="right" vertical="center" wrapText="1"/>
    </xf>
    <xf numFmtId="0" fontId="230" fillId="6" borderId="0" xfId="0" applyFont="1" applyFill="1" applyAlignment="1">
      <alignment vertical="center"/>
    </xf>
    <xf numFmtId="172" fontId="228" fillId="6" borderId="0" xfId="3" applyNumberFormat="1" applyFont="1" applyFill="1"/>
    <xf numFmtId="0" fontId="229" fillId="6" borderId="0" xfId="0" applyFont="1" applyFill="1"/>
    <xf numFmtId="166" fontId="229" fillId="6" borderId="0" xfId="3" applyNumberFormat="1" applyFont="1" applyFill="1"/>
    <xf numFmtId="172" fontId="229" fillId="6" borderId="0" xfId="3" applyNumberFormat="1" applyFont="1" applyFill="1" applyAlignment="1"/>
    <xf numFmtId="0" fontId="228" fillId="0" borderId="0" xfId="0" applyFont="1" applyAlignment="1">
      <alignment wrapText="1"/>
    </xf>
    <xf numFmtId="0" fontId="147" fillId="0" borderId="0" xfId="0" applyFont="1" applyAlignment="1">
      <alignment horizontal="center" vertical="top" readingOrder="1"/>
    </xf>
    <xf numFmtId="0" fontId="147" fillId="0" borderId="0" xfId="0" applyFont="1" applyAlignment="1">
      <alignment wrapText="1"/>
    </xf>
    <xf numFmtId="0" fontId="128" fillId="6" borderId="0" xfId="0" applyFont="1" applyFill="1" applyAlignment="1">
      <alignment horizontal="center" vertical="center" wrapText="1"/>
    </xf>
    <xf numFmtId="166" fontId="128" fillId="6" borderId="0" xfId="3" applyNumberFormat="1" applyFont="1" applyFill="1" applyBorder="1" applyAlignment="1">
      <alignment horizontal="right" vertical="center" wrapText="1"/>
    </xf>
    <xf numFmtId="171" fontId="128" fillId="6" borderId="0" xfId="3" applyNumberFormat="1" applyFont="1" applyFill="1"/>
    <xf numFmtId="171" fontId="3" fillId="0" borderId="0" xfId="3" applyNumberFormat="1" applyFont="1" applyAlignment="1">
      <alignment horizontal="center" vertical="center" wrapText="1"/>
    </xf>
    <xf numFmtId="171" fontId="71" fillId="0" borderId="0" xfId="3" applyNumberFormat="1" applyFont="1" applyAlignment="1">
      <alignment vertical="center"/>
    </xf>
    <xf numFmtId="169" fontId="177" fillId="6" borderId="0" xfId="3" applyNumberFormat="1" applyFont="1" applyFill="1" applyAlignment="1"/>
    <xf numFmtId="0" fontId="177" fillId="6" borderId="0" xfId="0" applyFont="1" applyFill="1"/>
    <xf numFmtId="0" fontId="91" fillId="6" borderId="0" xfId="0" applyFont="1" applyFill="1"/>
    <xf numFmtId="166" fontId="6" fillId="6" borderId="70" xfId="3" applyNumberFormat="1" applyFont="1" applyFill="1" applyBorder="1" applyAlignment="1">
      <alignment horizontal="center" wrapText="1"/>
    </xf>
    <xf numFmtId="171" fontId="6" fillId="6" borderId="70" xfId="3" applyNumberFormat="1" applyFont="1" applyFill="1" applyBorder="1" applyAlignment="1">
      <alignment horizontal="center" wrapText="1"/>
    </xf>
    <xf numFmtId="171" fontId="2" fillId="6" borderId="70" xfId="3" applyNumberFormat="1" applyFont="1" applyFill="1" applyBorder="1" applyAlignment="1">
      <alignment horizontal="center" wrapText="1"/>
    </xf>
    <xf numFmtId="0" fontId="177" fillId="6" borderId="0" xfId="0" applyFont="1" applyFill="1" applyAlignment="1">
      <alignment wrapText="1"/>
    </xf>
    <xf numFmtId="171" fontId="72" fillId="0" borderId="0" xfId="3" applyNumberFormat="1" applyFont="1" applyFill="1" applyAlignment="1">
      <alignment vertical="center"/>
    </xf>
    <xf numFmtId="171" fontId="72" fillId="0" borderId="0" xfId="3" applyNumberFormat="1" applyFont="1" applyFill="1" applyAlignment="1">
      <alignment horizontal="right" vertical="center"/>
    </xf>
    <xf numFmtId="170" fontId="177" fillId="0" borderId="0" xfId="3" applyNumberFormat="1" applyFont="1" applyFill="1" applyAlignment="1">
      <alignment vertical="center"/>
    </xf>
    <xf numFmtId="171" fontId="177" fillId="0" borderId="0" xfId="3" applyNumberFormat="1" applyFont="1" applyFill="1" applyAlignment="1">
      <alignment vertical="center"/>
    </xf>
    <xf numFmtId="171" fontId="177" fillId="0" borderId="0" xfId="3" applyNumberFormat="1" applyFont="1" applyFill="1" applyAlignment="1">
      <alignment horizontal="right" vertical="center"/>
    </xf>
    <xf numFmtId="0" fontId="177" fillId="0" borderId="0" xfId="0" applyFont="1" applyAlignment="1">
      <alignment vertical="center"/>
    </xf>
    <xf numFmtId="166" fontId="177" fillId="6" borderId="0" xfId="3" applyNumberFormat="1" applyFont="1" applyFill="1" applyAlignment="1"/>
    <xf numFmtId="0" fontId="177" fillId="6" borderId="0" xfId="0" applyFont="1" applyFill="1" applyAlignment="1">
      <alignment vertical="center"/>
    </xf>
    <xf numFmtId="43" fontId="177" fillId="6" borderId="0" xfId="0" applyNumberFormat="1" applyFont="1" applyFill="1"/>
    <xf numFmtId="43" fontId="177" fillId="6" borderId="0" xfId="3" applyFont="1" applyFill="1" applyAlignment="1"/>
    <xf numFmtId="0" fontId="91" fillId="0" borderId="0" xfId="0" applyFont="1"/>
    <xf numFmtId="0" fontId="177" fillId="0" borderId="0" xfId="0" applyFont="1"/>
    <xf numFmtId="171" fontId="71" fillId="0" borderId="0" xfId="3" applyNumberFormat="1" applyFont="1" applyFill="1"/>
    <xf numFmtId="166" fontId="177" fillId="6" borderId="0" xfId="0" applyNumberFormat="1" applyFont="1" applyFill="1"/>
    <xf numFmtId="166" fontId="6" fillId="6" borderId="8" xfId="3" applyNumberFormat="1" applyFont="1" applyFill="1" applyBorder="1" applyAlignment="1">
      <alignment horizontal="center" vertical="center" wrapText="1"/>
    </xf>
    <xf numFmtId="173" fontId="177" fillId="6" borderId="0" xfId="3" applyNumberFormat="1" applyFont="1" applyFill="1" applyAlignment="1"/>
    <xf numFmtId="209" fontId="177" fillId="6" borderId="0" xfId="0" applyNumberFormat="1" applyFont="1" applyFill="1"/>
    <xf numFmtId="172" fontId="177" fillId="6" borderId="0" xfId="3" applyNumberFormat="1" applyFont="1" applyFill="1" applyAlignment="1"/>
    <xf numFmtId="171" fontId="177" fillId="6" borderId="0" xfId="3" applyNumberFormat="1" applyFont="1" applyFill="1" applyAlignment="1"/>
    <xf numFmtId="171" fontId="6" fillId="6" borderId="3" xfId="3" applyNumberFormat="1" applyFont="1" applyFill="1" applyBorder="1" applyAlignment="1">
      <alignment horizontal="center" vertical="center" wrapText="1"/>
    </xf>
    <xf numFmtId="169" fontId="2" fillId="6" borderId="0" xfId="0" applyNumberFormat="1" applyFont="1" applyFill="1"/>
    <xf numFmtId="172" fontId="177" fillId="6" borderId="0" xfId="3" applyNumberFormat="1" applyFont="1" applyFill="1"/>
    <xf numFmtId="172" fontId="91" fillId="6" borderId="0" xfId="3" applyNumberFormat="1" applyFont="1" applyFill="1" applyAlignment="1"/>
    <xf numFmtId="167" fontId="177" fillId="6" borderId="0" xfId="3" applyNumberFormat="1" applyFont="1" applyFill="1" applyAlignment="1"/>
    <xf numFmtId="185" fontId="177" fillId="6" borderId="0" xfId="0" applyNumberFormat="1" applyFont="1" applyFill="1" applyAlignment="1">
      <alignment wrapText="1"/>
    </xf>
    <xf numFmtId="166" fontId="177" fillId="6" borderId="0" xfId="3" applyNumberFormat="1" applyFont="1" applyFill="1" applyAlignment="1">
      <alignment wrapText="1"/>
    </xf>
    <xf numFmtId="166" fontId="177" fillId="6" borderId="0" xfId="0" applyNumberFormat="1" applyFont="1" applyFill="1" applyAlignment="1">
      <alignment wrapText="1"/>
    </xf>
    <xf numFmtId="171" fontId="177" fillId="6" borderId="0" xfId="3" applyNumberFormat="1" applyFont="1" applyFill="1" applyAlignment="1">
      <alignment wrapText="1"/>
    </xf>
    <xf numFmtId="171" fontId="91" fillId="6" borderId="0" xfId="3" applyNumberFormat="1" applyFont="1" applyFill="1" applyAlignment="1">
      <alignment wrapText="1"/>
    </xf>
    <xf numFmtId="0" fontId="177" fillId="6" borderId="0" xfId="0" applyFont="1" applyFill="1" applyAlignment="1">
      <alignment horizontal="center" wrapText="1"/>
    </xf>
    <xf numFmtId="0" fontId="172" fillId="6" borderId="0" xfId="0" applyFont="1" applyFill="1" applyAlignment="1">
      <alignment wrapText="1"/>
    </xf>
    <xf numFmtId="171" fontId="172" fillId="6" borderId="0" xfId="3" applyNumberFormat="1" applyFont="1" applyFill="1" applyAlignment="1">
      <alignment wrapText="1"/>
    </xf>
    <xf numFmtId="171" fontId="91" fillId="6" borderId="72" xfId="3" applyNumberFormat="1" applyFont="1" applyFill="1" applyBorder="1" applyAlignment="1">
      <alignment horizontal="right" wrapText="1"/>
    </xf>
    <xf numFmtId="204" fontId="91" fillId="6" borderId="72" xfId="0" applyNumberFormat="1" applyFont="1" applyFill="1" applyBorder="1" applyAlignment="1">
      <alignment horizontal="right" wrapText="1"/>
    </xf>
    <xf numFmtId="171" fontId="177" fillId="6" borderId="72" xfId="3" applyNumberFormat="1" applyFont="1" applyFill="1" applyBorder="1" applyAlignment="1">
      <alignment horizontal="right" wrapText="1"/>
    </xf>
    <xf numFmtId="204" fontId="177" fillId="6" borderId="72" xfId="0" applyNumberFormat="1" applyFont="1" applyFill="1" applyBorder="1" applyAlignment="1">
      <alignment horizontal="right" wrapText="1"/>
    </xf>
    <xf numFmtId="185" fontId="177" fillId="6" borderId="0" xfId="0" applyNumberFormat="1" applyFont="1" applyFill="1" applyAlignment="1">
      <alignment horizontal="right" wrapText="1"/>
    </xf>
    <xf numFmtId="0" fontId="177" fillId="6" borderId="72" xfId="0" applyFont="1" applyFill="1" applyBorder="1" applyAlignment="1">
      <alignment horizontal="left" wrapText="1"/>
    </xf>
    <xf numFmtId="0" fontId="91" fillId="6" borderId="72" xfId="0" applyFont="1" applyFill="1" applyBorder="1" applyAlignment="1">
      <alignment horizontal="center" vertical="center" wrapText="1"/>
    </xf>
    <xf numFmtId="171" fontId="91" fillId="6" borderId="72" xfId="3" applyNumberFormat="1" applyFont="1" applyFill="1" applyBorder="1" applyAlignment="1">
      <alignment horizontal="center" vertical="center" wrapText="1"/>
    </xf>
    <xf numFmtId="0" fontId="177" fillId="6" borderId="0" xfId="0" applyFont="1" applyFill="1" applyAlignment="1">
      <alignment vertical="center" wrapText="1"/>
    </xf>
    <xf numFmtId="43" fontId="2" fillId="6" borderId="70" xfId="3" applyFont="1" applyFill="1" applyBorder="1" applyAlignment="1">
      <alignment horizontal="center" wrapText="1"/>
    </xf>
    <xf numFmtId="166" fontId="2" fillId="6" borderId="70" xfId="3" applyNumberFormat="1" applyFont="1" applyFill="1" applyBorder="1" applyAlignment="1">
      <alignment horizontal="center" wrapText="1"/>
    </xf>
    <xf numFmtId="0" fontId="6" fillId="0" borderId="70" xfId="0" applyFont="1" applyBorder="1" applyAlignment="1">
      <alignment horizontal="left" wrapText="1"/>
    </xf>
    <xf numFmtId="166" fontId="6" fillId="6" borderId="70" xfId="3" applyNumberFormat="1" applyFont="1" applyFill="1" applyBorder="1" applyAlignment="1">
      <alignment horizontal="left" wrapText="1"/>
    </xf>
    <xf numFmtId="166" fontId="6" fillId="6" borderId="70" xfId="3" applyNumberFormat="1" applyFont="1" applyFill="1" applyBorder="1" applyAlignment="1">
      <alignment horizontal="right" wrapText="1"/>
    </xf>
    <xf numFmtId="0" fontId="6" fillId="6" borderId="70" xfId="2" applyFont="1" applyFill="1" applyBorder="1" applyAlignment="1">
      <alignment wrapText="1"/>
    </xf>
    <xf numFmtId="0" fontId="6" fillId="6" borderId="70" xfId="0" applyFont="1" applyFill="1" applyBorder="1" applyAlignment="1">
      <alignment horizontal="left"/>
    </xf>
    <xf numFmtId="209" fontId="6" fillId="6" borderId="70" xfId="0" applyNumberFormat="1" applyFont="1" applyFill="1" applyBorder="1" applyAlignment="1">
      <alignment horizontal="center" wrapText="1"/>
    </xf>
    <xf numFmtId="0" fontId="6" fillId="6" borderId="70" xfId="36" applyFont="1" applyFill="1" applyBorder="1" applyAlignment="1">
      <alignment horizontal="left" wrapText="1"/>
    </xf>
    <xf numFmtId="171" fontId="6" fillId="6" borderId="0" xfId="3" applyNumberFormat="1" applyFont="1" applyFill="1"/>
    <xf numFmtId="171" fontId="6" fillId="6" borderId="70" xfId="3" applyNumberFormat="1" applyFont="1" applyFill="1" applyBorder="1" applyAlignment="1">
      <alignment horizontal="right" wrapText="1"/>
    </xf>
    <xf numFmtId="171" fontId="128" fillId="6" borderId="0" xfId="3" applyNumberFormat="1" applyFont="1" applyFill="1" applyBorder="1" applyAlignment="1">
      <alignment horizontal="right" vertical="center" wrapText="1"/>
    </xf>
    <xf numFmtId="169" fontId="6" fillId="6" borderId="0" xfId="3" applyNumberFormat="1" applyFont="1" applyFill="1" applyAlignment="1"/>
    <xf numFmtId="175" fontId="6" fillId="6" borderId="70" xfId="0" applyNumberFormat="1" applyFont="1" applyFill="1" applyBorder="1" applyAlignment="1">
      <alignment horizontal="center" wrapText="1"/>
    </xf>
    <xf numFmtId="184" fontId="6" fillId="6" borderId="0" xfId="0" applyNumberFormat="1" applyFont="1" applyFill="1"/>
    <xf numFmtId="43" fontId="3" fillId="6" borderId="70" xfId="3" applyFont="1" applyFill="1" applyBorder="1" applyAlignment="1">
      <alignment horizontal="center" wrapText="1"/>
    </xf>
    <xf numFmtId="171" fontId="3" fillId="6" borderId="70" xfId="3" applyNumberFormat="1" applyFont="1" applyFill="1" applyBorder="1" applyAlignment="1">
      <alignment horizontal="center" wrapText="1"/>
    </xf>
    <xf numFmtId="166" fontId="3" fillId="6" borderId="70" xfId="3" applyNumberFormat="1" applyFont="1" applyFill="1" applyBorder="1" applyAlignment="1">
      <alignment horizontal="center" wrapText="1"/>
    </xf>
    <xf numFmtId="172" fontId="6" fillId="6" borderId="0" xfId="3" applyNumberFormat="1" applyFont="1" applyFill="1" applyAlignment="1"/>
    <xf numFmtId="0" fontId="115" fillId="5" borderId="70" xfId="0" applyFont="1" applyFill="1" applyBorder="1" applyAlignment="1">
      <alignment horizontal="center" wrapText="1"/>
    </xf>
    <xf numFmtId="3" fontId="115" fillId="5" borderId="70" xfId="0" applyNumberFormat="1" applyFont="1" applyFill="1" applyBorder="1" applyAlignment="1">
      <alignment wrapText="1"/>
    </xf>
    <xf numFmtId="166" fontId="115" fillId="5" borderId="70" xfId="3" applyNumberFormat="1" applyFont="1" applyFill="1" applyBorder="1" applyAlignment="1">
      <alignment wrapText="1"/>
    </xf>
    <xf numFmtId="166" fontId="115" fillId="5" borderId="0" xfId="0" applyNumberFormat="1" applyFont="1" applyFill="1"/>
    <xf numFmtId="0" fontId="115" fillId="5" borderId="0" xfId="0" applyFont="1" applyFill="1"/>
    <xf numFmtId="0" fontId="6" fillId="5" borderId="70" xfId="0" applyFont="1" applyFill="1" applyBorder="1" applyAlignment="1">
      <alignment horizontal="center" wrapText="1"/>
    </xf>
    <xf numFmtId="3" fontId="6" fillId="5" borderId="70" xfId="0" applyNumberFormat="1" applyFont="1" applyFill="1" applyBorder="1" applyAlignment="1">
      <alignment wrapText="1"/>
    </xf>
    <xf numFmtId="166" fontId="6" fillId="5" borderId="70" xfId="3" applyNumberFormat="1" applyFont="1" applyFill="1" applyBorder="1" applyAlignment="1">
      <alignment wrapText="1"/>
    </xf>
    <xf numFmtId="43" fontId="115" fillId="5" borderId="70" xfId="3" applyFont="1" applyFill="1" applyBorder="1" applyAlignment="1">
      <alignment wrapText="1"/>
    </xf>
    <xf numFmtId="167" fontId="6" fillId="5" borderId="70" xfId="3" applyNumberFormat="1" applyFont="1" applyFill="1" applyBorder="1" applyAlignment="1">
      <alignment wrapText="1"/>
    </xf>
    <xf numFmtId="170" fontId="132" fillId="6" borderId="70" xfId="3" applyNumberFormat="1" applyFont="1" applyFill="1" applyBorder="1" applyAlignment="1">
      <alignment wrapText="1"/>
    </xf>
    <xf numFmtId="0" fontId="42" fillId="0" borderId="0" xfId="0" applyFont="1" applyAlignment="1">
      <alignment horizontal="center"/>
    </xf>
    <xf numFmtId="0" fontId="42" fillId="0" borderId="0" xfId="0" applyFont="1"/>
    <xf numFmtId="182" fontId="42" fillId="0" borderId="0" xfId="3" applyNumberFormat="1" applyFont="1" applyAlignment="1">
      <alignment horizontal="center" vertical="center" wrapText="1"/>
    </xf>
    <xf numFmtId="182" fontId="42" fillId="0" borderId="0" xfId="3" applyNumberFormat="1" applyFont="1" applyAlignment="1">
      <alignment horizontal="center"/>
    </xf>
    <xf numFmtId="166" fontId="129" fillId="0" borderId="0" xfId="3" applyNumberFormat="1" applyFont="1" applyBorder="1" applyAlignment="1">
      <alignment horizontal="center" vertical="center" wrapText="1"/>
    </xf>
    <xf numFmtId="0" fontId="109" fillId="0" borderId="70" xfId="0" applyFont="1" applyBorder="1" applyAlignment="1">
      <alignment horizontal="center"/>
    </xf>
    <xf numFmtId="166" fontId="109" fillId="0" borderId="70" xfId="3" applyNumberFormat="1" applyFont="1" applyBorder="1" applyAlignment="1">
      <alignment horizontal="left" vertical="center" wrapText="1"/>
    </xf>
    <xf numFmtId="182" fontId="109" fillId="0" borderId="70" xfId="3" applyNumberFormat="1" applyFont="1" applyBorder="1" applyAlignment="1">
      <alignment vertical="center" wrapText="1"/>
    </xf>
    <xf numFmtId="0" fontId="109" fillId="0" borderId="70" xfId="0" applyFont="1" applyBorder="1" applyAlignment="1">
      <alignment vertical="center" wrapText="1"/>
    </xf>
    <xf numFmtId="0" fontId="109" fillId="0" borderId="0" xfId="0" applyFont="1"/>
    <xf numFmtId="182" fontId="41" fillId="5" borderId="70" xfId="3" applyNumberFormat="1" applyFont="1" applyFill="1" applyBorder="1" applyAlignment="1">
      <alignment vertical="center" wrapText="1"/>
    </xf>
    <xf numFmtId="0" fontId="205" fillId="0" borderId="70" xfId="0" applyFont="1" applyBorder="1" applyAlignment="1">
      <alignment horizontal="center"/>
    </xf>
    <xf numFmtId="182" fontId="205" fillId="0" borderId="70" xfId="3" applyNumberFormat="1" applyFont="1" applyBorder="1" applyAlignment="1">
      <alignment vertical="center" wrapText="1"/>
    </xf>
    <xf numFmtId="182" fontId="205" fillId="0" borderId="70" xfId="0" applyNumberFormat="1" applyFont="1" applyBorder="1" applyAlignment="1">
      <alignment vertical="center"/>
    </xf>
    <xf numFmtId="0" fontId="205" fillId="0" borderId="70" xfId="0" applyFont="1" applyBorder="1" applyAlignment="1">
      <alignment vertical="center" wrapText="1"/>
    </xf>
    <xf numFmtId="0" fontId="129" fillId="0" borderId="70" xfId="0" applyFont="1" applyBorder="1" applyAlignment="1">
      <alignment horizontal="center"/>
    </xf>
    <xf numFmtId="0" fontId="71" fillId="0" borderId="70" xfId="0" applyFont="1" applyBorder="1" applyAlignment="1">
      <alignment vertical="center" wrapText="1"/>
    </xf>
    <xf numFmtId="182" fontId="129" fillId="0" borderId="70" xfId="3" applyNumberFormat="1" applyFont="1" applyBorder="1" applyAlignment="1">
      <alignment vertical="center" wrapText="1"/>
    </xf>
    <xf numFmtId="182" fontId="129" fillId="0" borderId="70" xfId="0" applyNumberFormat="1" applyFont="1" applyBorder="1" applyAlignment="1">
      <alignment vertical="center"/>
    </xf>
    <xf numFmtId="182" fontId="129" fillId="6" borderId="70" xfId="3" applyNumberFormat="1" applyFont="1" applyFill="1" applyBorder="1" applyAlignment="1">
      <alignment vertical="center" wrapText="1"/>
    </xf>
    <xf numFmtId="0" fontId="232" fillId="6" borderId="70" xfId="0" applyFont="1" applyFill="1" applyBorder="1" applyAlignment="1">
      <alignment horizontal="center"/>
    </xf>
    <xf numFmtId="166" fontId="232" fillId="6" borderId="70" xfId="3" applyNumberFormat="1" applyFont="1" applyFill="1" applyBorder="1" applyAlignment="1">
      <alignment vertical="center" wrapText="1"/>
    </xf>
    <xf numFmtId="182" fontId="232" fillId="6" borderId="70" xfId="3" applyNumberFormat="1" applyFont="1" applyFill="1" applyBorder="1" applyAlignment="1">
      <alignment vertical="center" wrapText="1"/>
    </xf>
    <xf numFmtId="0" fontId="232" fillId="6" borderId="0" xfId="0" applyFont="1" applyFill="1"/>
    <xf numFmtId="0" fontId="129" fillId="6" borderId="70" xfId="0" applyFont="1" applyFill="1" applyBorder="1" applyAlignment="1">
      <alignment horizontal="center"/>
    </xf>
    <xf numFmtId="0" fontId="71" fillId="6" borderId="70" xfId="0" applyFont="1" applyFill="1" applyBorder="1" applyAlignment="1">
      <alignment vertical="center" wrapText="1"/>
    </xf>
    <xf numFmtId="166" fontId="129" fillId="6" borderId="70" xfId="3" applyNumberFormat="1" applyFont="1" applyFill="1" applyBorder="1" applyAlignment="1">
      <alignment vertical="center" wrapText="1"/>
    </xf>
    <xf numFmtId="182" fontId="129" fillId="6" borderId="70" xfId="0" applyNumberFormat="1" applyFont="1" applyFill="1" applyBorder="1" applyAlignment="1">
      <alignment vertical="center"/>
    </xf>
    <xf numFmtId="0" fontId="129" fillId="6" borderId="0" xfId="0" applyFont="1" applyFill="1"/>
    <xf numFmtId="0" fontId="205" fillId="6" borderId="70" xfId="0" applyFont="1" applyFill="1" applyBorder="1" applyAlignment="1">
      <alignment horizontal="center" vertical="center"/>
    </xf>
    <xf numFmtId="182" fontId="205" fillId="6" borderId="70" xfId="3" applyNumberFormat="1" applyFont="1" applyFill="1" applyBorder="1" applyAlignment="1">
      <alignment vertical="center" wrapText="1"/>
    </xf>
    <xf numFmtId="182" fontId="205" fillId="6" borderId="70" xfId="0" applyNumberFormat="1" applyFont="1" applyFill="1" applyBorder="1" applyAlignment="1">
      <alignment vertical="center"/>
    </xf>
    <xf numFmtId="0" fontId="233" fillId="6" borderId="70" xfId="0" applyFont="1" applyFill="1" applyBorder="1" applyAlignment="1">
      <alignment vertical="center" wrapText="1"/>
    </xf>
    <xf numFmtId="0" fontId="205" fillId="6" borderId="0" xfId="0" applyFont="1" applyFill="1" applyAlignment="1">
      <alignment vertical="center"/>
    </xf>
    <xf numFmtId="214" fontId="71" fillId="0" borderId="70" xfId="3" applyNumberFormat="1" applyFont="1" applyFill="1" applyBorder="1" applyAlignment="1">
      <alignment horizontal="center" vertical="center"/>
    </xf>
    <xf numFmtId="166" fontId="3" fillId="0" borderId="70" xfId="3" applyNumberFormat="1" applyFont="1" applyBorder="1" applyAlignment="1">
      <alignment vertical="center"/>
    </xf>
    <xf numFmtId="3" fontId="205" fillId="6" borderId="70" xfId="3" applyNumberFormat="1" applyFont="1" applyFill="1" applyBorder="1" applyAlignment="1">
      <alignment vertical="center" wrapText="1"/>
    </xf>
    <xf numFmtId="0" fontId="205" fillId="6" borderId="70" xfId="0" applyFont="1" applyFill="1" applyBorder="1" applyAlignment="1">
      <alignment vertical="center" wrapText="1"/>
    </xf>
    <xf numFmtId="0" fontId="129" fillId="6" borderId="70" xfId="0" applyFont="1" applyFill="1" applyBorder="1" applyAlignment="1">
      <alignment vertical="center" wrapText="1"/>
    </xf>
    <xf numFmtId="0" fontId="71" fillId="6" borderId="70" xfId="0" applyFont="1" applyFill="1" applyBorder="1" applyAlignment="1">
      <alignment horizontal="justify" vertical="center"/>
    </xf>
    <xf numFmtId="166" fontId="8" fillId="0" borderId="70" xfId="3" applyNumberFormat="1" applyFont="1" applyBorder="1" applyAlignment="1">
      <alignment vertical="center"/>
    </xf>
    <xf numFmtId="182" fontId="232" fillId="6" borderId="70" xfId="0" applyNumberFormat="1" applyFont="1" applyFill="1" applyBorder="1" applyAlignment="1">
      <alignment vertical="center"/>
    </xf>
    <xf numFmtId="0" fontId="232" fillId="6" borderId="70" xfId="0" applyFont="1" applyFill="1" applyBorder="1" applyAlignment="1">
      <alignment vertical="center" wrapText="1"/>
    </xf>
    <xf numFmtId="0" fontId="233" fillId="6" borderId="70" xfId="0" applyFont="1" applyFill="1" applyBorder="1" applyAlignment="1">
      <alignment horizontal="center"/>
    </xf>
    <xf numFmtId="0" fontId="234" fillId="6" borderId="70" xfId="0" applyFont="1" applyFill="1" applyBorder="1" applyAlignment="1">
      <alignment vertical="center" wrapText="1"/>
    </xf>
    <xf numFmtId="182" fontId="233" fillId="6" borderId="70" xfId="3" applyNumberFormat="1" applyFont="1" applyFill="1" applyBorder="1" applyAlignment="1">
      <alignment vertical="center" wrapText="1"/>
    </xf>
    <xf numFmtId="182" fontId="233" fillId="6" borderId="70" xfId="0" applyNumberFormat="1" applyFont="1" applyFill="1" applyBorder="1" applyAlignment="1">
      <alignment vertical="center"/>
    </xf>
    <xf numFmtId="0" fontId="233" fillId="6" borderId="0" xfId="0" applyFont="1" applyFill="1"/>
    <xf numFmtId="182" fontId="205" fillId="5" borderId="70" xfId="3" applyNumberFormat="1" applyFont="1" applyFill="1" applyBorder="1" applyAlignment="1">
      <alignment vertical="center" wrapText="1"/>
    </xf>
    <xf numFmtId="0" fontId="114" fillId="0" borderId="70" xfId="0" applyFont="1" applyBorder="1" applyAlignment="1">
      <alignment horizontal="justify" vertical="center" wrapText="1"/>
    </xf>
    <xf numFmtId="182" fontId="205" fillId="0" borderId="70" xfId="0" applyNumberFormat="1" applyFont="1" applyBorder="1" applyAlignment="1">
      <alignment horizontal="center" vertical="center"/>
    </xf>
    <xf numFmtId="0" fontId="129" fillId="0" borderId="70" xfId="0" applyFont="1" applyBorder="1" applyAlignment="1">
      <alignment vertical="center" wrapText="1"/>
    </xf>
    <xf numFmtId="182" fontId="233" fillId="0" borderId="70" xfId="3" applyNumberFormat="1" applyFont="1" applyBorder="1" applyAlignment="1">
      <alignment vertical="center" wrapText="1"/>
    </xf>
    <xf numFmtId="182" fontId="233" fillId="0" borderId="70" xfId="0" applyNumberFormat="1" applyFont="1" applyBorder="1" applyAlignment="1">
      <alignment vertical="center"/>
    </xf>
    <xf numFmtId="0" fontId="139" fillId="0" borderId="70" xfId="0" applyFont="1" applyBorder="1" applyAlignment="1">
      <alignment horizontal="justify" vertical="center" wrapText="1"/>
    </xf>
    <xf numFmtId="182" fontId="71" fillId="6" borderId="70" xfId="3" applyNumberFormat="1" applyFont="1" applyFill="1" applyBorder="1" applyAlignment="1">
      <alignment horizontal="center" vertical="center"/>
    </xf>
    <xf numFmtId="0" fontId="236" fillId="0" borderId="70" xfId="0" applyFont="1" applyBorder="1" applyAlignment="1">
      <alignment vertical="center" wrapText="1"/>
    </xf>
    <xf numFmtId="0" fontId="233" fillId="0" borderId="70" xfId="0" applyFont="1" applyBorder="1" applyAlignment="1">
      <alignment horizontal="center"/>
    </xf>
    <xf numFmtId="0" fontId="233" fillId="0" borderId="70" xfId="0" applyFont="1" applyBorder="1" applyAlignment="1">
      <alignment vertical="center" wrapText="1"/>
    </xf>
    <xf numFmtId="0" fontId="233" fillId="0" borderId="0" xfId="0" applyFont="1"/>
    <xf numFmtId="0" fontId="238" fillId="0" borderId="70" xfId="0" applyFont="1" applyBorder="1" applyAlignment="1">
      <alignment vertical="center" wrapText="1"/>
    </xf>
    <xf numFmtId="182" fontId="205" fillId="0" borderId="70" xfId="3" applyNumberFormat="1" applyFont="1" applyBorder="1" applyAlignment="1">
      <alignment horizontal="center" vertical="center"/>
    </xf>
    <xf numFmtId="0" fontId="133" fillId="0" borderId="70" xfId="0" applyFont="1" applyBorder="1" applyAlignment="1">
      <alignment vertical="center" wrapText="1"/>
    </xf>
    <xf numFmtId="182" fontId="71" fillId="0" borderId="70" xfId="3" applyNumberFormat="1" applyFont="1" applyFill="1" applyBorder="1" applyAlignment="1">
      <alignment horizontal="center" vertical="center"/>
    </xf>
    <xf numFmtId="182" fontId="205" fillId="5" borderId="70" xfId="0" applyNumberFormat="1" applyFont="1" applyFill="1" applyBorder="1" applyAlignment="1">
      <alignment vertical="center"/>
    </xf>
    <xf numFmtId="0" fontId="239" fillId="0" borderId="70" xfId="0" applyFont="1" applyBorder="1" applyAlignment="1">
      <alignment vertical="center" wrapText="1"/>
    </xf>
    <xf numFmtId="182" fontId="205" fillId="0" borderId="70" xfId="3" applyNumberFormat="1" applyFont="1" applyBorder="1" applyAlignment="1">
      <alignment vertical="center"/>
    </xf>
    <xf numFmtId="182" fontId="205" fillId="5" borderId="70" xfId="0" applyNumberFormat="1" applyFont="1" applyFill="1" applyBorder="1"/>
    <xf numFmtId="166" fontId="205" fillId="5" borderId="70" xfId="0" applyNumberFormat="1" applyFont="1" applyFill="1" applyBorder="1" applyAlignment="1">
      <alignment vertical="center"/>
    </xf>
    <xf numFmtId="0" fontId="205" fillId="5" borderId="70" xfId="0" applyFont="1" applyFill="1" applyBorder="1" applyAlignment="1">
      <alignment vertical="center"/>
    </xf>
    <xf numFmtId="0" fontId="129" fillId="0" borderId="0" xfId="0" applyFont="1" applyAlignment="1">
      <alignment horizontal="center"/>
    </xf>
    <xf numFmtId="0" fontId="129" fillId="0" borderId="0" xfId="0" applyFont="1" applyAlignment="1">
      <alignment vertical="center" wrapText="1"/>
    </xf>
    <xf numFmtId="182" fontId="129" fillId="0" borderId="0" xfId="3" applyNumberFormat="1" applyFont="1"/>
    <xf numFmtId="0" fontId="234" fillId="0" borderId="70" xfId="0" applyFont="1" applyBorder="1" applyAlignment="1">
      <alignment vertical="center" wrapText="1"/>
    </xf>
    <xf numFmtId="182" fontId="129" fillId="6" borderId="70" xfId="3" applyNumberFormat="1" applyFont="1" applyFill="1" applyBorder="1" applyAlignment="1">
      <alignment vertical="center"/>
    </xf>
    <xf numFmtId="182" fontId="205" fillId="6" borderId="70" xfId="3" applyNumberFormat="1" applyFont="1" applyFill="1" applyBorder="1"/>
    <xf numFmtId="182" fontId="129" fillId="6" borderId="70" xfId="0" applyNumberFormat="1" applyFont="1" applyFill="1" applyBorder="1"/>
    <xf numFmtId="182" fontId="129" fillId="6" borderId="70" xfId="3" applyNumberFormat="1" applyFont="1" applyFill="1" applyBorder="1"/>
    <xf numFmtId="182" fontId="129" fillId="6" borderId="70" xfId="3" applyNumberFormat="1" applyFont="1" applyFill="1" applyBorder="1" applyAlignment="1">
      <alignment horizontal="center" vertical="center"/>
    </xf>
    <xf numFmtId="182" fontId="205" fillId="6" borderId="70" xfId="0" applyNumberFormat="1" applyFont="1" applyFill="1" applyBorder="1" applyAlignment="1">
      <alignment horizontal="center" vertical="center"/>
    </xf>
    <xf numFmtId="182" fontId="205" fillId="6" borderId="70" xfId="3" applyNumberFormat="1" applyFont="1" applyFill="1" applyBorder="1" applyAlignment="1">
      <alignment horizontal="center" vertical="center"/>
    </xf>
    <xf numFmtId="0" fontId="129" fillId="6" borderId="70" xfId="0" applyFont="1" applyFill="1" applyBorder="1"/>
    <xf numFmtId="182" fontId="129" fillId="6" borderId="0" xfId="3" applyNumberFormat="1" applyFont="1" applyFill="1"/>
    <xf numFmtId="0" fontId="233" fillId="6" borderId="70" xfId="0" applyFont="1" applyFill="1" applyBorder="1" applyAlignment="1">
      <alignment horizontal="center" vertical="center"/>
    </xf>
    <xf numFmtId="0" fontId="234" fillId="6" borderId="70" xfId="0" applyFont="1" applyFill="1" applyBorder="1" applyAlignment="1">
      <alignment horizontal="justify" vertical="center"/>
    </xf>
    <xf numFmtId="0" fontId="233" fillId="6" borderId="0" xfId="0" applyFont="1" applyFill="1" applyAlignment="1">
      <alignment vertical="center"/>
    </xf>
    <xf numFmtId="0" fontId="71" fillId="0" borderId="70" xfId="0" applyFont="1" applyBorder="1" applyAlignment="1">
      <alignment horizontal="left" vertical="center" wrapText="1"/>
    </xf>
    <xf numFmtId="0" fontId="71" fillId="0" borderId="70" xfId="0" applyFont="1" applyBorder="1" applyAlignment="1">
      <alignment vertical="center"/>
    </xf>
    <xf numFmtId="0" fontId="29" fillId="0" borderId="70" xfId="0" applyFont="1" applyBorder="1" applyAlignment="1">
      <alignment horizontal="center" vertical="center" wrapText="1"/>
    </xf>
    <xf numFmtId="0" fontId="29" fillId="0" borderId="70" xfId="24" applyFont="1" applyBorder="1" applyAlignment="1">
      <alignment horizontal="center" vertical="center" wrapText="1"/>
    </xf>
    <xf numFmtId="3" fontId="29" fillId="0" borderId="4" xfId="0" applyNumberFormat="1" applyFont="1" applyBorder="1" applyAlignment="1">
      <alignment horizontal="right" vertical="center" wrapText="1"/>
    </xf>
    <xf numFmtId="0" fontId="25" fillId="0" borderId="5" xfId="0" applyFont="1" applyBorder="1" applyAlignment="1">
      <alignment vertical="center" wrapText="1"/>
    </xf>
    <xf numFmtId="210" fontId="25" fillId="0" borderId="5" xfId="3" applyNumberFormat="1" applyFont="1" applyBorder="1" applyAlignment="1">
      <alignment horizontal="right" vertical="center" wrapText="1"/>
    </xf>
    <xf numFmtId="3" fontId="25" fillId="0" borderId="5" xfId="0" applyNumberFormat="1" applyFont="1" applyBorder="1" applyAlignment="1">
      <alignment horizontal="right" vertical="center" wrapText="1"/>
    </xf>
    <xf numFmtId="0" fontId="182" fillId="0" borderId="7" xfId="0" applyFont="1" applyBorder="1" applyAlignment="1">
      <alignment vertical="center" wrapText="1"/>
    </xf>
    <xf numFmtId="182" fontId="25" fillId="0" borderId="5" xfId="3" applyNumberFormat="1" applyFont="1" applyBorder="1" applyAlignment="1">
      <alignment horizontal="right" vertical="center" wrapText="1"/>
    </xf>
    <xf numFmtId="0" fontId="25" fillId="0" borderId="5" xfId="0" applyFont="1" applyBorder="1" applyAlignment="1">
      <alignment horizontal="center" vertical="center" wrapText="1"/>
    </xf>
    <xf numFmtId="0" fontId="182" fillId="0" borderId="5" xfId="0" applyFont="1" applyBorder="1" applyAlignment="1">
      <alignment horizontal="center" vertical="center" wrapText="1"/>
    </xf>
    <xf numFmtId="0" fontId="29" fillId="0" borderId="5" xfId="0" applyFont="1" applyBorder="1" applyAlignment="1">
      <alignment vertical="center" wrapText="1"/>
    </xf>
    <xf numFmtId="0" fontId="181" fillId="0" borderId="5" xfId="0" applyFont="1" applyBorder="1" applyAlignment="1">
      <alignment vertical="center" wrapText="1"/>
    </xf>
    <xf numFmtId="3" fontId="29" fillId="0" borderId="5" xfId="0" applyNumberFormat="1" applyFont="1" applyBorder="1" applyAlignment="1">
      <alignment horizontal="right" vertical="center" wrapText="1"/>
    </xf>
    <xf numFmtId="0" fontId="182" fillId="0" borderId="15" xfId="0" applyFont="1" applyBorder="1" applyAlignment="1">
      <alignment horizontal="center" vertical="center" wrapText="1"/>
    </xf>
    <xf numFmtId="3" fontId="75" fillId="0" borderId="5" xfId="0" applyNumberFormat="1" applyFont="1" applyBorder="1" applyAlignment="1">
      <alignment horizontal="center" vertical="center" wrapText="1"/>
    </xf>
    <xf numFmtId="0" fontId="182" fillId="0" borderId="5" xfId="0" applyFont="1" applyBorder="1" applyAlignment="1">
      <alignment vertical="center" wrapText="1"/>
    </xf>
    <xf numFmtId="3" fontId="25" fillId="3" borderId="5" xfId="0" applyNumberFormat="1" applyFont="1" applyFill="1" applyBorder="1" applyAlignment="1">
      <alignment horizontal="right" vertical="center" wrapText="1"/>
    </xf>
    <xf numFmtId="49" fontId="25" fillId="0" borderId="5" xfId="0" applyNumberFormat="1" applyFont="1" applyBorder="1" applyAlignment="1">
      <alignment horizontal="center" vertical="center" wrapText="1"/>
    </xf>
    <xf numFmtId="3" fontId="25" fillId="3" borderId="5" xfId="3" applyNumberFormat="1" applyFont="1" applyFill="1" applyBorder="1" applyAlignment="1">
      <alignment horizontal="right" vertical="center" wrapText="1"/>
    </xf>
    <xf numFmtId="3" fontId="25" fillId="3" borderId="5" xfId="3" applyNumberFormat="1" applyFont="1" applyFill="1" applyBorder="1" applyAlignment="1">
      <alignment horizontal="left" vertical="center" wrapText="1"/>
    </xf>
    <xf numFmtId="3" fontId="181" fillId="0" borderId="4" xfId="0" applyNumberFormat="1" applyFont="1" applyBorder="1" applyAlignment="1">
      <alignment horizontal="right" vertical="center" wrapText="1"/>
    </xf>
    <xf numFmtId="0" fontId="182" fillId="0" borderId="5" xfId="0" applyFont="1" applyBorder="1" applyAlignment="1">
      <alignment horizontal="left" vertical="center" wrapText="1"/>
    </xf>
    <xf numFmtId="3" fontId="182" fillId="0" borderId="5" xfId="0" applyNumberFormat="1" applyFont="1" applyBorder="1" applyAlignment="1">
      <alignment horizontal="right" vertical="center" wrapText="1"/>
    </xf>
    <xf numFmtId="3" fontId="25" fillId="0" borderId="15" xfId="0" applyNumberFormat="1" applyFont="1" applyBorder="1" applyAlignment="1">
      <alignment horizontal="right" vertical="center" wrapText="1"/>
    </xf>
    <xf numFmtId="3" fontId="182" fillId="0" borderId="15" xfId="0" applyNumberFormat="1" applyFont="1" applyBorder="1" applyAlignment="1">
      <alignment horizontal="right" vertical="center" wrapText="1"/>
    </xf>
    <xf numFmtId="0" fontId="182" fillId="0" borderId="6" xfId="0" applyFont="1" applyBorder="1" applyAlignment="1">
      <alignment horizontal="center" vertical="center" wrapText="1"/>
    </xf>
    <xf numFmtId="3" fontId="25" fillId="0" borderId="6" xfId="0" applyNumberFormat="1" applyFont="1" applyBorder="1" applyAlignment="1">
      <alignment horizontal="right" vertical="center" wrapText="1"/>
    </xf>
    <xf numFmtId="3" fontId="182" fillId="0" borderId="6" xfId="0" applyNumberFormat="1" applyFont="1" applyBorder="1" applyAlignment="1">
      <alignment horizontal="right" vertical="center" wrapText="1"/>
    </xf>
    <xf numFmtId="182" fontId="71" fillId="0" borderId="5" xfId="3" applyNumberFormat="1" applyFont="1" applyFill="1" applyBorder="1" applyAlignment="1">
      <alignment horizontal="right" vertical="center" wrapText="1"/>
    </xf>
    <xf numFmtId="0" fontId="29" fillId="5" borderId="4" xfId="0" applyFont="1" applyFill="1" applyBorder="1" applyAlignment="1">
      <alignment horizontal="center" vertical="center" wrapText="1"/>
    </xf>
    <xf numFmtId="0" fontId="29" fillId="5" borderId="4" xfId="0" applyFont="1" applyFill="1" applyBorder="1" applyAlignment="1">
      <alignment vertical="center" wrapText="1"/>
    </xf>
    <xf numFmtId="0" fontId="181" fillId="5" borderId="4" xfId="0" applyFont="1" applyFill="1" applyBorder="1" applyAlignment="1">
      <alignment vertical="center" wrapText="1"/>
    </xf>
    <xf numFmtId="182" fontId="29" fillId="5" borderId="4" xfId="3" applyNumberFormat="1" applyFont="1" applyFill="1" applyBorder="1" applyAlignment="1">
      <alignment horizontal="right" vertical="center" wrapText="1"/>
    </xf>
    <xf numFmtId="3" fontId="29" fillId="5" borderId="4" xfId="0" applyNumberFormat="1" applyFont="1" applyFill="1" applyBorder="1" applyAlignment="1">
      <alignment horizontal="right" vertical="center" wrapText="1"/>
    </xf>
    <xf numFmtId="0" fontId="25" fillId="5" borderId="0" xfId="0" applyFont="1" applyFill="1"/>
    <xf numFmtId="0" fontId="29" fillId="5" borderId="5" xfId="0" applyFont="1" applyFill="1" applyBorder="1" applyAlignment="1">
      <alignment horizontal="center" vertical="center" wrapText="1"/>
    </xf>
    <xf numFmtId="0" fontId="29" fillId="5" borderId="5" xfId="0" applyFont="1" applyFill="1" applyBorder="1" applyAlignment="1">
      <alignment horizontal="left" vertical="center" wrapText="1"/>
    </xf>
    <xf numFmtId="182" fontId="29" fillId="5" borderId="5" xfId="3" applyNumberFormat="1" applyFont="1" applyFill="1" applyBorder="1" applyAlignment="1">
      <alignment horizontal="right" vertical="center" wrapText="1"/>
    </xf>
    <xf numFmtId="3" fontId="29" fillId="5" borderId="5" xfId="0" applyNumberFormat="1" applyFont="1" applyFill="1" applyBorder="1" applyAlignment="1">
      <alignment horizontal="right" vertical="center" wrapText="1"/>
    </xf>
    <xf numFmtId="0" fontId="25" fillId="5" borderId="0" xfId="0" applyFont="1" applyFill="1" applyAlignment="1">
      <alignment horizontal="center"/>
    </xf>
    <xf numFmtId="3" fontId="25" fillId="5" borderId="0" xfId="0" applyNumberFormat="1" applyFont="1" applyFill="1" applyAlignment="1">
      <alignment horizontal="center"/>
    </xf>
    <xf numFmtId="0" fontId="29" fillId="5" borderId="70" xfId="0" applyFont="1" applyFill="1" applyBorder="1" applyAlignment="1">
      <alignment horizontal="center" vertical="center" wrapText="1"/>
    </xf>
    <xf numFmtId="0" fontId="29" fillId="5" borderId="70" xfId="0" applyFont="1" applyFill="1" applyBorder="1" applyAlignment="1">
      <alignment vertical="center" wrapText="1"/>
    </xf>
    <xf numFmtId="0" fontId="181" fillId="5" borderId="70" xfId="0" applyFont="1" applyFill="1" applyBorder="1" applyAlignment="1">
      <alignment vertical="center" wrapText="1"/>
    </xf>
    <xf numFmtId="182" fontId="29" fillId="5" borderId="70" xfId="3" applyNumberFormat="1" applyFont="1" applyFill="1" applyBorder="1" applyAlignment="1">
      <alignment horizontal="right" vertical="center" wrapText="1"/>
    </xf>
    <xf numFmtId="3" fontId="29" fillId="5" borderId="70" xfId="0" applyNumberFormat="1" applyFont="1" applyFill="1" applyBorder="1" applyAlignment="1">
      <alignment horizontal="right" vertical="center" wrapText="1"/>
    </xf>
    <xf numFmtId="0" fontId="25" fillId="0" borderId="7" xfId="0" applyFont="1" applyBorder="1" applyAlignment="1">
      <alignment horizontal="center" vertical="center" wrapText="1"/>
    </xf>
    <xf numFmtId="0" fontId="25" fillId="0" borderId="15" xfId="0" applyFont="1" applyBorder="1" applyAlignment="1">
      <alignment vertical="center" wrapText="1"/>
    </xf>
    <xf numFmtId="182" fontId="25" fillId="0" borderId="15" xfId="3" applyNumberFormat="1" applyFont="1" applyBorder="1" applyAlignment="1">
      <alignment horizontal="right" vertical="center" wrapText="1"/>
    </xf>
    <xf numFmtId="0" fontId="29" fillId="5" borderId="70" xfId="0" applyFont="1" applyFill="1" applyBorder="1" applyAlignment="1">
      <alignment horizontal="left" vertical="center" wrapText="1"/>
    </xf>
    <xf numFmtId="3" fontId="25" fillId="5" borderId="0" xfId="0" applyNumberFormat="1" applyFont="1" applyFill="1"/>
    <xf numFmtId="0" fontId="25" fillId="0" borderId="7" xfId="0" applyFont="1" applyBorder="1" applyAlignment="1">
      <alignment vertical="center" wrapText="1"/>
    </xf>
    <xf numFmtId="3" fontId="25" fillId="3" borderId="7" xfId="0" applyNumberFormat="1" applyFont="1" applyFill="1" applyBorder="1" applyAlignment="1">
      <alignment horizontal="right" vertical="center" wrapText="1"/>
    </xf>
    <xf numFmtId="3" fontId="71" fillId="0" borderId="5" xfId="0" applyNumberFormat="1" applyFont="1" applyBorder="1" applyAlignment="1">
      <alignment horizontal="right" vertical="center" wrapText="1"/>
    </xf>
    <xf numFmtId="0" fontId="71" fillId="0" borderId="0" xfId="0" applyFont="1" applyAlignment="1">
      <alignment horizontal="center"/>
    </xf>
    <xf numFmtId="3" fontId="71" fillId="0" borderId="0" xfId="0" applyNumberFormat="1" applyFont="1" applyAlignment="1">
      <alignment horizontal="center"/>
    </xf>
    <xf numFmtId="0" fontId="181" fillId="5" borderId="4" xfId="0" applyFont="1" applyFill="1" applyBorder="1" applyAlignment="1">
      <alignment horizontal="left" vertical="center" wrapText="1"/>
    </xf>
    <xf numFmtId="3" fontId="181" fillId="5" borderId="4" xfId="0" applyNumberFormat="1" applyFont="1" applyFill="1" applyBorder="1" applyAlignment="1">
      <alignment horizontal="right" vertical="center" wrapText="1"/>
    </xf>
    <xf numFmtId="3" fontId="22" fillId="5" borderId="0" xfId="0" applyNumberFormat="1" applyFont="1" applyFill="1"/>
    <xf numFmtId="0" fontId="22" fillId="5" borderId="0" xfId="0" applyFont="1" applyFill="1"/>
    <xf numFmtId="0" fontId="129" fillId="5" borderId="0" xfId="0" applyFont="1" applyFill="1" applyAlignment="1">
      <alignment vertical="center"/>
    </xf>
    <xf numFmtId="182" fontId="109" fillId="5" borderId="70" xfId="3" applyNumberFormat="1" applyFont="1" applyFill="1" applyBorder="1" applyAlignment="1">
      <alignment vertical="center" wrapText="1"/>
    </xf>
    <xf numFmtId="182" fontId="233" fillId="5" borderId="70" xfId="0" applyNumberFormat="1" applyFont="1" applyFill="1" applyBorder="1" applyAlignment="1">
      <alignment vertical="center"/>
    </xf>
    <xf numFmtId="182" fontId="129" fillId="5" borderId="70" xfId="0" applyNumberFormat="1" applyFont="1" applyFill="1" applyBorder="1" applyAlignment="1">
      <alignment vertical="center"/>
    </xf>
    <xf numFmtId="182" fontId="233" fillId="5" borderId="70" xfId="3" applyNumberFormat="1" applyFont="1" applyFill="1" applyBorder="1" applyAlignment="1">
      <alignment vertical="center" wrapText="1"/>
    </xf>
    <xf numFmtId="182" fontId="129" fillId="5" borderId="70" xfId="3" applyNumberFormat="1" applyFont="1" applyFill="1" applyBorder="1" applyAlignment="1">
      <alignment vertical="center" wrapText="1"/>
    </xf>
    <xf numFmtId="0" fontId="129" fillId="5" borderId="0" xfId="0" applyFont="1" applyFill="1"/>
    <xf numFmtId="182" fontId="232" fillId="5" borderId="70" xfId="0" applyNumberFormat="1" applyFont="1" applyFill="1" applyBorder="1" applyAlignment="1">
      <alignment vertical="center"/>
    </xf>
    <xf numFmtId="182" fontId="233" fillId="5" borderId="70" xfId="0" applyNumberFormat="1" applyFont="1" applyFill="1" applyBorder="1" applyAlignment="1">
      <alignment horizontal="center" vertical="center"/>
    </xf>
    <xf numFmtId="182" fontId="205" fillId="5" borderId="70" xfId="0" applyNumberFormat="1" applyFont="1" applyFill="1" applyBorder="1" applyAlignment="1">
      <alignment horizontal="center" vertical="center"/>
    </xf>
    <xf numFmtId="0" fontId="129" fillId="5" borderId="70" xfId="0" applyFont="1" applyFill="1" applyBorder="1" applyAlignment="1">
      <alignment vertical="center"/>
    </xf>
    <xf numFmtId="0" fontId="129" fillId="5" borderId="70" xfId="0" applyFont="1" applyFill="1" applyBorder="1"/>
    <xf numFmtId="43" fontId="6" fillId="5" borderId="70" xfId="3" applyFont="1" applyFill="1" applyBorder="1" applyAlignment="1">
      <alignment horizontal="center" wrapText="1"/>
    </xf>
    <xf numFmtId="166" fontId="6" fillId="5" borderId="70" xfId="3" applyNumberFormat="1" applyFont="1" applyFill="1" applyBorder="1" applyAlignment="1">
      <alignment horizontal="center" wrapText="1"/>
    </xf>
    <xf numFmtId="0" fontId="129" fillId="6" borderId="0" xfId="0" applyFont="1" applyFill="1" applyAlignment="1">
      <alignment horizontal="center"/>
    </xf>
    <xf numFmtId="182" fontId="129" fillId="6" borderId="0" xfId="3" applyNumberFormat="1" applyFont="1" applyFill="1" applyAlignment="1">
      <alignment horizontal="center" vertical="center" wrapText="1"/>
    </xf>
    <xf numFmtId="182" fontId="129" fillId="6" borderId="0" xfId="3" applyNumberFormat="1" applyFont="1" applyFill="1" applyAlignment="1">
      <alignment horizontal="center"/>
    </xf>
    <xf numFmtId="182" fontId="129" fillId="5" borderId="0" xfId="0" applyNumberFormat="1" applyFont="1" applyFill="1" applyAlignment="1">
      <alignment vertical="center"/>
    </xf>
    <xf numFmtId="0" fontId="129" fillId="6" borderId="0" xfId="0" applyFont="1" applyFill="1" applyAlignment="1">
      <alignment vertical="center"/>
    </xf>
    <xf numFmtId="166" fontId="129" fillId="6" borderId="0" xfId="3" applyNumberFormat="1" applyFont="1" applyFill="1" applyBorder="1" applyAlignment="1">
      <alignment horizontal="center" vertical="center" wrapText="1"/>
    </xf>
    <xf numFmtId="0" fontId="205" fillId="6" borderId="70" xfId="0" applyFont="1" applyFill="1" applyBorder="1" applyAlignment="1">
      <alignment horizontal="center"/>
    </xf>
    <xf numFmtId="166" fontId="205" fillId="6" borderId="70" xfId="3" applyNumberFormat="1" applyFont="1" applyFill="1" applyBorder="1" applyAlignment="1">
      <alignment horizontal="left" vertical="center" wrapText="1"/>
    </xf>
    <xf numFmtId="0" fontId="205" fillId="6" borderId="0" xfId="0" applyFont="1" applyFill="1"/>
    <xf numFmtId="0" fontId="106" fillId="6" borderId="70" xfId="0" applyFont="1" applyFill="1" applyBorder="1" applyAlignment="1">
      <alignment vertical="center" wrapText="1"/>
    </xf>
    <xf numFmtId="0" fontId="129" fillId="6" borderId="70" xfId="0" applyFont="1" applyFill="1" applyBorder="1" applyAlignment="1">
      <alignment horizontal="left" vertical="center" wrapText="1"/>
    </xf>
    <xf numFmtId="0" fontId="133" fillId="6" borderId="70" xfId="0" applyFont="1" applyFill="1" applyBorder="1" applyAlignment="1">
      <alignment vertical="center" wrapText="1"/>
    </xf>
    <xf numFmtId="166" fontId="129" fillId="6" borderId="70" xfId="3" applyNumberFormat="1" applyFont="1" applyFill="1" applyBorder="1" applyAlignment="1">
      <alignment horizontal="center" vertical="center"/>
    </xf>
    <xf numFmtId="170" fontId="129" fillId="6" borderId="70" xfId="3" applyNumberFormat="1" applyFont="1" applyFill="1" applyBorder="1" applyAlignment="1">
      <alignment horizontal="center" vertical="center"/>
    </xf>
    <xf numFmtId="0" fontId="133" fillId="5" borderId="70" xfId="0" applyFont="1" applyFill="1" applyBorder="1" applyAlignment="1">
      <alignment vertical="center" wrapText="1"/>
    </xf>
    <xf numFmtId="0" fontId="129" fillId="5" borderId="70" xfId="0" applyFont="1" applyFill="1" applyBorder="1" applyAlignment="1">
      <alignment horizontal="center"/>
    </xf>
    <xf numFmtId="0" fontId="129" fillId="6" borderId="70" xfId="0" applyFont="1" applyFill="1" applyBorder="1" applyAlignment="1">
      <alignment vertical="center"/>
    </xf>
    <xf numFmtId="0" fontId="140" fillId="6" borderId="70" xfId="0" applyFont="1" applyFill="1" applyBorder="1" applyAlignment="1">
      <alignment vertical="center" wrapText="1"/>
    </xf>
    <xf numFmtId="0" fontId="106" fillId="6" borderId="70" xfId="0" applyFont="1" applyFill="1" applyBorder="1" applyAlignment="1">
      <alignment horizontal="justify" vertical="center"/>
    </xf>
    <xf numFmtId="166" fontId="235" fillId="6" borderId="70" xfId="3" applyNumberFormat="1" applyFont="1" applyFill="1" applyBorder="1" applyAlignment="1">
      <alignment vertical="center"/>
    </xf>
    <xf numFmtId="0" fontId="139" fillId="6" borderId="70" xfId="0" applyFont="1" applyFill="1" applyBorder="1" applyAlignment="1">
      <alignment vertical="center"/>
    </xf>
    <xf numFmtId="0" fontId="133" fillId="6" borderId="70" xfId="0" applyFont="1" applyFill="1" applyBorder="1" applyAlignment="1">
      <alignment horizontal="justify" vertical="center"/>
    </xf>
    <xf numFmtId="166" fontId="240" fillId="6" borderId="70" xfId="3" applyNumberFormat="1" applyFont="1" applyFill="1" applyBorder="1" applyAlignment="1">
      <alignment vertical="center"/>
    </xf>
    <xf numFmtId="0" fontId="241" fillId="6" borderId="70" xfId="0" applyFont="1" applyFill="1" applyBorder="1" applyAlignment="1">
      <alignment horizontal="justify" vertical="center" wrapText="1"/>
    </xf>
    <xf numFmtId="0" fontId="133" fillId="6" borderId="70" xfId="0" applyFont="1" applyFill="1" applyBorder="1" applyAlignment="1">
      <alignment horizontal="justify" vertical="center" wrapText="1"/>
    </xf>
    <xf numFmtId="0" fontId="241" fillId="6" borderId="70" xfId="0" applyFont="1" applyFill="1" applyBorder="1" applyAlignment="1">
      <alignment vertical="center" wrapText="1"/>
    </xf>
    <xf numFmtId="3" fontId="129" fillId="6" borderId="70" xfId="3" applyNumberFormat="1" applyFont="1" applyFill="1" applyBorder="1" applyAlignment="1">
      <alignment vertical="center" wrapText="1"/>
    </xf>
    <xf numFmtId="0" fontId="106" fillId="6" borderId="70" xfId="0" applyFont="1" applyFill="1" applyBorder="1" applyAlignment="1">
      <alignment horizontal="justify" vertical="center" wrapText="1"/>
    </xf>
    <xf numFmtId="0" fontId="139" fillId="6" borderId="70" xfId="0" applyFont="1" applyFill="1" applyBorder="1" applyAlignment="1">
      <alignment vertical="center" wrapText="1"/>
    </xf>
    <xf numFmtId="166" fontId="139" fillId="6" borderId="70" xfId="3" applyNumberFormat="1" applyFont="1" applyFill="1" applyBorder="1" applyAlignment="1">
      <alignment vertical="center" wrapText="1"/>
    </xf>
    <xf numFmtId="43" fontId="139" fillId="6" borderId="70" xfId="3" applyFont="1" applyFill="1" applyBorder="1" applyAlignment="1">
      <alignment vertical="center" wrapText="1"/>
    </xf>
    <xf numFmtId="0" fontId="114" fillId="6" borderId="70" xfId="0" applyFont="1" applyFill="1" applyBorder="1" applyAlignment="1">
      <alignment vertical="center" wrapText="1"/>
    </xf>
    <xf numFmtId="166" fontId="114" fillId="6" borderId="70" xfId="3" applyNumberFormat="1" applyFont="1" applyFill="1" applyBorder="1" applyAlignment="1">
      <alignment vertical="center" wrapText="1"/>
    </xf>
    <xf numFmtId="166" fontId="139" fillId="6" borderId="70" xfId="3" applyNumberFormat="1" applyFont="1" applyFill="1" applyBorder="1" applyAlignment="1">
      <alignment vertical="center"/>
    </xf>
    <xf numFmtId="166" fontId="205" fillId="6" borderId="70" xfId="3" applyNumberFormat="1" applyFont="1" applyFill="1" applyBorder="1" applyAlignment="1">
      <alignment vertical="center"/>
    </xf>
    <xf numFmtId="166" fontId="129" fillId="6" borderId="70" xfId="3" applyNumberFormat="1" applyFont="1" applyFill="1" applyBorder="1" applyAlignment="1">
      <alignment vertical="center"/>
    </xf>
    <xf numFmtId="0" fontId="114" fillId="6" borderId="70" xfId="0" applyFont="1" applyFill="1" applyBorder="1" applyAlignment="1">
      <alignment horizontal="justify" vertical="center" wrapText="1"/>
    </xf>
    <xf numFmtId="0" fontId="240" fillId="6" borderId="70" xfId="0" applyFont="1" applyFill="1" applyBorder="1" applyAlignment="1">
      <alignment vertical="center" wrapText="1"/>
    </xf>
    <xf numFmtId="0" fontId="235" fillId="6" borderId="70" xfId="0" applyFont="1" applyFill="1" applyBorder="1" applyAlignment="1">
      <alignment horizontal="justify" vertical="center" wrapText="1"/>
    </xf>
    <xf numFmtId="215" fontId="129" fillId="6" borderId="70" xfId="3" applyNumberFormat="1" applyFont="1" applyFill="1" applyBorder="1" applyAlignment="1">
      <alignment vertical="center" wrapText="1"/>
    </xf>
    <xf numFmtId="0" fontId="139" fillId="6" borderId="70" xfId="0" applyFont="1" applyFill="1" applyBorder="1" applyAlignment="1">
      <alignment horizontal="justify" vertical="center" wrapText="1"/>
    </xf>
    <xf numFmtId="182" fontId="133" fillId="6" borderId="70" xfId="3" applyNumberFormat="1" applyFont="1" applyFill="1" applyBorder="1" applyAlignment="1">
      <alignment horizontal="center" vertical="center"/>
    </xf>
    <xf numFmtId="182" fontId="233" fillId="6" borderId="70" xfId="3" applyNumberFormat="1" applyFont="1" applyFill="1" applyBorder="1" applyAlignment="1">
      <alignment horizontal="center" vertical="center"/>
    </xf>
    <xf numFmtId="182" fontId="233" fillId="6" borderId="70" xfId="0" applyNumberFormat="1" applyFont="1" applyFill="1" applyBorder="1" applyAlignment="1">
      <alignment horizontal="center" vertical="center"/>
    </xf>
    <xf numFmtId="0" fontId="139" fillId="6" borderId="70" xfId="0" applyFont="1" applyFill="1" applyBorder="1" applyAlignment="1">
      <alignment horizontal="left" vertical="center" wrapText="1"/>
    </xf>
    <xf numFmtId="43" fontId="114" fillId="6" borderId="70" xfId="3" applyFont="1" applyFill="1" applyBorder="1" applyAlignment="1">
      <alignment vertical="center" wrapText="1"/>
    </xf>
    <xf numFmtId="182" fontId="106" fillId="6" borderId="70" xfId="3" applyNumberFormat="1" applyFont="1" applyFill="1" applyBorder="1" applyAlignment="1">
      <alignment horizontal="center" vertical="center"/>
    </xf>
    <xf numFmtId="182" fontId="205" fillId="6" borderId="70" xfId="3" applyNumberFormat="1" applyFont="1" applyFill="1" applyBorder="1" applyAlignment="1">
      <alignment vertical="center"/>
    </xf>
    <xf numFmtId="166" fontId="232" fillId="6" borderId="70" xfId="3" applyNumberFormat="1" applyFont="1" applyFill="1" applyBorder="1" applyAlignment="1">
      <alignment vertical="center"/>
    </xf>
    <xf numFmtId="0" fontId="235" fillId="6" borderId="70" xfId="0" applyFont="1" applyFill="1" applyBorder="1" applyAlignment="1">
      <alignment vertical="center"/>
    </xf>
    <xf numFmtId="182" fontId="232" fillId="6" borderId="70" xfId="3" applyNumberFormat="1" applyFont="1" applyFill="1" applyBorder="1" applyAlignment="1">
      <alignment vertical="center"/>
    </xf>
    <xf numFmtId="167" fontId="232" fillId="5" borderId="70" xfId="3" applyNumberFormat="1" applyFont="1" applyFill="1" applyBorder="1" applyAlignment="1">
      <alignment vertical="center"/>
    </xf>
    <xf numFmtId="182" fontId="139" fillId="6" borderId="70" xfId="0" applyNumberFormat="1" applyFont="1" applyFill="1" applyBorder="1" applyAlignment="1">
      <alignment vertical="center"/>
    </xf>
    <xf numFmtId="0" fontId="205" fillId="6" borderId="70" xfId="0" applyFont="1" applyFill="1" applyBorder="1"/>
    <xf numFmtId="166" fontId="205" fillId="6" borderId="70" xfId="0" applyNumberFormat="1" applyFont="1" applyFill="1" applyBorder="1" applyAlignment="1">
      <alignment vertical="center"/>
    </xf>
    <xf numFmtId="0" fontId="205" fillId="6" borderId="70" xfId="0" applyFont="1" applyFill="1" applyBorder="1" applyAlignment="1">
      <alignment vertical="center"/>
    </xf>
    <xf numFmtId="0" fontId="205" fillId="6" borderId="70" xfId="0" applyFont="1" applyFill="1" applyBorder="1" applyAlignment="1">
      <alignment wrapText="1"/>
    </xf>
    <xf numFmtId="166" fontId="205" fillId="6" borderId="70" xfId="3" applyNumberFormat="1" applyFont="1" applyFill="1" applyBorder="1" applyAlignment="1">
      <alignment vertical="center" wrapText="1"/>
    </xf>
    <xf numFmtId="43" fontId="129" fillId="6" borderId="70" xfId="0" applyNumberFormat="1" applyFont="1" applyFill="1" applyBorder="1" applyAlignment="1">
      <alignment vertical="center" wrapText="1"/>
    </xf>
    <xf numFmtId="182" fontId="205" fillId="6" borderId="70" xfId="0" applyNumberFormat="1" applyFont="1" applyFill="1" applyBorder="1" applyAlignment="1">
      <alignment vertical="center" wrapText="1"/>
    </xf>
    <xf numFmtId="166" fontId="129" fillId="5" borderId="70" xfId="0" applyNumberFormat="1" applyFont="1" applyFill="1" applyBorder="1" applyAlignment="1">
      <alignment vertical="center"/>
    </xf>
    <xf numFmtId="0" fontId="139" fillId="6" borderId="70" xfId="0" quotePrefix="1" applyFont="1" applyFill="1" applyBorder="1" applyAlignment="1">
      <alignment horizontal="left" vertical="center" wrapText="1"/>
    </xf>
    <xf numFmtId="166" fontId="129" fillId="6" borderId="70" xfId="3" applyNumberFormat="1" applyFont="1" applyFill="1" applyBorder="1"/>
    <xf numFmtId="0" fontId="129" fillId="6" borderId="0" xfId="0" applyFont="1" applyFill="1" applyAlignment="1">
      <alignment vertical="center" wrapText="1"/>
    </xf>
    <xf numFmtId="182" fontId="129" fillId="0" borderId="0" xfId="0" applyNumberFormat="1" applyFont="1" applyAlignment="1">
      <alignment vertical="center" wrapText="1"/>
    </xf>
    <xf numFmtId="167" fontId="2" fillId="6" borderId="3" xfId="3" applyNumberFormat="1" applyFont="1" applyFill="1" applyBorder="1" applyAlignment="1">
      <alignment horizontal="center" vertical="center" wrapText="1"/>
    </xf>
    <xf numFmtId="182" fontId="129" fillId="6" borderId="0" xfId="0" applyNumberFormat="1" applyFont="1" applyFill="1" applyAlignment="1">
      <alignment vertical="center"/>
    </xf>
    <xf numFmtId="0" fontId="172" fillId="6" borderId="0" xfId="0" applyFont="1" applyFill="1" applyAlignment="1">
      <alignment horizontal="center" wrapText="1"/>
    </xf>
    <xf numFmtId="172" fontId="6" fillId="5" borderId="70" xfId="3" applyNumberFormat="1" applyFont="1" applyFill="1" applyBorder="1" applyAlignment="1">
      <alignment horizontal="center" wrapText="1"/>
    </xf>
    <xf numFmtId="173" fontId="6" fillId="5" borderId="70" xfId="3" applyNumberFormat="1" applyFont="1" applyFill="1" applyBorder="1" applyAlignment="1">
      <alignment horizontal="center" wrapText="1"/>
    </xf>
    <xf numFmtId="169" fontId="6" fillId="6" borderId="70" xfId="3" applyNumberFormat="1" applyFont="1" applyFill="1" applyBorder="1" applyAlignment="1">
      <alignment horizontal="center" wrapText="1"/>
    </xf>
    <xf numFmtId="169" fontId="6" fillId="6" borderId="70" xfId="3" applyNumberFormat="1" applyFont="1" applyFill="1" applyBorder="1" applyAlignment="1">
      <alignment horizontal="right" wrapText="1"/>
    </xf>
    <xf numFmtId="167" fontId="6" fillId="6" borderId="0" xfId="3" applyNumberFormat="1" applyFont="1" applyFill="1" applyAlignment="1">
      <alignment vertical="center"/>
    </xf>
    <xf numFmtId="167" fontId="2" fillId="6" borderId="70" xfId="3" applyNumberFormat="1" applyFont="1" applyFill="1" applyBorder="1" applyAlignment="1">
      <alignment vertical="center" wrapText="1"/>
    </xf>
    <xf numFmtId="167" fontId="2" fillId="6" borderId="70" xfId="3" applyNumberFormat="1" applyFont="1" applyFill="1" applyBorder="1" applyAlignment="1">
      <alignment wrapText="1"/>
    </xf>
    <xf numFmtId="167" fontId="3" fillId="6" borderId="70" xfId="3" applyNumberFormat="1" applyFont="1" applyFill="1" applyBorder="1" applyAlignment="1">
      <alignment wrapText="1"/>
    </xf>
    <xf numFmtId="167" fontId="115" fillId="5" borderId="70" xfId="3" applyNumberFormat="1" applyFont="1" applyFill="1" applyBorder="1" applyAlignment="1">
      <alignment wrapText="1"/>
    </xf>
    <xf numFmtId="166" fontId="71" fillId="0" borderId="0" xfId="3" applyNumberFormat="1" applyFont="1" applyFill="1"/>
    <xf numFmtId="172" fontId="177" fillId="0" borderId="0" xfId="3" applyNumberFormat="1" applyFont="1" applyFill="1" applyAlignment="1"/>
    <xf numFmtId="9" fontId="177" fillId="0" borderId="0" xfId="0" applyNumberFormat="1" applyFont="1" applyAlignment="1">
      <alignment horizontal="center" vertical="center"/>
    </xf>
    <xf numFmtId="9" fontId="72" fillId="0" borderId="0" xfId="0" applyNumberFormat="1" applyFont="1" applyAlignment="1">
      <alignment horizontal="center" vertical="center"/>
    </xf>
    <xf numFmtId="171" fontId="6" fillId="0" borderId="0" xfId="3" applyNumberFormat="1" applyFont="1" applyFill="1"/>
    <xf numFmtId="166" fontId="6" fillId="0" borderId="0" xfId="3" applyNumberFormat="1" applyFont="1" applyFill="1"/>
    <xf numFmtId="171" fontId="71" fillId="0" borderId="0" xfId="3" applyNumberFormat="1" applyFont="1" applyFill="1" applyAlignment="1"/>
    <xf numFmtId="0" fontId="80" fillId="0" borderId="0" xfId="0" applyFont="1"/>
    <xf numFmtId="0" fontId="6" fillId="0" borderId="0" xfId="0" applyFont="1" applyAlignment="1">
      <alignment horizontal="left"/>
    </xf>
    <xf numFmtId="0" fontId="177" fillId="0" borderId="0" xfId="0" applyFont="1" applyAlignment="1">
      <alignment horizontal="center" vertical="center"/>
    </xf>
    <xf numFmtId="182" fontId="205" fillId="6" borderId="70" xfId="3" applyNumberFormat="1" applyFont="1" applyFill="1" applyBorder="1" applyAlignment="1">
      <alignment horizontal="center" vertical="center" wrapText="1"/>
    </xf>
    <xf numFmtId="182" fontId="41" fillId="0" borderId="70" xfId="3" applyNumberFormat="1" applyFont="1" applyBorder="1" applyAlignment="1">
      <alignment horizontal="center" vertical="center" wrapText="1"/>
    </xf>
    <xf numFmtId="166" fontId="91" fillId="0" borderId="0" xfId="0" applyNumberFormat="1" applyFont="1"/>
    <xf numFmtId="169" fontId="71" fillId="0" borderId="0" xfId="3" applyNumberFormat="1" applyFont="1" applyFill="1"/>
    <xf numFmtId="209" fontId="177" fillId="0" borderId="0" xfId="0" applyNumberFormat="1" applyFont="1"/>
    <xf numFmtId="173" fontId="177" fillId="0" borderId="0" xfId="3" applyNumberFormat="1" applyFont="1" applyFill="1" applyAlignment="1"/>
    <xf numFmtId="171" fontId="172" fillId="6" borderId="0" xfId="3" applyNumberFormat="1" applyFont="1" applyFill="1" applyAlignment="1"/>
    <xf numFmtId="166" fontId="172" fillId="6" borderId="0" xfId="3" applyNumberFormat="1" applyFont="1" applyFill="1" applyAlignment="1">
      <alignment horizontal="center" wrapText="1"/>
    </xf>
    <xf numFmtId="171" fontId="172" fillId="6" borderId="0" xfId="3" applyNumberFormat="1" applyFont="1" applyFill="1" applyAlignment="1">
      <alignment horizontal="center" wrapText="1"/>
    </xf>
    <xf numFmtId="171" fontId="91" fillId="6" borderId="0" xfId="3" applyNumberFormat="1" applyFont="1" applyFill="1" applyBorder="1" applyAlignment="1">
      <alignment horizontal="right" wrapText="1"/>
    </xf>
    <xf numFmtId="0" fontId="231" fillId="6" borderId="0" xfId="0" applyFont="1" applyFill="1"/>
    <xf numFmtId="166" fontId="91" fillId="6" borderId="0" xfId="3" applyNumberFormat="1" applyFont="1" applyFill="1" applyAlignment="1"/>
    <xf numFmtId="0" fontId="215" fillId="6" borderId="0" xfId="0" applyFont="1" applyFill="1"/>
    <xf numFmtId="0" fontId="217" fillId="6" borderId="0" xfId="0" applyFont="1" applyFill="1" applyAlignment="1">
      <alignment horizontal="center" vertical="center" wrapText="1"/>
    </xf>
    <xf numFmtId="166" fontId="215" fillId="6" borderId="0" xfId="3" applyNumberFormat="1" applyFont="1" applyFill="1"/>
    <xf numFmtId="166" fontId="217" fillId="6" borderId="0" xfId="3" applyNumberFormat="1" applyFont="1" applyFill="1" applyAlignment="1">
      <alignment horizontal="center" vertical="center" wrapText="1"/>
    </xf>
    <xf numFmtId="172" fontId="217" fillId="6" borderId="0" xfId="3" applyNumberFormat="1" applyFont="1" applyFill="1" applyAlignment="1">
      <alignment horizontal="center" vertical="center" wrapText="1"/>
    </xf>
    <xf numFmtId="169" fontId="217" fillId="6" borderId="0" xfId="3" applyNumberFormat="1" applyFont="1" applyFill="1" applyAlignment="1">
      <alignment horizontal="center" vertical="center" wrapText="1"/>
    </xf>
    <xf numFmtId="0" fontId="247" fillId="6" borderId="0" xfId="0" applyFont="1" applyFill="1" applyAlignment="1">
      <alignment vertical="center"/>
    </xf>
    <xf numFmtId="172" fontId="215" fillId="6" borderId="0" xfId="3" applyNumberFormat="1" applyFont="1" applyFill="1"/>
    <xf numFmtId="0" fontId="216" fillId="6" borderId="0" xfId="0" applyFont="1" applyFill="1"/>
    <xf numFmtId="166" fontId="216" fillId="6" borderId="0" xfId="3" applyNumberFormat="1" applyFont="1" applyFill="1"/>
    <xf numFmtId="169" fontId="215" fillId="6" borderId="0" xfId="3" applyNumberFormat="1" applyFont="1" applyFill="1"/>
    <xf numFmtId="166" fontId="216" fillId="6" borderId="0" xfId="3" applyNumberFormat="1" applyFont="1" applyFill="1" applyBorder="1" applyAlignment="1">
      <alignment horizontal="right" vertical="center" wrapText="1"/>
    </xf>
    <xf numFmtId="171" fontId="249" fillId="0" borderId="0" xfId="46" applyNumberFormat="1" applyFont="1" applyFill="1"/>
    <xf numFmtId="0" fontId="0" fillId="0" borderId="70" xfId="0" applyBorder="1"/>
    <xf numFmtId="171" fontId="0" fillId="0" borderId="70" xfId="3" applyNumberFormat="1" applyFont="1" applyBorder="1"/>
    <xf numFmtId="0" fontId="246" fillId="0" borderId="70" xfId="0" applyFont="1" applyBorder="1"/>
    <xf numFmtId="166" fontId="246" fillId="0" borderId="70" xfId="3" applyNumberFormat="1" applyFont="1" applyBorder="1"/>
    <xf numFmtId="166" fontId="246" fillId="0" borderId="70" xfId="0" applyNumberFormat="1" applyFont="1" applyBorder="1"/>
    <xf numFmtId="171" fontId="246" fillId="0" borderId="70" xfId="0" applyNumberFormat="1" applyFont="1" applyBorder="1"/>
    <xf numFmtId="0" fontId="245" fillId="0" borderId="70" xfId="0" applyFont="1" applyBorder="1" applyAlignment="1">
      <alignment vertical="center"/>
    </xf>
    <xf numFmtId="166" fontId="245" fillId="0" borderId="70" xfId="3" applyNumberFormat="1" applyFont="1" applyBorder="1" applyAlignment="1">
      <alignment vertical="center"/>
    </xf>
    <xf numFmtId="0" fontId="245" fillId="0" borderId="70" xfId="0" applyFont="1" applyBorder="1" applyAlignment="1">
      <alignment vertical="center" wrapText="1"/>
    </xf>
    <xf numFmtId="0" fontId="114" fillId="0" borderId="70" xfId="0" applyFont="1" applyBorder="1"/>
    <xf numFmtId="166" fontId="114" fillId="0" borderId="70" xfId="3" applyNumberFormat="1" applyFont="1" applyBorder="1"/>
    <xf numFmtId="171" fontId="114" fillId="0" borderId="70" xfId="3" applyNumberFormat="1" applyFont="1" applyBorder="1"/>
    <xf numFmtId="166" fontId="245" fillId="0" borderId="70" xfId="0" applyNumberFormat="1" applyFont="1" applyBorder="1" applyAlignment="1">
      <alignment vertical="center" wrapText="1"/>
    </xf>
    <xf numFmtId="166" fontId="205" fillId="5" borderId="70" xfId="3" applyNumberFormat="1" applyFont="1" applyFill="1" applyBorder="1" applyAlignment="1">
      <alignment vertical="center" wrapText="1"/>
    </xf>
    <xf numFmtId="166" fontId="71" fillId="0" borderId="0" xfId="3" applyNumberFormat="1" applyFont="1" applyFill="1" applyAlignment="1">
      <alignment wrapText="1"/>
    </xf>
    <xf numFmtId="166" fontId="2" fillId="6" borderId="0" xfId="3" applyNumberFormat="1" applyFont="1" applyFill="1" applyAlignment="1"/>
    <xf numFmtId="182" fontId="129" fillId="5" borderId="0" xfId="3" applyNumberFormat="1" applyFont="1" applyFill="1" applyAlignment="1">
      <alignment horizontal="center" vertical="center" wrapText="1"/>
    </xf>
    <xf numFmtId="182" fontId="205" fillId="5" borderId="70" xfId="3" applyNumberFormat="1" applyFont="1" applyFill="1" applyBorder="1" applyAlignment="1">
      <alignment horizontal="center" vertical="center" wrapText="1"/>
    </xf>
    <xf numFmtId="170" fontId="129" fillId="5" borderId="70" xfId="3" applyNumberFormat="1" applyFont="1" applyFill="1" applyBorder="1" applyAlignment="1">
      <alignment horizontal="center" vertical="center"/>
    </xf>
    <xf numFmtId="0" fontId="42" fillId="6" borderId="70" xfId="0" applyFont="1" applyFill="1" applyBorder="1" applyAlignment="1">
      <alignment horizontal="center"/>
    </xf>
    <xf numFmtId="0" fontId="42" fillId="6" borderId="70" xfId="0" applyFont="1" applyFill="1" applyBorder="1" applyAlignment="1">
      <alignment horizontal="left" vertical="center" wrapText="1"/>
    </xf>
    <xf numFmtId="166" fontId="42" fillId="6" borderId="70" xfId="3" applyNumberFormat="1" applyFont="1" applyFill="1" applyBorder="1" applyAlignment="1">
      <alignment vertical="center" wrapText="1"/>
    </xf>
    <xf numFmtId="166" fontId="42" fillId="6" borderId="70" xfId="3" applyNumberFormat="1" applyFont="1" applyFill="1" applyBorder="1" applyAlignment="1">
      <alignment horizontal="center" vertical="center"/>
    </xf>
    <xf numFmtId="170" fontId="42" fillId="6" borderId="70" xfId="3" applyNumberFormat="1" applyFont="1" applyFill="1" applyBorder="1" applyAlignment="1">
      <alignment horizontal="center" vertical="center"/>
    </xf>
    <xf numFmtId="170" fontId="42" fillId="5" borderId="70" xfId="3" applyNumberFormat="1" applyFont="1" applyFill="1" applyBorder="1" applyAlignment="1">
      <alignment horizontal="center" vertical="center"/>
    </xf>
    <xf numFmtId="182" fontId="42" fillId="6" borderId="70" xfId="3" applyNumberFormat="1" applyFont="1" applyFill="1" applyBorder="1" applyAlignment="1">
      <alignment vertical="center" wrapText="1"/>
    </xf>
    <xf numFmtId="182" fontId="42" fillId="5" borderId="70" xfId="0" applyNumberFormat="1" applyFont="1" applyFill="1" applyBorder="1" applyAlignment="1">
      <alignment vertical="center"/>
    </xf>
    <xf numFmtId="182" fontId="42" fillId="6" borderId="70" xfId="0" applyNumberFormat="1" applyFont="1" applyFill="1" applyBorder="1" applyAlignment="1">
      <alignment vertical="center"/>
    </xf>
    <xf numFmtId="166" fontId="129" fillId="5" borderId="70" xfId="3" applyNumberFormat="1" applyFont="1" applyFill="1" applyBorder="1" applyAlignment="1">
      <alignment horizontal="center" vertical="center"/>
    </xf>
    <xf numFmtId="182" fontId="232" fillId="5" borderId="70" xfId="3" applyNumberFormat="1" applyFont="1" applyFill="1" applyBorder="1" applyAlignment="1">
      <alignment vertical="center" wrapText="1"/>
    </xf>
    <xf numFmtId="0" fontId="42" fillId="6" borderId="70" xfId="0" applyFont="1" applyFill="1" applyBorder="1" applyAlignment="1">
      <alignment vertical="center"/>
    </xf>
    <xf numFmtId="182" fontId="42" fillId="5" borderId="70" xfId="3" applyNumberFormat="1" applyFont="1" applyFill="1" applyBorder="1" applyAlignment="1">
      <alignment vertical="center" wrapText="1"/>
    </xf>
    <xf numFmtId="166" fontId="133" fillId="6" borderId="70" xfId="3" applyNumberFormat="1" applyFont="1" applyFill="1" applyBorder="1" applyAlignment="1">
      <alignment horizontal="center" vertical="center"/>
    </xf>
    <xf numFmtId="214" fontId="133" fillId="6" borderId="70" xfId="3" applyNumberFormat="1" applyFont="1" applyFill="1" applyBorder="1" applyAlignment="1">
      <alignment horizontal="center" vertical="center"/>
    </xf>
    <xf numFmtId="3" fontId="205" fillId="5" borderId="70" xfId="3" applyNumberFormat="1" applyFont="1" applyFill="1" applyBorder="1" applyAlignment="1">
      <alignment vertical="center" wrapText="1"/>
    </xf>
    <xf numFmtId="3" fontId="139" fillId="6" borderId="70" xfId="3" applyNumberFormat="1" applyFont="1" applyFill="1" applyBorder="1" applyAlignment="1">
      <alignment vertical="center" wrapText="1"/>
    </xf>
    <xf numFmtId="166" fontId="235" fillId="5" borderId="70" xfId="3" applyNumberFormat="1" applyFont="1" applyFill="1" applyBorder="1" applyAlignment="1">
      <alignment vertical="center"/>
    </xf>
    <xf numFmtId="166" fontId="139" fillId="5" borderId="70" xfId="3" applyNumberFormat="1" applyFont="1" applyFill="1" applyBorder="1" applyAlignment="1">
      <alignment vertical="center" wrapText="1"/>
    </xf>
    <xf numFmtId="43" fontId="139" fillId="5" borderId="70" xfId="3" applyFont="1" applyFill="1" applyBorder="1" applyAlignment="1">
      <alignment vertical="center" wrapText="1"/>
    </xf>
    <xf numFmtId="166" fontId="114" fillId="5" borderId="70" xfId="3" applyNumberFormat="1" applyFont="1" applyFill="1" applyBorder="1" applyAlignment="1">
      <alignment vertical="center" wrapText="1"/>
    </xf>
    <xf numFmtId="0" fontId="139" fillId="5" borderId="70" xfId="0" applyFont="1" applyFill="1" applyBorder="1" applyAlignment="1">
      <alignment vertical="center"/>
    </xf>
    <xf numFmtId="166" fontId="139" fillId="5" borderId="70" xfId="3" applyNumberFormat="1" applyFont="1" applyFill="1" applyBorder="1" applyAlignment="1">
      <alignment vertical="center"/>
    </xf>
    <xf numFmtId="166" fontId="205" fillId="5" borderId="70" xfId="3" applyNumberFormat="1" applyFont="1" applyFill="1" applyBorder="1" applyAlignment="1">
      <alignment vertical="center"/>
    </xf>
    <xf numFmtId="166" fontId="129" fillId="5" borderId="70" xfId="3" applyNumberFormat="1" applyFont="1" applyFill="1" applyBorder="1" applyAlignment="1">
      <alignment vertical="center"/>
    </xf>
    <xf numFmtId="215" fontId="129" fillId="5" borderId="70" xfId="3" applyNumberFormat="1" applyFont="1" applyFill="1" applyBorder="1" applyAlignment="1">
      <alignment vertical="center" wrapText="1"/>
    </xf>
    <xf numFmtId="43" fontId="114" fillId="5" borderId="70" xfId="3" applyFont="1" applyFill="1" applyBorder="1" applyAlignment="1">
      <alignment vertical="center" wrapText="1"/>
    </xf>
    <xf numFmtId="0" fontId="235" fillId="5" borderId="70" xfId="0" applyFont="1" applyFill="1" applyBorder="1" applyAlignment="1">
      <alignment vertical="center"/>
    </xf>
    <xf numFmtId="182" fontId="232" fillId="5" borderId="70" xfId="3" applyNumberFormat="1" applyFont="1" applyFill="1" applyBorder="1" applyAlignment="1">
      <alignment vertical="center"/>
    </xf>
    <xf numFmtId="182" fontId="139" fillId="5" borderId="70" xfId="0" applyNumberFormat="1" applyFont="1" applyFill="1" applyBorder="1" applyAlignment="1">
      <alignment vertical="center"/>
    </xf>
    <xf numFmtId="43" fontId="205" fillId="5" borderId="70" xfId="0" applyNumberFormat="1" applyFont="1" applyFill="1" applyBorder="1" applyAlignment="1">
      <alignment vertical="center" wrapText="1"/>
    </xf>
    <xf numFmtId="166" fontId="205" fillId="5" borderId="70" xfId="0" applyNumberFormat="1" applyFont="1" applyFill="1" applyBorder="1" applyAlignment="1">
      <alignment vertical="center" wrapText="1"/>
    </xf>
    <xf numFmtId="43" fontId="114" fillId="5" borderId="70" xfId="3" applyFont="1" applyFill="1" applyBorder="1" applyAlignment="1">
      <alignment horizontal="center" vertical="center" wrapText="1"/>
    </xf>
    <xf numFmtId="43" fontId="139" fillId="5" borderId="70" xfId="3" applyFont="1" applyFill="1" applyBorder="1" applyAlignment="1">
      <alignment horizontal="center" vertical="center"/>
    </xf>
    <xf numFmtId="43" fontId="205" fillId="5" borderId="70" xfId="3" applyFont="1" applyFill="1" applyBorder="1" applyAlignment="1">
      <alignment horizontal="center" vertical="center"/>
    </xf>
    <xf numFmtId="182" fontId="205" fillId="5" borderId="70" xfId="0" applyNumberFormat="1" applyFont="1" applyFill="1" applyBorder="1" applyAlignment="1">
      <alignment vertical="center" wrapText="1"/>
    </xf>
    <xf numFmtId="166" fontId="129" fillId="5" borderId="70" xfId="3" applyNumberFormat="1" applyFont="1" applyFill="1" applyBorder="1" applyAlignment="1">
      <alignment vertical="center" wrapText="1"/>
    </xf>
    <xf numFmtId="0" fontId="129" fillId="5" borderId="70" xfId="0" applyFont="1" applyFill="1" applyBorder="1" applyAlignment="1">
      <alignment vertical="center" wrapText="1"/>
    </xf>
    <xf numFmtId="0" fontId="205" fillId="5" borderId="70" xfId="0" applyFont="1" applyFill="1" applyBorder="1" applyAlignment="1">
      <alignment vertical="center" wrapText="1"/>
    </xf>
    <xf numFmtId="0" fontId="129" fillId="5" borderId="0" xfId="0" applyFont="1" applyFill="1" applyAlignment="1">
      <alignment vertical="center" wrapText="1"/>
    </xf>
    <xf numFmtId="182" fontId="42" fillId="5" borderId="0" xfId="3" applyNumberFormat="1" applyFont="1" applyFill="1" applyAlignment="1">
      <alignment horizontal="center" vertical="center" wrapText="1"/>
    </xf>
    <xf numFmtId="182" fontId="41" fillId="5" borderId="82" xfId="3" applyNumberFormat="1" applyFont="1" applyFill="1" applyBorder="1" applyAlignment="1">
      <alignment horizontal="center" vertical="center" wrapText="1"/>
    </xf>
    <xf numFmtId="182" fontId="41" fillId="5" borderId="70" xfId="3" applyNumberFormat="1" applyFont="1" applyFill="1" applyBorder="1" applyAlignment="1">
      <alignment horizontal="center" vertical="center" wrapText="1"/>
    </xf>
    <xf numFmtId="187" fontId="2" fillId="6" borderId="0" xfId="0" applyNumberFormat="1" applyFont="1" applyFill="1"/>
    <xf numFmtId="43" fontId="2" fillId="6" borderId="0" xfId="3" applyFont="1" applyFill="1"/>
    <xf numFmtId="172" fontId="6" fillId="6" borderId="0" xfId="3" applyNumberFormat="1" applyFont="1" applyFill="1"/>
    <xf numFmtId="166" fontId="6" fillId="6" borderId="0" xfId="0" applyNumberFormat="1" applyFont="1" applyFill="1"/>
    <xf numFmtId="43" fontId="2" fillId="6" borderId="0" xfId="3" applyFont="1" applyFill="1" applyAlignment="1"/>
    <xf numFmtId="170" fontId="6" fillId="6" borderId="0" xfId="0" applyNumberFormat="1" applyFont="1" applyFill="1"/>
    <xf numFmtId="166" fontId="6" fillId="5" borderId="0" xfId="0" applyNumberFormat="1" applyFont="1" applyFill="1"/>
    <xf numFmtId="188" fontId="6" fillId="6" borderId="0" xfId="0" applyNumberFormat="1" applyFont="1" applyFill="1"/>
    <xf numFmtId="0" fontId="114" fillId="6" borderId="0" xfId="0" applyFont="1" applyFill="1"/>
    <xf numFmtId="0" fontId="139" fillId="6" borderId="0" xfId="0" applyFont="1" applyFill="1"/>
    <xf numFmtId="0" fontId="244" fillId="6" borderId="0" xfId="0" applyFont="1" applyFill="1"/>
    <xf numFmtId="0" fontId="115" fillId="6" borderId="0" xfId="0" applyFont="1" applyFill="1"/>
    <xf numFmtId="180" fontId="6" fillId="6" borderId="0" xfId="0" applyNumberFormat="1" applyFont="1" applyFill="1"/>
    <xf numFmtId="168" fontId="6" fillId="6" borderId="0" xfId="3" applyNumberFormat="1" applyFont="1" applyFill="1"/>
    <xf numFmtId="0" fontId="249" fillId="0" borderId="0" xfId="44" applyFont="1"/>
    <xf numFmtId="166" fontId="249" fillId="0" borderId="0" xfId="44" applyNumberFormat="1" applyFont="1"/>
    <xf numFmtId="0" fontId="6" fillId="0" borderId="0" xfId="0" applyFont="1" applyAlignment="1">
      <alignment horizontal="center" wrapText="1"/>
    </xf>
    <xf numFmtId="166" fontId="6" fillId="0" borderId="0" xfId="3" applyNumberFormat="1" applyFont="1" applyFill="1" applyBorder="1" applyAlignment="1">
      <alignment horizontal="center" vertical="center" wrapText="1"/>
    </xf>
    <xf numFmtId="0" fontId="86" fillId="0" borderId="0" xfId="0" applyFont="1"/>
    <xf numFmtId="0" fontId="86" fillId="0" borderId="0" xfId="0" applyFont="1" applyAlignment="1">
      <alignment horizontal="center" vertical="center" wrapText="1"/>
    </xf>
    <xf numFmtId="0" fontId="86" fillId="0" borderId="0" xfId="0" applyFont="1" applyAlignment="1">
      <alignment vertical="center" wrapText="1"/>
    </xf>
    <xf numFmtId="43" fontId="86" fillId="0" borderId="0" xfId="3" applyFont="1" applyFill="1" applyBorder="1" applyAlignment="1">
      <alignment horizontal="center" vertical="center" wrapText="1"/>
    </xf>
    <xf numFmtId="171" fontId="86" fillId="0" borderId="0" xfId="3" applyNumberFormat="1" applyFont="1" applyFill="1" applyBorder="1" applyAlignment="1">
      <alignment horizontal="right" vertical="center" wrapText="1"/>
    </xf>
    <xf numFmtId="166" fontId="86" fillId="0" borderId="0" xfId="3" applyNumberFormat="1" applyFont="1" applyFill="1" applyBorder="1" applyAlignment="1">
      <alignment horizontal="right" vertical="center" wrapText="1"/>
    </xf>
    <xf numFmtId="166" fontId="86" fillId="0" borderId="0" xfId="3" applyNumberFormat="1" applyFont="1" applyFill="1" applyBorder="1" applyAlignment="1">
      <alignment horizontal="center" vertical="center" wrapText="1"/>
    </xf>
    <xf numFmtId="0" fontId="80" fillId="0" borderId="0" xfId="48" applyFont="1"/>
    <xf numFmtId="166" fontId="86" fillId="0" borderId="70" xfId="51" applyNumberFormat="1" applyFont="1" applyFill="1" applyBorder="1" applyAlignment="1">
      <alignment horizontal="center" vertical="center" wrapText="1"/>
    </xf>
    <xf numFmtId="169" fontId="248" fillId="0" borderId="70" xfId="51" applyNumberFormat="1" applyFont="1" applyFill="1" applyBorder="1" applyAlignment="1">
      <alignment horizontal="center" vertical="center" wrapText="1"/>
    </xf>
    <xf numFmtId="0" fontId="248" fillId="0" borderId="24" xfId="50" applyFont="1" applyBorder="1" applyAlignment="1">
      <alignment horizontal="center" vertical="center" wrapText="1"/>
    </xf>
    <xf numFmtId="0" fontId="248" fillId="0" borderId="5" xfId="50" applyFont="1" applyBorder="1" applyAlignment="1">
      <alignment horizontal="center" vertical="center" wrapText="1"/>
    </xf>
    <xf numFmtId="171" fontId="86" fillId="0" borderId="5" xfId="51" applyNumberFormat="1" applyFont="1" applyFill="1" applyBorder="1" applyAlignment="1">
      <alignment horizontal="center" vertical="center" wrapText="1"/>
    </xf>
    <xf numFmtId="171" fontId="248" fillId="0" borderId="5" xfId="51" applyNumberFormat="1" applyFont="1" applyFill="1" applyBorder="1" applyAlignment="1">
      <alignment horizontal="center" vertical="center" wrapText="1"/>
    </xf>
    <xf numFmtId="166" fontId="248" fillId="0" borderId="5" xfId="51" applyNumberFormat="1" applyFont="1" applyFill="1" applyBorder="1" applyAlignment="1">
      <alignment horizontal="center" vertical="center" wrapText="1"/>
    </xf>
    <xf numFmtId="169" fontId="80" fillId="0" borderId="5" xfId="51" applyNumberFormat="1" applyFont="1" applyFill="1" applyBorder="1" applyAlignment="1">
      <alignment horizontal="right" vertical="center" wrapText="1"/>
    </xf>
    <xf numFmtId="166" fontId="86" fillId="0" borderId="5" xfId="51" applyNumberFormat="1" applyFont="1" applyFill="1" applyBorder="1" applyAlignment="1">
      <alignment horizontal="center" vertical="center" wrapText="1"/>
    </xf>
    <xf numFmtId="171" fontId="248" fillId="0" borderId="5" xfId="51" applyNumberFormat="1" applyFont="1" applyFill="1" applyBorder="1" applyAlignment="1">
      <alignment horizontal="right" vertical="center" wrapText="1"/>
    </xf>
    <xf numFmtId="209" fontId="86" fillId="0" borderId="5" xfId="50" applyNumberFormat="1" applyFont="1" applyBorder="1" applyAlignment="1">
      <alignment horizontal="center" vertical="center" wrapText="1"/>
    </xf>
    <xf numFmtId="0" fontId="86" fillId="0" borderId="6" xfId="50" applyFont="1" applyBorder="1" applyAlignment="1">
      <alignment horizontal="center" vertical="center" wrapText="1"/>
    </xf>
    <xf numFmtId="0" fontId="73" fillId="0" borderId="0" xfId="48" applyFont="1"/>
    <xf numFmtId="0" fontId="115" fillId="0" borderId="0" xfId="0" applyFont="1"/>
    <xf numFmtId="172" fontId="91" fillId="0" borderId="0" xfId="3" applyNumberFormat="1" applyFont="1" applyFill="1" applyAlignment="1"/>
    <xf numFmtId="172" fontId="91" fillId="5" borderId="0" xfId="3" applyNumberFormat="1" applyFont="1" applyFill="1" applyAlignment="1"/>
    <xf numFmtId="0" fontId="91" fillId="5" borderId="0" xfId="0" applyFont="1" applyFill="1"/>
    <xf numFmtId="166" fontId="91" fillId="5" borderId="0" xfId="3" applyNumberFormat="1" applyFont="1" applyFill="1" applyAlignment="1"/>
    <xf numFmtId="170" fontId="6" fillId="6" borderId="0" xfId="3" applyNumberFormat="1" applyFont="1" applyFill="1" applyAlignment="1">
      <alignment vertical="center"/>
    </xf>
    <xf numFmtId="170" fontId="6" fillId="5" borderId="0" xfId="3" applyNumberFormat="1" applyFont="1" applyFill="1" applyAlignment="1">
      <alignment vertical="center"/>
    </xf>
    <xf numFmtId="170" fontId="6" fillId="0" borderId="0" xfId="3" applyNumberFormat="1" applyFont="1" applyFill="1" applyAlignment="1">
      <alignment vertical="center"/>
    </xf>
    <xf numFmtId="168" fontId="6" fillId="5" borderId="0" xfId="3" applyNumberFormat="1" applyFont="1" applyFill="1" applyAlignment="1">
      <alignment vertical="center"/>
    </xf>
    <xf numFmtId="166" fontId="2" fillId="6" borderId="85" xfId="3" applyNumberFormat="1" applyFont="1" applyFill="1" applyBorder="1" applyAlignment="1">
      <alignment horizontal="center" vertical="center" wrapText="1"/>
    </xf>
    <xf numFmtId="166" fontId="2" fillId="5" borderId="85" xfId="3" applyNumberFormat="1" applyFont="1" applyFill="1" applyBorder="1" applyAlignment="1">
      <alignment horizontal="center" vertical="center" wrapText="1"/>
    </xf>
    <xf numFmtId="166" fontId="2" fillId="0" borderId="85" xfId="3" applyNumberFormat="1" applyFont="1" applyFill="1" applyBorder="1" applyAlignment="1">
      <alignment horizontal="center" vertical="center" wrapText="1"/>
    </xf>
    <xf numFmtId="168" fontId="2" fillId="5" borderId="85" xfId="3" applyNumberFormat="1" applyFont="1" applyFill="1" applyBorder="1" applyAlignment="1">
      <alignment horizontal="center" vertical="center" wrapText="1"/>
    </xf>
    <xf numFmtId="0" fontId="2" fillId="6" borderId="85" xfId="0" applyFont="1" applyFill="1" applyBorder="1" applyAlignment="1">
      <alignment horizontal="center" vertical="center" wrapText="1"/>
    </xf>
    <xf numFmtId="166" fontId="2" fillId="6" borderId="85" xfId="3" applyNumberFormat="1" applyFont="1" applyFill="1" applyBorder="1" applyAlignment="1">
      <alignment vertical="center" wrapText="1"/>
    </xf>
    <xf numFmtId="170" fontId="2" fillId="6" borderId="85" xfId="3" applyNumberFormat="1" applyFont="1" applyFill="1" applyBorder="1" applyAlignment="1">
      <alignment vertical="center" wrapText="1"/>
    </xf>
    <xf numFmtId="170" fontId="2" fillId="5" borderId="85" xfId="3" applyNumberFormat="1" applyFont="1" applyFill="1" applyBorder="1" applyAlignment="1">
      <alignment vertical="center" wrapText="1"/>
    </xf>
    <xf numFmtId="170" fontId="2" fillId="0" borderId="85" xfId="3" applyNumberFormat="1" applyFont="1" applyFill="1" applyBorder="1" applyAlignment="1">
      <alignment vertical="center" wrapText="1"/>
    </xf>
    <xf numFmtId="168" fontId="2" fillId="5" borderId="85" xfId="3" applyNumberFormat="1" applyFont="1" applyFill="1" applyBorder="1" applyAlignment="1">
      <alignment vertical="center" wrapText="1"/>
    </xf>
    <xf numFmtId="169" fontId="2" fillId="5" borderId="85" xfId="3" applyNumberFormat="1" applyFont="1" applyFill="1" applyBorder="1" applyAlignment="1">
      <alignment vertical="center" wrapText="1"/>
    </xf>
    <xf numFmtId="0" fontId="2" fillId="6" borderId="85" xfId="0" applyFont="1" applyFill="1" applyBorder="1" applyAlignment="1">
      <alignment horizontal="center" wrapText="1"/>
    </xf>
    <xf numFmtId="166" fontId="2" fillId="6" borderId="85" xfId="3" applyNumberFormat="1" applyFont="1" applyFill="1" applyBorder="1" applyAlignment="1">
      <alignment wrapText="1"/>
    </xf>
    <xf numFmtId="170" fontId="2" fillId="6" borderId="85" xfId="3" applyNumberFormat="1" applyFont="1" applyFill="1" applyBorder="1" applyAlignment="1">
      <alignment wrapText="1"/>
    </xf>
    <xf numFmtId="170" fontId="2" fillId="5" borderId="85" xfId="3" applyNumberFormat="1" applyFont="1" applyFill="1" applyBorder="1" applyAlignment="1">
      <alignment wrapText="1"/>
    </xf>
    <xf numFmtId="170" fontId="2" fillId="0" borderId="85" xfId="3" applyNumberFormat="1" applyFont="1" applyFill="1" applyBorder="1" applyAlignment="1">
      <alignment wrapText="1"/>
    </xf>
    <xf numFmtId="168" fontId="2" fillId="5" borderId="85" xfId="3" applyNumberFormat="1" applyFont="1" applyFill="1" applyBorder="1" applyAlignment="1">
      <alignment wrapText="1"/>
    </xf>
    <xf numFmtId="169" fontId="2" fillId="5" borderId="85" xfId="3" applyNumberFormat="1" applyFont="1" applyFill="1" applyBorder="1" applyAlignment="1">
      <alignment wrapText="1"/>
    </xf>
    <xf numFmtId="3" fontId="2" fillId="6" borderId="85" xfId="0" applyNumberFormat="1" applyFont="1" applyFill="1" applyBorder="1" applyAlignment="1">
      <alignment wrapText="1"/>
    </xf>
    <xf numFmtId="0" fontId="6" fillId="6" borderId="85" xfId="0" applyFont="1" applyFill="1" applyBorder="1" applyAlignment="1">
      <alignment horizontal="center" wrapText="1"/>
    </xf>
    <xf numFmtId="3" fontId="6" fillId="6" borderId="85" xfId="0" applyNumberFormat="1" applyFont="1" applyFill="1" applyBorder="1" applyAlignment="1">
      <alignment wrapText="1"/>
    </xf>
    <xf numFmtId="166" fontId="6" fillId="6" borderId="85" xfId="3" applyNumberFormat="1" applyFont="1" applyFill="1" applyBorder="1" applyAlignment="1">
      <alignment wrapText="1"/>
    </xf>
    <xf numFmtId="170" fontId="6" fillId="6" borderId="85" xfId="3" applyNumberFormat="1" applyFont="1" applyFill="1" applyBorder="1" applyAlignment="1">
      <alignment wrapText="1"/>
    </xf>
    <xf numFmtId="170" fontId="6" fillId="5" borderId="85" xfId="3" applyNumberFormat="1" applyFont="1" applyFill="1" applyBorder="1" applyAlignment="1">
      <alignment wrapText="1"/>
    </xf>
    <xf numFmtId="170" fontId="6" fillId="0" borderId="85" xfId="3" applyNumberFormat="1" applyFont="1" applyFill="1" applyBorder="1" applyAlignment="1">
      <alignment wrapText="1"/>
    </xf>
    <xf numFmtId="168" fontId="6" fillId="5" borderId="85" xfId="3" applyNumberFormat="1" applyFont="1" applyFill="1" applyBorder="1" applyAlignment="1">
      <alignment wrapText="1"/>
    </xf>
    <xf numFmtId="169" fontId="6" fillId="5" borderId="85" xfId="3" applyNumberFormat="1" applyFont="1" applyFill="1" applyBorder="1" applyAlignment="1">
      <alignment wrapText="1"/>
    </xf>
    <xf numFmtId="0" fontId="2" fillId="6" borderId="85" xfId="0" applyFont="1" applyFill="1" applyBorder="1" applyAlignment="1">
      <alignment wrapText="1"/>
    </xf>
    <xf numFmtId="0" fontId="3" fillId="6" borderId="85" xfId="0" applyFont="1" applyFill="1" applyBorder="1" applyAlignment="1">
      <alignment horizontal="center" wrapText="1"/>
    </xf>
    <xf numFmtId="0" fontId="3" fillId="6" borderId="85" xfId="0" applyFont="1" applyFill="1" applyBorder="1" applyAlignment="1">
      <alignment wrapText="1"/>
    </xf>
    <xf numFmtId="166" fontId="3" fillId="6" borderId="85" xfId="3" applyNumberFormat="1" applyFont="1" applyFill="1" applyBorder="1" applyAlignment="1">
      <alignment wrapText="1"/>
    </xf>
    <xf numFmtId="170" fontId="3" fillId="6" borderId="85" xfId="3" applyNumberFormat="1" applyFont="1" applyFill="1" applyBorder="1" applyAlignment="1">
      <alignment wrapText="1"/>
    </xf>
    <xf numFmtId="170" fontId="3" fillId="5" borderId="85" xfId="3" applyNumberFormat="1" applyFont="1" applyFill="1" applyBorder="1" applyAlignment="1">
      <alignment wrapText="1"/>
    </xf>
    <xf numFmtId="170" fontId="3" fillId="0" borderId="85" xfId="3" applyNumberFormat="1" applyFont="1" applyFill="1" applyBorder="1" applyAlignment="1">
      <alignment wrapText="1"/>
    </xf>
    <xf numFmtId="168" fontId="3" fillId="5" borderId="85" xfId="3" applyNumberFormat="1" applyFont="1" applyFill="1" applyBorder="1" applyAlignment="1">
      <alignment wrapText="1"/>
    </xf>
    <xf numFmtId="169" fontId="3" fillId="5" borderId="85" xfId="3" applyNumberFormat="1" applyFont="1" applyFill="1" applyBorder="1" applyAlignment="1">
      <alignment wrapText="1"/>
    </xf>
    <xf numFmtId="0" fontId="6" fillId="5" borderId="85" xfId="0" applyFont="1" applyFill="1" applyBorder="1" applyAlignment="1">
      <alignment horizontal="center" wrapText="1"/>
    </xf>
    <xf numFmtId="3" fontId="6" fillId="5" borderId="85" xfId="0" applyNumberFormat="1" applyFont="1" applyFill="1" applyBorder="1" applyAlignment="1">
      <alignment wrapText="1"/>
    </xf>
    <xf numFmtId="166" fontId="6" fillId="5" borderId="85" xfId="3" applyNumberFormat="1" applyFont="1" applyFill="1" applyBorder="1" applyAlignment="1">
      <alignment wrapText="1"/>
    </xf>
    <xf numFmtId="3" fontId="6" fillId="6" borderId="85" xfId="0" applyNumberFormat="1" applyFont="1" applyFill="1" applyBorder="1" applyAlignment="1">
      <alignment horizontal="left" wrapText="1"/>
    </xf>
    <xf numFmtId="0" fontId="6" fillId="6" borderId="85" xfId="0" applyFont="1" applyFill="1" applyBorder="1" applyAlignment="1">
      <alignment wrapText="1"/>
    </xf>
    <xf numFmtId="43" fontId="6" fillId="6" borderId="85" xfId="3" applyFont="1" applyFill="1" applyBorder="1" applyAlignment="1">
      <alignment horizontal="center" wrapText="1"/>
    </xf>
    <xf numFmtId="43" fontId="6" fillId="6" borderId="85" xfId="3" applyFont="1" applyFill="1" applyBorder="1" applyAlignment="1">
      <alignment horizontal="left" wrapText="1"/>
    </xf>
    <xf numFmtId="0" fontId="6" fillId="6" borderId="85" xfId="0" applyFont="1" applyFill="1" applyBorder="1" applyAlignment="1">
      <alignment vertical="center" wrapText="1"/>
    </xf>
    <xf numFmtId="0" fontId="6" fillId="6" borderId="85" xfId="12" applyFont="1" applyFill="1" applyBorder="1" applyAlignment="1">
      <alignment horizontal="left" wrapText="1"/>
    </xf>
    <xf numFmtId="0" fontId="2" fillId="11" borderId="85" xfId="0" applyFont="1" applyFill="1" applyBorder="1" applyAlignment="1">
      <alignment horizontal="center" wrapText="1"/>
    </xf>
    <xf numFmtId="166" fontId="2" fillId="11" borderId="85" xfId="3" applyNumberFormat="1" applyFont="1" applyFill="1" applyBorder="1" applyAlignment="1">
      <alignment wrapText="1"/>
    </xf>
    <xf numFmtId="170" fontId="2" fillId="11" borderId="85" xfId="3" applyNumberFormat="1" applyFont="1" applyFill="1" applyBorder="1" applyAlignment="1">
      <alignment wrapText="1"/>
    </xf>
    <xf numFmtId="168" fontId="2" fillId="11" borderId="85" xfId="3" applyNumberFormat="1" applyFont="1" applyFill="1" applyBorder="1" applyAlignment="1">
      <alignment wrapText="1"/>
    </xf>
    <xf numFmtId="169" fontId="2" fillId="11" borderId="85" xfId="3" applyNumberFormat="1" applyFont="1" applyFill="1" applyBorder="1" applyAlignment="1">
      <alignment wrapText="1"/>
    </xf>
    <xf numFmtId="0" fontId="6" fillId="11" borderId="0" xfId="0" applyFont="1" applyFill="1"/>
    <xf numFmtId="0" fontId="2" fillId="6" borderId="85" xfId="0" applyFont="1" applyFill="1" applyBorder="1" applyAlignment="1">
      <alignment horizontal="left" wrapText="1"/>
    </xf>
    <xf numFmtId="0" fontId="2" fillId="12" borderId="85" xfId="0" applyFont="1" applyFill="1" applyBorder="1" applyAlignment="1">
      <alignment horizontal="center" wrapText="1"/>
    </xf>
    <xf numFmtId="166" fontId="2" fillId="12" borderId="85" xfId="3" applyNumberFormat="1" applyFont="1" applyFill="1" applyBorder="1" applyAlignment="1">
      <alignment wrapText="1"/>
    </xf>
    <xf numFmtId="170" fontId="2" fillId="12" borderId="85" xfId="3" applyNumberFormat="1" applyFont="1" applyFill="1" applyBorder="1" applyAlignment="1">
      <alignment wrapText="1"/>
    </xf>
    <xf numFmtId="168" fontId="2" fillId="12" borderId="85" xfId="3" applyNumberFormat="1" applyFont="1" applyFill="1" applyBorder="1" applyAlignment="1">
      <alignment wrapText="1"/>
    </xf>
    <xf numFmtId="169" fontId="2" fillId="12" borderId="85" xfId="3" applyNumberFormat="1" applyFont="1" applyFill="1" applyBorder="1" applyAlignment="1">
      <alignment wrapText="1"/>
    </xf>
    <xf numFmtId="0" fontId="6" fillId="12" borderId="0" xfId="0" applyFont="1" applyFill="1"/>
    <xf numFmtId="0" fontId="6" fillId="0" borderId="85" xfId="0" applyFont="1" applyBorder="1" applyAlignment="1">
      <alignment horizontal="center" wrapText="1"/>
    </xf>
    <xf numFmtId="0" fontId="177" fillId="0" borderId="85" xfId="0" applyFont="1" applyBorder="1" applyAlignment="1">
      <alignment wrapText="1"/>
    </xf>
    <xf numFmtId="166" fontId="6" fillId="0" borderId="85" xfId="3" applyNumberFormat="1" applyFont="1" applyFill="1" applyBorder="1" applyAlignment="1">
      <alignment wrapText="1"/>
    </xf>
    <xf numFmtId="183" fontId="6" fillId="0" borderId="85" xfId="3" applyNumberFormat="1" applyFont="1" applyFill="1" applyBorder="1" applyAlignment="1">
      <alignment horizontal="center" wrapText="1"/>
    </xf>
    <xf numFmtId="183" fontId="6" fillId="0" borderId="85" xfId="3" applyNumberFormat="1" applyFont="1" applyFill="1" applyBorder="1" applyAlignment="1">
      <alignment wrapText="1"/>
    </xf>
    <xf numFmtId="169" fontId="6" fillId="0" borderId="85" xfId="3" applyNumberFormat="1" applyFont="1" applyFill="1" applyBorder="1" applyAlignment="1">
      <alignment wrapText="1"/>
    </xf>
    <xf numFmtId="170" fontId="6" fillId="0" borderId="85" xfId="3" applyNumberFormat="1" applyFont="1" applyFill="1" applyBorder="1" applyAlignment="1">
      <alignment horizontal="center" wrapText="1"/>
    </xf>
    <xf numFmtId="0" fontId="8" fillId="6" borderId="85" xfId="0" applyFont="1" applyFill="1" applyBorder="1" applyAlignment="1">
      <alignment horizontal="center" wrapText="1"/>
    </xf>
    <xf numFmtId="3" fontId="8" fillId="6" borderId="85" xfId="0" applyNumberFormat="1" applyFont="1" applyFill="1" applyBorder="1" applyAlignment="1">
      <alignment wrapText="1"/>
    </xf>
    <xf numFmtId="166" fontId="8" fillId="6" borderId="85" xfId="3" applyNumberFormat="1" applyFont="1" applyFill="1" applyBorder="1" applyAlignment="1">
      <alignment wrapText="1"/>
    </xf>
    <xf numFmtId="170" fontId="8" fillId="6" borderId="85" xfId="3" applyNumberFormat="1" applyFont="1" applyFill="1" applyBorder="1" applyAlignment="1">
      <alignment wrapText="1"/>
    </xf>
    <xf numFmtId="170" fontId="8" fillId="5" borderId="85" xfId="3" applyNumberFormat="1" applyFont="1" applyFill="1" applyBorder="1" applyAlignment="1">
      <alignment wrapText="1"/>
    </xf>
    <xf numFmtId="168" fontId="8" fillId="5" borderId="85" xfId="3" applyNumberFormat="1" applyFont="1" applyFill="1" applyBorder="1" applyAlignment="1">
      <alignment wrapText="1"/>
    </xf>
    <xf numFmtId="169" fontId="8" fillId="5" borderId="85" xfId="3" applyNumberFormat="1" applyFont="1" applyFill="1" applyBorder="1" applyAlignment="1">
      <alignment wrapText="1"/>
    </xf>
    <xf numFmtId="0" fontId="8" fillId="6" borderId="0" xfId="0" applyFont="1" applyFill="1"/>
    <xf numFmtId="0" fontId="177" fillId="5" borderId="85" xfId="0" applyFont="1" applyFill="1" applyBorder="1" applyAlignment="1">
      <alignment wrapText="1"/>
    </xf>
    <xf numFmtId="3" fontId="2" fillId="12" borderId="85" xfId="0" applyNumberFormat="1" applyFont="1" applyFill="1" applyBorder="1" applyAlignment="1">
      <alignment wrapText="1"/>
    </xf>
    <xf numFmtId="171" fontId="2" fillId="12" borderId="85" xfId="3" applyNumberFormat="1" applyFont="1" applyFill="1" applyBorder="1" applyAlignment="1">
      <alignment wrapText="1"/>
    </xf>
    <xf numFmtId="0" fontId="2" fillId="12" borderId="0" xfId="0" applyFont="1" applyFill="1"/>
    <xf numFmtId="171" fontId="6" fillId="6" borderId="85" xfId="3" applyNumberFormat="1" applyFont="1" applyFill="1" applyBorder="1" applyAlignment="1">
      <alignment wrapText="1"/>
    </xf>
    <xf numFmtId="2" fontId="8" fillId="6" borderId="85" xfId="0" applyNumberFormat="1" applyFont="1" applyFill="1" applyBorder="1" applyAlignment="1">
      <alignment wrapText="1"/>
    </xf>
    <xf numFmtId="170" fontId="240" fillId="5" borderId="85" xfId="3" applyNumberFormat="1" applyFont="1" applyFill="1" applyBorder="1" applyAlignment="1">
      <alignment wrapText="1"/>
    </xf>
    <xf numFmtId="171" fontId="8" fillId="5" borderId="85" xfId="3" applyNumberFormat="1" applyFont="1" applyFill="1" applyBorder="1" applyAlignment="1">
      <alignment wrapText="1"/>
    </xf>
    <xf numFmtId="170" fontId="139" fillId="5" borderId="85" xfId="3" applyNumberFormat="1" applyFont="1" applyFill="1" applyBorder="1" applyAlignment="1">
      <alignment wrapText="1"/>
    </xf>
    <xf numFmtId="169" fontId="6" fillId="5" borderId="11" xfId="3" applyNumberFormat="1" applyFont="1" applyFill="1" applyBorder="1" applyAlignment="1">
      <alignment horizontal="left" wrapText="1"/>
    </xf>
    <xf numFmtId="0" fontId="6" fillId="5" borderId="11" xfId="0" applyFont="1" applyFill="1" applyBorder="1" applyAlignment="1">
      <alignment horizontal="left" wrapText="1"/>
    </xf>
    <xf numFmtId="0" fontId="177" fillId="5" borderId="11" xfId="0" applyFont="1" applyFill="1" applyBorder="1" applyAlignment="1">
      <alignment horizontal="left" wrapText="1"/>
    </xf>
    <xf numFmtId="166" fontId="6" fillId="5" borderId="11" xfId="3" applyNumberFormat="1" applyFont="1" applyFill="1" applyBorder="1" applyAlignment="1">
      <alignment horizontal="left" wrapText="1"/>
    </xf>
    <xf numFmtId="170" fontId="6" fillId="5" borderId="11" xfId="3" applyNumberFormat="1" applyFont="1" applyFill="1" applyBorder="1" applyAlignment="1">
      <alignment horizontal="left" wrapText="1"/>
    </xf>
    <xf numFmtId="170" fontId="139" fillId="5" borderId="11" xfId="3" applyNumberFormat="1" applyFont="1" applyFill="1" applyBorder="1" applyAlignment="1">
      <alignment horizontal="left" wrapText="1"/>
    </xf>
    <xf numFmtId="0" fontId="6" fillId="5" borderId="0" xfId="0" applyFont="1" applyFill="1" applyAlignment="1">
      <alignment horizontal="left"/>
    </xf>
    <xf numFmtId="0" fontId="6" fillId="0" borderId="11" xfId="0" applyFont="1" applyBorder="1" applyAlignment="1">
      <alignment horizontal="left" wrapText="1"/>
    </xf>
    <xf numFmtId="0" fontId="177" fillId="0" borderId="11" xfId="0" applyFont="1" applyBorder="1" applyAlignment="1">
      <alignment horizontal="left" wrapText="1"/>
    </xf>
    <xf numFmtId="166" fontId="6" fillId="0" borderId="11" xfId="3" applyNumberFormat="1" applyFont="1" applyFill="1" applyBorder="1" applyAlignment="1">
      <alignment horizontal="left" wrapText="1"/>
    </xf>
    <xf numFmtId="170" fontId="6" fillId="0" borderId="11" xfId="3" applyNumberFormat="1" applyFont="1" applyFill="1" applyBorder="1" applyAlignment="1">
      <alignment horizontal="left" wrapText="1"/>
    </xf>
    <xf numFmtId="0" fontId="177" fillId="6" borderId="85" xfId="0" applyFont="1" applyFill="1" applyBorder="1" applyAlignment="1">
      <alignment wrapText="1"/>
    </xf>
    <xf numFmtId="170" fontId="8" fillId="0" borderId="85" xfId="3" applyNumberFormat="1" applyFont="1" applyFill="1" applyBorder="1" applyAlignment="1">
      <alignment wrapText="1"/>
    </xf>
    <xf numFmtId="171" fontId="6" fillId="5" borderId="4" xfId="3" applyNumberFormat="1" applyFont="1" applyFill="1" applyBorder="1" applyAlignment="1">
      <alignment vertical="center"/>
    </xf>
    <xf numFmtId="171" fontId="6" fillId="5" borderId="5" xfId="3" applyNumberFormat="1" applyFont="1" applyFill="1" applyBorder="1" applyAlignment="1">
      <alignment vertical="center"/>
    </xf>
    <xf numFmtId="183" fontId="6" fillId="6" borderId="85" xfId="3" applyNumberFormat="1" applyFont="1" applyFill="1" applyBorder="1" applyAlignment="1">
      <alignment wrapText="1"/>
    </xf>
    <xf numFmtId="183" fontId="6" fillId="5" borderId="85" xfId="3" applyNumberFormat="1" applyFont="1" applyFill="1" applyBorder="1" applyAlignment="1">
      <alignment wrapText="1"/>
    </xf>
    <xf numFmtId="168" fontId="6" fillId="0" borderId="85" xfId="3" applyNumberFormat="1" applyFont="1" applyFill="1" applyBorder="1" applyAlignment="1">
      <alignment wrapText="1"/>
    </xf>
    <xf numFmtId="168" fontId="6" fillId="6" borderId="85" xfId="3" applyNumberFormat="1" applyFont="1" applyFill="1" applyBorder="1" applyAlignment="1">
      <alignment wrapText="1"/>
    </xf>
    <xf numFmtId="167" fontId="6" fillId="0" borderId="85" xfId="3" applyNumberFormat="1" applyFont="1" applyFill="1" applyBorder="1" applyAlignment="1">
      <alignment wrapText="1"/>
    </xf>
    <xf numFmtId="167" fontId="6" fillId="6" borderId="85" xfId="3" applyNumberFormat="1" applyFont="1" applyFill="1" applyBorder="1" applyAlignment="1">
      <alignment wrapText="1"/>
    </xf>
    <xf numFmtId="167" fontId="6" fillId="5" borderId="85" xfId="3" applyNumberFormat="1" applyFont="1" applyFill="1" applyBorder="1" applyAlignment="1">
      <alignment wrapText="1"/>
    </xf>
    <xf numFmtId="171" fontId="6" fillId="5" borderId="6" xfId="3" applyNumberFormat="1" applyFont="1" applyFill="1" applyBorder="1" applyAlignment="1">
      <alignment vertical="center"/>
    </xf>
    <xf numFmtId="43" fontId="6" fillId="5" borderId="7" xfId="3" applyFont="1" applyFill="1" applyBorder="1" applyAlignment="1">
      <alignment vertical="center"/>
    </xf>
    <xf numFmtId="43" fontId="6" fillId="5" borderId="5" xfId="3" applyFont="1" applyFill="1" applyBorder="1" applyAlignment="1">
      <alignment vertical="center"/>
    </xf>
    <xf numFmtId="170" fontId="6" fillId="5" borderId="7" xfId="3" applyNumberFormat="1" applyFont="1" applyFill="1" applyBorder="1" applyAlignment="1">
      <alignment vertical="center"/>
    </xf>
    <xf numFmtId="170" fontId="6" fillId="5" borderId="5" xfId="3" applyNumberFormat="1" applyFont="1" applyFill="1" applyBorder="1" applyAlignment="1">
      <alignment vertical="center"/>
    </xf>
    <xf numFmtId="43" fontId="6" fillId="0" borderId="85" xfId="3" applyFont="1" applyFill="1" applyBorder="1" applyAlignment="1">
      <alignment wrapText="1"/>
    </xf>
    <xf numFmtId="43" fontId="6" fillId="6" borderId="85" xfId="3" applyFont="1" applyFill="1" applyBorder="1" applyAlignment="1">
      <alignment wrapText="1"/>
    </xf>
    <xf numFmtId="43" fontId="6" fillId="5" borderId="85" xfId="3" applyFont="1" applyFill="1" applyBorder="1" applyAlignment="1">
      <alignment wrapText="1"/>
    </xf>
    <xf numFmtId="170" fontId="6" fillId="0" borderId="7" xfId="3" applyNumberFormat="1" applyFont="1" applyFill="1" applyBorder="1" applyAlignment="1">
      <alignment vertical="center"/>
    </xf>
    <xf numFmtId="0" fontId="91" fillId="6" borderId="85" xfId="0" applyFont="1" applyFill="1" applyBorder="1" applyAlignment="1">
      <alignment wrapText="1"/>
    </xf>
    <xf numFmtId="166" fontId="2" fillId="5" borderId="85" xfId="3" applyNumberFormat="1" applyFont="1" applyFill="1" applyBorder="1" applyAlignment="1">
      <alignment wrapText="1"/>
    </xf>
    <xf numFmtId="169" fontId="2" fillId="6" borderId="85" xfId="3" applyNumberFormat="1" applyFont="1" applyFill="1" applyBorder="1" applyAlignment="1">
      <alignment wrapText="1"/>
    </xf>
    <xf numFmtId="0" fontId="115" fillId="6" borderId="85" xfId="0" applyFont="1" applyFill="1" applyBorder="1" applyAlignment="1">
      <alignment horizontal="center" wrapText="1"/>
    </xf>
    <xf numFmtId="0" fontId="251" fillId="6" borderId="85" xfId="0" applyFont="1" applyFill="1" applyBorder="1" applyAlignment="1">
      <alignment wrapText="1"/>
    </xf>
    <xf numFmtId="166" fontId="115" fillId="6" borderId="85" xfId="3" applyNumberFormat="1" applyFont="1" applyFill="1" applyBorder="1" applyAlignment="1">
      <alignment wrapText="1"/>
    </xf>
    <xf numFmtId="183" fontId="115" fillId="6" borderId="85" xfId="3" applyNumberFormat="1" applyFont="1" applyFill="1" applyBorder="1" applyAlignment="1">
      <alignment wrapText="1"/>
    </xf>
    <xf numFmtId="183" fontId="115" fillId="5" borderId="85" xfId="3" applyNumberFormat="1" applyFont="1" applyFill="1" applyBorder="1" applyAlignment="1">
      <alignment wrapText="1"/>
    </xf>
    <xf numFmtId="183" fontId="115" fillId="0" borderId="85" xfId="3" applyNumberFormat="1" applyFont="1" applyFill="1" applyBorder="1" applyAlignment="1">
      <alignment wrapText="1"/>
    </xf>
    <xf numFmtId="168" fontId="115" fillId="5" borderId="85" xfId="3" applyNumberFormat="1" applyFont="1" applyFill="1" applyBorder="1" applyAlignment="1">
      <alignment wrapText="1"/>
    </xf>
    <xf numFmtId="169" fontId="115" fillId="5" borderId="85" xfId="3" applyNumberFormat="1" applyFont="1" applyFill="1" applyBorder="1" applyAlignment="1">
      <alignment wrapText="1"/>
    </xf>
    <xf numFmtId="0" fontId="115" fillId="6" borderId="85" xfId="0" applyFont="1" applyFill="1" applyBorder="1" applyAlignment="1">
      <alignment vertical="center" wrapText="1"/>
    </xf>
    <xf numFmtId="171" fontId="115" fillId="6" borderId="85" xfId="3" applyNumberFormat="1" applyFont="1" applyFill="1" applyBorder="1" applyAlignment="1">
      <alignment wrapText="1"/>
    </xf>
    <xf numFmtId="171" fontId="115" fillId="5" borderId="85" xfId="3" applyNumberFormat="1" applyFont="1" applyFill="1" applyBorder="1" applyAlignment="1">
      <alignment wrapText="1"/>
    </xf>
    <xf numFmtId="171" fontId="115" fillId="0" borderId="85" xfId="3" applyNumberFormat="1" applyFont="1" applyFill="1" applyBorder="1" applyAlignment="1">
      <alignment wrapText="1"/>
    </xf>
    <xf numFmtId="170" fontId="115" fillId="6" borderId="85" xfId="3" applyNumberFormat="1" applyFont="1" applyFill="1" applyBorder="1" applyAlignment="1">
      <alignment wrapText="1"/>
    </xf>
    <xf numFmtId="170" fontId="115" fillId="0" borderId="85" xfId="3" applyNumberFormat="1" applyFont="1" applyFill="1" applyBorder="1" applyAlignment="1">
      <alignment wrapText="1"/>
    </xf>
    <xf numFmtId="170" fontId="115" fillId="5" borderId="85" xfId="3" applyNumberFormat="1" applyFont="1" applyFill="1" applyBorder="1" applyAlignment="1">
      <alignment wrapText="1"/>
    </xf>
    <xf numFmtId="168" fontId="2" fillId="6" borderId="85" xfId="3" applyNumberFormat="1" applyFont="1" applyFill="1" applyBorder="1" applyAlignment="1">
      <alignment wrapText="1"/>
    </xf>
    <xf numFmtId="2" fontId="2" fillId="6" borderId="85" xfId="0" applyNumberFormat="1" applyFont="1" applyFill="1" applyBorder="1" applyAlignment="1">
      <alignment wrapText="1"/>
    </xf>
    <xf numFmtId="0" fontId="173" fillId="6" borderId="85" xfId="0" applyFont="1" applyFill="1" applyBorder="1" applyAlignment="1">
      <alignment horizontal="center" wrapText="1"/>
    </xf>
    <xf numFmtId="166" fontId="173" fillId="6" borderId="85" xfId="3" applyNumberFormat="1" applyFont="1" applyFill="1" applyBorder="1" applyAlignment="1">
      <alignment wrapText="1"/>
    </xf>
    <xf numFmtId="183" fontId="173" fillId="6" borderId="85" xfId="3" applyNumberFormat="1" applyFont="1" applyFill="1" applyBorder="1" applyAlignment="1">
      <alignment wrapText="1"/>
    </xf>
    <xf numFmtId="168" fontId="173" fillId="6" borderId="85" xfId="3" applyNumberFormat="1" applyFont="1" applyFill="1" applyBorder="1" applyAlignment="1">
      <alignment wrapText="1"/>
    </xf>
    <xf numFmtId="169" fontId="173" fillId="6" borderId="85" xfId="3" applyNumberFormat="1" applyFont="1" applyFill="1" applyBorder="1" applyAlignment="1">
      <alignment wrapText="1"/>
    </xf>
    <xf numFmtId="0" fontId="173" fillId="6" borderId="0" xfId="0" applyFont="1" applyFill="1"/>
    <xf numFmtId="195" fontId="115" fillId="6" borderId="85" xfId="3" applyNumberFormat="1" applyFont="1" applyFill="1" applyBorder="1" applyAlignment="1">
      <alignment wrapText="1"/>
    </xf>
    <xf numFmtId="183" fontId="114" fillId="5" borderId="85" xfId="3" applyNumberFormat="1" applyFont="1" applyFill="1" applyBorder="1" applyAlignment="1">
      <alignment wrapText="1"/>
    </xf>
    <xf numFmtId="183" fontId="173" fillId="5" borderId="85" xfId="3" applyNumberFormat="1" applyFont="1" applyFill="1" applyBorder="1" applyAlignment="1">
      <alignment wrapText="1"/>
    </xf>
    <xf numFmtId="168" fontId="173" fillId="5" borderId="85" xfId="3" applyNumberFormat="1" applyFont="1" applyFill="1" applyBorder="1" applyAlignment="1">
      <alignment wrapText="1"/>
    </xf>
    <xf numFmtId="2" fontId="115" fillId="6" borderId="85" xfId="0" applyNumberFormat="1" applyFont="1" applyFill="1" applyBorder="1" applyAlignment="1">
      <alignment wrapText="1"/>
    </xf>
    <xf numFmtId="169" fontId="115" fillId="6" borderId="85" xfId="3" applyNumberFormat="1" applyFont="1" applyFill="1" applyBorder="1" applyAlignment="1">
      <alignment wrapText="1"/>
    </xf>
    <xf numFmtId="210" fontId="115" fillId="0" borderId="85" xfId="3" applyNumberFormat="1" applyFont="1" applyFill="1" applyBorder="1" applyAlignment="1">
      <alignment wrapText="1"/>
    </xf>
    <xf numFmtId="211" fontId="115" fillId="5" borderId="85" xfId="3" applyNumberFormat="1" applyFont="1" applyFill="1" applyBorder="1" applyAlignment="1">
      <alignment wrapText="1"/>
    </xf>
    <xf numFmtId="1" fontId="115" fillId="5" borderId="85" xfId="3" applyNumberFormat="1" applyFont="1" applyFill="1" applyBorder="1" applyAlignment="1">
      <alignment wrapText="1"/>
    </xf>
    <xf numFmtId="0" fontId="244" fillId="6" borderId="85" xfId="0" applyFont="1" applyFill="1" applyBorder="1" applyAlignment="1">
      <alignment horizontal="center" wrapText="1"/>
    </xf>
    <xf numFmtId="166" fontId="244" fillId="6" borderId="85" xfId="3" applyNumberFormat="1" applyFont="1" applyFill="1" applyBorder="1" applyAlignment="1">
      <alignment wrapText="1"/>
    </xf>
    <xf numFmtId="171" fontId="244" fillId="6" borderId="85" xfId="3" applyNumberFormat="1" applyFont="1" applyFill="1" applyBorder="1" applyAlignment="1">
      <alignment wrapText="1"/>
    </xf>
    <xf numFmtId="171" fontId="244" fillId="0" borderId="85" xfId="3" applyNumberFormat="1" applyFont="1" applyFill="1" applyBorder="1" applyAlignment="1">
      <alignment wrapText="1"/>
    </xf>
    <xf numFmtId="170" fontId="6" fillId="6" borderId="0" xfId="3" applyNumberFormat="1" applyFont="1" applyFill="1" applyAlignment="1">
      <alignment vertical="center" wrapText="1"/>
    </xf>
    <xf numFmtId="170" fontId="6" fillId="5" borderId="0" xfId="3" applyNumberFormat="1" applyFont="1" applyFill="1" applyAlignment="1">
      <alignment vertical="center" wrapText="1"/>
    </xf>
    <xf numFmtId="170" fontId="6" fillId="0" borderId="0" xfId="3" applyNumberFormat="1" applyFont="1" applyFill="1" applyAlignment="1">
      <alignment vertical="center" wrapText="1"/>
    </xf>
    <xf numFmtId="168" fontId="6" fillId="5" borderId="0" xfId="3" applyNumberFormat="1" applyFont="1" applyFill="1" applyAlignment="1">
      <alignment vertical="center" wrapText="1"/>
    </xf>
    <xf numFmtId="169" fontId="6" fillId="5" borderId="0" xfId="3" applyNumberFormat="1" applyFont="1" applyFill="1" applyAlignment="1">
      <alignment vertical="center"/>
    </xf>
    <xf numFmtId="170" fontId="3" fillId="6" borderId="0" xfId="3" applyNumberFormat="1" applyFont="1" applyFill="1" applyAlignment="1">
      <alignment horizontal="center" vertical="center" wrapText="1"/>
    </xf>
    <xf numFmtId="170" fontId="3" fillId="0" borderId="0" xfId="3" applyNumberFormat="1" applyFont="1" applyFill="1" applyAlignment="1">
      <alignment vertical="center" wrapText="1"/>
    </xf>
    <xf numFmtId="170" fontId="3" fillId="0" borderId="0" xfId="3" applyNumberFormat="1" applyFont="1" applyFill="1" applyAlignment="1">
      <alignment horizontal="center" vertical="center" wrapText="1"/>
    </xf>
    <xf numFmtId="169" fontId="6" fillId="5" borderId="0" xfId="0" applyNumberFormat="1" applyFont="1" applyFill="1" applyAlignment="1">
      <alignment vertical="center"/>
    </xf>
    <xf numFmtId="209" fontId="2" fillId="6" borderId="0" xfId="0" applyNumberFormat="1" applyFont="1" applyFill="1"/>
    <xf numFmtId="209" fontId="6" fillId="0" borderId="0" xfId="0" applyNumberFormat="1" applyFont="1"/>
    <xf numFmtId="209" fontId="115" fillId="6" borderId="0" xfId="0" applyNumberFormat="1" applyFont="1" applyFill="1"/>
    <xf numFmtId="169" fontId="2" fillId="12" borderId="0" xfId="0" applyNumberFormat="1" applyFont="1" applyFill="1"/>
    <xf numFmtId="174" fontId="2" fillId="6" borderId="0" xfId="0" applyNumberFormat="1" applyFont="1" applyFill="1"/>
    <xf numFmtId="167" fontId="6" fillId="6" borderId="0" xfId="0" applyNumberFormat="1" applyFont="1" applyFill="1"/>
    <xf numFmtId="167" fontId="2" fillId="6" borderId="0" xfId="0" applyNumberFormat="1" applyFont="1" applyFill="1"/>
    <xf numFmtId="167" fontId="3" fillId="6" borderId="0" xfId="0" applyNumberFormat="1" applyFont="1" applyFill="1"/>
    <xf numFmtId="166" fontId="3" fillId="6" borderId="0" xfId="3" applyNumberFormat="1" applyFont="1" applyFill="1" applyAlignment="1"/>
    <xf numFmtId="166" fontId="125" fillId="6" borderId="0" xfId="3" applyNumberFormat="1" applyFont="1" applyFill="1" applyAlignment="1"/>
    <xf numFmtId="171" fontId="124" fillId="6" borderId="0" xfId="3" applyNumberFormat="1" applyFont="1" applyFill="1"/>
    <xf numFmtId="0" fontId="124" fillId="0" borderId="0" xfId="0" applyFont="1" applyAlignment="1">
      <alignment vertical="center"/>
    </xf>
    <xf numFmtId="0" fontId="128" fillId="0" borderId="0" xfId="0" applyFont="1"/>
    <xf numFmtId="172" fontId="124" fillId="6" borderId="0" xfId="3" applyNumberFormat="1" applyFont="1" applyFill="1"/>
    <xf numFmtId="171" fontId="124" fillId="0" borderId="0" xfId="3" applyNumberFormat="1" applyFont="1" applyFill="1"/>
    <xf numFmtId="169" fontId="124" fillId="0" borderId="0" xfId="3" applyNumberFormat="1" applyFont="1" applyFill="1"/>
    <xf numFmtId="169" fontId="150" fillId="6" borderId="0" xfId="3" applyNumberFormat="1" applyFont="1" applyFill="1" applyAlignment="1"/>
    <xf numFmtId="0" fontId="125" fillId="0" borderId="0" xfId="0" applyFont="1"/>
    <xf numFmtId="0" fontId="250" fillId="0" borderId="0" xfId="0" applyFont="1"/>
    <xf numFmtId="169" fontId="124" fillId="6" borderId="0" xfId="3" applyNumberFormat="1" applyFont="1" applyFill="1"/>
    <xf numFmtId="0" fontId="126" fillId="6" borderId="0" xfId="0" applyFont="1" applyFill="1" applyAlignment="1">
      <alignment vertical="center"/>
    </xf>
    <xf numFmtId="209" fontId="128" fillId="6" borderId="0" xfId="0" applyNumberFormat="1" applyFont="1" applyFill="1"/>
    <xf numFmtId="0" fontId="125" fillId="6" borderId="0" xfId="0" applyFont="1" applyFill="1"/>
    <xf numFmtId="169" fontId="124" fillId="0" borderId="0" xfId="3" applyNumberFormat="1" applyFont="1" applyAlignment="1">
      <alignment vertical="center"/>
    </xf>
    <xf numFmtId="166" fontId="124" fillId="0" borderId="0" xfId="0" applyNumberFormat="1" applyFont="1" applyAlignment="1">
      <alignment vertical="center"/>
    </xf>
    <xf numFmtId="168" fontId="124" fillId="0" borderId="0" xfId="0" applyNumberFormat="1" applyFont="1" applyAlignment="1">
      <alignment vertical="center"/>
    </xf>
    <xf numFmtId="209" fontId="124" fillId="0" borderId="0" xfId="0" applyNumberFormat="1" applyFont="1" applyAlignment="1">
      <alignment vertical="center"/>
    </xf>
    <xf numFmtId="0" fontId="164" fillId="0" borderId="0" xfId="0" applyFont="1" applyAlignment="1">
      <alignment vertical="center"/>
    </xf>
    <xf numFmtId="171" fontId="128" fillId="6" borderId="0" xfId="0" applyNumberFormat="1" applyFont="1" applyFill="1"/>
    <xf numFmtId="0" fontId="2" fillId="0" borderId="5" xfId="50" applyFont="1" applyBorder="1" applyAlignment="1">
      <alignment horizontal="center" vertical="center" wrapText="1"/>
    </xf>
    <xf numFmtId="169" fontId="248" fillId="0" borderId="16" xfId="51" applyNumberFormat="1" applyFont="1" applyFill="1" applyBorder="1" applyAlignment="1">
      <alignment horizontal="center" vertical="center" wrapText="1"/>
    </xf>
    <xf numFmtId="0" fontId="248" fillId="0" borderId="5" xfId="50" applyFont="1" applyBorder="1" applyAlignment="1">
      <alignment horizontal="left" vertical="center" wrapText="1"/>
    </xf>
    <xf numFmtId="0" fontId="86" fillId="0" borderId="5" xfId="50" applyFont="1" applyBorder="1" applyAlignment="1">
      <alignment vertical="center" wrapText="1"/>
    </xf>
    <xf numFmtId="169" fontId="86" fillId="0" borderId="5" xfId="51" applyNumberFormat="1" applyFont="1" applyFill="1" applyBorder="1" applyAlignment="1">
      <alignment horizontal="center" vertical="center" wrapText="1"/>
    </xf>
    <xf numFmtId="0" fontId="86" fillId="0" borderId="5" xfId="50" applyFont="1" applyBorder="1" applyAlignment="1">
      <alignment horizontal="left" vertical="center" wrapText="1"/>
    </xf>
    <xf numFmtId="0" fontId="86" fillId="0" borderId="6" xfId="50" applyFont="1" applyBorder="1" applyAlignment="1">
      <alignment vertical="center" wrapText="1"/>
    </xf>
    <xf numFmtId="170" fontId="248" fillId="0" borderId="70" xfId="51" applyNumberFormat="1" applyFont="1" applyFill="1" applyBorder="1" applyAlignment="1">
      <alignment horizontal="center" vertical="center" wrapText="1"/>
    </xf>
    <xf numFmtId="170" fontId="86" fillId="0" borderId="70" xfId="51" applyNumberFormat="1" applyFont="1" applyFill="1" applyBorder="1" applyAlignment="1">
      <alignment horizontal="center" vertical="center" wrapText="1"/>
    </xf>
    <xf numFmtId="170" fontId="86" fillId="0" borderId="0" xfId="0" applyNumberFormat="1" applyFont="1"/>
    <xf numFmtId="170" fontId="86" fillId="0" borderId="0" xfId="3" applyNumberFormat="1" applyFont="1" applyFill="1" applyBorder="1" applyAlignment="1">
      <alignment horizontal="center" vertical="center" wrapText="1"/>
    </xf>
    <xf numFmtId="170" fontId="107" fillId="0" borderId="0" xfId="0" applyNumberFormat="1" applyFont="1"/>
    <xf numFmtId="170" fontId="80" fillId="0" borderId="0" xfId="0" applyNumberFormat="1" applyFont="1"/>
    <xf numFmtId="0" fontId="86" fillId="0" borderId="15" xfId="50" applyFont="1" applyBorder="1" applyAlignment="1">
      <alignment horizontal="center" vertical="center" wrapText="1"/>
    </xf>
    <xf numFmtId="0" fontId="86" fillId="0" borderId="5" xfId="43" applyFont="1" applyBorder="1" applyAlignment="1">
      <alignment horizontal="left" vertical="center" wrapText="1"/>
    </xf>
    <xf numFmtId="43" fontId="86" fillId="0" borderId="5" xfId="51" applyFont="1" applyFill="1" applyBorder="1" applyAlignment="1">
      <alignment horizontal="center" vertical="center" wrapText="1"/>
    </xf>
    <xf numFmtId="0" fontId="248" fillId="0" borderId="5" xfId="43" applyFont="1" applyBorder="1" applyAlignment="1">
      <alignment horizontal="left" vertical="center" wrapText="1"/>
    </xf>
    <xf numFmtId="43" fontId="248" fillId="0" borderId="5" xfId="51" applyFont="1" applyFill="1" applyBorder="1" applyAlignment="1">
      <alignment horizontal="center" vertical="center" wrapText="1"/>
    </xf>
    <xf numFmtId="169" fontId="248" fillId="0" borderId="5" xfId="51" applyNumberFormat="1" applyFont="1" applyFill="1" applyBorder="1" applyAlignment="1">
      <alignment horizontal="center" vertical="center" wrapText="1"/>
    </xf>
    <xf numFmtId="170" fontId="248" fillId="0" borderId="5" xfId="51" applyNumberFormat="1" applyFont="1" applyFill="1" applyBorder="1" applyAlignment="1">
      <alignment horizontal="center" vertical="center" wrapText="1"/>
    </xf>
    <xf numFmtId="0" fontId="248" fillId="0" borderId="5" xfId="50" applyFont="1" applyBorder="1" applyAlignment="1">
      <alignment vertical="center" wrapText="1"/>
    </xf>
    <xf numFmtId="0" fontId="86" fillId="0" borderId="5" xfId="52" applyFont="1" applyBorder="1" applyAlignment="1">
      <alignment vertical="center" wrapText="1"/>
    </xf>
    <xf numFmtId="3" fontId="86" fillId="0" borderId="5" xfId="50" applyNumberFormat="1" applyFont="1" applyBorder="1" applyAlignment="1">
      <alignment horizontal="left" vertical="center" wrapText="1"/>
    </xf>
    <xf numFmtId="166" fontId="86" fillId="0" borderId="5" xfId="53" applyNumberFormat="1" applyFont="1" applyFill="1" applyBorder="1" applyAlignment="1">
      <alignment horizontal="left" vertical="center" wrapText="1"/>
    </xf>
    <xf numFmtId="0" fontId="248" fillId="0" borderId="5" xfId="50" applyFont="1" applyBorder="1" applyAlignment="1">
      <alignment horizontal="center" vertical="center"/>
    </xf>
    <xf numFmtId="0" fontId="2" fillId="0" borderId="5" xfId="50" applyFont="1" applyBorder="1" applyAlignment="1">
      <alignment vertical="center"/>
    </xf>
    <xf numFmtId="43" fontId="2" fillId="0" borderId="5" xfId="51" applyFont="1" applyFill="1" applyBorder="1" applyAlignment="1">
      <alignment horizontal="center" vertical="center" wrapText="1"/>
    </xf>
    <xf numFmtId="169" fontId="2" fillId="0" borderId="5" xfId="51" applyNumberFormat="1" applyFont="1" applyFill="1" applyBorder="1" applyAlignment="1">
      <alignment horizontal="center" vertical="center" wrapText="1"/>
    </xf>
    <xf numFmtId="171" fontId="2" fillId="0" borderId="5" xfId="51" applyNumberFormat="1" applyFont="1" applyFill="1" applyBorder="1" applyAlignment="1">
      <alignment horizontal="center" vertical="center" wrapText="1"/>
    </xf>
    <xf numFmtId="168" fontId="248" fillId="0" borderId="5" xfId="51" applyNumberFormat="1" applyFont="1" applyFill="1" applyBorder="1" applyAlignment="1">
      <alignment horizontal="center" vertical="center" wrapText="1"/>
    </xf>
    <xf numFmtId="0" fontId="86" fillId="0" borderId="5" xfId="36" applyFont="1" applyBorder="1" applyAlignment="1">
      <alignment horizontal="left" vertical="center" wrapText="1"/>
    </xf>
    <xf numFmtId="169" fontId="86" fillId="0" borderId="5" xfId="51" applyNumberFormat="1" applyFont="1" applyFill="1" applyBorder="1" applyAlignment="1">
      <alignment horizontal="right" vertical="center" wrapText="1"/>
    </xf>
    <xf numFmtId="169" fontId="86" fillId="0" borderId="5" xfId="51" applyNumberFormat="1" applyFont="1" applyFill="1" applyBorder="1" applyAlignment="1">
      <alignment vertical="center"/>
    </xf>
    <xf numFmtId="169" fontId="248" fillId="0" borderId="5" xfId="51" applyNumberFormat="1" applyFont="1" applyFill="1" applyBorder="1" applyAlignment="1">
      <alignment horizontal="right" vertical="center" wrapText="1"/>
    </xf>
    <xf numFmtId="169" fontId="86" fillId="0" borderId="6" xfId="51" applyNumberFormat="1" applyFont="1" applyFill="1" applyBorder="1" applyAlignment="1">
      <alignment horizontal="right" vertical="center" wrapText="1"/>
    </xf>
    <xf numFmtId="169" fontId="86" fillId="0" borderId="6" xfId="51" applyNumberFormat="1" applyFont="1" applyFill="1" applyBorder="1" applyAlignment="1">
      <alignment horizontal="center" vertical="center" wrapText="1"/>
    </xf>
    <xf numFmtId="171" fontId="86" fillId="0" borderId="6" xfId="51" applyNumberFormat="1" applyFont="1" applyFill="1" applyBorder="1" applyAlignment="1">
      <alignment horizontal="center" vertical="center" wrapText="1"/>
    </xf>
    <xf numFmtId="0" fontId="248" fillId="0" borderId="16" xfId="50" applyFont="1" applyBorder="1" applyAlignment="1">
      <alignment horizontal="left" vertical="center" wrapText="1"/>
    </xf>
    <xf numFmtId="171" fontId="248" fillId="0" borderId="16" xfId="51" applyNumberFormat="1" applyFont="1" applyFill="1" applyBorder="1" applyAlignment="1">
      <alignment horizontal="center" vertical="center" wrapText="1"/>
    </xf>
    <xf numFmtId="171" fontId="248" fillId="0" borderId="71" xfId="51" applyNumberFormat="1" applyFont="1" applyFill="1" applyBorder="1" applyAlignment="1">
      <alignment horizontal="center" vertical="center" wrapText="1"/>
    </xf>
    <xf numFmtId="0" fontId="2" fillId="0" borderId="7" xfId="50" applyFont="1" applyBorder="1" applyAlignment="1">
      <alignment horizontal="center" vertical="center" wrapText="1"/>
    </xf>
    <xf numFmtId="0" fontId="2" fillId="6" borderId="85" xfId="0" applyFont="1" applyFill="1" applyBorder="1" applyAlignment="1">
      <alignment vertical="center" wrapText="1"/>
    </xf>
    <xf numFmtId="169" fontId="248" fillId="0" borderId="85" xfId="51" applyNumberFormat="1" applyFont="1" applyFill="1" applyBorder="1" applyAlignment="1">
      <alignment horizontal="center" vertical="center" wrapText="1"/>
    </xf>
    <xf numFmtId="0" fontId="2" fillId="0" borderId="4" xfId="0" applyFont="1" applyBorder="1" applyAlignment="1">
      <alignment horizontal="center" vertical="center" wrapText="1"/>
    </xf>
    <xf numFmtId="0" fontId="2" fillId="6" borderId="4" xfId="12" applyFont="1" applyFill="1" applyBorder="1" applyAlignment="1">
      <alignment horizontal="left" vertical="center" wrapText="1"/>
    </xf>
    <xf numFmtId="49" fontId="2" fillId="6" borderId="4" xfId="0" applyNumberFormat="1" applyFont="1" applyFill="1" applyBorder="1" applyAlignment="1">
      <alignment horizontal="center" vertical="center" wrapText="1"/>
    </xf>
    <xf numFmtId="169" fontId="2" fillId="0" borderId="4" xfId="3" applyNumberFormat="1" applyFont="1" applyBorder="1" applyAlignment="1">
      <alignment vertical="center"/>
    </xf>
    <xf numFmtId="169" fontId="2" fillId="0" borderId="4" xfId="51" applyNumberFormat="1" applyFont="1" applyFill="1" applyBorder="1" applyAlignment="1">
      <alignment horizontal="center" vertical="center" wrapText="1"/>
    </xf>
    <xf numFmtId="0" fontId="86" fillId="0" borderId="15" xfId="50" applyFont="1" applyBorder="1" applyAlignment="1">
      <alignment vertical="center" wrapText="1"/>
    </xf>
    <xf numFmtId="43" fontId="86" fillId="0" borderId="15" xfId="51" applyFont="1" applyFill="1" applyBorder="1" applyAlignment="1">
      <alignment horizontal="center" vertical="center" wrapText="1"/>
    </xf>
    <xf numFmtId="169" fontId="86" fillId="0" borderId="15" xfId="51" applyNumberFormat="1" applyFont="1" applyFill="1" applyBorder="1" applyAlignment="1">
      <alignment horizontal="center" vertical="center" wrapText="1"/>
    </xf>
    <xf numFmtId="169" fontId="86" fillId="0" borderId="15" xfId="51" applyNumberFormat="1" applyFont="1" applyFill="1" applyBorder="1" applyAlignment="1">
      <alignment horizontal="right" vertical="center" wrapText="1"/>
    </xf>
    <xf numFmtId="171" fontId="86" fillId="0" borderId="15" xfId="51" applyNumberFormat="1" applyFont="1" applyFill="1" applyBorder="1" applyAlignment="1">
      <alignment horizontal="center" vertical="center" wrapText="1"/>
    </xf>
    <xf numFmtId="166" fontId="86" fillId="0" borderId="15" xfId="51" applyNumberFormat="1" applyFont="1" applyFill="1" applyBorder="1" applyAlignment="1">
      <alignment horizontal="center" vertical="center" wrapText="1"/>
    </xf>
    <xf numFmtId="0" fontId="86" fillId="0" borderId="7" xfId="50" applyFont="1" applyBorder="1" applyAlignment="1">
      <alignment horizontal="center" vertical="center" wrapText="1"/>
    </xf>
    <xf numFmtId="0" fontId="86" fillId="0" borderId="7" xfId="50" applyFont="1" applyBorder="1" applyAlignment="1">
      <alignment vertical="center" wrapText="1"/>
    </xf>
    <xf numFmtId="166" fontId="86" fillId="0" borderId="7" xfId="51" applyNumberFormat="1" applyFont="1" applyFill="1" applyBorder="1" applyAlignment="1">
      <alignment horizontal="right" vertical="center" wrapText="1"/>
    </xf>
    <xf numFmtId="169" fontId="86" fillId="0" borderId="7" xfId="51" applyNumberFormat="1" applyFont="1" applyFill="1" applyBorder="1" applyAlignment="1">
      <alignment horizontal="right" vertical="center" wrapText="1"/>
    </xf>
    <xf numFmtId="171" fontId="86" fillId="0" borderId="7" xfId="51" applyNumberFormat="1" applyFont="1" applyFill="1" applyBorder="1" applyAlignment="1">
      <alignment horizontal="right" vertical="center" wrapText="1"/>
    </xf>
    <xf numFmtId="169" fontId="248" fillId="0" borderId="85" xfId="51" applyNumberFormat="1" applyFont="1" applyFill="1" applyBorder="1" applyAlignment="1">
      <alignment horizontal="right" vertical="center" wrapText="1"/>
    </xf>
    <xf numFmtId="171" fontId="248" fillId="0" borderId="85" xfId="51" applyNumberFormat="1" applyFont="1" applyFill="1" applyBorder="1" applyAlignment="1">
      <alignment horizontal="right" vertical="center" wrapText="1"/>
    </xf>
    <xf numFmtId="171" fontId="248" fillId="0" borderId="70" xfId="3" applyNumberFormat="1" applyFont="1" applyFill="1" applyBorder="1" applyAlignment="1">
      <alignment vertical="center" wrapText="1"/>
    </xf>
    <xf numFmtId="0" fontId="205" fillId="5" borderId="70" xfId="0" applyFont="1" applyFill="1" applyBorder="1" applyAlignment="1">
      <alignment horizontal="center"/>
    </xf>
    <xf numFmtId="0" fontId="205" fillId="5" borderId="70" xfId="0" applyFont="1" applyFill="1" applyBorder="1" applyAlignment="1">
      <alignment wrapText="1"/>
    </xf>
    <xf numFmtId="0" fontId="205" fillId="5" borderId="70" xfId="0" applyFont="1" applyFill="1" applyBorder="1"/>
    <xf numFmtId="166" fontId="205" fillId="5" borderId="70" xfId="0" applyNumberFormat="1" applyFont="1" applyFill="1" applyBorder="1" applyAlignment="1">
      <alignment horizontal="center" vertical="center"/>
    </xf>
    <xf numFmtId="166" fontId="205" fillId="5" borderId="70" xfId="3" applyNumberFormat="1" applyFont="1" applyFill="1" applyBorder="1" applyAlignment="1">
      <alignment horizontal="center" vertical="center"/>
    </xf>
    <xf numFmtId="43" fontId="205" fillId="5" borderId="70" xfId="0" applyNumberFormat="1" applyFont="1" applyFill="1" applyBorder="1" applyAlignment="1">
      <alignment vertical="center"/>
    </xf>
    <xf numFmtId="0" fontId="205" fillId="5" borderId="0" xfId="0" applyFont="1" applyFill="1"/>
    <xf numFmtId="0" fontId="114" fillId="5" borderId="70" xfId="0" applyFont="1" applyFill="1" applyBorder="1" applyAlignment="1">
      <alignment vertical="center" wrapText="1"/>
    </xf>
    <xf numFmtId="182" fontId="129" fillId="5" borderId="70" xfId="3" applyNumberFormat="1" applyFont="1" applyFill="1" applyBorder="1"/>
    <xf numFmtId="0" fontId="139" fillId="5" borderId="70" xfId="0" applyFont="1" applyFill="1" applyBorder="1" applyAlignment="1">
      <alignment vertical="center" wrapText="1"/>
    </xf>
    <xf numFmtId="166" fontId="129" fillId="5" borderId="70" xfId="0" applyNumberFormat="1" applyFont="1" applyFill="1" applyBorder="1" applyAlignment="1">
      <alignment vertical="center" wrapText="1"/>
    </xf>
    <xf numFmtId="43" fontId="205" fillId="5" borderId="70" xfId="3" applyFont="1" applyFill="1" applyBorder="1" applyAlignment="1">
      <alignment vertical="center"/>
    </xf>
    <xf numFmtId="166" fontId="114" fillId="5" borderId="70" xfId="3" applyNumberFormat="1" applyFont="1" applyFill="1" applyBorder="1" applyAlignment="1">
      <alignment horizontal="center" vertical="center" wrapText="1"/>
    </xf>
    <xf numFmtId="170" fontId="139" fillId="0" borderId="85" xfId="3" applyNumberFormat="1" applyFont="1" applyFill="1" applyBorder="1" applyAlignment="1">
      <alignment wrapText="1"/>
    </xf>
    <xf numFmtId="169" fontId="6" fillId="0" borderId="11" xfId="3" applyNumberFormat="1" applyFont="1" applyFill="1" applyBorder="1" applyAlignment="1">
      <alignment horizontal="left" wrapText="1"/>
    </xf>
    <xf numFmtId="170" fontId="139" fillId="0" borderId="11" xfId="3" applyNumberFormat="1" applyFont="1" applyFill="1" applyBorder="1" applyAlignment="1">
      <alignment horizontal="left" wrapText="1"/>
    </xf>
    <xf numFmtId="171" fontId="6" fillId="0" borderId="11" xfId="3" applyNumberFormat="1" applyFont="1" applyFill="1" applyBorder="1" applyAlignment="1">
      <alignment horizontal="left" wrapText="1"/>
    </xf>
    <xf numFmtId="171" fontId="6" fillId="0" borderId="85" xfId="3" applyNumberFormat="1" applyFont="1" applyFill="1" applyBorder="1" applyAlignment="1">
      <alignment wrapText="1"/>
    </xf>
    <xf numFmtId="166" fontId="128" fillId="6" borderId="0" xfId="3" applyNumberFormat="1" applyFont="1" applyFill="1" applyAlignment="1"/>
    <xf numFmtId="166" fontId="126" fillId="6" borderId="0" xfId="3" applyNumberFormat="1" applyFont="1" applyFill="1" applyAlignment="1"/>
    <xf numFmtId="43" fontId="2" fillId="0" borderId="0" xfId="3" applyFont="1" applyFill="1" applyAlignment="1"/>
    <xf numFmtId="166" fontId="125" fillId="0" borderId="0" xfId="3" applyNumberFormat="1" applyFont="1" applyFill="1" applyAlignment="1"/>
    <xf numFmtId="175" fontId="2" fillId="0" borderId="0" xfId="0" applyNumberFormat="1" applyFont="1"/>
    <xf numFmtId="199" fontId="125" fillId="0" borderId="0" xfId="3" applyNumberFormat="1" applyFont="1" applyFill="1" applyAlignment="1"/>
    <xf numFmtId="168" fontId="2" fillId="6" borderId="0" xfId="3" applyNumberFormat="1" applyFont="1" applyFill="1"/>
    <xf numFmtId="180" fontId="2" fillId="6" borderId="0" xfId="0" applyNumberFormat="1" applyFont="1" applyFill="1"/>
    <xf numFmtId="166" fontId="125" fillId="6" borderId="0" xfId="3" applyNumberFormat="1" applyFont="1" applyFill="1"/>
    <xf numFmtId="166" fontId="2" fillId="6" borderId="0" xfId="0" applyNumberFormat="1" applyFont="1" applyFill="1"/>
    <xf numFmtId="171" fontId="2" fillId="0" borderId="4" xfId="3" applyNumberFormat="1" applyFont="1" applyBorder="1" applyAlignment="1">
      <alignment vertical="center"/>
    </xf>
    <xf numFmtId="171" fontId="86" fillId="0" borderId="5" xfId="51" applyNumberFormat="1" applyFont="1" applyFill="1" applyBorder="1" applyAlignment="1">
      <alignment vertical="center"/>
    </xf>
    <xf numFmtId="171" fontId="86" fillId="0" borderId="5" xfId="51" applyNumberFormat="1" applyFont="1" applyFill="1" applyBorder="1" applyAlignment="1">
      <alignment horizontal="right" vertical="center" wrapText="1"/>
    </xf>
    <xf numFmtId="171" fontId="86" fillId="0" borderId="6" xfId="51" applyNumberFormat="1" applyFont="1" applyFill="1" applyBorder="1" applyAlignment="1">
      <alignment horizontal="right" vertical="center" wrapText="1"/>
    </xf>
    <xf numFmtId="170" fontId="250" fillId="0" borderId="70" xfId="51" applyNumberFormat="1" applyFont="1" applyFill="1" applyBorder="1" applyAlignment="1">
      <alignment horizontal="center" vertical="center" wrapText="1"/>
    </xf>
    <xf numFmtId="170" fontId="250" fillId="0" borderId="16" xfId="51" applyNumberFormat="1" applyFont="1" applyFill="1" applyBorder="1" applyAlignment="1">
      <alignment horizontal="center" vertical="center" wrapText="1"/>
    </xf>
    <xf numFmtId="170" fontId="250" fillId="0" borderId="85" xfId="51" applyNumberFormat="1" applyFont="1" applyFill="1" applyBorder="1" applyAlignment="1">
      <alignment horizontal="center" vertical="center" wrapText="1"/>
    </xf>
    <xf numFmtId="0" fontId="250" fillId="0" borderId="7" xfId="50" applyFont="1" applyBorder="1" applyAlignment="1">
      <alignment horizontal="center" vertical="center" wrapText="1"/>
    </xf>
    <xf numFmtId="0" fontId="250" fillId="0" borderId="5" xfId="50" applyFont="1" applyBorder="1" applyAlignment="1">
      <alignment horizontal="center" vertical="center" wrapText="1"/>
    </xf>
    <xf numFmtId="0" fontId="80" fillId="0" borderId="5" xfId="50" applyFont="1" applyBorder="1" applyAlignment="1">
      <alignment horizontal="center" vertical="center" wrapText="1"/>
    </xf>
    <xf numFmtId="170" fontId="80" fillId="0" borderId="5" xfId="51" applyNumberFormat="1" applyFont="1" applyFill="1" applyBorder="1" applyAlignment="1">
      <alignment horizontal="center" vertical="center" wrapText="1"/>
    </xf>
    <xf numFmtId="170" fontId="250" fillId="0" borderId="5" xfId="51" applyNumberFormat="1" applyFont="1" applyFill="1" applyBorder="1" applyAlignment="1">
      <alignment horizontal="center" vertical="center" wrapText="1"/>
    </xf>
    <xf numFmtId="170" fontId="250" fillId="0" borderId="5" xfId="51" applyNumberFormat="1" applyFont="1" applyFill="1" applyBorder="1" applyAlignment="1">
      <alignment horizontal="right" vertical="center" wrapText="1"/>
    </xf>
    <xf numFmtId="170" fontId="80" fillId="0" borderId="15" xfId="51" applyNumberFormat="1" applyFont="1" applyFill="1" applyBorder="1" applyAlignment="1">
      <alignment horizontal="center" vertical="center" wrapText="1"/>
    </xf>
    <xf numFmtId="0" fontId="80" fillId="0" borderId="7" xfId="50" applyFont="1" applyBorder="1" applyAlignment="1">
      <alignment horizontal="center" vertical="center" wrapText="1"/>
    </xf>
    <xf numFmtId="223" fontId="80" fillId="0" borderId="5" xfId="50" applyNumberFormat="1" applyFont="1" applyBorder="1" applyAlignment="1">
      <alignment horizontal="center" vertical="center" wrapText="1"/>
    </xf>
    <xf numFmtId="224" fontId="80" fillId="0" borderId="6" xfId="50" applyNumberFormat="1" applyFont="1" applyBorder="1" applyAlignment="1">
      <alignment horizontal="center" vertical="center" wrapText="1"/>
    </xf>
    <xf numFmtId="171" fontId="250" fillId="0" borderId="85" xfId="51" applyNumberFormat="1" applyFont="1" applyFill="1" applyBorder="1" applyAlignment="1">
      <alignment horizontal="right" vertical="center" wrapText="1"/>
    </xf>
    <xf numFmtId="171" fontId="3" fillId="6" borderId="0" xfId="0" applyNumberFormat="1" applyFont="1" applyFill="1" applyAlignment="1">
      <alignment horizontal="center" vertical="center" wrapText="1"/>
    </xf>
    <xf numFmtId="171" fontId="6" fillId="0" borderId="0" xfId="3" applyNumberFormat="1" applyFont="1" applyFill="1" applyAlignment="1">
      <alignment vertical="center"/>
    </xf>
    <xf numFmtId="171" fontId="6" fillId="0" borderId="0" xfId="3" applyNumberFormat="1" applyFont="1" applyFill="1" applyBorder="1" applyAlignment="1">
      <alignment horizontal="center" vertical="center" wrapText="1"/>
    </xf>
    <xf numFmtId="43" fontId="86" fillId="0" borderId="0" xfId="3" applyFont="1" applyFill="1"/>
    <xf numFmtId="170" fontId="218" fillId="0" borderId="0" xfId="3" applyNumberFormat="1" applyFont="1" applyFill="1" applyBorder="1" applyAlignment="1">
      <alignment vertical="center" wrapText="1"/>
    </xf>
    <xf numFmtId="170" fontId="86" fillId="0" borderId="0" xfId="3" applyNumberFormat="1" applyFont="1" applyFill="1"/>
    <xf numFmtId="170" fontId="86" fillId="0" borderId="0" xfId="3" applyNumberFormat="1" applyFont="1" applyFill="1" applyAlignment="1">
      <alignment vertical="center" wrapText="1"/>
    </xf>
    <xf numFmtId="171" fontId="86" fillId="0" borderId="0" xfId="3" applyNumberFormat="1" applyFont="1" applyFill="1"/>
    <xf numFmtId="166" fontId="86" fillId="0" borderId="0" xfId="3" applyNumberFormat="1" applyFont="1" applyFill="1"/>
    <xf numFmtId="166" fontId="218" fillId="0" borderId="0" xfId="3" applyNumberFormat="1" applyFont="1" applyFill="1" applyAlignment="1">
      <alignment horizontal="center" vertical="center" wrapText="1"/>
    </xf>
    <xf numFmtId="170" fontId="218" fillId="0" borderId="0" xfId="3" applyNumberFormat="1" applyFont="1" applyFill="1" applyAlignment="1">
      <alignment vertical="center" wrapText="1"/>
    </xf>
    <xf numFmtId="170" fontId="218" fillId="0" borderId="0" xfId="3" applyNumberFormat="1" applyFont="1" applyFill="1" applyAlignment="1">
      <alignment horizontal="center" vertical="center" wrapText="1"/>
    </xf>
    <xf numFmtId="170" fontId="86" fillId="0" borderId="0" xfId="3" applyNumberFormat="1" applyFont="1" applyFill="1" applyAlignment="1">
      <alignment vertical="center"/>
    </xf>
    <xf numFmtId="170" fontId="248" fillId="0" borderId="0" xfId="3" applyNumberFormat="1" applyFont="1" applyFill="1" applyAlignment="1">
      <alignment vertical="center"/>
    </xf>
    <xf numFmtId="206" fontId="80" fillId="0" borderId="0" xfId="0" applyNumberFormat="1" applyFont="1"/>
    <xf numFmtId="209" fontId="80" fillId="0" borderId="0" xfId="0" applyNumberFormat="1" applyFont="1"/>
    <xf numFmtId="0" fontId="248" fillId="0" borderId="0" xfId="0" applyFont="1" applyAlignment="1">
      <alignment vertical="center"/>
    </xf>
    <xf numFmtId="169" fontId="86" fillId="0" borderId="0" xfId="0" applyNumberFormat="1" applyFont="1"/>
    <xf numFmtId="209" fontId="86" fillId="0" borderId="0" xfId="0" applyNumberFormat="1" applyFont="1"/>
    <xf numFmtId="225" fontId="129" fillId="0" borderId="70" xfId="3" applyNumberFormat="1" applyFont="1" applyBorder="1" applyAlignment="1">
      <alignment vertical="center" wrapText="1"/>
    </xf>
    <xf numFmtId="193" fontId="86" fillId="0" borderId="0" xfId="0" applyNumberFormat="1" applyFont="1"/>
    <xf numFmtId="182" fontId="129" fillId="13" borderId="70" xfId="0" applyNumberFormat="1" applyFont="1" applyFill="1" applyBorder="1" applyAlignment="1">
      <alignment vertical="center"/>
    </xf>
    <xf numFmtId="0" fontId="129" fillId="13" borderId="70" xfId="0" applyFont="1" applyFill="1" applyBorder="1" applyAlignment="1">
      <alignment horizontal="center"/>
    </xf>
    <xf numFmtId="0" fontId="129" fillId="13" borderId="70" xfId="0" applyFont="1" applyFill="1" applyBorder="1" applyAlignment="1">
      <alignment horizontal="left" vertical="center" wrapText="1"/>
    </xf>
    <xf numFmtId="0" fontId="133" fillId="13" borderId="70" xfId="0" applyFont="1" applyFill="1" applyBorder="1" applyAlignment="1">
      <alignment vertical="center" wrapText="1"/>
    </xf>
    <xf numFmtId="182" fontId="129" fillId="13" borderId="70" xfId="3" applyNumberFormat="1" applyFont="1" applyFill="1" applyBorder="1" applyAlignment="1">
      <alignment vertical="center" wrapText="1"/>
    </xf>
    <xf numFmtId="0" fontId="139" fillId="13" borderId="70" xfId="0" applyFont="1" applyFill="1" applyBorder="1" applyAlignment="1">
      <alignment vertical="center"/>
    </xf>
    <xf numFmtId="182" fontId="205" fillId="13" borderId="70" xfId="3" applyNumberFormat="1" applyFont="1" applyFill="1" applyBorder="1" applyAlignment="1">
      <alignment vertical="center" wrapText="1"/>
    </xf>
    <xf numFmtId="166" fontId="235" fillId="13" borderId="70" xfId="3" applyNumberFormat="1" applyFont="1" applyFill="1" applyBorder="1" applyAlignment="1">
      <alignment vertical="center"/>
    </xf>
    <xf numFmtId="0" fontId="129" fillId="13" borderId="70" xfId="0" applyFont="1" applyFill="1" applyBorder="1" applyAlignment="1">
      <alignment vertical="center" wrapText="1"/>
    </xf>
    <xf numFmtId="0" fontId="129" fillId="13" borderId="0" xfId="0" applyFont="1" applyFill="1"/>
    <xf numFmtId="0" fontId="139" fillId="13" borderId="70" xfId="0" applyFont="1" applyFill="1" applyBorder="1" applyAlignment="1">
      <alignment vertical="center" wrapText="1"/>
    </xf>
    <xf numFmtId="166" fontId="139" fillId="13" borderId="70" xfId="3" applyNumberFormat="1" applyFont="1" applyFill="1" applyBorder="1" applyAlignment="1">
      <alignment vertical="center"/>
    </xf>
    <xf numFmtId="166" fontId="129" fillId="13" borderId="70" xfId="3" applyNumberFormat="1" applyFont="1" applyFill="1" applyBorder="1" applyAlignment="1">
      <alignment vertical="center" wrapText="1"/>
    </xf>
    <xf numFmtId="214" fontId="133" fillId="13" borderId="70" xfId="3" applyNumberFormat="1" applyFont="1" applyFill="1" applyBorder="1" applyAlignment="1">
      <alignment horizontal="center" vertical="center"/>
    </xf>
    <xf numFmtId="0" fontId="233" fillId="13" borderId="70" xfId="0" applyFont="1" applyFill="1" applyBorder="1" applyAlignment="1">
      <alignment vertical="center" wrapText="1"/>
    </xf>
    <xf numFmtId="182" fontId="205" fillId="6" borderId="0" xfId="0" applyNumberFormat="1" applyFont="1" applyFill="1"/>
    <xf numFmtId="182" fontId="129" fillId="6" borderId="0" xfId="0" applyNumberFormat="1" applyFont="1" applyFill="1"/>
    <xf numFmtId="225" fontId="109" fillId="0" borderId="0" xfId="0" applyNumberFormat="1" applyFont="1"/>
    <xf numFmtId="0" fontId="129" fillId="5" borderId="70" xfId="0" applyFont="1" applyFill="1" applyBorder="1" applyAlignment="1">
      <alignment horizontal="left" vertical="center" wrapText="1"/>
    </xf>
    <xf numFmtId="182" fontId="129" fillId="5" borderId="70" xfId="0" applyNumberFormat="1" applyFont="1" applyFill="1" applyBorder="1"/>
    <xf numFmtId="0" fontId="13" fillId="0" borderId="0" xfId="0" applyFont="1" applyAlignment="1">
      <alignment wrapText="1"/>
    </xf>
    <xf numFmtId="0" fontId="13" fillId="0" borderId="0" xfId="0" applyFont="1"/>
    <xf numFmtId="172" fontId="71" fillId="6" borderId="0" xfId="3" applyNumberFormat="1" applyFont="1" applyFill="1" applyAlignment="1">
      <alignment vertical="center"/>
    </xf>
    <xf numFmtId="168" fontId="128" fillId="6" borderId="0" xfId="3" applyNumberFormat="1" applyFont="1" applyFill="1" applyAlignment="1"/>
    <xf numFmtId="168" fontId="128" fillId="6" borderId="0" xfId="3" applyNumberFormat="1" applyFont="1" applyFill="1"/>
    <xf numFmtId="168" fontId="125" fillId="6" borderId="0" xfId="3" applyNumberFormat="1" applyFont="1" applyFill="1"/>
    <xf numFmtId="209" fontId="71" fillId="6" borderId="0" xfId="0" applyNumberFormat="1" applyFont="1" applyFill="1"/>
    <xf numFmtId="171" fontId="75" fillId="6" borderId="0" xfId="3" applyNumberFormat="1" applyFont="1" applyFill="1" applyAlignment="1">
      <alignment horizontal="center" vertical="center" wrapText="1"/>
    </xf>
    <xf numFmtId="169" fontId="75" fillId="6" borderId="0" xfId="3" applyNumberFormat="1" applyFont="1" applyFill="1" applyAlignment="1">
      <alignment horizontal="center" vertical="center" wrapText="1"/>
    </xf>
    <xf numFmtId="171" fontId="73" fillId="0" borderId="0" xfId="3" applyNumberFormat="1" applyFont="1" applyFill="1"/>
    <xf numFmtId="169" fontId="248" fillId="0" borderId="70" xfId="3" applyNumberFormat="1" applyFont="1" applyFill="1" applyBorder="1" applyAlignment="1">
      <alignment vertical="center" wrapText="1"/>
    </xf>
    <xf numFmtId="169" fontId="248" fillId="0" borderId="70" xfId="3" applyNumberFormat="1" applyFont="1" applyFill="1" applyBorder="1" applyAlignment="1">
      <alignment horizontal="center" vertical="center" wrapText="1"/>
    </xf>
    <xf numFmtId="166" fontId="205" fillId="5" borderId="70" xfId="3" applyNumberFormat="1" applyFont="1" applyFill="1" applyBorder="1" applyAlignment="1">
      <alignment horizontal="left" vertical="center" wrapText="1"/>
    </xf>
    <xf numFmtId="0" fontId="106" fillId="5" borderId="70" xfId="0" applyFont="1" applyFill="1" applyBorder="1" applyAlignment="1">
      <alignment vertical="center" wrapText="1"/>
    </xf>
    <xf numFmtId="0" fontId="205" fillId="5" borderId="70" xfId="0" applyFont="1" applyFill="1" applyBorder="1" applyAlignment="1">
      <alignment horizontal="center" vertical="center"/>
    </xf>
    <xf numFmtId="182" fontId="106" fillId="5" borderId="70" xfId="3" applyNumberFormat="1" applyFont="1" applyFill="1" applyBorder="1" applyAlignment="1">
      <alignment horizontal="center" vertical="center"/>
    </xf>
    <xf numFmtId="0" fontId="205" fillId="5" borderId="0" xfId="0" applyFont="1" applyFill="1" applyAlignment="1">
      <alignment vertical="center"/>
    </xf>
    <xf numFmtId="182" fontId="205" fillId="5" borderId="70" xfId="3" applyNumberFormat="1" applyFont="1" applyFill="1" applyBorder="1"/>
    <xf numFmtId="182" fontId="42" fillId="14" borderId="0" xfId="3" applyNumberFormat="1" applyFont="1" applyFill="1" applyAlignment="1">
      <alignment horizontal="center"/>
    </xf>
    <xf numFmtId="182" fontId="41" fillId="14" borderId="70" xfId="3" applyNumberFormat="1" applyFont="1" applyFill="1" applyBorder="1" applyAlignment="1">
      <alignment horizontal="center" vertical="center" wrapText="1"/>
    </xf>
    <xf numFmtId="182" fontId="41" fillId="14" borderId="70" xfId="3" applyNumberFormat="1" applyFont="1" applyFill="1" applyBorder="1" applyAlignment="1">
      <alignment vertical="center" wrapText="1"/>
    </xf>
    <xf numFmtId="182" fontId="233" fillId="14" borderId="70" xfId="3" applyNumberFormat="1" applyFont="1" applyFill="1" applyBorder="1" applyAlignment="1">
      <alignment vertical="center" wrapText="1"/>
    </xf>
    <xf numFmtId="182" fontId="129" fillId="14" borderId="70" xfId="3" applyNumberFormat="1" applyFont="1" applyFill="1" applyBorder="1" applyAlignment="1">
      <alignment vertical="center" wrapText="1"/>
    </xf>
    <xf numFmtId="182" fontId="129" fillId="14" borderId="70" xfId="0" applyNumberFormat="1" applyFont="1" applyFill="1" applyBorder="1" applyAlignment="1">
      <alignment vertical="center"/>
    </xf>
    <xf numFmtId="182" fontId="205" fillId="14" borderId="70" xfId="0" applyNumberFormat="1" applyFont="1" applyFill="1" applyBorder="1" applyAlignment="1">
      <alignment horizontal="center" vertical="center"/>
    </xf>
    <xf numFmtId="182" fontId="129" fillId="14" borderId="70" xfId="0" applyNumberFormat="1" applyFont="1" applyFill="1" applyBorder="1" applyAlignment="1">
      <alignment horizontal="center" vertical="center"/>
    </xf>
    <xf numFmtId="0" fontId="129" fillId="14" borderId="0" xfId="0" applyFont="1" applyFill="1"/>
    <xf numFmtId="182" fontId="233" fillId="14" borderId="70" xfId="0" applyNumberFormat="1" applyFont="1" applyFill="1" applyBorder="1" applyAlignment="1">
      <alignment horizontal="center" vertical="center"/>
    </xf>
    <xf numFmtId="182" fontId="205" fillId="14" borderId="70" xfId="0" applyNumberFormat="1" applyFont="1" applyFill="1" applyBorder="1" applyAlignment="1">
      <alignment vertical="center"/>
    </xf>
    <xf numFmtId="0" fontId="41" fillId="14" borderId="70" xfId="0" applyFont="1" applyFill="1" applyBorder="1" applyAlignment="1">
      <alignment horizontal="center"/>
    </xf>
    <xf numFmtId="166" fontId="41" fillId="14" borderId="70" xfId="3" applyNumberFormat="1" applyFont="1" applyFill="1" applyBorder="1" applyAlignment="1">
      <alignment horizontal="left" vertical="center" wrapText="1"/>
    </xf>
    <xf numFmtId="0" fontId="41" fillId="14" borderId="70" xfId="0" applyFont="1" applyFill="1" applyBorder="1" applyAlignment="1">
      <alignment vertical="center" wrapText="1"/>
    </xf>
    <xf numFmtId="0" fontId="41" fillId="14" borderId="0" xfId="0" applyFont="1" applyFill="1"/>
    <xf numFmtId="0" fontId="233" fillId="14" borderId="70" xfId="0" applyFont="1" applyFill="1" applyBorder="1" applyAlignment="1">
      <alignment horizontal="center"/>
    </xf>
    <xf numFmtId="0" fontId="234" fillId="14" borderId="70" xfId="0" applyFont="1" applyFill="1" applyBorder="1" applyAlignment="1">
      <alignment vertical="center" wrapText="1"/>
    </xf>
    <xf numFmtId="0" fontId="233" fillId="14" borderId="70" xfId="0" applyFont="1" applyFill="1" applyBorder="1" applyAlignment="1">
      <alignment vertical="center" wrapText="1"/>
    </xf>
    <xf numFmtId="0" fontId="233" fillId="14" borderId="0" xfId="0" applyFont="1" applyFill="1"/>
    <xf numFmtId="0" fontId="240" fillId="14" borderId="70" xfId="0" applyFont="1" applyFill="1" applyBorder="1" applyAlignment="1">
      <alignment horizontal="justify" vertical="center" wrapText="1"/>
    </xf>
    <xf numFmtId="0" fontId="237" fillId="14" borderId="70" xfId="0" applyFont="1" applyFill="1" applyBorder="1" applyAlignment="1">
      <alignment vertical="center" wrapText="1"/>
    </xf>
    <xf numFmtId="182" fontId="233" fillId="14" borderId="70" xfId="3" applyNumberFormat="1" applyFont="1" applyFill="1" applyBorder="1" applyAlignment="1">
      <alignment horizontal="center" vertical="center"/>
    </xf>
    <xf numFmtId="182" fontId="233" fillId="14" borderId="70" xfId="0" applyNumberFormat="1" applyFont="1" applyFill="1" applyBorder="1" applyAlignment="1">
      <alignment vertical="center"/>
    </xf>
    <xf numFmtId="169" fontId="86" fillId="5" borderId="5" xfId="51" applyNumberFormat="1" applyFont="1" applyFill="1" applyBorder="1" applyAlignment="1">
      <alignment horizontal="center" vertical="center" wrapText="1"/>
    </xf>
    <xf numFmtId="169" fontId="80" fillId="0" borderId="0" xfId="0" applyNumberFormat="1" applyFont="1"/>
    <xf numFmtId="168" fontId="25" fillId="0" borderId="68" xfId="3" applyNumberFormat="1" applyFont="1" applyBorder="1" applyAlignment="1">
      <alignment horizontal="right" vertical="center" wrapText="1"/>
    </xf>
    <xf numFmtId="168" fontId="208" fillId="0" borderId="68" xfId="3" applyNumberFormat="1" applyFont="1" applyBorder="1" applyAlignment="1">
      <alignment horizontal="right" vertical="center" wrapText="1"/>
    </xf>
    <xf numFmtId="168" fontId="25" fillId="0" borderId="69" xfId="3" applyNumberFormat="1" applyFont="1" applyBorder="1" applyAlignment="1">
      <alignment horizontal="right" vertical="center" wrapText="1"/>
    </xf>
    <xf numFmtId="222" fontId="22" fillId="0" borderId="0" xfId="0" applyNumberFormat="1" applyFont="1"/>
    <xf numFmtId="0" fontId="253" fillId="0" borderId="0" xfId="0" applyFont="1"/>
    <xf numFmtId="168" fontId="115" fillId="6" borderId="0" xfId="3" applyNumberFormat="1" applyFont="1" applyFill="1" applyAlignment="1"/>
    <xf numFmtId="180" fontId="115" fillId="6" borderId="0" xfId="0" applyNumberFormat="1" applyFont="1" applyFill="1"/>
    <xf numFmtId="0" fontId="255" fillId="0" borderId="5" xfId="50" applyFont="1" applyBorder="1" applyAlignment="1">
      <alignment horizontal="center" vertical="center" wrapText="1"/>
    </xf>
    <xf numFmtId="0" fontId="255" fillId="0" borderId="5" xfId="50" applyFont="1" applyBorder="1" applyAlignment="1">
      <alignment horizontal="left" vertical="center" wrapText="1"/>
    </xf>
    <xf numFmtId="171" fontId="255" fillId="0" borderId="5" xfId="51" applyNumberFormat="1" applyFont="1" applyFill="1" applyBorder="1" applyAlignment="1">
      <alignment horizontal="right" vertical="center" wrapText="1"/>
    </xf>
    <xf numFmtId="169" fontId="255" fillId="0" borderId="5" xfId="51" applyNumberFormat="1" applyFont="1" applyFill="1" applyBorder="1" applyAlignment="1">
      <alignment horizontal="right" vertical="center" wrapText="1"/>
    </xf>
    <xf numFmtId="170" fontId="256" fillId="0" borderId="5" xfId="51" applyNumberFormat="1" applyFont="1" applyFill="1" applyBorder="1" applyAlignment="1">
      <alignment horizontal="right" vertical="center" wrapText="1"/>
    </xf>
    <xf numFmtId="166" fontId="255" fillId="0" borderId="5" xfId="51" applyNumberFormat="1" applyFont="1" applyFill="1" applyBorder="1" applyAlignment="1">
      <alignment horizontal="center" vertical="center" wrapText="1"/>
    </xf>
    <xf numFmtId="0" fontId="257" fillId="0" borderId="0" xfId="0" applyFont="1"/>
    <xf numFmtId="0" fontId="257" fillId="0" borderId="5" xfId="50" applyFont="1" applyBorder="1" applyAlignment="1">
      <alignment horizontal="center" vertical="center" wrapText="1"/>
    </xf>
    <xf numFmtId="0" fontId="257" fillId="0" borderId="5" xfId="50" applyFont="1" applyBorder="1" applyAlignment="1">
      <alignment horizontal="left" vertical="center" wrapText="1"/>
    </xf>
    <xf numFmtId="43" fontId="257" fillId="0" borderId="5" xfId="51" applyFont="1" applyFill="1" applyBorder="1" applyAlignment="1">
      <alignment horizontal="center" vertical="center" wrapText="1"/>
    </xf>
    <xf numFmtId="169" fontId="257" fillId="0" borderId="5" xfId="51" applyNumberFormat="1" applyFont="1" applyFill="1" applyBorder="1" applyAlignment="1">
      <alignment horizontal="right" vertical="center" wrapText="1"/>
    </xf>
    <xf numFmtId="169" fontId="257" fillId="0" borderId="5" xfId="51" applyNumberFormat="1" applyFont="1" applyFill="1" applyBorder="1" applyAlignment="1">
      <alignment horizontal="center" vertical="center" wrapText="1"/>
    </xf>
    <xf numFmtId="170" fontId="253" fillId="0" borderId="5" xfId="51" applyNumberFormat="1" applyFont="1" applyFill="1" applyBorder="1" applyAlignment="1">
      <alignment horizontal="center" vertical="center" wrapText="1"/>
    </xf>
    <xf numFmtId="166" fontId="257" fillId="0" borderId="5" xfId="51" applyNumberFormat="1" applyFont="1" applyFill="1" applyBorder="1" applyAlignment="1">
      <alignment horizontal="center" vertical="center" wrapText="1"/>
    </xf>
    <xf numFmtId="0" fontId="257" fillId="0" borderId="5" xfId="50" applyFont="1" applyBorder="1" applyAlignment="1">
      <alignment vertical="center" wrapText="1"/>
    </xf>
    <xf numFmtId="171" fontId="257" fillId="0" borderId="5" xfId="51" applyNumberFormat="1" applyFont="1" applyFill="1" applyBorder="1" applyAlignment="1">
      <alignment horizontal="center" vertical="center" wrapText="1"/>
    </xf>
    <xf numFmtId="0" fontId="257" fillId="0" borderId="89" xfId="50" applyFont="1" applyBorder="1" applyAlignment="1">
      <alignment horizontal="center" vertical="center" wrapText="1"/>
    </xf>
    <xf numFmtId="43" fontId="257" fillId="0" borderId="89" xfId="51" applyFont="1" applyFill="1" applyBorder="1" applyAlignment="1">
      <alignment horizontal="center" vertical="center" wrapText="1"/>
    </xf>
    <xf numFmtId="169" fontId="257" fillId="0" borderId="89" xfId="51" applyNumberFormat="1" applyFont="1" applyFill="1" applyBorder="1" applyAlignment="1">
      <alignment horizontal="center" vertical="center" wrapText="1"/>
    </xf>
    <xf numFmtId="169" fontId="257" fillId="0" borderId="89" xfId="51" applyNumberFormat="1" applyFont="1" applyFill="1" applyBorder="1" applyAlignment="1">
      <alignment horizontal="right" vertical="center" wrapText="1"/>
    </xf>
    <xf numFmtId="170" fontId="253" fillId="0" borderId="89" xfId="51" applyNumberFormat="1" applyFont="1" applyFill="1" applyBorder="1" applyAlignment="1">
      <alignment horizontal="center" vertical="center" wrapText="1"/>
    </xf>
    <xf numFmtId="166" fontId="257" fillId="0" borderId="89" xfId="51" applyNumberFormat="1" applyFont="1" applyFill="1" applyBorder="1" applyAlignment="1">
      <alignment horizontal="center" vertical="center" wrapText="1"/>
    </xf>
    <xf numFmtId="0" fontId="258" fillId="0" borderId="0" xfId="0" applyFont="1"/>
    <xf numFmtId="0" fontId="173" fillId="0" borderId="5" xfId="50" applyFont="1" applyBorder="1" applyAlignment="1">
      <alignment horizontal="center" vertical="center" wrapText="1"/>
    </xf>
    <xf numFmtId="0" fontId="173" fillId="0" borderId="5" xfId="43" applyFont="1" applyBorder="1" applyAlignment="1">
      <alignment horizontal="left" vertical="center" wrapText="1"/>
    </xf>
    <xf numFmtId="43" fontId="173" fillId="0" borderId="5" xfId="51" applyFont="1" applyFill="1" applyBorder="1" applyAlignment="1">
      <alignment horizontal="center" vertical="center" wrapText="1"/>
    </xf>
    <xf numFmtId="169" fontId="173" fillId="0" borderId="5" xfId="51" applyNumberFormat="1" applyFont="1" applyFill="1" applyBorder="1" applyAlignment="1">
      <alignment horizontal="center" vertical="center" wrapText="1"/>
    </xf>
    <xf numFmtId="170" fontId="258" fillId="0" borderId="5" xfId="51" applyNumberFormat="1" applyFont="1" applyFill="1" applyBorder="1" applyAlignment="1">
      <alignment horizontal="center" vertical="center" wrapText="1"/>
    </xf>
    <xf numFmtId="0" fontId="257" fillId="0" borderId="5" xfId="43" applyFont="1" applyBorder="1" applyAlignment="1">
      <alignment horizontal="left" vertical="center" wrapText="1"/>
    </xf>
    <xf numFmtId="0" fontId="257" fillId="0" borderId="89" xfId="50" quotePrefix="1" applyFont="1" applyBorder="1" applyAlignment="1">
      <alignment horizontal="center" vertical="center" wrapText="1"/>
    </xf>
    <xf numFmtId="0" fontId="257" fillId="0" borderId="89" xfId="50" applyFont="1" applyBorder="1" applyAlignment="1">
      <alignment horizontal="left" vertical="center"/>
    </xf>
    <xf numFmtId="171" fontId="257" fillId="0" borderId="89" xfId="51" applyNumberFormat="1" applyFont="1" applyFill="1" applyBorder="1" applyAlignment="1">
      <alignment horizontal="center" vertical="center" wrapText="1"/>
    </xf>
    <xf numFmtId="0" fontId="173" fillId="0" borderId="89" xfId="50" applyFont="1" applyBorder="1" applyAlignment="1">
      <alignment horizontal="center" vertical="center" wrapText="1"/>
    </xf>
    <xf numFmtId="0" fontId="173" fillId="0" borderId="89" xfId="50" applyFont="1" applyBorder="1" applyAlignment="1">
      <alignment horizontal="left" vertical="center" wrapText="1"/>
    </xf>
    <xf numFmtId="169" fontId="173" fillId="0" borderId="89" xfId="51" applyNumberFormat="1" applyFont="1" applyFill="1" applyBorder="1" applyAlignment="1">
      <alignment horizontal="right" vertical="center" wrapText="1"/>
    </xf>
    <xf numFmtId="169" fontId="73" fillId="0" borderId="89" xfId="3" applyNumberFormat="1" applyFont="1" applyFill="1" applyBorder="1" applyAlignment="1">
      <alignment vertical="center" wrapText="1"/>
    </xf>
    <xf numFmtId="170" fontId="258" fillId="0" borderId="89" xfId="51" applyNumberFormat="1" applyFont="1" applyFill="1" applyBorder="1" applyAlignment="1">
      <alignment horizontal="right" vertical="center" wrapText="1"/>
    </xf>
    <xf numFmtId="166" fontId="173" fillId="0" borderId="89" xfId="51" applyNumberFormat="1" applyFont="1" applyFill="1" applyBorder="1" applyAlignment="1">
      <alignment horizontal="center" vertical="center" wrapText="1"/>
    </xf>
    <xf numFmtId="169" fontId="115" fillId="0" borderId="0" xfId="0" applyNumberFormat="1" applyFont="1"/>
    <xf numFmtId="0" fontId="115" fillId="0" borderId="89" xfId="50" applyFont="1" applyBorder="1" applyAlignment="1">
      <alignment horizontal="center" vertical="center" wrapText="1"/>
    </xf>
    <xf numFmtId="0" fontId="115" fillId="0" borderId="89" xfId="0" applyFont="1" applyBorder="1" applyAlignment="1">
      <alignment vertical="center" wrapText="1"/>
    </xf>
    <xf numFmtId="171" fontId="115" fillId="0" borderId="89" xfId="51" applyNumberFormat="1" applyFont="1" applyFill="1" applyBorder="1" applyAlignment="1">
      <alignment horizontal="right" vertical="center" wrapText="1"/>
    </xf>
    <xf numFmtId="169" fontId="115" fillId="0" borderId="89" xfId="51" applyNumberFormat="1" applyFont="1" applyFill="1" applyBorder="1" applyAlignment="1">
      <alignment horizontal="right" vertical="center" wrapText="1"/>
    </xf>
    <xf numFmtId="169" fontId="254" fillId="0" borderId="89" xfId="3" applyNumberFormat="1" applyFont="1" applyFill="1" applyBorder="1" applyAlignment="1">
      <alignment vertical="center" wrapText="1"/>
    </xf>
    <xf numFmtId="170" fontId="176" fillId="0" borderId="89" xfId="51" applyNumberFormat="1" applyFont="1" applyFill="1" applyBorder="1" applyAlignment="1">
      <alignment horizontal="right" vertical="center" wrapText="1"/>
    </xf>
    <xf numFmtId="166" fontId="115" fillId="0" borderId="89" xfId="51" applyNumberFormat="1" applyFont="1" applyFill="1" applyBorder="1" applyAlignment="1">
      <alignment horizontal="center" vertical="center" wrapText="1"/>
    </xf>
    <xf numFmtId="43" fontId="115" fillId="0" borderId="89" xfId="51" applyFont="1" applyFill="1" applyBorder="1" applyAlignment="1">
      <alignment horizontal="center" vertical="center" wrapText="1"/>
    </xf>
    <xf numFmtId="169" fontId="115" fillId="0" borderId="89" xfId="51" applyNumberFormat="1" applyFont="1" applyFill="1" applyBorder="1" applyAlignment="1">
      <alignment horizontal="center" vertical="center" wrapText="1"/>
    </xf>
    <xf numFmtId="171" fontId="115" fillId="0" borderId="89" xfId="51" applyNumberFormat="1" applyFont="1" applyFill="1" applyBorder="1" applyAlignment="1">
      <alignment horizontal="center" vertical="center" wrapText="1"/>
    </xf>
    <xf numFmtId="170" fontId="176" fillId="0" borderId="89" xfId="51" applyNumberFormat="1" applyFont="1" applyFill="1" applyBorder="1" applyAlignment="1">
      <alignment horizontal="center" vertical="center" wrapText="1"/>
    </xf>
    <xf numFmtId="209" fontId="115" fillId="0" borderId="0" xfId="0" applyNumberFormat="1" applyFont="1"/>
    <xf numFmtId="0" fontId="218" fillId="0" borderId="0" xfId="48" applyFont="1" applyAlignment="1">
      <alignment horizontal="center" vertical="center"/>
    </xf>
    <xf numFmtId="0" fontId="248" fillId="0" borderId="70" xfId="50" applyFont="1" applyBorder="1" applyAlignment="1">
      <alignment horizontal="center" vertical="center" wrapText="1"/>
    </xf>
    <xf numFmtId="171" fontId="248" fillId="0" borderId="70" xfId="51" applyNumberFormat="1" applyFont="1" applyFill="1" applyBorder="1" applyAlignment="1">
      <alignment horizontal="center" vertical="center" wrapText="1"/>
    </xf>
    <xf numFmtId="166" fontId="248" fillId="0" borderId="70" xfId="51" applyNumberFormat="1" applyFont="1" applyFill="1" applyBorder="1" applyAlignment="1">
      <alignment horizontal="center" vertical="center" wrapText="1"/>
    </xf>
    <xf numFmtId="0" fontId="86" fillId="0" borderId="5" xfId="50" applyFont="1" applyBorder="1" applyAlignment="1">
      <alignment horizontal="center" vertical="center" wrapText="1"/>
    </xf>
    <xf numFmtId="0" fontId="86" fillId="0" borderId="5" xfId="50" applyFont="1" applyBorder="1" applyAlignment="1">
      <alignment horizontal="left" vertical="center"/>
    </xf>
    <xf numFmtId="0" fontId="248" fillId="0" borderId="85" xfId="50" applyFont="1" applyBorder="1" applyAlignment="1">
      <alignment horizontal="center" vertical="center" wrapText="1"/>
    </xf>
    <xf numFmtId="171" fontId="248" fillId="0" borderId="85" xfId="51" applyNumberFormat="1" applyFont="1" applyFill="1" applyBorder="1" applyAlignment="1">
      <alignment horizontal="center" vertical="center" wrapText="1"/>
    </xf>
    <xf numFmtId="169" fontId="75" fillId="0" borderId="0" xfId="3" applyNumberFormat="1" applyFont="1" applyFill="1" applyAlignment="1">
      <alignment horizontal="center" vertical="center" wrapText="1"/>
    </xf>
    <xf numFmtId="170" fontId="75" fillId="6" borderId="0" xfId="3" applyNumberFormat="1" applyFont="1" applyFill="1" applyAlignment="1">
      <alignment horizontal="right" vertical="center" wrapText="1"/>
    </xf>
    <xf numFmtId="166" fontId="3" fillId="0" borderId="0" xfId="3" applyNumberFormat="1" applyFont="1" applyFill="1" applyAlignment="1">
      <alignment vertical="center" wrapText="1"/>
    </xf>
    <xf numFmtId="9" fontId="6" fillId="0" borderId="0" xfId="0" applyNumberFormat="1" applyFont="1" applyAlignment="1">
      <alignment vertical="center"/>
    </xf>
    <xf numFmtId="178" fontId="177" fillId="0" borderId="0" xfId="3" applyNumberFormat="1" applyFont="1" applyFill="1" applyAlignment="1">
      <alignment vertical="center"/>
    </xf>
    <xf numFmtId="169" fontId="91" fillId="0" borderId="0" xfId="3" applyNumberFormat="1" applyFont="1" applyFill="1" applyAlignment="1"/>
    <xf numFmtId="166" fontId="177" fillId="0" borderId="0" xfId="0" applyNumberFormat="1" applyFont="1"/>
    <xf numFmtId="43" fontId="177" fillId="0" borderId="0" xfId="3" applyFont="1" applyFill="1" applyAlignment="1"/>
    <xf numFmtId="43" fontId="91" fillId="0" borderId="0" xfId="3" applyFont="1" applyFill="1" applyAlignment="1"/>
    <xf numFmtId="9" fontId="71" fillId="0" borderId="0" xfId="0" applyNumberFormat="1" applyFont="1" applyAlignment="1">
      <alignment vertical="center"/>
    </xf>
    <xf numFmtId="172" fontId="128" fillId="6" borderId="0" xfId="3" applyNumberFormat="1" applyFont="1" applyFill="1"/>
    <xf numFmtId="0" fontId="3" fillId="0" borderId="0" xfId="0" applyFont="1" applyAlignment="1">
      <alignment horizontal="center"/>
    </xf>
    <xf numFmtId="213" fontId="177" fillId="6" borderId="0" xfId="0" applyNumberFormat="1" applyFont="1" applyFill="1"/>
    <xf numFmtId="172" fontId="150" fillId="6" borderId="0" xfId="3" applyNumberFormat="1" applyFont="1" applyFill="1" applyAlignment="1"/>
    <xf numFmtId="172" fontId="150" fillId="6" borderId="0" xfId="3" applyNumberFormat="1" applyFont="1" applyFill="1"/>
    <xf numFmtId="172" fontId="164" fillId="6" borderId="0" xfId="3" applyNumberFormat="1" applyFont="1" applyFill="1"/>
    <xf numFmtId="172" fontId="149" fillId="6" borderId="0" xfId="3" applyNumberFormat="1" applyFont="1" applyFill="1"/>
    <xf numFmtId="172" fontId="152" fillId="6" borderId="0" xfId="3" applyNumberFormat="1" applyFont="1" applyFill="1" applyAlignment="1"/>
    <xf numFmtId="172" fontId="152" fillId="0" borderId="0" xfId="3" applyNumberFormat="1" applyFont="1" applyFill="1" applyAlignment="1"/>
    <xf numFmtId="172" fontId="150" fillId="0" borderId="0" xfId="3" applyNumberFormat="1" applyFont="1" applyFill="1" applyAlignment="1"/>
    <xf numFmtId="166" fontId="150" fillId="0" borderId="0" xfId="3" applyNumberFormat="1" applyFont="1" applyFill="1" applyAlignment="1"/>
    <xf numFmtId="172" fontId="152" fillId="5" borderId="0" xfId="3" applyNumberFormat="1" applyFont="1" applyFill="1" applyAlignment="1"/>
    <xf numFmtId="172" fontId="125" fillId="6" borderId="0" xfId="3" applyNumberFormat="1" applyFont="1" applyFill="1" applyAlignment="1"/>
    <xf numFmtId="172" fontId="127" fillId="6" borderId="0" xfId="3" applyNumberFormat="1" applyFont="1" applyFill="1"/>
    <xf numFmtId="173" fontId="128" fillId="6" borderId="0" xfId="3" applyNumberFormat="1" applyFont="1" applyFill="1"/>
    <xf numFmtId="43" fontId="125" fillId="6" borderId="0" xfId="3" applyFont="1" applyFill="1"/>
    <xf numFmtId="169" fontId="128" fillId="6" borderId="0" xfId="3" applyNumberFormat="1" applyFont="1" applyFill="1"/>
    <xf numFmtId="166" fontId="125" fillId="6" borderId="0" xfId="0" applyNumberFormat="1" applyFont="1" applyFill="1"/>
    <xf numFmtId="209" fontId="125" fillId="6" borderId="0" xfId="0" applyNumberFormat="1" applyFont="1" applyFill="1"/>
    <xf numFmtId="169" fontId="128" fillId="6" borderId="0" xfId="0" applyNumberFormat="1" applyFont="1" applyFill="1"/>
    <xf numFmtId="43" fontId="128" fillId="6" borderId="0" xfId="0" applyNumberFormat="1" applyFont="1" applyFill="1"/>
    <xf numFmtId="0" fontId="126" fillId="6" borderId="0" xfId="0" applyFont="1" applyFill="1"/>
    <xf numFmtId="209" fontId="125" fillId="0" borderId="0" xfId="0" applyNumberFormat="1" applyFont="1"/>
    <xf numFmtId="198" fontId="125" fillId="0" borderId="0" xfId="0" applyNumberFormat="1" applyFont="1"/>
    <xf numFmtId="207" fontId="124" fillId="6" borderId="0" xfId="0" applyNumberFormat="1" applyFont="1" applyFill="1"/>
    <xf numFmtId="211" fontId="124" fillId="6" borderId="0" xfId="3" applyNumberFormat="1" applyFont="1" applyFill="1"/>
    <xf numFmtId="175" fontId="125" fillId="6" borderId="0" xfId="0" applyNumberFormat="1" applyFont="1" applyFill="1"/>
    <xf numFmtId="209" fontId="128" fillId="6" borderId="0" xfId="0" applyNumberFormat="1" applyFont="1" applyFill="1" applyAlignment="1">
      <alignment readingOrder="1"/>
    </xf>
    <xf numFmtId="0" fontId="128" fillId="6" borderId="0" xfId="0" applyFont="1" applyFill="1" applyAlignment="1">
      <alignment readingOrder="1"/>
    </xf>
    <xf numFmtId="206" fontId="125" fillId="6" borderId="0" xfId="0" applyNumberFormat="1" applyFont="1" applyFill="1" applyAlignment="1">
      <alignment readingOrder="1"/>
    </xf>
    <xf numFmtId="0" fontId="125" fillId="6" borderId="0" xfId="0" applyFont="1" applyFill="1" applyAlignment="1">
      <alignment readingOrder="1"/>
    </xf>
    <xf numFmtId="206" fontId="128" fillId="6" borderId="0" xfId="0" applyNumberFormat="1" applyFont="1" applyFill="1" applyAlignment="1">
      <alignment readingOrder="1"/>
    </xf>
    <xf numFmtId="166" fontId="128" fillId="6" borderId="0" xfId="0" applyNumberFormat="1" applyFont="1" applyFill="1" applyAlignment="1">
      <alignment readingOrder="1"/>
    </xf>
    <xf numFmtId="0" fontId="125" fillId="0" borderId="0" xfId="0" applyFont="1" applyAlignment="1">
      <alignment readingOrder="1"/>
    </xf>
    <xf numFmtId="4" fontId="125" fillId="6" borderId="0" xfId="0" applyNumberFormat="1" applyFont="1" applyFill="1" applyAlignment="1">
      <alignment readingOrder="1"/>
    </xf>
    <xf numFmtId="217" fontId="125" fillId="6" borderId="0" xfId="0" applyNumberFormat="1" applyFont="1" applyFill="1" applyAlignment="1">
      <alignment readingOrder="1"/>
    </xf>
    <xf numFmtId="0" fontId="128" fillId="0" borderId="0" xfId="0" applyFont="1" applyAlignment="1">
      <alignment readingOrder="1"/>
    </xf>
    <xf numFmtId="175" fontId="252" fillId="6" borderId="0" xfId="0" applyNumberFormat="1" applyFont="1" applyFill="1"/>
    <xf numFmtId="218" fontId="128" fillId="6" borderId="0" xfId="0" applyNumberFormat="1" applyFont="1" applyFill="1"/>
    <xf numFmtId="174" fontId="128" fillId="6" borderId="0" xfId="0" applyNumberFormat="1" applyFont="1" applyFill="1"/>
    <xf numFmtId="166" fontId="2" fillId="6" borderId="0" xfId="3" applyNumberFormat="1" applyFont="1" applyFill="1"/>
    <xf numFmtId="0" fontId="6" fillId="0" borderId="0" xfId="0" applyFont="1" applyAlignment="1">
      <alignment horizontal="center" vertical="top" readingOrder="1"/>
    </xf>
    <xf numFmtId="169" fontId="6" fillId="6" borderId="0" xfId="3" applyNumberFormat="1" applyFont="1" applyFill="1"/>
    <xf numFmtId="166" fontId="2" fillId="6" borderId="0" xfId="3" applyNumberFormat="1" applyFont="1" applyFill="1" applyBorder="1" applyAlignment="1">
      <alignment horizontal="right" vertical="center" wrapText="1"/>
    </xf>
    <xf numFmtId="0" fontId="6" fillId="0" borderId="0" xfId="0" applyFont="1" applyAlignment="1">
      <alignment vertical="top" readingOrder="1"/>
    </xf>
    <xf numFmtId="166" fontId="78" fillId="0" borderId="0" xfId="45" applyNumberFormat="1"/>
    <xf numFmtId="0" fontId="78" fillId="0" borderId="0" xfId="45"/>
    <xf numFmtId="206" fontId="78" fillId="0" borderId="0" xfId="45" applyNumberFormat="1"/>
    <xf numFmtId="219" fontId="78" fillId="0" borderId="0" xfId="45" applyNumberFormat="1"/>
    <xf numFmtId="0" fontId="235" fillId="0" borderId="0" xfId="0" applyFont="1" applyAlignment="1">
      <alignment horizontal="center" vertical="center" wrapText="1"/>
    </xf>
    <xf numFmtId="166" fontId="139" fillId="0" borderId="0" xfId="3" applyNumberFormat="1" applyFont="1" applyFill="1"/>
    <xf numFmtId="167" fontId="2" fillId="6" borderId="0" xfId="0" applyNumberFormat="1" applyFont="1" applyFill="1" applyAlignment="1">
      <alignment wrapText="1"/>
    </xf>
    <xf numFmtId="174" fontId="6" fillId="6" borderId="0" xfId="0" applyNumberFormat="1" applyFont="1" applyFill="1" applyAlignment="1">
      <alignment wrapText="1"/>
    </xf>
    <xf numFmtId="185" fontId="6" fillId="6" borderId="0" xfId="0" applyNumberFormat="1" applyFont="1" applyFill="1" applyAlignment="1">
      <alignment wrapText="1"/>
    </xf>
    <xf numFmtId="3" fontId="6" fillId="6" borderId="0" xfId="0" applyNumberFormat="1" applyFont="1" applyFill="1" applyAlignment="1">
      <alignment wrapText="1"/>
    </xf>
    <xf numFmtId="43" fontId="6" fillId="6" borderId="0" xfId="3" applyFont="1" applyFill="1" applyAlignment="1">
      <alignment wrapText="1"/>
    </xf>
    <xf numFmtId="227" fontId="6" fillId="6" borderId="0" xfId="0" applyNumberFormat="1" applyFont="1" applyFill="1" applyAlignment="1">
      <alignment wrapText="1"/>
    </xf>
    <xf numFmtId="169" fontId="2" fillId="6" borderId="0" xfId="0" applyNumberFormat="1" applyFont="1" applyFill="1" applyAlignment="1">
      <alignment wrapText="1"/>
    </xf>
    <xf numFmtId="166" fontId="6" fillId="6" borderId="0" xfId="27" applyNumberFormat="1" applyFont="1" applyFill="1" applyAlignment="1">
      <alignment wrapText="1"/>
    </xf>
    <xf numFmtId="174" fontId="259" fillId="6" borderId="0" xfId="0" applyNumberFormat="1" applyFont="1" applyFill="1"/>
    <xf numFmtId="0" fontId="259" fillId="6" borderId="0" xfId="0" applyFont="1" applyFill="1"/>
    <xf numFmtId="169" fontId="42" fillId="6" borderId="0" xfId="3" applyNumberFormat="1" applyFont="1" applyFill="1" applyAlignment="1">
      <alignment vertical="center"/>
    </xf>
    <xf numFmtId="168" fontId="42" fillId="6" borderId="0" xfId="3" applyNumberFormat="1" applyFont="1" applyFill="1" applyAlignment="1">
      <alignment vertical="center"/>
    </xf>
    <xf numFmtId="167" fontId="42" fillId="6" borderId="0" xfId="3" applyNumberFormat="1" applyFont="1" applyFill="1" applyAlignment="1">
      <alignment vertical="center"/>
    </xf>
    <xf numFmtId="212" fontId="71" fillId="6" borderId="0" xfId="0" applyNumberFormat="1" applyFont="1" applyFill="1"/>
    <xf numFmtId="173" fontId="71" fillId="6" borderId="0" xfId="3" applyNumberFormat="1" applyFont="1" applyFill="1" applyAlignment="1"/>
    <xf numFmtId="172" fontId="71" fillId="6" borderId="0" xfId="3" applyNumberFormat="1" applyFont="1" applyFill="1" applyAlignment="1"/>
    <xf numFmtId="172" fontId="73" fillId="6" borderId="0" xfId="3" applyNumberFormat="1" applyFont="1" applyFill="1" applyAlignment="1">
      <alignment vertical="center" wrapText="1"/>
    </xf>
    <xf numFmtId="167" fontId="73" fillId="6" borderId="0" xfId="3" applyNumberFormat="1" applyFont="1" applyFill="1" applyAlignment="1">
      <alignment vertical="center" wrapText="1"/>
    </xf>
    <xf numFmtId="168" fontId="73" fillId="6" borderId="0" xfId="3" applyNumberFormat="1" applyFont="1" applyFill="1" applyBorder="1" applyAlignment="1">
      <alignment horizontal="center" vertical="center" wrapText="1"/>
    </xf>
    <xf numFmtId="167" fontId="73" fillId="6" borderId="0" xfId="0" applyNumberFormat="1" applyFont="1" applyFill="1" applyAlignment="1">
      <alignment vertical="center" wrapText="1"/>
    </xf>
    <xf numFmtId="220" fontId="6" fillId="6" borderId="0" xfId="0" applyNumberFormat="1" applyFont="1" applyFill="1" applyAlignment="1">
      <alignment horizontal="left"/>
    </xf>
    <xf numFmtId="172" fontId="259" fillId="6" borderId="0" xfId="0" applyNumberFormat="1" applyFont="1" applyFill="1"/>
    <xf numFmtId="171" fontId="2" fillId="6" borderId="95" xfId="3" applyNumberFormat="1" applyFont="1" applyFill="1" applyBorder="1" applyAlignment="1">
      <alignment horizontal="right" wrapText="1"/>
    </xf>
    <xf numFmtId="0" fontId="6" fillId="6" borderId="43" xfId="0" applyFont="1" applyFill="1" applyBorder="1" applyAlignment="1">
      <alignment horizontal="left" wrapText="1"/>
    </xf>
    <xf numFmtId="169" fontId="6" fillId="6" borderId="43" xfId="3" applyNumberFormat="1" applyFont="1" applyFill="1" applyBorder="1" applyAlignment="1">
      <alignment horizontal="right" wrapText="1"/>
    </xf>
    <xf numFmtId="0" fontId="71" fillId="6" borderId="0" xfId="0" applyFont="1" applyFill="1" applyAlignment="1">
      <alignment horizontal="left"/>
    </xf>
    <xf numFmtId="169" fontId="71" fillId="6" borderId="0" xfId="3" applyNumberFormat="1" applyFont="1" applyFill="1" applyAlignment="1">
      <alignment horizontal="right"/>
    </xf>
    <xf numFmtId="172" fontId="71" fillId="6" borderId="0" xfId="3" applyNumberFormat="1" applyFont="1" applyFill="1" applyAlignment="1">
      <alignment horizontal="right"/>
    </xf>
    <xf numFmtId="171" fontId="71" fillId="6" borderId="0" xfId="3" applyNumberFormat="1" applyFont="1" applyFill="1" applyAlignment="1">
      <alignment horizontal="right"/>
    </xf>
    <xf numFmtId="0" fontId="2" fillId="6" borderId="89" xfId="0" applyFont="1" applyFill="1" applyBorder="1" applyAlignment="1">
      <alignment horizontal="center" wrapText="1"/>
    </xf>
    <xf numFmtId="0" fontId="2" fillId="6" borderId="89" xfId="0" applyFont="1" applyFill="1" applyBorder="1" applyAlignment="1">
      <alignment wrapText="1"/>
    </xf>
    <xf numFmtId="169" fontId="3" fillId="6" borderId="0" xfId="0" applyNumberFormat="1" applyFont="1" applyFill="1"/>
    <xf numFmtId="169" fontId="258" fillId="0" borderId="0" xfId="3" applyNumberFormat="1" applyFont="1" applyAlignment="1">
      <alignment vertical="center"/>
    </xf>
    <xf numFmtId="169" fontId="71" fillId="0" borderId="0" xfId="3" applyNumberFormat="1" applyFont="1" applyAlignment="1">
      <alignment vertical="center"/>
    </xf>
    <xf numFmtId="174" fontId="258" fillId="0" borderId="0" xfId="0" applyNumberFormat="1" applyFont="1" applyAlignment="1">
      <alignment vertical="center"/>
    </xf>
    <xf numFmtId="0" fontId="252" fillId="6" borderId="0" xfId="0" applyFont="1" applyFill="1" applyAlignment="1">
      <alignment wrapText="1"/>
    </xf>
    <xf numFmtId="209" fontId="252" fillId="6" borderId="0" xfId="0" applyNumberFormat="1" applyFont="1" applyFill="1" applyAlignment="1">
      <alignment wrapText="1"/>
    </xf>
    <xf numFmtId="218" fontId="252" fillId="6" borderId="0" xfId="0" applyNumberFormat="1" applyFont="1" applyFill="1" applyAlignment="1">
      <alignment wrapText="1"/>
    </xf>
    <xf numFmtId="209" fontId="261" fillId="6" borderId="0" xfId="0" applyNumberFormat="1" applyFont="1" applyFill="1" applyAlignment="1">
      <alignment wrapText="1"/>
    </xf>
    <xf numFmtId="218" fontId="261" fillId="6" borderId="0" xfId="0" applyNumberFormat="1" applyFont="1" applyFill="1" applyAlignment="1">
      <alignment wrapText="1"/>
    </xf>
    <xf numFmtId="0" fontId="261" fillId="6" borderId="0" xfId="0" applyFont="1" applyFill="1" applyAlignment="1">
      <alignment wrapText="1"/>
    </xf>
    <xf numFmtId="169" fontId="261" fillId="6" borderId="0" xfId="0" applyNumberFormat="1" applyFont="1" applyFill="1" applyAlignment="1">
      <alignment wrapText="1"/>
    </xf>
    <xf numFmtId="175" fontId="261" fillId="6" borderId="0" xfId="0" applyNumberFormat="1" applyFont="1" applyFill="1" applyAlignment="1">
      <alignment wrapText="1"/>
    </xf>
    <xf numFmtId="207" fontId="252" fillId="6" borderId="0" xfId="0" applyNumberFormat="1" applyFont="1" applyFill="1" applyAlignment="1">
      <alignment wrapText="1"/>
    </xf>
    <xf numFmtId="175" fontId="252" fillId="6" borderId="0" xfId="0" applyNumberFormat="1" applyFont="1" applyFill="1" applyAlignment="1">
      <alignment wrapText="1"/>
    </xf>
    <xf numFmtId="213" fontId="262" fillId="6" borderId="0" xfId="0" applyNumberFormat="1" applyFont="1" applyFill="1" applyAlignment="1">
      <alignment wrapText="1"/>
    </xf>
    <xf numFmtId="175" fontId="262" fillId="6" borderId="0" xfId="0" applyNumberFormat="1" applyFont="1" applyFill="1" applyAlignment="1">
      <alignment wrapText="1"/>
    </xf>
    <xf numFmtId="0" fontId="262" fillId="6" borderId="0" xfId="0" applyFont="1" applyFill="1" applyAlignment="1">
      <alignment wrapText="1"/>
    </xf>
    <xf numFmtId="206" fontId="252" fillId="6" borderId="0" xfId="0" applyNumberFormat="1" applyFont="1" applyFill="1" applyAlignment="1">
      <alignment wrapText="1"/>
    </xf>
    <xf numFmtId="207" fontId="261" fillId="6" borderId="0" xfId="0" applyNumberFormat="1" applyFont="1" applyFill="1" applyAlignment="1">
      <alignment wrapText="1"/>
    </xf>
    <xf numFmtId="209" fontId="262" fillId="6" borderId="0" xfId="0" applyNumberFormat="1" applyFont="1" applyFill="1" applyAlignment="1">
      <alignment wrapText="1"/>
    </xf>
    <xf numFmtId="177" fontId="261" fillId="6" borderId="0" xfId="0" applyNumberFormat="1" applyFont="1" applyFill="1" applyAlignment="1">
      <alignment wrapText="1"/>
    </xf>
    <xf numFmtId="193" fontId="261" fillId="6" borderId="0" xfId="0" applyNumberFormat="1" applyFont="1" applyFill="1" applyAlignment="1">
      <alignment wrapText="1"/>
    </xf>
    <xf numFmtId="171" fontId="252" fillId="6" borderId="0" xfId="0" applyNumberFormat="1" applyFont="1" applyFill="1" applyAlignment="1">
      <alignment wrapText="1"/>
    </xf>
    <xf numFmtId="169" fontId="252" fillId="6" borderId="0" xfId="0" applyNumberFormat="1" applyFont="1" applyFill="1" applyAlignment="1">
      <alignment wrapText="1"/>
    </xf>
    <xf numFmtId="172" fontId="252" fillId="6" borderId="0" xfId="0" applyNumberFormat="1" applyFont="1" applyFill="1" applyAlignment="1">
      <alignment wrapText="1"/>
    </xf>
    <xf numFmtId="171" fontId="262" fillId="6" borderId="0" xfId="3" applyNumberFormat="1" applyFont="1" applyFill="1" applyBorder="1" applyAlignment="1">
      <alignment horizontal="center" wrapText="1"/>
    </xf>
    <xf numFmtId="206" fontId="262" fillId="6" borderId="0" xfId="0" applyNumberFormat="1" applyFont="1" applyFill="1" applyAlignment="1">
      <alignment wrapText="1"/>
    </xf>
    <xf numFmtId="171" fontId="252" fillId="6" borderId="0" xfId="3" applyNumberFormat="1" applyFont="1" applyFill="1" applyBorder="1" applyAlignment="1">
      <alignment horizontal="center" wrapText="1"/>
    </xf>
    <xf numFmtId="166" fontId="252" fillId="6" borderId="0" xfId="3" applyNumberFormat="1" applyFont="1" applyFill="1" applyBorder="1" applyAlignment="1">
      <alignment horizontal="right" wrapText="1" readingOrder="1"/>
    </xf>
    <xf numFmtId="168" fontId="262" fillId="6" borderId="0" xfId="0" applyNumberFormat="1" applyFont="1" applyFill="1" applyAlignment="1">
      <alignment wrapText="1"/>
    </xf>
    <xf numFmtId="166" fontId="262" fillId="6" borderId="0" xfId="0" applyNumberFormat="1" applyFont="1" applyFill="1" applyAlignment="1">
      <alignment wrapText="1"/>
    </xf>
    <xf numFmtId="221" fontId="262" fillId="6" borderId="0" xfId="0" applyNumberFormat="1" applyFont="1" applyFill="1" applyAlignment="1">
      <alignment wrapText="1"/>
    </xf>
    <xf numFmtId="212" fontId="262" fillId="6" borderId="0" xfId="0" applyNumberFormat="1" applyFont="1" applyFill="1" applyAlignment="1">
      <alignment wrapText="1"/>
    </xf>
    <xf numFmtId="166" fontId="265" fillId="6" borderId="0" xfId="3" applyNumberFormat="1" applyFont="1" applyFill="1" applyBorder="1" applyAlignment="1">
      <alignment horizontal="center" vertical="top" readingOrder="1"/>
    </xf>
    <xf numFmtId="171" fontId="265" fillId="6" borderId="0" xfId="3" applyNumberFormat="1" applyFont="1" applyFill="1" applyBorder="1" applyAlignment="1">
      <alignment horizontal="center" vertical="top" readingOrder="1"/>
    </xf>
    <xf numFmtId="0" fontId="265" fillId="6" borderId="0" xfId="0" applyFont="1" applyFill="1" applyAlignment="1">
      <alignment wrapText="1"/>
    </xf>
    <xf numFmtId="172" fontId="265" fillId="6" borderId="0" xfId="3" applyNumberFormat="1" applyFont="1" applyFill="1" applyAlignment="1">
      <alignment wrapText="1"/>
    </xf>
    <xf numFmtId="0" fontId="265" fillId="6" borderId="0" xfId="0" applyFont="1" applyFill="1" applyAlignment="1">
      <alignment horizontal="center" vertical="top" readingOrder="1"/>
    </xf>
    <xf numFmtId="0" fontId="264" fillId="6" borderId="76" xfId="0" applyFont="1" applyFill="1" applyBorder="1" applyAlignment="1">
      <alignment horizontal="center" vertical="center" wrapText="1" readingOrder="1"/>
    </xf>
    <xf numFmtId="166" fontId="264" fillId="6" borderId="76" xfId="3" applyNumberFormat="1" applyFont="1" applyFill="1" applyBorder="1" applyAlignment="1">
      <alignment horizontal="center" vertical="center" wrapText="1" readingOrder="1"/>
    </xf>
    <xf numFmtId="171" fontId="264" fillId="6" borderId="76" xfId="3" applyNumberFormat="1" applyFont="1" applyFill="1" applyBorder="1" applyAlignment="1">
      <alignment horizontal="center" vertical="center" wrapText="1" readingOrder="1"/>
    </xf>
    <xf numFmtId="166" fontId="265" fillId="6" borderId="76" xfId="3" applyNumberFormat="1" applyFont="1" applyFill="1" applyBorder="1" applyAlignment="1">
      <alignment horizontal="center" vertical="center" wrapText="1" readingOrder="1"/>
    </xf>
    <xf numFmtId="0" fontId="265" fillId="6" borderId="76" xfId="0" applyFont="1" applyFill="1" applyBorder="1" applyAlignment="1">
      <alignment horizontal="center" vertical="center" wrapText="1" readingOrder="1"/>
    </xf>
    <xf numFmtId="0" fontId="264" fillId="6" borderId="0" xfId="0" applyFont="1" applyFill="1" applyAlignment="1">
      <alignment wrapText="1"/>
    </xf>
    <xf numFmtId="172" fontId="264" fillId="6" borderId="0" xfId="3" applyNumberFormat="1" applyFont="1" applyFill="1" applyAlignment="1">
      <alignment wrapText="1"/>
    </xf>
    <xf numFmtId="166" fontId="264" fillId="6" borderId="0" xfId="3" applyNumberFormat="1" applyFont="1" applyFill="1" applyAlignment="1">
      <alignment wrapText="1"/>
    </xf>
    <xf numFmtId="166" fontId="264" fillId="6" borderId="0" xfId="0" applyNumberFormat="1" applyFont="1" applyFill="1" applyAlignment="1">
      <alignment wrapText="1"/>
    </xf>
    <xf numFmtId="0" fontId="266" fillId="6" borderId="0" xfId="0" applyFont="1" applyFill="1" applyAlignment="1">
      <alignment wrapText="1"/>
    </xf>
    <xf numFmtId="172" fontId="266" fillId="6" borderId="0" xfId="3" applyNumberFormat="1" applyFont="1" applyFill="1" applyAlignment="1">
      <alignment wrapText="1"/>
    </xf>
    <xf numFmtId="166" fontId="265" fillId="6" borderId="0" xfId="0" applyNumberFormat="1" applyFont="1" applyFill="1" applyAlignment="1">
      <alignment wrapText="1"/>
    </xf>
    <xf numFmtId="166" fontId="266" fillId="6" borderId="0" xfId="3" applyNumberFormat="1" applyFont="1" applyFill="1" applyAlignment="1">
      <alignment wrapText="1"/>
    </xf>
    <xf numFmtId="166" fontId="266" fillId="6" borderId="0" xfId="0" applyNumberFormat="1" applyFont="1" applyFill="1" applyAlignment="1">
      <alignment wrapText="1"/>
    </xf>
    <xf numFmtId="166" fontId="265" fillId="6" borderId="0" xfId="3" applyNumberFormat="1" applyFont="1" applyFill="1" applyAlignment="1">
      <alignment wrapText="1"/>
    </xf>
    <xf numFmtId="0" fontId="265" fillId="6" borderId="0" xfId="0" applyFont="1" applyFill="1" applyAlignment="1">
      <alignment horizontal="center" wrapText="1"/>
    </xf>
    <xf numFmtId="171" fontId="265" fillId="6" borderId="0" xfId="3" applyNumberFormat="1" applyFont="1" applyFill="1" applyAlignment="1">
      <alignment wrapText="1"/>
    </xf>
    <xf numFmtId="171" fontId="265" fillId="6" borderId="0" xfId="3" applyNumberFormat="1" applyFont="1" applyFill="1"/>
    <xf numFmtId="169" fontId="265" fillId="6" borderId="0" xfId="3" applyNumberFormat="1" applyFont="1" applyFill="1"/>
    <xf numFmtId="166" fontId="265" fillId="6" borderId="0" xfId="3" applyNumberFormat="1" applyFont="1" applyFill="1"/>
    <xf numFmtId="174" fontId="128" fillId="6" borderId="0" xfId="0" applyNumberFormat="1" applyFont="1" applyFill="1" applyAlignment="1">
      <alignment readingOrder="1"/>
    </xf>
    <xf numFmtId="174" fontId="139" fillId="6" borderId="0" xfId="0" applyNumberFormat="1" applyFont="1" applyFill="1" applyAlignment="1">
      <alignment readingOrder="1"/>
    </xf>
    <xf numFmtId="0" fontId="72" fillId="0" borderId="0" xfId="0" applyFont="1" applyAlignment="1">
      <alignment horizontal="center" vertical="center"/>
    </xf>
    <xf numFmtId="0" fontId="268" fillId="0" borderId="0" xfId="0" applyFont="1" applyAlignment="1">
      <alignment horizontal="center" vertical="center" wrapText="1"/>
    </xf>
    <xf numFmtId="166" fontId="6" fillId="0" borderId="0" xfId="3" applyNumberFormat="1" applyFont="1" applyAlignment="1">
      <alignment horizontal="center" wrapText="1"/>
    </xf>
    <xf numFmtId="9" fontId="73" fillId="0" borderId="94" xfId="55" applyFont="1" applyFill="1" applyBorder="1" applyAlignment="1">
      <alignment horizontal="center" vertical="center" wrapText="1"/>
    </xf>
    <xf numFmtId="166" fontId="71" fillId="0" borderId="0" xfId="3" applyNumberFormat="1" applyFont="1" applyFill="1" applyAlignment="1">
      <alignment horizontal="right" wrapText="1"/>
    </xf>
    <xf numFmtId="0" fontId="71" fillId="0" borderId="0" xfId="0" applyFont="1" applyAlignment="1">
      <alignment horizontal="center" wrapText="1"/>
    </xf>
    <xf numFmtId="166" fontId="71" fillId="0" borderId="0" xfId="3" applyNumberFormat="1" applyFont="1" applyFill="1" applyAlignment="1">
      <alignment horizontal="center" wrapText="1"/>
    </xf>
    <xf numFmtId="9" fontId="71" fillId="0" borderId="94" xfId="47" applyFont="1" applyFill="1" applyBorder="1" applyAlignment="1">
      <alignment horizontal="center" vertical="center" wrapText="1"/>
    </xf>
    <xf numFmtId="166" fontId="71" fillId="0" borderId="0" xfId="0" applyNumberFormat="1" applyFont="1" applyAlignment="1">
      <alignment wrapText="1"/>
    </xf>
    <xf numFmtId="166" fontId="71" fillId="0" borderId="0" xfId="3" applyNumberFormat="1" applyFont="1" applyFill="1" applyAlignment="1">
      <alignment horizontal="right" vertical="center"/>
    </xf>
    <xf numFmtId="0" fontId="71" fillId="0" borderId="0" xfId="0" applyFont="1" applyAlignment="1">
      <alignment horizontal="center" vertical="center"/>
    </xf>
    <xf numFmtId="43" fontId="6" fillId="0" borderId="0" xfId="3" applyFont="1" applyFill="1" applyAlignment="1">
      <alignment horizontal="center" vertical="center"/>
    </xf>
    <xf numFmtId="166" fontId="76" fillId="0" borderId="0" xfId="0" applyNumberFormat="1" applyFont="1" applyAlignment="1">
      <alignment vertical="center"/>
    </xf>
    <xf numFmtId="166" fontId="72" fillId="0" borderId="0" xfId="3" applyNumberFormat="1" applyFont="1" applyFill="1" applyAlignment="1">
      <alignment vertical="center"/>
    </xf>
    <xf numFmtId="166" fontId="72" fillId="0" borderId="0" xfId="0" applyNumberFormat="1" applyFont="1" applyAlignment="1">
      <alignment vertical="center"/>
    </xf>
    <xf numFmtId="171" fontId="13" fillId="0" borderId="0" xfId="3" applyNumberFormat="1" applyFont="1" applyFill="1" applyAlignment="1">
      <alignment wrapText="1"/>
    </xf>
    <xf numFmtId="169" fontId="13" fillId="0" borderId="0" xfId="3" applyNumberFormat="1" applyFont="1" applyFill="1" applyAlignment="1">
      <alignment wrapText="1"/>
    </xf>
    <xf numFmtId="172" fontId="13" fillId="0" borderId="0" xfId="3" applyNumberFormat="1" applyFont="1" applyFill="1"/>
    <xf numFmtId="170" fontId="13" fillId="0" borderId="0" xfId="3" applyNumberFormat="1" applyFont="1" applyFill="1"/>
    <xf numFmtId="43" fontId="13" fillId="0" borderId="0" xfId="3" applyFont="1" applyFill="1" applyAlignment="1">
      <alignment vertical="center"/>
    </xf>
    <xf numFmtId="43" fontId="13" fillId="0" borderId="0" xfId="3" applyFont="1" applyFill="1" applyAlignment="1">
      <alignment horizontal="center" vertical="center"/>
    </xf>
    <xf numFmtId="0" fontId="13" fillId="0" borderId="0" xfId="0" applyFont="1" applyAlignment="1">
      <alignment horizontal="center" vertical="center"/>
    </xf>
    <xf numFmtId="166" fontId="13" fillId="0" borderId="0" xfId="0" applyNumberFormat="1" applyFont="1" applyAlignment="1">
      <alignment vertical="center"/>
    </xf>
    <xf numFmtId="9" fontId="13" fillId="0" borderId="0" xfId="0" applyNumberFormat="1" applyFont="1" applyAlignment="1">
      <alignment horizontal="center" vertical="center"/>
    </xf>
    <xf numFmtId="166" fontId="13" fillId="0" borderId="0" xfId="3" applyNumberFormat="1" applyFont="1" applyFill="1" applyBorder="1" applyAlignment="1">
      <alignment vertical="center"/>
    </xf>
    <xf numFmtId="166" fontId="13" fillId="0" borderId="0" xfId="3" applyNumberFormat="1" applyFont="1" applyFill="1"/>
    <xf numFmtId="166" fontId="13" fillId="0" borderId="0" xfId="3" applyNumberFormat="1" applyFont="1" applyFill="1" applyAlignment="1">
      <alignment wrapText="1"/>
    </xf>
    <xf numFmtId="169" fontId="13" fillId="0" borderId="0" xfId="3" applyNumberFormat="1" applyFont="1" applyFill="1"/>
    <xf numFmtId="166" fontId="9" fillId="0" borderId="0" xfId="0" applyNumberFormat="1" applyFont="1" applyAlignment="1">
      <alignment vertical="center"/>
    </xf>
    <xf numFmtId="0" fontId="269" fillId="0" borderId="0" xfId="0" applyFont="1" applyAlignment="1">
      <alignment horizontal="center" vertical="center" wrapText="1"/>
    </xf>
    <xf numFmtId="166" fontId="6" fillId="0" borderId="0" xfId="3" applyNumberFormat="1" applyFont="1" applyFill="1" applyBorder="1" applyAlignment="1">
      <alignment vertical="center"/>
    </xf>
    <xf numFmtId="166" fontId="2" fillId="0" borderId="0" xfId="3" applyNumberFormat="1" applyFont="1" applyFill="1" applyAlignment="1">
      <alignment vertical="center"/>
    </xf>
    <xf numFmtId="166" fontId="42" fillId="0" borderId="0" xfId="0" applyNumberFormat="1" applyFont="1" applyAlignment="1">
      <alignment vertical="center"/>
    </xf>
    <xf numFmtId="0" fontId="42" fillId="0" borderId="0" xfId="0" applyFont="1" applyAlignment="1">
      <alignment horizontal="center" vertical="center"/>
    </xf>
    <xf numFmtId="166" fontId="41" fillId="0" borderId="0" xfId="3" applyNumberFormat="1" applyFont="1" applyFill="1" applyAlignment="1">
      <alignment vertical="center"/>
    </xf>
    <xf numFmtId="166" fontId="41" fillId="0" borderId="0" xfId="0" applyNumberFormat="1" applyFont="1" applyAlignment="1">
      <alignment vertical="center"/>
    </xf>
    <xf numFmtId="169" fontId="73" fillId="6" borderId="94" xfId="3" applyNumberFormat="1" applyFont="1" applyFill="1" applyBorder="1" applyAlignment="1">
      <alignment vertical="center" wrapText="1"/>
    </xf>
    <xf numFmtId="171" fontId="75" fillId="0" borderId="94" xfId="46" applyNumberFormat="1" applyFont="1" applyFill="1" applyBorder="1" applyAlignment="1">
      <alignment horizontal="center" vertical="center" wrapText="1"/>
    </xf>
    <xf numFmtId="43" fontId="75" fillId="0" borderId="94" xfId="46" applyFont="1" applyFill="1" applyBorder="1" applyAlignment="1">
      <alignment horizontal="center" vertical="center" wrapText="1"/>
    </xf>
    <xf numFmtId="0" fontId="71" fillId="0" borderId="94" xfId="44" applyFont="1" applyBorder="1" applyAlignment="1">
      <alignment horizontal="center" vertical="center" wrapText="1"/>
    </xf>
    <xf numFmtId="166" fontId="71" fillId="0" borderId="94" xfId="46" applyNumberFormat="1" applyFont="1" applyFill="1" applyBorder="1" applyAlignment="1">
      <alignment horizontal="center" vertical="center" wrapText="1"/>
    </xf>
    <xf numFmtId="9" fontId="71" fillId="0" borderId="94" xfId="44" applyNumberFormat="1" applyFont="1" applyBorder="1" applyAlignment="1">
      <alignment horizontal="center" vertical="center" wrapText="1"/>
    </xf>
    <xf numFmtId="0" fontId="73" fillId="0" borderId="94" xfId="44" applyFont="1" applyBorder="1" applyAlignment="1">
      <alignment horizontal="left" vertical="center" wrapText="1"/>
    </xf>
    <xf numFmtId="0" fontId="73" fillId="0" borderId="94" xfId="44" applyFont="1" applyBorder="1" applyAlignment="1">
      <alignment horizontal="justify" vertical="center" wrapText="1"/>
    </xf>
    <xf numFmtId="200" fontId="128" fillId="6" borderId="0" xfId="0" applyNumberFormat="1" applyFont="1" applyFill="1" applyAlignment="1">
      <alignment readingOrder="1"/>
    </xf>
    <xf numFmtId="169" fontId="128" fillId="6" borderId="0" xfId="3" applyNumberFormat="1" applyFont="1" applyFill="1" applyAlignment="1">
      <alignment readingOrder="1"/>
    </xf>
    <xf numFmtId="166" fontId="128" fillId="6" borderId="0" xfId="3" applyNumberFormat="1" applyFont="1" applyFill="1" applyAlignment="1">
      <alignment readingOrder="1"/>
    </xf>
    <xf numFmtId="188" fontId="125" fillId="6" borderId="0" xfId="0" applyNumberFormat="1" applyFont="1" applyFill="1" applyAlignment="1">
      <alignment readingOrder="1"/>
    </xf>
    <xf numFmtId="171" fontId="139" fillId="0" borderId="0" xfId="3" applyNumberFormat="1" applyFont="1" applyFill="1"/>
    <xf numFmtId="166" fontId="139" fillId="6" borderId="0" xfId="3" applyNumberFormat="1" applyFont="1" applyFill="1"/>
    <xf numFmtId="172" fontId="139" fillId="6" borderId="0" xfId="3" applyNumberFormat="1" applyFont="1" applyFill="1"/>
    <xf numFmtId="166" fontId="139" fillId="6" borderId="0" xfId="3" applyNumberFormat="1" applyFont="1" applyFill="1" applyAlignment="1"/>
    <xf numFmtId="166" fontId="235" fillId="6" borderId="0" xfId="3" applyNumberFormat="1" applyFont="1" applyFill="1" applyAlignment="1">
      <alignment horizontal="right"/>
    </xf>
    <xf numFmtId="0" fontId="114" fillId="6" borderId="76" xfId="0" applyFont="1" applyFill="1" applyBorder="1" applyAlignment="1">
      <alignment horizontal="center" vertical="center" wrapText="1" readingOrder="1"/>
    </xf>
    <xf numFmtId="166" fontId="114" fillId="0" borderId="76" xfId="3" applyNumberFormat="1" applyFont="1" applyFill="1" applyBorder="1" applyAlignment="1">
      <alignment horizontal="center" vertical="center" wrapText="1" readingOrder="1"/>
    </xf>
    <xf numFmtId="171" fontId="114" fillId="0" borderId="76" xfId="3" applyNumberFormat="1" applyFont="1" applyFill="1" applyBorder="1" applyAlignment="1">
      <alignment horizontal="center" vertical="center" wrapText="1" readingOrder="1"/>
    </xf>
    <xf numFmtId="166" fontId="114" fillId="6" borderId="76" xfId="3" applyNumberFormat="1" applyFont="1" applyFill="1" applyBorder="1" applyAlignment="1">
      <alignment horizontal="center" vertical="center" wrapText="1" readingOrder="1"/>
    </xf>
    <xf numFmtId="172" fontId="114" fillId="6" borderId="0" xfId="3" applyNumberFormat="1" applyFont="1" applyFill="1"/>
    <xf numFmtId="169" fontId="114" fillId="6" borderId="0" xfId="3" applyNumberFormat="1" applyFont="1" applyFill="1"/>
    <xf numFmtId="166" fontId="139" fillId="6" borderId="0" xfId="3" applyNumberFormat="1" applyFont="1" applyFill="1" applyAlignment="1">
      <alignment readingOrder="1"/>
    </xf>
    <xf numFmtId="172" fontId="139" fillId="6" borderId="0" xfId="3" applyNumberFormat="1" applyFont="1" applyFill="1" applyAlignment="1">
      <alignment readingOrder="1"/>
    </xf>
    <xf numFmtId="0" fontId="139" fillId="6" borderId="0" xfId="0" applyFont="1" applyFill="1" applyAlignment="1">
      <alignment readingOrder="1"/>
    </xf>
    <xf numFmtId="0" fontId="114" fillId="6" borderId="0" xfId="0" applyFont="1" applyFill="1" applyAlignment="1">
      <alignment readingOrder="1"/>
    </xf>
    <xf numFmtId="172" fontId="114" fillId="6" borderId="0" xfId="3" applyNumberFormat="1" applyFont="1" applyFill="1" applyAlignment="1">
      <alignment readingOrder="1"/>
    </xf>
    <xf numFmtId="173" fontId="114" fillId="6" borderId="0" xfId="3" applyNumberFormat="1" applyFont="1" applyFill="1" applyAlignment="1">
      <alignment readingOrder="1"/>
    </xf>
    <xf numFmtId="185" fontId="139" fillId="6" borderId="0" xfId="0" applyNumberFormat="1" applyFont="1" applyFill="1" applyAlignment="1">
      <alignment readingOrder="1"/>
    </xf>
    <xf numFmtId="173" fontId="139" fillId="6" borderId="0" xfId="3" applyNumberFormat="1" applyFont="1" applyFill="1" applyAlignment="1">
      <alignment readingOrder="1"/>
    </xf>
    <xf numFmtId="194" fontId="139" fillId="6" borderId="0" xfId="0" applyNumberFormat="1" applyFont="1" applyFill="1" applyAlignment="1">
      <alignment readingOrder="1"/>
    </xf>
    <xf numFmtId="175" fontId="114" fillId="6" borderId="0" xfId="0" applyNumberFormat="1" applyFont="1" applyFill="1" applyAlignment="1">
      <alignment readingOrder="1"/>
    </xf>
    <xf numFmtId="178" fontId="139" fillId="6" borderId="0" xfId="3" applyNumberFormat="1" applyFont="1" applyFill="1" applyAlignment="1">
      <alignment readingOrder="1"/>
    </xf>
    <xf numFmtId="169" fontId="139" fillId="6" borderId="0" xfId="0" applyNumberFormat="1" applyFont="1" applyFill="1" applyAlignment="1">
      <alignment readingOrder="1"/>
    </xf>
    <xf numFmtId="0" fontId="114" fillId="0" borderId="0" xfId="0" applyFont="1" applyAlignment="1">
      <alignment readingOrder="1"/>
    </xf>
    <xf numFmtId="172" fontId="114" fillId="0" borderId="0" xfId="3" applyNumberFormat="1" applyFont="1" applyFill="1" applyAlignment="1">
      <alignment readingOrder="1"/>
    </xf>
    <xf numFmtId="0" fontId="139" fillId="0" borderId="0" xfId="0" applyFont="1" applyAlignment="1">
      <alignment readingOrder="1"/>
    </xf>
    <xf numFmtId="172" fontId="139" fillId="0" borderId="0" xfId="3" applyNumberFormat="1" applyFont="1" applyFill="1" applyAlignment="1">
      <alignment readingOrder="1"/>
    </xf>
    <xf numFmtId="0" fontId="6" fillId="0" borderId="94" xfId="0" applyFont="1" applyBorder="1" applyAlignment="1">
      <alignment horizontal="center" wrapText="1"/>
    </xf>
    <xf numFmtId="166" fontId="6" fillId="0" borderId="94" xfId="18" applyNumberFormat="1" applyFont="1" applyFill="1" applyBorder="1" applyAlignment="1"/>
    <xf numFmtId="9" fontId="6" fillId="0" borderId="94" xfId="0" applyNumberFormat="1" applyFont="1" applyBorder="1"/>
    <xf numFmtId="0" fontId="6" fillId="0" borderId="94" xfId="15" quotePrefix="1" applyFont="1" applyBorder="1" applyAlignment="1">
      <alignment horizontal="left"/>
    </xf>
    <xf numFmtId="168" fontId="177" fillId="0" borderId="0" xfId="3" applyNumberFormat="1" applyFont="1" applyFill="1" applyAlignment="1">
      <alignment vertical="center"/>
    </xf>
    <xf numFmtId="171" fontId="139" fillId="0" borderId="0" xfId="3" applyNumberFormat="1" applyFont="1" applyFill="1" applyAlignment="1">
      <alignment vertical="center"/>
    </xf>
    <xf numFmtId="0" fontId="2" fillId="0" borderId="0" xfId="0" applyFont="1" applyAlignment="1">
      <alignment horizontal="justify"/>
    </xf>
    <xf numFmtId="43" fontId="3" fillId="6" borderId="0" xfId="3" applyFont="1" applyFill="1" applyAlignment="1"/>
    <xf numFmtId="43" fontId="8" fillId="6" borderId="0" xfId="3" applyFont="1" applyFill="1" applyAlignment="1"/>
    <xf numFmtId="212" fontId="125" fillId="6" borderId="0" xfId="0" applyNumberFormat="1" applyFont="1" applyFill="1"/>
    <xf numFmtId="0" fontId="201" fillId="6" borderId="0" xfId="0" applyFont="1" applyFill="1"/>
    <xf numFmtId="169" fontId="42" fillId="0" borderId="94" xfId="46" applyNumberFormat="1" applyFont="1" applyFill="1" applyBorder="1" applyAlignment="1">
      <alignment horizontal="right" vertical="center" wrapText="1"/>
    </xf>
    <xf numFmtId="169" fontId="43" fillId="0" borderId="94" xfId="46" applyNumberFormat="1" applyFont="1" applyFill="1" applyBorder="1" applyAlignment="1">
      <alignment horizontal="right" vertical="center" wrapText="1"/>
    </xf>
    <xf numFmtId="171" fontId="139" fillId="0" borderId="0" xfId="3" applyNumberFormat="1" applyFont="1" applyFill="1" applyBorder="1" applyAlignment="1">
      <alignment horizontal="center" vertical="center" wrapText="1"/>
    </xf>
    <xf numFmtId="0" fontId="6" fillId="6" borderId="0" xfId="39" applyFont="1" applyFill="1" applyAlignment="1">
      <alignment horizontal="center" vertical="center" wrapText="1"/>
    </xf>
    <xf numFmtId="166" fontId="6" fillId="6" borderId="0" xfId="40" applyNumberFormat="1" applyFont="1" applyFill="1" applyAlignment="1">
      <alignment vertical="center" wrapText="1"/>
    </xf>
    <xf numFmtId="166" fontId="6" fillId="6" borderId="0" xfId="39" applyNumberFormat="1" applyFont="1" applyFill="1" applyAlignment="1">
      <alignment vertical="center" wrapText="1"/>
    </xf>
    <xf numFmtId="166" fontId="6" fillId="6" borderId="0" xfId="40" applyNumberFormat="1" applyFont="1" applyFill="1" applyAlignment="1">
      <alignment horizontal="right" vertical="center" wrapText="1"/>
    </xf>
    <xf numFmtId="0" fontId="6" fillId="6" borderId="0" xfId="39" applyFont="1" applyFill="1" applyAlignment="1">
      <alignment vertical="center" wrapText="1"/>
    </xf>
    <xf numFmtId="169" fontId="73" fillId="6" borderId="0" xfId="39" applyNumberFormat="1" applyFont="1" applyFill="1" applyAlignment="1">
      <alignment vertical="center"/>
    </xf>
    <xf numFmtId="166" fontId="73" fillId="6" borderId="0" xfId="3" applyNumberFormat="1" applyFont="1" applyFill="1" applyAlignment="1">
      <alignment vertical="center"/>
    </xf>
    <xf numFmtId="0" fontId="73" fillId="6" borderId="0" xfId="39" applyFont="1" applyFill="1"/>
    <xf numFmtId="166" fontId="73" fillId="6" borderId="0" xfId="0" applyNumberFormat="1" applyFont="1" applyFill="1"/>
    <xf numFmtId="213" fontId="73" fillId="6" borderId="0" xfId="0" applyNumberFormat="1" applyFont="1" applyFill="1"/>
    <xf numFmtId="166" fontId="71" fillId="6" borderId="94" xfId="40" applyNumberFormat="1" applyFont="1" applyFill="1" applyBorder="1" applyAlignment="1">
      <alignment horizontal="center" vertical="center" wrapText="1"/>
    </xf>
    <xf numFmtId="166" fontId="71" fillId="6" borderId="0" xfId="40" applyNumberFormat="1" applyFont="1" applyFill="1" applyAlignment="1">
      <alignment horizontal="center" vertical="center" wrapText="1"/>
    </xf>
    <xf numFmtId="166" fontId="71" fillId="6" borderId="0" xfId="39" applyNumberFormat="1" applyFont="1" applyFill="1"/>
    <xf numFmtId="213" fontId="71" fillId="6" borderId="0" xfId="0" applyNumberFormat="1" applyFont="1" applyFill="1"/>
    <xf numFmtId="0" fontId="73" fillId="6" borderId="91" xfId="39" applyFont="1" applyFill="1" applyBorder="1" applyAlignment="1">
      <alignment horizontal="center" vertical="center" wrapText="1"/>
    </xf>
    <xf numFmtId="172" fontId="234" fillId="6" borderId="0" xfId="39" applyNumberFormat="1" applyFont="1" applyFill="1" applyAlignment="1">
      <alignment vertical="center" wrapText="1"/>
    </xf>
    <xf numFmtId="0" fontId="73" fillId="6" borderId="94" xfId="39" quotePrefix="1" applyFont="1" applyFill="1" applyBorder="1" applyAlignment="1">
      <alignment horizontal="left" vertical="center" wrapText="1"/>
    </xf>
    <xf numFmtId="1" fontId="71" fillId="6" borderId="94" xfId="39" applyNumberFormat="1" applyFont="1" applyFill="1" applyBorder="1" applyAlignment="1">
      <alignment horizontal="center" vertical="center" wrapText="1"/>
    </xf>
    <xf numFmtId="0" fontId="234" fillId="6" borderId="0" xfId="39" applyFont="1" applyFill="1" applyAlignment="1">
      <alignment vertical="center" wrapText="1"/>
    </xf>
    <xf numFmtId="0" fontId="73" fillId="6" borderId="94" xfId="39" applyFont="1" applyFill="1" applyBorder="1" applyAlignment="1">
      <alignment horizontal="left" vertical="center" wrapText="1"/>
    </xf>
    <xf numFmtId="0" fontId="73" fillId="6" borderId="94" xfId="0" applyFont="1" applyFill="1" applyBorder="1" applyAlignment="1">
      <alignment horizontal="left" vertical="center" wrapText="1"/>
    </xf>
    <xf numFmtId="1" fontId="73" fillId="6" borderId="94" xfId="0" applyNumberFormat="1" applyFont="1" applyFill="1" applyBorder="1" applyAlignment="1">
      <alignment horizontal="center" vertical="center" wrapText="1"/>
    </xf>
    <xf numFmtId="166" fontId="73" fillId="6" borderId="0" xfId="0" applyNumberFormat="1" applyFont="1" applyFill="1" applyAlignment="1">
      <alignment vertical="center" wrapText="1"/>
    </xf>
    <xf numFmtId="0" fontId="73" fillId="6" borderId="0" xfId="0" applyFont="1" applyFill="1" applyAlignment="1">
      <alignment vertical="center" wrapText="1"/>
    </xf>
    <xf numFmtId="0" fontId="234" fillId="6" borderId="0" xfId="0" applyFont="1" applyFill="1" applyAlignment="1">
      <alignment vertical="center" wrapText="1"/>
    </xf>
    <xf numFmtId="0" fontId="71" fillId="6" borderId="94" xfId="39" applyFont="1" applyFill="1" applyBorder="1" applyAlignment="1">
      <alignment horizontal="center" vertical="center" wrapText="1"/>
    </xf>
    <xf numFmtId="169" fontId="71" fillId="6" borderId="94" xfId="3" applyNumberFormat="1" applyFont="1" applyFill="1" applyBorder="1" applyAlignment="1">
      <alignment vertical="center" wrapText="1"/>
    </xf>
    <xf numFmtId="166" fontId="71" fillId="6" borderId="0" xfId="39" applyNumberFormat="1" applyFont="1" applyFill="1" applyAlignment="1">
      <alignment vertical="center"/>
    </xf>
    <xf numFmtId="0" fontId="71" fillId="6" borderId="94" xfId="54" applyFont="1" applyFill="1" applyBorder="1" applyAlignment="1">
      <alignment horizontal="left" vertical="center" wrapText="1"/>
    </xf>
    <xf numFmtId="166" fontId="73" fillId="6" borderId="0" xfId="39" applyNumberFormat="1" applyFont="1" applyFill="1" applyAlignment="1">
      <alignment vertical="center"/>
    </xf>
    <xf numFmtId="166" fontId="71" fillId="6" borderId="94" xfId="39" applyNumberFormat="1" applyFont="1" applyFill="1" applyBorder="1" applyAlignment="1">
      <alignment horizontal="center" vertical="center" wrapText="1"/>
    </xf>
    <xf numFmtId="169" fontId="71" fillId="6" borderId="94" xfId="3" applyNumberFormat="1" applyFont="1" applyFill="1" applyBorder="1" applyAlignment="1">
      <alignment vertical="center"/>
    </xf>
    <xf numFmtId="0" fontId="177" fillId="6" borderId="0" xfId="39" applyFont="1" applyFill="1" applyAlignment="1">
      <alignment horizontal="center" vertical="center" wrapText="1"/>
    </xf>
    <xf numFmtId="166" fontId="91" fillId="6" borderId="0" xfId="40" applyNumberFormat="1" applyFont="1" applyFill="1" applyBorder="1" applyAlignment="1">
      <alignment vertical="center" wrapText="1"/>
    </xf>
    <xf numFmtId="166" fontId="177" fillId="6" borderId="0" xfId="40" applyNumberFormat="1" applyFont="1" applyFill="1" applyAlignment="1">
      <alignment vertical="center" wrapText="1"/>
    </xf>
    <xf numFmtId="171" fontId="6" fillId="6" borderId="0" xfId="40" applyNumberFormat="1" applyFont="1" applyFill="1" applyAlignment="1">
      <alignment vertical="center" wrapText="1"/>
    </xf>
    <xf numFmtId="171" fontId="73" fillId="6" borderId="94" xfId="39" applyNumberFormat="1" applyFont="1" applyFill="1" applyBorder="1" applyAlignment="1">
      <alignment horizontal="center" vertical="center" wrapText="1"/>
    </xf>
    <xf numFmtId="171" fontId="71" fillId="6" borderId="94" xfId="40" applyNumberFormat="1" applyFont="1" applyFill="1" applyBorder="1" applyAlignment="1">
      <alignment horizontal="center" vertical="center" wrapText="1"/>
    </xf>
    <xf numFmtId="171" fontId="71" fillId="6" borderId="94" xfId="3" applyNumberFormat="1" applyFont="1" applyFill="1" applyBorder="1" applyAlignment="1">
      <alignment vertical="center" wrapText="1"/>
    </xf>
    <xf numFmtId="166" fontId="71" fillId="6" borderId="94" xfId="3" applyNumberFormat="1" applyFont="1" applyFill="1" applyBorder="1" applyAlignment="1">
      <alignment vertical="center" wrapText="1"/>
    </xf>
    <xf numFmtId="209" fontId="173" fillId="6" borderId="0" xfId="0" applyNumberFormat="1" applyFont="1" applyFill="1"/>
    <xf numFmtId="166" fontId="115" fillId="6" borderId="0" xfId="3" applyNumberFormat="1" applyFont="1" applyFill="1"/>
    <xf numFmtId="212" fontId="128" fillId="6" borderId="0" xfId="0" applyNumberFormat="1" applyFont="1" applyFill="1"/>
    <xf numFmtId="173" fontId="128" fillId="6" borderId="0" xfId="0" applyNumberFormat="1" applyFont="1" applyFill="1"/>
    <xf numFmtId="172" fontId="125" fillId="6" borderId="0" xfId="3" applyNumberFormat="1" applyFont="1" applyFill="1"/>
    <xf numFmtId="169" fontId="125" fillId="6" borderId="0" xfId="3" applyNumberFormat="1" applyFont="1" applyFill="1"/>
    <xf numFmtId="168" fontId="125" fillId="6" borderId="0" xfId="0" applyNumberFormat="1" applyFont="1" applyFill="1"/>
    <xf numFmtId="171" fontId="139" fillId="6" borderId="0" xfId="3" applyNumberFormat="1" applyFont="1" applyFill="1"/>
    <xf numFmtId="170" fontId="139" fillId="6" borderId="0" xfId="3" applyNumberFormat="1" applyFont="1" applyFill="1"/>
    <xf numFmtId="166" fontId="129" fillId="6" borderId="0" xfId="3" applyNumberFormat="1" applyFont="1" applyFill="1"/>
    <xf numFmtId="168" fontId="139" fillId="6" borderId="0" xfId="3" applyNumberFormat="1" applyFont="1" applyFill="1"/>
    <xf numFmtId="173" fontId="139" fillId="6" borderId="0" xfId="3" applyNumberFormat="1" applyFont="1" applyFill="1"/>
    <xf numFmtId="167" fontId="139" fillId="6" borderId="0" xfId="3" applyNumberFormat="1" applyFont="1" applyFill="1"/>
    <xf numFmtId="169" fontId="139" fillId="6" borderId="0" xfId="3" applyNumberFormat="1" applyFont="1" applyFill="1"/>
    <xf numFmtId="166" fontId="235" fillId="6" borderId="0" xfId="3" applyNumberFormat="1" applyFont="1" applyFill="1"/>
    <xf numFmtId="166" fontId="235" fillId="6" borderId="0" xfId="3" applyNumberFormat="1" applyFont="1" applyFill="1" applyAlignment="1">
      <alignment horizontal="right" vertical="center"/>
    </xf>
    <xf numFmtId="173" fontId="139" fillId="6" borderId="0" xfId="0" applyNumberFormat="1" applyFont="1" applyFill="1"/>
    <xf numFmtId="166" fontId="139" fillId="6" borderId="0" xfId="0" applyNumberFormat="1" applyFont="1" applyFill="1"/>
    <xf numFmtId="166" fontId="114" fillId="6" borderId="24" xfId="3" applyNumberFormat="1" applyFont="1" applyFill="1" applyBorder="1" applyAlignment="1">
      <alignment horizontal="center" vertical="center" wrapText="1"/>
    </xf>
    <xf numFmtId="166" fontId="114" fillId="6" borderId="24" xfId="3" applyNumberFormat="1" applyFont="1" applyFill="1" applyBorder="1" applyAlignment="1">
      <alignment vertical="center" wrapText="1"/>
    </xf>
    <xf numFmtId="169" fontId="114" fillId="6" borderId="24" xfId="3" applyNumberFormat="1" applyFont="1" applyFill="1" applyBorder="1" applyAlignment="1">
      <alignment horizontal="center" vertical="center" wrapText="1"/>
    </xf>
    <xf numFmtId="166" fontId="205" fillId="6" borderId="4" xfId="3" applyNumberFormat="1" applyFont="1" applyFill="1" applyBorder="1" applyAlignment="1">
      <alignment horizontal="center" vertical="center" wrapText="1"/>
    </xf>
    <xf numFmtId="166" fontId="114" fillId="6" borderId="4" xfId="3" applyNumberFormat="1" applyFont="1" applyFill="1" applyBorder="1" applyAlignment="1">
      <alignment horizontal="center" vertical="center" wrapText="1"/>
    </xf>
    <xf numFmtId="166" fontId="114" fillId="6" borderId="0" xfId="3" applyNumberFormat="1" applyFont="1" applyFill="1"/>
    <xf numFmtId="0" fontId="139" fillId="6" borderId="11" xfId="0" applyFont="1" applyFill="1" applyBorder="1" applyAlignment="1">
      <alignment horizontal="center" vertical="center" wrapText="1"/>
    </xf>
    <xf numFmtId="0" fontId="139" fillId="6" borderId="11" xfId="0" applyFont="1" applyFill="1" applyBorder="1" applyAlignment="1">
      <alignment horizontal="left" vertical="center" wrapText="1"/>
    </xf>
    <xf numFmtId="169" fontId="139" fillId="6" borderId="11" xfId="3" applyNumberFormat="1" applyFont="1" applyFill="1" applyBorder="1" applyAlignment="1">
      <alignment horizontal="center" vertical="center" wrapText="1"/>
    </xf>
    <xf numFmtId="2" fontId="139" fillId="6" borderId="11" xfId="0" applyNumberFormat="1" applyFont="1" applyFill="1" applyBorder="1" applyAlignment="1">
      <alignment horizontal="left" vertical="center" wrapText="1"/>
    </xf>
    <xf numFmtId="0" fontId="139" fillId="6" borderId="11" xfId="0" applyFont="1" applyFill="1" applyBorder="1" applyAlignment="1">
      <alignment vertical="center" wrapText="1"/>
    </xf>
    <xf numFmtId="0" fontId="114" fillId="6" borderId="11" xfId="0" applyFont="1" applyFill="1" applyBorder="1" applyAlignment="1">
      <alignment horizontal="center" vertical="center" wrapText="1"/>
    </xf>
    <xf numFmtId="0" fontId="114" fillId="6" borderId="11" xfId="0" applyFont="1" applyFill="1" applyBorder="1" applyAlignment="1">
      <alignment vertical="center" wrapText="1"/>
    </xf>
    <xf numFmtId="169" fontId="114" fillId="6" borderId="11" xfId="3" applyNumberFormat="1" applyFont="1" applyFill="1" applyBorder="1" applyAlignment="1">
      <alignment horizontal="center" vertical="center" wrapText="1"/>
    </xf>
    <xf numFmtId="0" fontId="139" fillId="6" borderId="11" xfId="13" applyFont="1" applyFill="1" applyBorder="1" applyAlignment="1">
      <alignment horizontal="left" vertical="center" wrapText="1"/>
    </xf>
    <xf numFmtId="0" fontId="114" fillId="6" borderId="13" xfId="0" applyFont="1" applyFill="1" applyBorder="1" applyAlignment="1">
      <alignment horizontal="center" vertical="center" wrapText="1"/>
    </xf>
    <xf numFmtId="0" fontId="114" fillId="6" borderId="13" xfId="0" applyFont="1" applyFill="1" applyBorder="1" applyAlignment="1">
      <alignment vertical="center" wrapText="1"/>
    </xf>
    <xf numFmtId="169" fontId="139" fillId="6" borderId="13" xfId="3" applyNumberFormat="1" applyFont="1" applyFill="1" applyBorder="1" applyAlignment="1">
      <alignment horizontal="center" vertical="center" wrapText="1"/>
    </xf>
    <xf numFmtId="0" fontId="240" fillId="6" borderId="0" xfId="0" applyFont="1" applyFill="1" applyAlignment="1">
      <alignment horizontal="left"/>
    </xf>
    <xf numFmtId="0" fontId="235" fillId="6" borderId="0" xfId="0" applyFont="1" applyFill="1" applyAlignment="1">
      <alignment horizontal="left" vertical="center"/>
    </xf>
    <xf numFmtId="0" fontId="139" fillId="6" borderId="0" xfId="0" applyFont="1" applyFill="1" applyAlignment="1">
      <alignment horizontal="left" vertical="center"/>
    </xf>
    <xf numFmtId="0" fontId="139" fillId="6" borderId="0" xfId="0" applyFont="1" applyFill="1" applyAlignment="1">
      <alignment horizontal="left"/>
    </xf>
    <xf numFmtId="171" fontId="139" fillId="6" borderId="0" xfId="3" applyNumberFormat="1" applyFont="1" applyFill="1" applyAlignment="1">
      <alignment wrapText="1"/>
    </xf>
    <xf numFmtId="169" fontId="139" fillId="6" borderId="0" xfId="3" applyNumberFormat="1" applyFont="1" applyFill="1" applyAlignment="1">
      <alignment wrapText="1"/>
    </xf>
    <xf numFmtId="166" fontId="114" fillId="6" borderId="0" xfId="3" applyNumberFormat="1" applyFont="1" applyFill="1" applyAlignment="1">
      <alignment horizontal="center" vertical="center" wrapText="1"/>
    </xf>
    <xf numFmtId="166" fontId="235" fillId="6" borderId="0" xfId="3" applyNumberFormat="1" applyFont="1" applyFill="1" applyAlignment="1">
      <alignment horizontal="center" vertical="center" wrapText="1"/>
    </xf>
    <xf numFmtId="0" fontId="205" fillId="6" borderId="0" xfId="0" applyFont="1" applyFill="1" applyAlignment="1">
      <alignment horizontal="center" vertical="center" wrapText="1"/>
    </xf>
    <xf numFmtId="166" fontId="129" fillId="6" borderId="0" xfId="3" applyNumberFormat="1" applyFont="1" applyFill="1" applyAlignment="1">
      <alignment wrapText="1"/>
    </xf>
    <xf numFmtId="0" fontId="139" fillId="6" borderId="0" xfId="0" applyFont="1" applyFill="1" applyAlignment="1">
      <alignment wrapText="1"/>
    </xf>
    <xf numFmtId="172" fontId="139" fillId="6" borderId="0" xfId="3" applyNumberFormat="1" applyFont="1" applyFill="1" applyAlignment="1">
      <alignment wrapText="1"/>
    </xf>
    <xf numFmtId="166" fontId="139" fillId="6" borderId="0" xfId="3" applyNumberFormat="1" applyFont="1" applyFill="1" applyAlignment="1">
      <alignment wrapText="1"/>
    </xf>
    <xf numFmtId="170" fontId="139" fillId="6" borderId="0" xfId="3" applyNumberFormat="1" applyFont="1" applyFill="1" applyAlignment="1">
      <alignment wrapText="1"/>
    </xf>
    <xf numFmtId="43" fontId="139" fillId="6" borderId="0" xfId="3" applyFont="1" applyFill="1"/>
    <xf numFmtId="168" fontId="126" fillId="6" borderId="0" xfId="3" applyNumberFormat="1" applyFont="1" applyFill="1" applyAlignment="1"/>
    <xf numFmtId="180" fontId="3" fillId="6" borderId="0" xfId="0" applyNumberFormat="1" applyFont="1" applyFill="1"/>
    <xf numFmtId="180" fontId="132" fillId="6" borderId="0" xfId="0" applyNumberFormat="1" applyFont="1" applyFill="1"/>
    <xf numFmtId="168" fontId="126" fillId="6" borderId="0" xfId="3" applyNumberFormat="1" applyFont="1" applyFill="1"/>
    <xf numFmtId="171" fontId="42" fillId="6" borderId="0" xfId="3" applyNumberFormat="1" applyFont="1" applyFill="1" applyAlignment="1">
      <alignment vertical="center"/>
    </xf>
    <xf numFmtId="166" fontId="43" fillId="6" borderId="0" xfId="3" applyNumberFormat="1" applyFont="1" applyFill="1" applyAlignment="1">
      <alignment vertical="center"/>
    </xf>
    <xf numFmtId="167" fontId="78" fillId="6" borderId="0" xfId="45" applyNumberFormat="1" applyFill="1"/>
    <xf numFmtId="169" fontId="42" fillId="6" borderId="0" xfId="3" applyNumberFormat="1" applyFont="1" applyFill="1" applyBorder="1" applyAlignment="1">
      <alignment vertical="center"/>
    </xf>
    <xf numFmtId="169" fontId="43" fillId="6" borderId="0" xfId="3" applyNumberFormat="1" applyFont="1" applyFill="1" applyAlignment="1">
      <alignment vertical="center"/>
    </xf>
    <xf numFmtId="166" fontId="43" fillId="6" borderId="0" xfId="3" applyNumberFormat="1" applyFont="1" applyFill="1" applyAlignment="1">
      <alignment horizontal="right" vertical="center"/>
    </xf>
    <xf numFmtId="0" fontId="73" fillId="6" borderId="40" xfId="0" applyFont="1" applyFill="1" applyBorder="1" applyAlignment="1">
      <alignment wrapText="1" readingOrder="1"/>
    </xf>
    <xf numFmtId="166" fontId="73" fillId="6" borderId="40" xfId="3" applyNumberFormat="1" applyFont="1" applyFill="1" applyBorder="1" applyAlignment="1">
      <alignment horizontal="right" wrapText="1" readingOrder="1"/>
    </xf>
    <xf numFmtId="166" fontId="73" fillId="6" borderId="88" xfId="3" applyNumberFormat="1" applyFont="1" applyFill="1" applyBorder="1" applyAlignment="1">
      <alignment horizontal="right" wrapText="1" readingOrder="1"/>
    </xf>
    <xf numFmtId="0" fontId="73" fillId="6" borderId="93" xfId="0" applyFont="1" applyFill="1" applyBorder="1" applyAlignment="1">
      <alignment horizontal="center" vertical="center" wrapText="1" readingOrder="1"/>
    </xf>
    <xf numFmtId="0" fontId="73" fillId="6" borderId="93" xfId="0" applyFont="1" applyFill="1" applyBorder="1" applyAlignment="1">
      <alignment horizontal="left" vertical="center" wrapText="1" readingOrder="1"/>
    </xf>
    <xf numFmtId="166" fontId="73" fillId="6" borderId="93" xfId="3" applyNumberFormat="1" applyFont="1" applyFill="1" applyBorder="1" applyAlignment="1">
      <alignment horizontal="right" vertical="center" wrapText="1" readingOrder="1"/>
    </xf>
    <xf numFmtId="167" fontId="73" fillId="6" borderId="88" xfId="3" applyNumberFormat="1" applyFont="1" applyFill="1" applyBorder="1" applyAlignment="1">
      <alignment horizontal="right" vertical="center" wrapText="1" readingOrder="1"/>
    </xf>
    <xf numFmtId="169" fontId="73" fillId="6" borderId="0" xfId="3" applyNumberFormat="1" applyFont="1" applyFill="1" applyAlignment="1">
      <alignment wrapText="1"/>
    </xf>
    <xf numFmtId="186" fontId="71" fillId="6" borderId="93" xfId="0" applyNumberFormat="1" applyFont="1" applyFill="1" applyBorder="1" applyAlignment="1">
      <alignment horizontal="center" wrapText="1" readingOrder="1"/>
    </xf>
    <xf numFmtId="0" fontId="71" fillId="6" borderId="93" xfId="0" applyFont="1" applyFill="1" applyBorder="1" applyAlignment="1">
      <alignment horizontal="left" wrapText="1" readingOrder="1"/>
    </xf>
    <xf numFmtId="169" fontId="71" fillId="6" borderId="93" xfId="3" applyNumberFormat="1" applyFont="1" applyFill="1" applyBorder="1" applyAlignment="1">
      <alignment horizontal="right" wrapText="1" readingOrder="1"/>
    </xf>
    <xf numFmtId="166" fontId="71" fillId="6" borderId="93" xfId="3" applyNumberFormat="1" applyFont="1" applyFill="1" applyBorder="1" applyAlignment="1">
      <alignment horizontal="right" wrapText="1" readingOrder="1"/>
    </xf>
    <xf numFmtId="178" fontId="71" fillId="6" borderId="0" xfId="3" applyNumberFormat="1" applyFont="1" applyFill="1" applyAlignment="1">
      <alignment wrapText="1"/>
    </xf>
    <xf numFmtId="226" fontId="71" fillId="6" borderId="0" xfId="0" applyNumberFormat="1" applyFont="1" applyFill="1" applyAlignment="1">
      <alignment wrapText="1"/>
    </xf>
    <xf numFmtId="0" fontId="71" fillId="6" borderId="93" xfId="0" applyFont="1" applyFill="1" applyBorder="1" applyAlignment="1">
      <alignment wrapText="1"/>
    </xf>
    <xf numFmtId="186" fontId="73" fillId="6" borderId="93" xfId="0" applyNumberFormat="1" applyFont="1" applyFill="1" applyBorder="1" applyAlignment="1">
      <alignment horizontal="center" wrapText="1" readingOrder="1"/>
    </xf>
    <xf numFmtId="0" fontId="73" fillId="6" borderId="93" xfId="0" applyFont="1" applyFill="1" applyBorder="1" applyAlignment="1">
      <alignment wrapText="1"/>
    </xf>
    <xf numFmtId="169" fontId="73" fillId="6" borderId="93" xfId="3" applyNumberFormat="1" applyFont="1" applyFill="1" applyBorder="1" applyAlignment="1">
      <alignment horizontal="right" wrapText="1" readingOrder="1"/>
    </xf>
    <xf numFmtId="166" fontId="73" fillId="6" borderId="0" xfId="3" applyNumberFormat="1" applyFont="1" applyFill="1" applyAlignment="1">
      <alignment wrapText="1"/>
    </xf>
    <xf numFmtId="169" fontId="71" fillId="6" borderId="0" xfId="3" applyNumberFormat="1" applyFont="1" applyFill="1" applyAlignment="1">
      <alignment wrapText="1"/>
    </xf>
    <xf numFmtId="178" fontId="71" fillId="6" borderId="0" xfId="3" applyNumberFormat="1" applyFont="1" applyFill="1" applyAlignment="1"/>
    <xf numFmtId="186" fontId="41" fillId="6" borderId="40" xfId="0" applyNumberFormat="1" applyFont="1" applyFill="1" applyBorder="1" applyAlignment="1">
      <alignment horizontal="center" vertical="center" wrapText="1" readingOrder="1"/>
    </xf>
    <xf numFmtId="0" fontId="41" fillId="6" borderId="40" xfId="0" applyFont="1" applyFill="1" applyBorder="1" applyAlignment="1">
      <alignment vertical="center" wrapText="1"/>
    </xf>
    <xf numFmtId="171" fontId="41" fillId="6" borderId="40" xfId="3" applyNumberFormat="1" applyFont="1" applyFill="1" applyBorder="1" applyAlignment="1">
      <alignment horizontal="right" vertical="center" wrapText="1" readingOrder="1"/>
    </xf>
    <xf numFmtId="169" fontId="41" fillId="6" borderId="40" xfId="3" applyNumberFormat="1" applyFont="1" applyFill="1" applyBorder="1" applyAlignment="1">
      <alignment horizontal="right" wrapText="1" readingOrder="1"/>
    </xf>
    <xf numFmtId="169" fontId="41" fillId="6" borderId="40" xfId="3" applyNumberFormat="1" applyFont="1" applyFill="1" applyBorder="1" applyAlignment="1">
      <alignment horizontal="right" vertical="center" wrapText="1" readingOrder="1"/>
    </xf>
    <xf numFmtId="166" fontId="41" fillId="6" borderId="40" xfId="3" applyNumberFormat="1" applyFont="1" applyFill="1" applyBorder="1" applyAlignment="1">
      <alignment horizontal="right" wrapText="1" readingOrder="1"/>
    </xf>
    <xf numFmtId="166" fontId="41" fillId="6" borderId="0" xfId="3" applyNumberFormat="1" applyFont="1" applyFill="1" applyAlignment="1">
      <alignment wrapText="1"/>
    </xf>
    <xf numFmtId="186" fontId="42" fillId="6" borderId="96" xfId="0" applyNumberFormat="1" applyFont="1" applyFill="1" applyBorder="1" applyAlignment="1">
      <alignment horizontal="center" vertical="center" wrapText="1" readingOrder="1"/>
    </xf>
    <xf numFmtId="0" fontId="42" fillId="6" borderId="96" xfId="0" applyFont="1" applyFill="1" applyBorder="1" applyAlignment="1">
      <alignment vertical="center" wrapText="1"/>
    </xf>
    <xf numFmtId="171" fontId="42" fillId="6" borderId="96" xfId="0" applyNumberFormat="1" applyFont="1" applyFill="1" applyBorder="1" applyAlignment="1">
      <alignment horizontal="right" vertical="center" wrapText="1" readingOrder="1"/>
    </xf>
    <xf numFmtId="169" fontId="42" fillId="6" borderId="96" xfId="3" applyNumberFormat="1" applyFont="1" applyFill="1" applyBorder="1" applyAlignment="1">
      <alignment horizontal="right" wrapText="1" readingOrder="1"/>
    </xf>
    <xf numFmtId="169" fontId="42" fillId="6" borderId="96" xfId="3" applyNumberFormat="1" applyFont="1" applyFill="1" applyBorder="1" applyAlignment="1">
      <alignment horizontal="right" vertical="center" wrapText="1" readingOrder="1"/>
    </xf>
    <xf numFmtId="167" fontId="42" fillId="6" borderId="96" xfId="3" applyNumberFormat="1" applyFont="1" applyFill="1" applyBorder="1" applyAlignment="1">
      <alignment horizontal="right" vertical="center" wrapText="1" readingOrder="1"/>
    </xf>
    <xf numFmtId="166" fontId="42" fillId="6" borderId="96" xfId="3" applyNumberFormat="1" applyFont="1" applyFill="1" applyBorder="1" applyAlignment="1">
      <alignment horizontal="right" wrapText="1" readingOrder="1"/>
    </xf>
    <xf numFmtId="169" fontId="42" fillId="6" borderId="0" xfId="3" applyNumberFormat="1" applyFont="1" applyFill="1" applyAlignment="1">
      <alignment horizontal="center" vertical="center"/>
    </xf>
    <xf numFmtId="169" fontId="43" fillId="6" borderId="0" xfId="3" applyNumberFormat="1" applyFont="1" applyFill="1" applyBorder="1" applyAlignment="1">
      <alignment horizontal="center" vertical="center" wrapText="1"/>
    </xf>
    <xf numFmtId="167" fontId="43" fillId="6" borderId="0" xfId="3" applyNumberFormat="1" applyFont="1" applyFill="1" applyBorder="1" applyAlignment="1">
      <alignment horizontal="center" vertical="center" wrapText="1"/>
    </xf>
    <xf numFmtId="171" fontId="73" fillId="6" borderId="0" xfId="0" applyNumberFormat="1" applyFont="1" applyFill="1" applyAlignment="1">
      <alignment horizontal="center"/>
    </xf>
    <xf numFmtId="0" fontId="42" fillId="6" borderId="0" xfId="0" applyFont="1" applyFill="1" applyAlignment="1">
      <alignment horizontal="left"/>
    </xf>
    <xf numFmtId="171" fontId="41" fillId="6" borderId="0" xfId="0" applyNumberFormat="1" applyFont="1" applyFill="1" applyAlignment="1">
      <alignment horizontal="center"/>
    </xf>
    <xf numFmtId="167" fontId="73" fillId="6" borderId="0" xfId="3" applyNumberFormat="1" applyFont="1" applyFill="1" applyAlignment="1">
      <alignment vertical="center"/>
    </xf>
    <xf numFmtId="0" fontId="3" fillId="6" borderId="0" xfId="0" applyFont="1" applyFill="1" applyAlignment="1">
      <alignment horizontal="center" vertical="center" wrapText="1"/>
    </xf>
    <xf numFmtId="169" fontId="2" fillId="0" borderId="85" xfId="3" applyNumberFormat="1" applyFont="1" applyFill="1" applyBorder="1" applyAlignment="1">
      <alignment horizontal="center" vertical="center" wrapText="1"/>
    </xf>
    <xf numFmtId="169" fontId="2" fillId="6" borderId="85" xfId="3" applyNumberFormat="1" applyFont="1" applyFill="1" applyBorder="1" applyAlignment="1">
      <alignment horizontal="center" vertical="center" wrapText="1"/>
    </xf>
    <xf numFmtId="170" fontId="71" fillId="6" borderId="0" xfId="3" applyNumberFormat="1" applyFont="1" applyFill="1" applyAlignment="1">
      <alignment horizontal="right"/>
    </xf>
    <xf numFmtId="169" fontId="75" fillId="6" borderId="0" xfId="0" applyNumberFormat="1" applyFont="1" applyFill="1" applyAlignment="1">
      <alignment horizontal="center" vertical="center" wrapText="1"/>
    </xf>
    <xf numFmtId="169" fontId="73" fillId="6" borderId="0" xfId="0" applyNumberFormat="1" applyFont="1" applyFill="1" applyAlignment="1">
      <alignment horizontal="center" vertical="center" wrapText="1"/>
    </xf>
    <xf numFmtId="0" fontId="2" fillId="6" borderId="85" xfId="0" applyFont="1" applyFill="1" applyBorder="1" applyAlignment="1">
      <alignment horizontal="center" vertical="center" wrapText="1"/>
    </xf>
    <xf numFmtId="166" fontId="2" fillId="6" borderId="85" xfId="3" applyNumberFormat="1" applyFont="1" applyFill="1" applyBorder="1" applyAlignment="1">
      <alignment horizontal="center" vertical="center" wrapText="1"/>
    </xf>
    <xf numFmtId="0" fontId="270" fillId="0" borderId="94" xfId="0" applyFont="1" applyBorder="1" applyAlignment="1">
      <alignment vertical="center" wrapText="1"/>
    </xf>
    <xf numFmtId="166" fontId="6" fillId="0" borderId="94" xfId="3" applyNumberFormat="1" applyFont="1" applyFill="1" applyBorder="1" applyAlignment="1"/>
    <xf numFmtId="166" fontId="114" fillId="6" borderId="5" xfId="3" applyNumberFormat="1" applyFont="1" applyFill="1" applyBorder="1" applyAlignment="1">
      <alignment shrinkToFit="1"/>
    </xf>
    <xf numFmtId="169" fontId="139" fillId="6" borderId="11" xfId="3" applyNumberFormat="1" applyFont="1" applyFill="1" applyBorder="1" applyAlignment="1">
      <alignment horizontal="center" vertical="center" shrinkToFit="1"/>
    </xf>
    <xf numFmtId="169" fontId="114" fillId="6" borderId="11" xfId="3" applyNumberFormat="1" applyFont="1" applyFill="1" applyBorder="1" applyAlignment="1">
      <alignment horizontal="center" vertical="center" shrinkToFit="1"/>
    </xf>
    <xf numFmtId="169" fontId="139" fillId="6" borderId="13" xfId="3" applyNumberFormat="1" applyFont="1" applyFill="1" applyBorder="1" applyAlignment="1">
      <alignment horizontal="center" vertical="center" shrinkToFit="1"/>
    </xf>
    <xf numFmtId="0" fontId="271" fillId="0" borderId="100" xfId="0" applyNumberFormat="1" applyFont="1" applyFill="1" applyBorder="1" applyAlignment="1">
      <alignment vertical="center" wrapText="1" readingOrder="1"/>
    </xf>
    <xf numFmtId="171" fontId="129" fillId="6" borderId="0" xfId="46" applyNumberFormat="1" applyFont="1" applyFill="1"/>
    <xf numFmtId="166" fontId="41" fillId="0" borderId="94" xfId="46" applyNumberFormat="1" applyFont="1" applyFill="1" applyBorder="1" applyAlignment="1">
      <alignment horizontal="center" vertical="center" shrinkToFit="1"/>
    </xf>
    <xf numFmtId="166" fontId="41" fillId="0" borderId="94" xfId="46" applyNumberFormat="1" applyFont="1" applyFill="1" applyBorder="1" applyAlignment="1">
      <alignment horizontal="right" vertical="center" shrinkToFit="1"/>
    </xf>
    <xf numFmtId="228" fontId="271" fillId="0" borderId="100" xfId="0" applyNumberFormat="1" applyFont="1" applyFill="1" applyBorder="1" applyAlignment="1">
      <alignment horizontal="right" vertical="center" wrapText="1" readingOrder="1"/>
    </xf>
    <xf numFmtId="228" fontId="271" fillId="0" borderId="102" xfId="0" applyNumberFormat="1" applyFont="1" applyFill="1" applyBorder="1" applyAlignment="1">
      <alignment vertical="center" wrapText="1" readingOrder="1"/>
    </xf>
    <xf numFmtId="0" fontId="271" fillId="0" borderId="102" xfId="0" applyNumberFormat="1" applyFont="1" applyFill="1" applyBorder="1" applyAlignment="1">
      <alignment vertical="center" wrapText="1" readingOrder="1"/>
    </xf>
    <xf numFmtId="0" fontId="73" fillId="0" borderId="0" xfId="44" applyFont="1" applyBorder="1" applyAlignment="1">
      <alignment horizontal="justify" vertical="center" wrapText="1"/>
    </xf>
    <xf numFmtId="166" fontId="42" fillId="0" borderId="94" xfId="46" applyNumberFormat="1" applyFont="1" applyFill="1" applyBorder="1" applyAlignment="1">
      <alignment horizontal="right" vertical="center" wrapText="1"/>
    </xf>
    <xf numFmtId="228" fontId="274" fillId="0" borderId="100" xfId="0" applyNumberFormat="1" applyFont="1" applyFill="1" applyBorder="1" applyAlignment="1">
      <alignment horizontal="right" vertical="center" wrapText="1" readingOrder="1"/>
    </xf>
    <xf numFmtId="166" fontId="84" fillId="0" borderId="94" xfId="46" applyNumberFormat="1" applyFont="1" applyFill="1" applyBorder="1" applyAlignment="1">
      <alignment horizontal="center" vertical="center" shrinkToFit="1"/>
    </xf>
    <xf numFmtId="166" fontId="84" fillId="0" borderId="94" xfId="46" applyNumberFormat="1" applyFont="1" applyFill="1" applyBorder="1" applyAlignment="1">
      <alignment horizontal="right" vertical="center" shrinkToFit="1"/>
    </xf>
    <xf numFmtId="228" fontId="271" fillId="0" borderId="103" xfId="0" applyNumberFormat="1" applyFont="1" applyFill="1" applyBorder="1" applyAlignment="1">
      <alignment horizontal="right" vertical="center" wrapText="1" readingOrder="1"/>
    </xf>
    <xf numFmtId="170" fontId="139" fillId="6" borderId="11" xfId="3" applyNumberFormat="1" applyFont="1" applyFill="1" applyBorder="1" applyAlignment="1">
      <alignment horizontal="center" vertical="center" shrinkToFit="1"/>
    </xf>
    <xf numFmtId="170" fontId="139" fillId="6" borderId="24" xfId="3" applyNumberFormat="1" applyFont="1" applyFill="1" applyBorder="1" applyAlignment="1">
      <alignment horizontal="center" vertical="center" shrinkToFit="1"/>
    </xf>
    <xf numFmtId="43" fontId="139" fillId="6" borderId="13" xfId="3" applyNumberFormat="1" applyFont="1" applyFill="1" applyBorder="1" applyAlignment="1">
      <alignment horizontal="center" vertical="center" shrinkToFit="1"/>
    </xf>
    <xf numFmtId="170" fontId="114" fillId="6" borderId="11" xfId="3" applyNumberFormat="1" applyFont="1" applyFill="1" applyBorder="1" applyAlignment="1">
      <alignment horizontal="center" vertical="center" shrinkToFit="1"/>
    </xf>
    <xf numFmtId="170" fontId="139" fillId="6" borderId="13" xfId="3" applyNumberFormat="1" applyFont="1" applyFill="1" applyBorder="1" applyAlignment="1">
      <alignment horizontal="center" vertical="center" shrinkToFit="1"/>
    </xf>
    <xf numFmtId="170" fontId="114" fillId="6" borderId="24" xfId="3" applyNumberFormat="1" applyFont="1" applyFill="1" applyBorder="1" applyAlignment="1">
      <alignment horizontal="center" vertical="center" shrinkToFit="1"/>
    </xf>
    <xf numFmtId="166" fontId="139" fillId="6" borderId="11" xfId="3" applyNumberFormat="1" applyFont="1" applyFill="1" applyBorder="1" applyAlignment="1">
      <alignment horizontal="center" vertical="center" shrinkToFit="1"/>
    </xf>
    <xf numFmtId="166" fontId="139" fillId="6" borderId="11" xfId="0" applyNumberFormat="1" applyFont="1" applyFill="1" applyBorder="1" applyAlignment="1">
      <alignment vertical="center" shrinkToFit="1"/>
    </xf>
    <xf numFmtId="170" fontId="71" fillId="6" borderId="93" xfId="0" applyNumberFormat="1" applyFont="1" applyFill="1" applyBorder="1" applyAlignment="1">
      <alignment horizontal="right" wrapText="1" readingOrder="1"/>
    </xf>
    <xf numFmtId="170" fontId="71" fillId="6" borderId="93" xfId="3" applyNumberFormat="1" applyFont="1" applyFill="1" applyBorder="1" applyAlignment="1">
      <alignment horizontal="right" wrapText="1" readingOrder="1"/>
    </xf>
    <xf numFmtId="170" fontId="73" fillId="6" borderId="40" xfId="3" applyNumberFormat="1" applyFont="1" applyFill="1" applyBorder="1" applyAlignment="1">
      <alignment horizontal="right" wrapText="1" readingOrder="1"/>
    </xf>
    <xf numFmtId="170" fontId="73" fillId="6" borderId="93" xfId="3" applyNumberFormat="1" applyFont="1" applyFill="1" applyBorder="1" applyAlignment="1">
      <alignment horizontal="right" vertical="center" wrapText="1" readingOrder="1"/>
    </xf>
    <xf numFmtId="170" fontId="73" fillId="6" borderId="93" xfId="3" applyNumberFormat="1" applyFont="1" applyFill="1" applyBorder="1" applyAlignment="1">
      <alignment horizontal="right" wrapText="1" readingOrder="1"/>
    </xf>
    <xf numFmtId="166" fontId="73" fillId="6" borderId="93" xfId="3" applyNumberFormat="1" applyFont="1" applyFill="1" applyBorder="1" applyAlignment="1">
      <alignment horizontal="right" wrapText="1" readingOrder="1"/>
    </xf>
    <xf numFmtId="166" fontId="41" fillId="6" borderId="40" xfId="3" applyNumberFormat="1" applyFont="1" applyFill="1" applyBorder="1" applyAlignment="1">
      <alignment horizontal="right" vertical="center" wrapText="1" readingOrder="1"/>
    </xf>
    <xf numFmtId="170" fontId="42" fillId="6" borderId="96" xfId="3" applyNumberFormat="1" applyFont="1" applyFill="1" applyBorder="1" applyAlignment="1">
      <alignment horizontal="right" vertical="center" wrapText="1" readingOrder="1"/>
    </xf>
    <xf numFmtId="166" fontId="114" fillId="6" borderId="24" xfId="3" applyNumberFormat="1" applyFont="1" applyFill="1" applyBorder="1" applyAlignment="1">
      <alignment horizontal="center" vertical="center" shrinkToFit="1"/>
    </xf>
    <xf numFmtId="166" fontId="139" fillId="6" borderId="24" xfId="3" applyNumberFormat="1" applyFont="1" applyFill="1" applyBorder="1" applyAlignment="1">
      <alignment horizontal="center" vertical="center" shrinkToFit="1"/>
    </xf>
    <xf numFmtId="166" fontId="139" fillId="6" borderId="11" xfId="3" applyNumberFormat="1" applyFont="1" applyFill="1" applyBorder="1" applyAlignment="1">
      <alignment horizontal="right" vertical="center" shrinkToFit="1"/>
    </xf>
    <xf numFmtId="166" fontId="114" fillId="6" borderId="11" xfId="3" applyNumberFormat="1" applyFont="1" applyFill="1" applyBorder="1" applyAlignment="1">
      <alignment horizontal="center" vertical="center" shrinkToFit="1"/>
    </xf>
    <xf numFmtId="166" fontId="139" fillId="6" borderId="13" xfId="3" applyNumberFormat="1" applyFont="1" applyFill="1" applyBorder="1" applyAlignment="1">
      <alignment horizontal="center" vertical="center" shrinkToFit="1"/>
    </xf>
    <xf numFmtId="0" fontId="275" fillId="0" borderId="92" xfId="0" applyNumberFormat="1" applyFont="1" applyFill="1" applyBorder="1" applyAlignment="1">
      <alignment vertical="center" wrapText="1" readingOrder="1"/>
    </xf>
    <xf numFmtId="228" fontId="275" fillId="0" borderId="92" xfId="0" applyNumberFormat="1" applyFont="1" applyFill="1" applyBorder="1" applyAlignment="1">
      <alignment vertical="center" wrapText="1" readingOrder="1"/>
    </xf>
    <xf numFmtId="0" fontId="275" fillId="0" borderId="49" xfId="0" applyNumberFormat="1" applyFont="1" applyFill="1" applyBorder="1" applyAlignment="1">
      <alignment vertical="center" wrapText="1" readingOrder="1"/>
    </xf>
    <xf numFmtId="228" fontId="275" fillId="0" borderId="49" xfId="0" applyNumberFormat="1" applyFont="1" applyFill="1" applyBorder="1" applyAlignment="1">
      <alignment horizontal="right" vertical="center" wrapText="1" readingOrder="1"/>
    </xf>
    <xf numFmtId="169" fontId="73" fillId="6" borderId="94" xfId="3" applyNumberFormat="1" applyFont="1" applyFill="1" applyBorder="1" applyAlignment="1">
      <alignment horizontal="center" vertical="center" shrinkToFit="1"/>
    </xf>
    <xf numFmtId="166" fontId="73" fillId="6" borderId="94" xfId="3" applyNumberFormat="1" applyFont="1" applyFill="1" applyBorder="1" applyAlignment="1">
      <alignment horizontal="center" vertical="center" shrinkToFit="1"/>
    </xf>
    <xf numFmtId="169" fontId="73" fillId="6" borderId="91" xfId="3" applyNumberFormat="1" applyFont="1" applyFill="1" applyBorder="1" applyAlignment="1">
      <alignment vertical="center" shrinkToFit="1"/>
    </xf>
    <xf numFmtId="166" fontId="73" fillId="6" borderId="91" xfId="3" applyNumberFormat="1" applyFont="1" applyFill="1" applyBorder="1" applyAlignment="1">
      <alignment vertical="center" shrinkToFit="1"/>
    </xf>
    <xf numFmtId="169" fontId="73" fillId="6" borderId="94" xfId="3" applyNumberFormat="1" applyFont="1" applyFill="1" applyBorder="1" applyAlignment="1">
      <alignment vertical="center" shrinkToFit="1"/>
    </xf>
    <xf numFmtId="166" fontId="73" fillId="6" borderId="94" xfId="3" applyNumberFormat="1" applyFont="1" applyFill="1" applyBorder="1" applyAlignment="1">
      <alignment vertical="center" shrinkToFit="1"/>
    </xf>
    <xf numFmtId="0" fontId="71" fillId="0" borderId="0" xfId="0" applyFont="1" applyFill="1" applyBorder="1" applyAlignment="1">
      <alignment vertical="center"/>
    </xf>
    <xf numFmtId="0" fontId="5" fillId="0" borderId="0" xfId="0" applyFont="1" applyAlignment="1">
      <alignment vertical="center" wrapText="1"/>
    </xf>
    <xf numFmtId="0" fontId="47" fillId="0" borderId="0" xfId="0" applyFont="1" applyAlignment="1">
      <alignment vertical="center" wrapText="1"/>
    </xf>
    <xf numFmtId="0" fontId="272" fillId="0" borderId="0" xfId="0" applyFont="1" applyFill="1" applyBorder="1" applyAlignment="1">
      <alignment horizontal="center"/>
    </xf>
    <xf numFmtId="0" fontId="280" fillId="0" borderId="107" xfId="0" applyNumberFormat="1" applyFont="1" applyFill="1" applyBorder="1" applyAlignment="1">
      <alignment horizontal="center" vertical="center" wrapText="1" readingOrder="1"/>
    </xf>
    <xf numFmtId="0" fontId="278" fillId="0" borderId="100" xfId="0" applyNumberFormat="1" applyFont="1" applyFill="1" applyBorder="1" applyAlignment="1">
      <alignment horizontal="center" vertical="center" wrapText="1" readingOrder="1"/>
    </xf>
    <xf numFmtId="0" fontId="278" fillId="0" borderId="100" xfId="0" applyNumberFormat="1" applyFont="1" applyFill="1" applyBorder="1" applyAlignment="1">
      <alignment horizontal="right" vertical="center" wrapText="1" readingOrder="1"/>
    </xf>
    <xf numFmtId="0" fontId="72" fillId="0" borderId="0" xfId="0" applyFont="1" applyFill="1" applyBorder="1" applyAlignment="1">
      <alignment vertical="center"/>
    </xf>
    <xf numFmtId="0" fontId="71" fillId="6" borderId="94" xfId="39" applyFont="1" applyFill="1" applyBorder="1" applyAlignment="1">
      <alignment horizontal="left" vertical="center" wrapText="1"/>
    </xf>
    <xf numFmtId="0" fontId="234" fillId="6" borderId="99" xfId="0" applyFont="1" applyFill="1" applyBorder="1" applyAlignment="1">
      <alignment horizontal="center" vertical="center" wrapText="1"/>
    </xf>
    <xf numFmtId="3" fontId="234" fillId="6" borderId="99" xfId="0" applyNumberFormat="1" applyFont="1" applyFill="1" applyBorder="1" applyAlignment="1">
      <alignment horizontal="left" vertical="center" wrapText="1"/>
    </xf>
    <xf numFmtId="1" fontId="234" fillId="6" borderId="99" xfId="42" applyNumberFormat="1" applyFont="1" applyFill="1" applyBorder="1" applyAlignment="1">
      <alignment horizontal="center" vertical="center" wrapText="1"/>
    </xf>
    <xf numFmtId="0" fontId="277" fillId="0" borderId="0" xfId="0" applyFont="1" applyFill="1" applyBorder="1" applyAlignment="1">
      <alignment vertical="center"/>
    </xf>
    <xf numFmtId="3" fontId="234" fillId="6" borderId="16" xfId="0" applyNumberFormat="1" applyFont="1" applyFill="1" applyBorder="1" applyAlignment="1">
      <alignment horizontal="left" vertical="center" wrapText="1"/>
    </xf>
    <xf numFmtId="170" fontId="73" fillId="6" borderId="94" xfId="3" applyNumberFormat="1" applyFont="1" applyFill="1" applyBorder="1" applyAlignment="1">
      <alignment vertical="center" wrapText="1"/>
    </xf>
    <xf numFmtId="43" fontId="71" fillId="6" borderId="94" xfId="3" applyNumberFormat="1" applyFont="1" applyFill="1" applyBorder="1" applyAlignment="1">
      <alignment vertical="center" wrapText="1"/>
    </xf>
    <xf numFmtId="0" fontId="71" fillId="6" borderId="16" xfId="0" applyFont="1" applyFill="1" applyBorder="1" applyAlignment="1">
      <alignment horizontal="center" vertical="center" wrapText="1"/>
    </xf>
    <xf numFmtId="1" fontId="71" fillId="6" borderId="16" xfId="42" applyNumberFormat="1" applyFont="1" applyFill="1" applyBorder="1" applyAlignment="1">
      <alignment horizontal="center" vertical="center" wrapText="1"/>
    </xf>
    <xf numFmtId="169" fontId="71" fillId="6" borderId="16" xfId="3" applyNumberFormat="1" applyFont="1" applyFill="1" applyBorder="1" applyAlignment="1">
      <alignment vertical="center" shrinkToFit="1"/>
    </xf>
    <xf numFmtId="166" fontId="71" fillId="6" borderId="16" xfId="3" applyNumberFormat="1" applyFont="1" applyFill="1" applyBorder="1" applyAlignment="1">
      <alignment vertical="center" shrinkToFit="1"/>
    </xf>
    <xf numFmtId="171" fontId="71" fillId="6" borderId="16" xfId="3" applyNumberFormat="1" applyFont="1" applyFill="1" applyBorder="1" applyAlignment="1">
      <alignment vertical="center" shrinkToFit="1"/>
    </xf>
    <xf numFmtId="169" fontId="71" fillId="6" borderId="16" xfId="3" applyNumberFormat="1" applyFont="1" applyFill="1" applyBorder="1" applyAlignment="1">
      <alignment vertical="center" wrapText="1"/>
    </xf>
    <xf numFmtId="170" fontId="71" fillId="6" borderId="16" xfId="3" applyNumberFormat="1" applyFont="1" applyFill="1" applyBorder="1" applyAlignment="1">
      <alignment vertical="center" shrinkToFit="1"/>
    </xf>
    <xf numFmtId="166" fontId="71" fillId="6" borderId="16" xfId="3" applyNumberFormat="1" applyFont="1" applyFill="1" applyBorder="1" applyAlignment="1">
      <alignment horizontal="center" vertical="center" shrinkToFit="1"/>
    </xf>
    <xf numFmtId="166" fontId="71" fillId="6" borderId="16" xfId="3" applyNumberFormat="1" applyFont="1" applyFill="1" applyBorder="1" applyAlignment="1">
      <alignment horizontal="right" vertical="center" shrinkToFit="1"/>
    </xf>
    <xf numFmtId="169" fontId="234" fillId="6" borderId="99" xfId="3" applyNumberFormat="1" applyFont="1" applyFill="1" applyBorder="1" applyAlignment="1">
      <alignment vertical="center" shrinkToFit="1"/>
    </xf>
    <xf numFmtId="170" fontId="234" fillId="6" borderId="99" xfId="3" applyNumberFormat="1" applyFont="1" applyFill="1" applyBorder="1" applyAlignment="1">
      <alignment vertical="center" shrinkToFit="1"/>
    </xf>
    <xf numFmtId="0" fontId="270" fillId="0" borderId="99" xfId="0" applyNumberFormat="1" applyFont="1" applyFill="1" applyBorder="1" applyAlignment="1">
      <alignment vertical="center" wrapText="1" readingOrder="1"/>
    </xf>
    <xf numFmtId="166" fontId="6" fillId="6" borderId="0" xfId="39" applyNumberFormat="1" applyFont="1" applyFill="1" applyAlignment="1">
      <alignment vertical="center"/>
    </xf>
    <xf numFmtId="0" fontId="6" fillId="6" borderId="0" xfId="39" applyFont="1" applyFill="1" applyAlignment="1">
      <alignment vertical="center"/>
    </xf>
    <xf numFmtId="0" fontId="6" fillId="6" borderId="0" xfId="39" applyFont="1" applyFill="1"/>
    <xf numFmtId="166" fontId="6" fillId="6" borderId="0" xfId="39" applyNumberFormat="1" applyFont="1" applyFill="1"/>
    <xf numFmtId="0" fontId="177" fillId="6" borderId="0" xfId="39" applyFont="1" applyFill="1"/>
    <xf numFmtId="166" fontId="177" fillId="6" borderId="0" xfId="39" applyNumberFormat="1" applyFont="1" applyFill="1"/>
    <xf numFmtId="0" fontId="9" fillId="6" borderId="0" xfId="39" applyFont="1" applyFill="1"/>
    <xf numFmtId="0" fontId="9" fillId="6" borderId="0" xfId="39" applyFont="1" applyFill="1" applyAlignment="1">
      <alignment vertical="center" wrapText="1"/>
    </xf>
    <xf numFmtId="166" fontId="9" fillId="6" borderId="0" xfId="39" applyNumberFormat="1" applyFont="1" applyFill="1"/>
    <xf numFmtId="0" fontId="13" fillId="6" borderId="0" xfId="39" applyFont="1" applyFill="1" applyAlignment="1">
      <alignment horizontal="center" vertical="center" wrapText="1"/>
    </xf>
    <xf numFmtId="166" fontId="13" fillId="6" borderId="0" xfId="39" applyNumberFormat="1" applyFont="1" applyFill="1"/>
    <xf numFmtId="166" fontId="13" fillId="6" borderId="0" xfId="3" applyNumberFormat="1" applyFont="1" applyFill="1" applyAlignment="1">
      <alignment horizontal="center" vertical="center"/>
    </xf>
    <xf numFmtId="166" fontId="13" fillId="6" borderId="0" xfId="3" applyNumberFormat="1" applyFont="1" applyFill="1" applyAlignment="1">
      <alignment vertical="center"/>
    </xf>
    <xf numFmtId="166" fontId="9" fillId="6" borderId="0" xfId="40" applyNumberFormat="1" applyFont="1" applyFill="1" applyBorder="1" applyAlignment="1">
      <alignment vertical="center" wrapText="1"/>
    </xf>
    <xf numFmtId="166" fontId="13" fillId="6" borderId="0" xfId="40" applyNumberFormat="1" applyFont="1" applyFill="1" applyAlignment="1">
      <alignment vertical="center" wrapText="1"/>
    </xf>
    <xf numFmtId="171" fontId="9" fillId="6" borderId="0" xfId="39" applyNumberFormat="1" applyFont="1" applyFill="1"/>
    <xf numFmtId="166" fontId="3" fillId="6" borderId="0" xfId="39" applyNumberFormat="1" applyFont="1" applyFill="1" applyAlignment="1">
      <alignment vertical="center"/>
    </xf>
    <xf numFmtId="0" fontId="3" fillId="6" borderId="0" xfId="0" applyFont="1" applyFill="1" applyAlignment="1">
      <alignment vertical="center"/>
    </xf>
    <xf numFmtId="166" fontId="9" fillId="6" borderId="0" xfId="3" applyNumberFormat="1" applyFont="1" applyFill="1" applyAlignment="1">
      <alignment vertical="center"/>
    </xf>
    <xf numFmtId="171" fontId="6" fillId="6" borderId="0" xfId="39" applyNumberFormat="1" applyFont="1" applyFill="1"/>
    <xf numFmtId="171" fontId="6" fillId="6" borderId="0" xfId="0" applyNumberFormat="1" applyFont="1" applyFill="1"/>
    <xf numFmtId="0" fontId="2" fillId="6" borderId="4" xfId="0" applyFont="1" applyFill="1" applyBorder="1" applyAlignment="1">
      <alignment wrapText="1"/>
    </xf>
    <xf numFmtId="166" fontId="2" fillId="6" borderId="4" xfId="3" applyNumberFormat="1" applyFont="1" applyFill="1" applyBorder="1" applyAlignment="1">
      <alignment horizontal="center" shrinkToFit="1"/>
    </xf>
    <xf numFmtId="0" fontId="2" fillId="0" borderId="89" xfId="0" applyFont="1" applyBorder="1" applyAlignment="1">
      <alignment horizontal="center" wrapText="1"/>
    </xf>
    <xf numFmtId="0" fontId="2" fillId="0" borderId="89" xfId="0" applyFont="1" applyBorder="1" applyAlignment="1">
      <alignment wrapText="1"/>
    </xf>
    <xf numFmtId="170" fontId="2" fillId="0" borderId="89" xfId="3" applyNumberFormat="1" applyFont="1" applyFill="1" applyBorder="1" applyAlignment="1">
      <alignment horizontal="center" shrinkToFit="1"/>
    </xf>
    <xf numFmtId="166" fontId="2" fillId="0" borderId="89" xfId="3" applyNumberFormat="1" applyFont="1" applyFill="1" applyBorder="1" applyAlignment="1">
      <alignment horizontal="center" shrinkToFit="1"/>
    </xf>
    <xf numFmtId="166" fontId="2" fillId="6" borderId="89" xfId="3" applyNumberFormat="1" applyFont="1" applyFill="1" applyBorder="1" applyAlignment="1">
      <alignment horizontal="center" shrinkToFit="1"/>
    </xf>
    <xf numFmtId="0" fontId="6" fillId="6" borderId="89" xfId="0" applyFont="1" applyFill="1" applyBorder="1" applyAlignment="1">
      <alignment horizontal="center" wrapText="1"/>
    </xf>
    <xf numFmtId="0" fontId="6" fillId="6" borderId="89" xfId="0" applyFont="1" applyFill="1" applyBorder="1" applyAlignment="1">
      <alignment wrapText="1"/>
    </xf>
    <xf numFmtId="170" fontId="6" fillId="6" borderId="89" xfId="3" applyNumberFormat="1" applyFont="1" applyFill="1" applyBorder="1" applyAlignment="1">
      <alignment horizontal="center" shrinkToFit="1"/>
    </xf>
    <xf numFmtId="170" fontId="6" fillId="0" borderId="89" xfId="3" applyNumberFormat="1" applyFont="1" applyFill="1" applyBorder="1" applyAlignment="1">
      <alignment horizontal="center" shrinkToFit="1"/>
    </xf>
    <xf numFmtId="166" fontId="6" fillId="6" borderId="89" xfId="3" applyNumberFormat="1" applyFont="1" applyFill="1" applyBorder="1" applyAlignment="1">
      <alignment horizontal="center" shrinkToFit="1"/>
    </xf>
    <xf numFmtId="0" fontId="6" fillId="0" borderId="89" xfId="0" applyFont="1" applyBorder="1" applyAlignment="1">
      <alignment horizontal="center" wrapText="1"/>
    </xf>
    <xf numFmtId="0" fontId="6" fillId="0" borderId="89" xfId="0" applyFont="1" applyBorder="1" applyAlignment="1">
      <alignment wrapText="1"/>
    </xf>
    <xf numFmtId="166" fontId="6" fillId="0" borderId="89" xfId="3" applyNumberFormat="1" applyFont="1" applyFill="1" applyBorder="1" applyAlignment="1">
      <alignment horizontal="center" shrinkToFit="1"/>
    </xf>
    <xf numFmtId="0" fontId="2" fillId="5" borderId="89" xfId="0" applyFont="1" applyFill="1" applyBorder="1" applyAlignment="1">
      <alignment horizontal="center" wrapText="1"/>
    </xf>
    <xf numFmtId="0" fontId="2" fillId="5" borderId="89" xfId="0" applyFont="1" applyFill="1" applyBorder="1" applyAlignment="1">
      <alignment wrapText="1"/>
    </xf>
    <xf numFmtId="170" fontId="2" fillId="5" borderId="89" xfId="3" applyNumberFormat="1" applyFont="1" applyFill="1" applyBorder="1" applyAlignment="1">
      <alignment horizontal="center" shrinkToFit="1"/>
    </xf>
    <xf numFmtId="166" fontId="2" fillId="5" borderId="89" xfId="3" applyNumberFormat="1" applyFont="1" applyFill="1" applyBorder="1" applyAlignment="1">
      <alignment horizontal="center" shrinkToFit="1"/>
    </xf>
    <xf numFmtId="0" fontId="2" fillId="6" borderId="90" xfId="0" applyFont="1" applyFill="1" applyBorder="1" applyAlignment="1">
      <alignment horizontal="center" wrapText="1"/>
    </xf>
    <xf numFmtId="166" fontId="6" fillId="6" borderId="90" xfId="3" applyNumberFormat="1" applyFont="1" applyFill="1" applyBorder="1" applyAlignment="1">
      <alignment horizontal="center" shrinkToFit="1"/>
    </xf>
    <xf numFmtId="0" fontId="71" fillId="0" borderId="0" xfId="0" applyFont="1" applyFill="1" applyBorder="1"/>
    <xf numFmtId="166" fontId="71" fillId="0" borderId="0" xfId="0" applyNumberFormat="1" applyFont="1" applyFill="1" applyBorder="1"/>
    <xf numFmtId="166" fontId="278" fillId="0" borderId="107" xfId="3" applyNumberFormat="1" applyFont="1" applyFill="1" applyBorder="1" applyAlignment="1">
      <alignment horizontal="right" vertical="center" wrapText="1" readingOrder="1"/>
    </xf>
    <xf numFmtId="0" fontId="279" fillId="0" borderId="109" xfId="0" applyNumberFormat="1" applyFont="1" applyFill="1" applyBorder="1" applyAlignment="1">
      <alignment horizontal="center" vertical="center" wrapText="1" readingOrder="1"/>
    </xf>
    <xf numFmtId="0" fontId="279" fillId="0" borderId="110" xfId="0" applyNumberFormat="1" applyFont="1" applyFill="1" applyBorder="1" applyAlignment="1">
      <alignment horizontal="center" vertical="center" wrapText="1" readingOrder="1"/>
    </xf>
    <xf numFmtId="0" fontId="279" fillId="0" borderId="116" xfId="0" applyNumberFormat="1" applyFont="1" applyFill="1" applyBorder="1" applyAlignment="1">
      <alignment horizontal="center" vertical="center" wrapText="1" readingOrder="1"/>
    </xf>
    <xf numFmtId="0" fontId="279" fillId="0" borderId="117" xfId="0" applyNumberFormat="1" applyFont="1" applyFill="1" applyBorder="1" applyAlignment="1">
      <alignment horizontal="center" vertical="center" wrapText="1" readingOrder="1"/>
    </xf>
    <xf numFmtId="0" fontId="279" fillId="0" borderId="109" xfId="0" applyNumberFormat="1" applyFont="1" applyFill="1" applyBorder="1" applyAlignment="1">
      <alignment horizontal="right" vertical="center" wrapText="1" readingOrder="1"/>
    </xf>
    <xf numFmtId="43" fontId="71" fillId="0" borderId="0" xfId="3" applyFont="1" applyFill="1" applyBorder="1"/>
    <xf numFmtId="0" fontId="273" fillId="0" borderId="109" xfId="0" applyNumberFormat="1" applyFont="1" applyFill="1" applyBorder="1" applyAlignment="1">
      <alignment horizontal="center" vertical="center" wrapText="1" readingOrder="1"/>
    </xf>
    <xf numFmtId="0" fontId="278" fillId="0" borderId="109" xfId="0" applyNumberFormat="1" applyFont="1" applyFill="1" applyBorder="1" applyAlignment="1">
      <alignment horizontal="center" vertical="center" wrapText="1" readingOrder="1"/>
    </xf>
    <xf numFmtId="166" fontId="278" fillId="0" borderId="109" xfId="3" applyNumberFormat="1" applyFont="1" applyFill="1" applyBorder="1" applyAlignment="1">
      <alignment horizontal="right" vertical="center" wrapText="1" readingOrder="1"/>
    </xf>
    <xf numFmtId="0" fontId="278" fillId="0" borderId="117" xfId="0" applyNumberFormat="1" applyFont="1" applyFill="1" applyBorder="1" applyAlignment="1">
      <alignment horizontal="center" vertical="center" wrapText="1" readingOrder="1"/>
    </xf>
    <xf numFmtId="0" fontId="278" fillId="0" borderId="116" xfId="0" applyNumberFormat="1" applyFont="1" applyFill="1" applyBorder="1" applyAlignment="1">
      <alignment horizontal="center" vertical="center" wrapText="1" readingOrder="1"/>
    </xf>
    <xf numFmtId="0" fontId="278" fillId="0" borderId="109" xfId="0" applyNumberFormat="1" applyFont="1" applyFill="1" applyBorder="1" applyAlignment="1">
      <alignment horizontal="right" vertical="center" wrapText="1" readingOrder="1"/>
    </xf>
    <xf numFmtId="0" fontId="279" fillId="0" borderId="111" xfId="0" applyNumberFormat="1" applyFont="1" applyFill="1" applyBorder="1" applyAlignment="1">
      <alignment horizontal="center" vertical="center" wrapText="1" readingOrder="1"/>
    </xf>
    <xf numFmtId="0" fontId="279" fillId="0" borderId="112" xfId="0" applyNumberFormat="1" applyFont="1" applyFill="1" applyBorder="1" applyAlignment="1">
      <alignment horizontal="center" vertical="center" wrapText="1" readingOrder="1"/>
    </xf>
    <xf numFmtId="0" fontId="279" fillId="0" borderId="118" xfId="0" applyNumberFormat="1" applyFont="1" applyFill="1" applyBorder="1" applyAlignment="1">
      <alignment horizontal="center" vertical="center" wrapText="1" readingOrder="1"/>
    </xf>
    <xf numFmtId="0" fontId="279" fillId="0" borderId="122" xfId="0" applyNumberFormat="1" applyFont="1" applyFill="1" applyBorder="1" applyAlignment="1">
      <alignment horizontal="center" vertical="center" wrapText="1" readingOrder="1"/>
    </xf>
    <xf numFmtId="0" fontId="279" fillId="0" borderId="111" xfId="0" applyNumberFormat="1" applyFont="1" applyFill="1" applyBorder="1" applyAlignment="1">
      <alignment horizontal="right" vertical="center" wrapText="1" readingOrder="1"/>
    </xf>
    <xf numFmtId="169" fontId="43" fillId="6" borderId="0" xfId="0" applyNumberFormat="1" applyFont="1" applyFill="1" applyAlignment="1">
      <alignment horizontal="center" vertical="center" wrapText="1"/>
    </xf>
    <xf numFmtId="0" fontId="2" fillId="0" borderId="0" xfId="0" applyFont="1" applyAlignment="1">
      <alignment horizontal="left"/>
    </xf>
    <xf numFmtId="169" fontId="6" fillId="0" borderId="0" xfId="3" applyNumberFormat="1" applyFont="1" applyFill="1" applyAlignment="1"/>
    <xf numFmtId="0" fontId="177" fillId="0" borderId="0" xfId="0" applyFont="1" applyAlignment="1">
      <alignment vertical="center" wrapText="1"/>
    </xf>
    <xf numFmtId="169" fontId="139" fillId="6" borderId="0" xfId="3" applyNumberFormat="1" applyFont="1" applyFill="1" applyAlignment="1">
      <alignment shrinkToFit="1"/>
    </xf>
    <xf numFmtId="0" fontId="278" fillId="0" borderId="123" xfId="0" applyNumberFormat="1" applyFont="1" applyFill="1" applyBorder="1" applyAlignment="1">
      <alignment horizontal="center" vertical="top" wrapText="1" readingOrder="1"/>
    </xf>
    <xf numFmtId="0" fontId="71" fillId="0" borderId="94" xfId="0" applyFont="1" applyFill="1" applyBorder="1" applyAlignment="1">
      <alignment vertical="center"/>
    </xf>
    <xf numFmtId="0" fontId="278" fillId="0" borderId="0" xfId="0" applyNumberFormat="1" applyFont="1" applyFill="1" applyBorder="1" applyAlignment="1">
      <alignment horizontal="center" vertical="center" wrapText="1" readingOrder="1"/>
    </xf>
    <xf numFmtId="0" fontId="286" fillId="0" borderId="103" xfId="0" applyNumberFormat="1" applyFont="1" applyFill="1" applyBorder="1" applyAlignment="1">
      <alignment vertical="center" wrapText="1" readingOrder="1"/>
    </xf>
    <xf numFmtId="0" fontId="286" fillId="0" borderId="103" xfId="0" applyNumberFormat="1" applyFont="1" applyFill="1" applyBorder="1" applyAlignment="1">
      <alignment horizontal="center" vertical="center" wrapText="1" readingOrder="1"/>
    </xf>
    <xf numFmtId="0" fontId="72" fillId="0" borderId="0" xfId="0" applyFont="1" applyFill="1" applyBorder="1" applyAlignment="1">
      <alignment vertical="center" shrinkToFit="1"/>
    </xf>
    <xf numFmtId="0" fontId="286" fillId="0" borderId="103" xfId="0" applyNumberFormat="1" applyFont="1" applyFill="1" applyBorder="1" applyAlignment="1">
      <alignment horizontal="right" vertical="center" shrinkToFit="1" readingOrder="1"/>
    </xf>
    <xf numFmtId="0" fontId="286" fillId="0" borderId="103" xfId="0" applyNumberFormat="1" applyFont="1" applyFill="1" applyBorder="1" applyAlignment="1">
      <alignment horizontal="right" vertical="center" wrapText="1" readingOrder="1"/>
    </xf>
    <xf numFmtId="0" fontId="291" fillId="0" borderId="100" xfId="0" applyNumberFormat="1" applyFont="1" applyFill="1" applyBorder="1" applyAlignment="1">
      <alignment horizontal="center" vertical="center" wrapText="1" readingOrder="1"/>
    </xf>
    <xf numFmtId="0" fontId="291" fillId="0" borderId="100" xfId="0" applyNumberFormat="1" applyFont="1" applyFill="1" applyBorder="1" applyAlignment="1">
      <alignment vertical="center" wrapText="1" readingOrder="1"/>
    </xf>
    <xf numFmtId="0" fontId="291" fillId="0" borderId="100" xfId="0" applyNumberFormat="1" applyFont="1" applyFill="1" applyBorder="1" applyAlignment="1">
      <alignment horizontal="right" vertical="center" shrinkToFit="1" readingOrder="1"/>
    </xf>
    <xf numFmtId="0" fontId="291" fillId="0" borderId="100" xfId="0" applyNumberFormat="1" applyFont="1" applyFill="1" applyBorder="1" applyAlignment="1">
      <alignment horizontal="right" vertical="center" wrapText="1" readingOrder="1"/>
    </xf>
    <xf numFmtId="43" fontId="114" fillId="6" borderId="0" xfId="3" applyNumberFormat="1" applyFont="1" applyFill="1" applyBorder="1" applyAlignment="1">
      <alignment horizontal="center" vertical="center" shrinkToFit="1"/>
    </xf>
    <xf numFmtId="43" fontId="114" fillId="6" borderId="94" xfId="3" applyNumberFormat="1" applyFont="1" applyFill="1" applyBorder="1" applyAlignment="1">
      <alignment horizontal="center" vertical="center" shrinkToFit="1"/>
    </xf>
    <xf numFmtId="0" fontId="91" fillId="6" borderId="0" xfId="0" applyFont="1" applyFill="1" applyAlignment="1">
      <alignment vertical="center"/>
    </xf>
    <xf numFmtId="0" fontId="2" fillId="0" borderId="94" xfId="0" applyFont="1" applyBorder="1" applyAlignment="1">
      <alignment horizontal="center" vertical="center" wrapText="1"/>
    </xf>
    <xf numFmtId="9" fontId="6" fillId="0" borderId="0" xfId="57" applyFont="1" applyFill="1"/>
    <xf numFmtId="170" fontId="73" fillId="6" borderId="40" xfId="3" applyNumberFormat="1" applyFont="1" applyFill="1" applyBorder="1" applyAlignment="1">
      <alignment horizontal="right" shrinkToFit="1" readingOrder="1"/>
    </xf>
    <xf numFmtId="166" fontId="73" fillId="6" borderId="40" xfId="3" applyNumberFormat="1" applyFont="1" applyFill="1" applyBorder="1" applyAlignment="1">
      <alignment horizontal="right" shrinkToFit="1" readingOrder="1"/>
    </xf>
    <xf numFmtId="169" fontId="73" fillId="6" borderId="40" xfId="3" applyNumberFormat="1" applyFont="1" applyFill="1" applyBorder="1" applyAlignment="1">
      <alignment horizontal="right" shrinkToFit="1" readingOrder="1"/>
    </xf>
    <xf numFmtId="43" fontId="73" fillId="6" borderId="40" xfId="3" applyNumberFormat="1" applyFont="1" applyFill="1" applyBorder="1" applyAlignment="1">
      <alignment horizontal="right" shrinkToFit="1" readingOrder="1"/>
    </xf>
    <xf numFmtId="168" fontId="73" fillId="6" borderId="40" xfId="3" applyNumberFormat="1" applyFont="1" applyFill="1" applyBorder="1" applyAlignment="1">
      <alignment horizontal="right" shrinkToFit="1" readingOrder="1"/>
    </xf>
    <xf numFmtId="170" fontId="73" fillId="6" borderId="93" xfId="3" applyNumberFormat="1" applyFont="1" applyFill="1" applyBorder="1" applyAlignment="1">
      <alignment horizontal="right" vertical="center" shrinkToFit="1" readingOrder="1"/>
    </xf>
    <xf numFmtId="166" fontId="73" fillId="6" borderId="93" xfId="3" applyNumberFormat="1" applyFont="1" applyFill="1" applyBorder="1" applyAlignment="1">
      <alignment horizontal="right" vertical="center" shrinkToFit="1" readingOrder="1"/>
    </xf>
    <xf numFmtId="169" fontId="73" fillId="6" borderId="93" xfId="3" applyNumberFormat="1" applyFont="1" applyFill="1" applyBorder="1" applyAlignment="1">
      <alignment horizontal="right" vertical="center" shrinkToFit="1" readingOrder="1"/>
    </xf>
    <xf numFmtId="43" fontId="73" fillId="6" borderId="93" xfId="3" applyNumberFormat="1" applyFont="1" applyFill="1" applyBorder="1" applyAlignment="1">
      <alignment horizontal="right" vertical="center" shrinkToFit="1" readingOrder="1"/>
    </xf>
    <xf numFmtId="170" fontId="71" fillId="6" borderId="93" xfId="3" applyNumberFormat="1" applyFont="1" applyFill="1" applyBorder="1" applyAlignment="1">
      <alignment horizontal="right" shrinkToFit="1" readingOrder="1"/>
    </xf>
    <xf numFmtId="166" fontId="71" fillId="6" borderId="93" xfId="3" applyNumberFormat="1" applyFont="1" applyFill="1" applyBorder="1" applyAlignment="1">
      <alignment horizontal="right" shrinkToFit="1" readingOrder="1"/>
    </xf>
    <xf numFmtId="169" fontId="71" fillId="6" borderId="93" xfId="3" applyNumberFormat="1" applyFont="1" applyFill="1" applyBorder="1" applyAlignment="1">
      <alignment horizontal="right" shrinkToFit="1" readingOrder="1"/>
    </xf>
    <xf numFmtId="43" fontId="71" fillId="6" borderId="93" xfId="3" applyNumberFormat="1" applyFont="1" applyFill="1" applyBorder="1" applyAlignment="1">
      <alignment horizontal="right" shrinkToFit="1" readingOrder="1"/>
    </xf>
    <xf numFmtId="170" fontId="73" fillId="6" borderId="93" xfId="3" applyNumberFormat="1" applyFont="1" applyFill="1" applyBorder="1" applyAlignment="1">
      <alignment horizontal="right" shrinkToFit="1" readingOrder="1"/>
    </xf>
    <xf numFmtId="166" fontId="73" fillId="6" borderId="93" xfId="3" applyNumberFormat="1" applyFont="1" applyFill="1" applyBorder="1" applyAlignment="1">
      <alignment horizontal="right" shrinkToFit="1" readingOrder="1"/>
    </xf>
    <xf numFmtId="169" fontId="73" fillId="6" borderId="93" xfId="3" applyNumberFormat="1" applyFont="1" applyFill="1" applyBorder="1" applyAlignment="1">
      <alignment horizontal="right" shrinkToFit="1" readingOrder="1"/>
    </xf>
    <xf numFmtId="43" fontId="73" fillId="6" borderId="93" xfId="3" applyNumberFormat="1" applyFont="1" applyFill="1" applyBorder="1" applyAlignment="1">
      <alignment horizontal="right" shrinkToFit="1" readingOrder="1"/>
    </xf>
    <xf numFmtId="168" fontId="73" fillId="6" borderId="93" xfId="3" applyNumberFormat="1" applyFont="1" applyFill="1" applyBorder="1" applyAlignment="1">
      <alignment horizontal="right" shrinkToFit="1" readingOrder="1"/>
    </xf>
    <xf numFmtId="43" fontId="71" fillId="6" borderId="93" xfId="0" applyNumberFormat="1" applyFont="1" applyFill="1" applyBorder="1" applyAlignment="1">
      <alignment horizontal="right" shrinkToFit="1" readingOrder="1"/>
    </xf>
    <xf numFmtId="170" fontId="41" fillId="6" borderId="40" xfId="3" applyNumberFormat="1" applyFont="1" applyFill="1" applyBorder="1" applyAlignment="1">
      <alignment horizontal="right" vertical="center" shrinkToFit="1" readingOrder="1"/>
    </xf>
    <xf numFmtId="169" fontId="41" fillId="6" borderId="40" xfId="3" applyNumberFormat="1" applyFont="1" applyFill="1" applyBorder="1" applyAlignment="1">
      <alignment horizontal="right" vertical="center" shrinkToFit="1" readingOrder="1"/>
    </xf>
    <xf numFmtId="166" fontId="41" fillId="6" borderId="40" xfId="3" applyNumberFormat="1" applyFont="1" applyFill="1" applyBorder="1" applyAlignment="1">
      <alignment horizontal="right" vertical="center" shrinkToFit="1" readingOrder="1"/>
    </xf>
    <xf numFmtId="167" fontId="41" fillId="6" borderId="40" xfId="3" applyNumberFormat="1" applyFont="1" applyFill="1" applyBorder="1" applyAlignment="1">
      <alignment horizontal="right" vertical="center" shrinkToFit="1" readingOrder="1"/>
    </xf>
    <xf numFmtId="166" fontId="2" fillId="0" borderId="90" xfId="3" applyNumberFormat="1" applyFont="1" applyFill="1" applyBorder="1" applyAlignment="1">
      <alignment horizontal="center" shrinkToFit="1"/>
    </xf>
    <xf numFmtId="166" fontId="2" fillId="0" borderId="89" xfId="3" applyNumberFormat="1" applyFont="1" applyFill="1" applyBorder="1" applyAlignment="1">
      <alignment shrinkToFit="1"/>
    </xf>
    <xf numFmtId="166" fontId="2" fillId="6" borderId="89" xfId="3" applyNumberFormat="1" applyFont="1" applyFill="1" applyBorder="1" applyAlignment="1">
      <alignment shrinkToFit="1"/>
    </xf>
    <xf numFmtId="166" fontId="2" fillId="0" borderId="4" xfId="3" applyNumberFormat="1" applyFont="1" applyFill="1" applyBorder="1" applyAlignment="1">
      <alignment horizontal="center" shrinkToFit="1"/>
    </xf>
    <xf numFmtId="169" fontId="6" fillId="6" borderId="92" xfId="3" applyNumberFormat="1" applyFont="1" applyFill="1" applyBorder="1" applyAlignment="1">
      <alignment horizontal="right" vertical="center" wrapText="1"/>
    </xf>
    <xf numFmtId="166" fontId="6" fillId="6" borderId="92" xfId="3" applyNumberFormat="1" applyFont="1" applyFill="1" applyBorder="1" applyAlignment="1">
      <alignment horizontal="right" vertical="center" wrapText="1"/>
    </xf>
    <xf numFmtId="170" fontId="6" fillId="6" borderId="92" xfId="3" applyNumberFormat="1" applyFont="1" applyFill="1" applyBorder="1" applyAlignment="1">
      <alignment horizontal="right" vertical="center" wrapText="1"/>
    </xf>
    <xf numFmtId="169" fontId="6" fillId="6" borderId="49" xfId="3" applyNumberFormat="1" applyFont="1" applyFill="1" applyBorder="1" applyAlignment="1">
      <alignment horizontal="right" vertical="center" wrapText="1"/>
    </xf>
    <xf numFmtId="166" fontId="6" fillId="6" borderId="49" xfId="3" applyNumberFormat="1" applyFont="1" applyFill="1" applyBorder="1" applyAlignment="1">
      <alignment horizontal="right" vertical="center" wrapText="1"/>
    </xf>
    <xf numFmtId="170" fontId="6" fillId="6" borderId="49" xfId="3" applyNumberFormat="1" applyFont="1" applyFill="1" applyBorder="1" applyAlignment="1">
      <alignment horizontal="right" vertical="center" wrapText="1"/>
    </xf>
    <xf numFmtId="166" fontId="6" fillId="6" borderId="92" xfId="0" applyNumberFormat="1" applyFont="1" applyFill="1" applyBorder="1" applyAlignment="1">
      <alignment vertical="center" shrinkToFit="1"/>
    </xf>
    <xf numFmtId="0" fontId="6" fillId="6" borderId="92" xfId="12" applyFont="1" applyFill="1" applyBorder="1" applyAlignment="1">
      <alignment horizontal="left" vertical="center" wrapText="1"/>
    </xf>
    <xf numFmtId="169" fontId="73" fillId="6" borderId="94" xfId="3" applyNumberFormat="1" applyFont="1" applyFill="1" applyBorder="1" applyAlignment="1">
      <alignment horizontal="center" vertical="center" wrapText="1"/>
    </xf>
    <xf numFmtId="0" fontId="2" fillId="6" borderId="94" xfId="0" applyFont="1" applyFill="1" applyBorder="1" applyAlignment="1">
      <alignment horizontal="left" vertical="center" wrapText="1"/>
    </xf>
    <xf numFmtId="169" fontId="2" fillId="6" borderId="94" xfId="3" applyNumberFormat="1" applyFont="1" applyFill="1" applyBorder="1" applyAlignment="1">
      <alignment horizontal="right" vertical="center" wrapText="1"/>
    </xf>
    <xf numFmtId="0" fontId="6" fillId="6" borderId="92" xfId="0" applyFont="1" applyFill="1" applyBorder="1" applyAlignment="1">
      <alignment horizontal="center" vertical="center" wrapText="1"/>
    </xf>
    <xf numFmtId="0" fontId="6" fillId="6" borderId="49" xfId="0" applyFont="1" applyFill="1" applyBorder="1" applyAlignment="1">
      <alignment horizontal="center" vertical="center" wrapText="1"/>
    </xf>
    <xf numFmtId="0" fontId="6" fillId="6" borderId="92" xfId="12" applyFont="1" applyFill="1" applyBorder="1" applyAlignment="1">
      <alignment horizontal="center" vertical="center" wrapText="1"/>
    </xf>
    <xf numFmtId="0" fontId="2" fillId="6" borderId="94" xfId="0" applyFont="1" applyFill="1" applyBorder="1" applyAlignment="1">
      <alignment horizontal="center" vertical="center" wrapText="1"/>
    </xf>
    <xf numFmtId="0" fontId="72" fillId="0" borderId="94" xfId="0" applyFont="1" applyFill="1" applyBorder="1" applyAlignment="1">
      <alignment vertical="center"/>
    </xf>
    <xf numFmtId="0" fontId="9" fillId="0" borderId="0" xfId="0" applyFont="1" applyAlignment="1">
      <alignment horizontal="center" vertical="center" wrapText="1"/>
    </xf>
    <xf numFmtId="0" fontId="3" fillId="6" borderId="0" xfId="0" applyFont="1" applyFill="1" applyAlignment="1">
      <alignment horizontal="center" vertical="center" wrapText="1"/>
    </xf>
    <xf numFmtId="0" fontId="3" fillId="0" borderId="0" xfId="0" applyFont="1" applyAlignment="1">
      <alignment horizontal="center" vertical="center" wrapText="1"/>
    </xf>
    <xf numFmtId="171" fontId="75" fillId="6" borderId="0" xfId="3" applyNumberFormat="1" applyFont="1" applyFill="1" applyBorder="1" applyAlignment="1">
      <alignment horizontal="center" vertical="center" wrapText="1"/>
    </xf>
    <xf numFmtId="0" fontId="71" fillId="6" borderId="0" xfId="0" applyFont="1" applyFill="1" applyAlignment="1">
      <alignment horizontal="center"/>
    </xf>
    <xf numFmtId="0" fontId="2" fillId="0" borderId="0" xfId="0" applyFont="1" applyAlignment="1">
      <alignment horizontal="center" vertical="center" wrapText="1"/>
    </xf>
    <xf numFmtId="0" fontId="2" fillId="6" borderId="0" xfId="0" applyFont="1" applyFill="1" applyAlignment="1">
      <alignment horizontal="center"/>
    </xf>
    <xf numFmtId="0" fontId="2" fillId="0" borderId="0" xfId="0" applyFont="1" applyAlignment="1">
      <alignment horizontal="center"/>
    </xf>
    <xf numFmtId="0" fontId="114" fillId="6" borderId="0" xfId="0" applyFont="1" applyFill="1" applyAlignment="1">
      <alignment horizontal="center" vertical="center" wrapText="1"/>
    </xf>
    <xf numFmtId="0" fontId="264" fillId="6" borderId="0" xfId="0" applyFont="1" applyFill="1" applyAlignment="1">
      <alignment horizontal="center"/>
    </xf>
    <xf numFmtId="0" fontId="266" fillId="6" borderId="0" xfId="0" applyFont="1" applyFill="1" applyAlignment="1">
      <alignment horizontal="center" vertical="center" wrapText="1"/>
    </xf>
    <xf numFmtId="0" fontId="114" fillId="6" borderId="0" xfId="0" applyFont="1" applyFill="1" applyAlignment="1">
      <alignment horizontal="center"/>
    </xf>
    <xf numFmtId="0" fontId="6" fillId="0" borderId="0" xfId="0" applyFont="1" applyAlignment="1">
      <alignment horizontal="center" vertical="center" wrapText="1"/>
    </xf>
    <xf numFmtId="0" fontId="73" fillId="0" borderId="94" xfId="44" applyFont="1" applyBorder="1" applyAlignment="1">
      <alignment horizontal="center" vertical="center" wrapText="1"/>
    </xf>
    <xf numFmtId="0" fontId="9" fillId="0" borderId="0" xfId="0" applyFont="1" applyAlignment="1">
      <alignment horizontal="center"/>
    </xf>
    <xf numFmtId="171" fontId="73" fillId="6" borderId="94" xfId="3" applyNumberFormat="1" applyFont="1" applyFill="1" applyBorder="1" applyAlignment="1">
      <alignment horizontal="center" vertical="center" wrapText="1"/>
    </xf>
    <xf numFmtId="0" fontId="73" fillId="6" borderId="94" xfId="0" applyFont="1" applyFill="1" applyBorder="1" applyAlignment="1">
      <alignment horizontal="center" vertical="center" wrapText="1"/>
    </xf>
    <xf numFmtId="0" fontId="71" fillId="6" borderId="94" xfId="0" applyFont="1" applyFill="1" applyBorder="1" applyAlignment="1">
      <alignment horizontal="center" vertical="center" wrapText="1"/>
    </xf>
    <xf numFmtId="171" fontId="73" fillId="6" borderId="0" xfId="3" applyNumberFormat="1" applyFont="1" applyFill="1" applyAlignment="1">
      <alignment horizontal="center" vertical="center" wrapText="1"/>
    </xf>
    <xf numFmtId="171" fontId="73" fillId="6" borderId="0" xfId="3" applyNumberFormat="1" applyFont="1" applyFill="1" applyAlignment="1">
      <alignment horizontal="center"/>
    </xf>
    <xf numFmtId="171" fontId="73" fillId="6" borderId="0" xfId="3" applyNumberFormat="1" applyFont="1" applyFill="1" applyAlignment="1">
      <alignment horizontal="center" vertical="center"/>
    </xf>
    <xf numFmtId="0" fontId="278" fillId="0" borderId="104" xfId="0" applyNumberFormat="1" applyFont="1" applyFill="1" applyBorder="1" applyAlignment="1">
      <alignment horizontal="center" vertical="center" wrapText="1" readingOrder="1"/>
    </xf>
    <xf numFmtId="0" fontId="278" fillId="0" borderId="107" xfId="0" applyNumberFormat="1" applyFont="1" applyFill="1" applyBorder="1" applyAlignment="1">
      <alignment horizontal="center" vertical="center" wrapText="1" readingOrder="1"/>
    </xf>
    <xf numFmtId="0" fontId="278" fillId="0" borderId="94" xfId="0" applyNumberFormat="1" applyFont="1" applyFill="1" applyBorder="1" applyAlignment="1">
      <alignment horizontal="center" vertical="center" wrapText="1" readingOrder="1"/>
    </xf>
    <xf numFmtId="0" fontId="278" fillId="0" borderId="100" xfId="0" applyNumberFormat="1" applyFont="1" applyFill="1" applyBorder="1" applyAlignment="1">
      <alignment horizontal="center" vertical="center" wrapText="1" readingOrder="1"/>
    </xf>
    <xf numFmtId="0" fontId="278" fillId="0" borderId="123" xfId="0" applyNumberFormat="1" applyFont="1" applyFill="1" applyBorder="1" applyAlignment="1">
      <alignment horizontal="center" vertical="center" wrapText="1" readingOrder="1"/>
    </xf>
    <xf numFmtId="0" fontId="71" fillId="0" borderId="0" xfId="0" applyFont="1" applyFill="1" applyBorder="1" applyAlignment="1">
      <alignment vertical="center"/>
    </xf>
    <xf numFmtId="0" fontId="5" fillId="0" borderId="0" xfId="0" applyFont="1" applyAlignment="1">
      <alignment horizontal="center" vertical="center" wrapText="1"/>
    </xf>
    <xf numFmtId="228" fontId="291" fillId="0" borderId="100" xfId="0" applyNumberFormat="1" applyFont="1" applyFill="1" applyBorder="1" applyAlignment="1">
      <alignment horizontal="right" vertical="center" shrinkToFit="1" readingOrder="1"/>
    </xf>
    <xf numFmtId="0" fontId="71" fillId="0" borderId="0" xfId="0" applyFont="1" applyFill="1" applyBorder="1"/>
    <xf numFmtId="0" fontId="292" fillId="0" borderId="0" xfId="0" applyNumberFormat="1" applyFont="1" applyFill="1" applyBorder="1" applyAlignment="1">
      <alignment horizontal="center" vertical="top" wrapText="1" readingOrder="1"/>
    </xf>
    <xf numFmtId="228" fontId="286" fillId="0" borderId="103" xfId="0" applyNumberFormat="1" applyFont="1" applyFill="1" applyBorder="1" applyAlignment="1">
      <alignment horizontal="right" vertical="center" shrinkToFit="1" readingOrder="1"/>
    </xf>
    <xf numFmtId="0" fontId="272" fillId="0" borderId="0" xfId="0" applyFont="1" applyFill="1" applyBorder="1"/>
    <xf numFmtId="0" fontId="73" fillId="0" borderId="0" xfId="0" applyFont="1" applyFill="1" applyBorder="1" applyAlignment="1">
      <alignment horizontal="center"/>
    </xf>
    <xf numFmtId="0" fontId="276" fillId="0" borderId="0" xfId="0" applyNumberFormat="1" applyFont="1" applyFill="1" applyBorder="1" applyAlignment="1">
      <alignment horizontal="center" vertical="center" wrapText="1" readingOrder="1"/>
    </xf>
    <xf numFmtId="0" fontId="9" fillId="6" borderId="0" xfId="39" applyFont="1" applyFill="1" applyAlignment="1">
      <alignment horizontal="center" vertical="center" wrapText="1"/>
    </xf>
    <xf numFmtId="0" fontId="73" fillId="6" borderId="94" xfId="39" applyFont="1" applyFill="1" applyBorder="1" applyAlignment="1">
      <alignment horizontal="center" vertical="center" wrapText="1"/>
    </xf>
    <xf numFmtId="166" fontId="73" fillId="6" borderId="94" xfId="39" applyNumberFormat="1" applyFont="1" applyFill="1" applyBorder="1" applyAlignment="1">
      <alignment horizontal="center" vertical="center" wrapText="1"/>
    </xf>
    <xf numFmtId="166" fontId="73" fillId="6" borderId="94" xfId="40" applyNumberFormat="1" applyFont="1" applyFill="1" applyBorder="1" applyAlignment="1">
      <alignment horizontal="center" vertical="center" wrapText="1"/>
    </xf>
    <xf numFmtId="166" fontId="75" fillId="6" borderId="0" xfId="3" applyNumberFormat="1" applyFont="1" applyFill="1" applyAlignment="1">
      <alignment horizontal="center"/>
    </xf>
    <xf numFmtId="0" fontId="276" fillId="0" borderId="100" xfId="0" applyNumberFormat="1" applyFont="1" applyFill="1" applyBorder="1" applyAlignment="1">
      <alignment horizontal="center" vertical="center" wrapText="1" readingOrder="1"/>
    </xf>
    <xf numFmtId="0" fontId="270" fillId="0" borderId="109" xfId="0" applyNumberFormat="1" applyFont="1" applyFill="1" applyBorder="1" applyAlignment="1">
      <alignment horizontal="center" vertical="center" wrapText="1" readingOrder="1"/>
    </xf>
    <xf numFmtId="0" fontId="270" fillId="0" borderId="110" xfId="0" applyNumberFormat="1" applyFont="1" applyFill="1" applyBorder="1" applyAlignment="1">
      <alignment horizontal="center" vertical="center" wrapText="1" readingOrder="1"/>
    </xf>
    <xf numFmtId="0" fontId="270" fillId="0" borderId="110" xfId="0" applyNumberFormat="1" applyFont="1" applyFill="1" applyBorder="1" applyAlignment="1">
      <alignment horizontal="left" vertical="center" wrapText="1" readingOrder="1"/>
    </xf>
    <xf numFmtId="0" fontId="270" fillId="0" borderId="110" xfId="0" applyNumberFormat="1" applyFont="1" applyFill="1" applyBorder="1" applyAlignment="1">
      <alignment horizontal="right" vertical="center" wrapText="1" readingOrder="1"/>
    </xf>
    <xf numFmtId="0" fontId="270" fillId="0" borderId="112" xfId="0" applyNumberFormat="1" applyFont="1" applyFill="1" applyBorder="1" applyAlignment="1">
      <alignment horizontal="right" vertical="center" wrapText="1" readingOrder="1"/>
    </xf>
    <xf numFmtId="0" fontId="270" fillId="0" borderId="111" xfId="0" applyNumberFormat="1" applyFont="1" applyFill="1" applyBorder="1" applyAlignment="1">
      <alignment horizontal="center" vertical="center" wrapText="1" readingOrder="1"/>
    </xf>
    <xf numFmtId="0" fontId="270" fillId="0" borderId="112" xfId="0" applyNumberFormat="1" applyFont="1" applyFill="1" applyBorder="1" applyAlignment="1">
      <alignment horizontal="center" vertical="center" wrapText="1" readingOrder="1"/>
    </xf>
    <xf numFmtId="0" fontId="270" fillId="0" borderId="112" xfId="0" applyNumberFormat="1" applyFont="1" applyFill="1" applyBorder="1" applyAlignment="1">
      <alignment horizontal="left" vertical="center" wrapText="1" readingOrder="1"/>
    </xf>
    <xf numFmtId="0" fontId="272" fillId="0" borderId="0" xfId="0" applyFont="1" applyFill="1" applyBorder="1" applyAlignment="1">
      <alignment vertical="center"/>
    </xf>
    <xf numFmtId="0" fontId="273" fillId="0" borderId="100" xfId="0" applyNumberFormat="1" applyFont="1" applyFill="1" applyBorder="1" applyAlignment="1">
      <alignment horizontal="center" vertical="center" wrapText="1" readingOrder="1"/>
    </xf>
    <xf numFmtId="0" fontId="71" fillId="0" borderId="0" xfId="0" applyFont="1" applyAlignment="1">
      <alignment horizontal="center" vertical="center" wrapText="1"/>
    </xf>
    <xf numFmtId="166" fontId="6" fillId="0" borderId="94" xfId="3" applyNumberFormat="1" applyFont="1" applyFill="1" applyBorder="1" applyAlignment="1">
      <alignment horizontal="center" vertical="center" wrapText="1"/>
    </xf>
    <xf numFmtId="0" fontId="71" fillId="0" borderId="94" xfId="0" applyFont="1" applyBorder="1" applyAlignment="1">
      <alignment horizontal="center" vertical="center" wrapText="1"/>
    </xf>
    <xf numFmtId="166" fontId="71" fillId="0" borderId="94" xfId="3" applyNumberFormat="1" applyFont="1" applyFill="1" applyBorder="1" applyAlignment="1">
      <alignment vertical="center" wrapText="1"/>
    </xf>
    <xf numFmtId="166" fontId="133" fillId="0" borderId="94" xfId="3" applyNumberFormat="1" applyFont="1" applyFill="1" applyBorder="1" applyAlignment="1">
      <alignment horizontal="center" vertical="center" wrapText="1"/>
    </xf>
    <xf numFmtId="166" fontId="71" fillId="0" borderId="94" xfId="3" applyNumberFormat="1" applyFont="1" applyFill="1" applyBorder="1" applyAlignment="1">
      <alignment horizontal="center" vertical="center" wrapText="1"/>
    </xf>
    <xf numFmtId="0" fontId="73" fillId="0" borderId="94" xfId="0" applyFont="1" applyBorder="1" applyAlignment="1">
      <alignment horizontal="center" vertical="center" wrapText="1"/>
    </xf>
    <xf numFmtId="0" fontId="73" fillId="0" borderId="94" xfId="0" applyFont="1" applyBorder="1" applyAlignment="1">
      <alignment vertical="center" wrapText="1"/>
    </xf>
    <xf numFmtId="166" fontId="73" fillId="0" borderId="94" xfId="3" applyNumberFormat="1" applyFont="1" applyFill="1" applyBorder="1" applyAlignment="1">
      <alignment horizontal="center" vertical="center" shrinkToFit="1"/>
    </xf>
    <xf numFmtId="166" fontId="106" fillId="0" borderId="94" xfId="3" applyNumberFormat="1" applyFont="1" applyFill="1" applyBorder="1" applyAlignment="1">
      <alignment horizontal="center" vertical="center" shrinkToFit="1"/>
    </xf>
    <xf numFmtId="9" fontId="73" fillId="0" borderId="94" xfId="57" applyFont="1" applyFill="1" applyBorder="1" applyAlignment="1">
      <alignment horizontal="right" vertical="center" wrapText="1"/>
    </xf>
    <xf numFmtId="9" fontId="71" fillId="0" borderId="94" xfId="57" applyFont="1" applyFill="1" applyBorder="1" applyAlignment="1">
      <alignment horizontal="right" vertical="center" wrapText="1"/>
    </xf>
    <xf numFmtId="0" fontId="71" fillId="0" borderId="94" xfId="0" applyFont="1" applyBorder="1" applyAlignment="1">
      <alignment vertical="center" wrapText="1"/>
    </xf>
    <xf numFmtId="166" fontId="71" fillId="0" borderId="94" xfId="3" applyNumberFormat="1" applyFont="1" applyFill="1" applyBorder="1" applyAlignment="1">
      <alignment horizontal="center" vertical="center" shrinkToFit="1"/>
    </xf>
    <xf numFmtId="166" fontId="133" fillId="0" borderId="94" xfId="3" applyNumberFormat="1" applyFont="1" applyFill="1" applyBorder="1" applyAlignment="1">
      <alignment horizontal="center" vertical="center" shrinkToFit="1"/>
    </xf>
    <xf numFmtId="0" fontId="75" fillId="0" borderId="94" xfId="0" applyFont="1" applyBorder="1" applyAlignment="1">
      <alignment horizontal="center" vertical="center" wrapText="1"/>
    </xf>
    <xf numFmtId="0" fontId="75" fillId="0" borderId="94" xfId="0" applyFont="1" applyBorder="1" applyAlignment="1">
      <alignment vertical="center" wrapText="1"/>
    </xf>
    <xf numFmtId="166" fontId="75" fillId="0" borderId="94" xfId="3" applyNumberFormat="1" applyFont="1" applyFill="1" applyBorder="1" applyAlignment="1">
      <alignment horizontal="center" vertical="center" shrinkToFit="1"/>
    </xf>
    <xf numFmtId="166" fontId="140" fillId="0" borderId="94" xfId="3" applyNumberFormat="1" applyFont="1" applyFill="1" applyBorder="1" applyAlignment="1">
      <alignment horizontal="center" vertical="center" shrinkToFit="1"/>
    </xf>
    <xf numFmtId="0" fontId="71" fillId="0" borderId="94" xfId="0" quotePrefix="1" applyFont="1" applyBorder="1" applyAlignment="1">
      <alignment vertical="center" wrapText="1"/>
    </xf>
    <xf numFmtId="166" fontId="140" fillId="6" borderId="94" xfId="3" applyNumberFormat="1" applyFont="1" applyFill="1" applyBorder="1" applyAlignment="1">
      <alignment horizontal="center" vertical="center" shrinkToFit="1"/>
    </xf>
    <xf numFmtId="166" fontId="133" fillId="6" borderId="94" xfId="3" applyNumberFormat="1" applyFont="1" applyFill="1" applyBorder="1" applyAlignment="1">
      <alignment horizontal="center" vertical="center" shrinkToFit="1"/>
    </xf>
    <xf numFmtId="0" fontId="234" fillId="0" borderId="94" xfId="0" applyFont="1" applyBorder="1" applyAlignment="1">
      <alignment horizontal="center" vertical="center" wrapText="1"/>
    </xf>
    <xf numFmtId="166" fontId="106" fillId="6" borderId="94" xfId="3" applyNumberFormat="1" applyFont="1" applyFill="1" applyBorder="1" applyAlignment="1">
      <alignment horizontal="center" vertical="center" shrinkToFit="1"/>
    </xf>
    <xf numFmtId="0" fontId="73" fillId="0" borderId="94" xfId="0" applyFont="1" applyBorder="1" applyAlignment="1">
      <alignment horizontal="center" vertical="center" wrapText="1" readingOrder="1"/>
    </xf>
    <xf numFmtId="0" fontId="73" fillId="0" borderId="94" xfId="0" applyFont="1" applyBorder="1" applyAlignment="1">
      <alignment horizontal="left" vertical="center" wrapText="1" readingOrder="1"/>
    </xf>
    <xf numFmtId="0" fontId="71" fillId="0" borderId="94" xfId="0" applyFont="1" applyBorder="1" applyAlignment="1">
      <alignment horizontal="center" vertical="center" wrapText="1" readingOrder="1"/>
    </xf>
    <xf numFmtId="166" fontId="2" fillId="6" borderId="94" xfId="3" applyNumberFormat="1" applyFont="1" applyFill="1" applyBorder="1" applyAlignment="1">
      <alignment horizontal="center" vertical="center" wrapText="1"/>
    </xf>
    <xf numFmtId="171" fontId="2" fillId="0" borderId="94" xfId="3" applyNumberFormat="1" applyFont="1" applyBorder="1" applyAlignment="1">
      <alignment horizontal="center" vertical="center" wrapText="1"/>
    </xf>
    <xf numFmtId="166" fontId="2" fillId="0" borderId="94" xfId="3" applyNumberFormat="1" applyFont="1" applyBorder="1" applyAlignment="1">
      <alignment horizontal="center" vertical="center" wrapText="1"/>
    </xf>
    <xf numFmtId="166" fontId="6" fillId="6" borderId="94" xfId="3" applyNumberFormat="1" applyFont="1" applyFill="1" applyBorder="1" applyAlignment="1">
      <alignment horizontal="center" vertical="center" wrapText="1"/>
    </xf>
    <xf numFmtId="166" fontId="6" fillId="0" borderId="94" xfId="3" applyNumberFormat="1" applyFont="1" applyBorder="1" applyAlignment="1">
      <alignment horizontal="center" vertical="center" wrapText="1"/>
    </xf>
    <xf numFmtId="0" fontId="2" fillId="0" borderId="94" xfId="0" applyFont="1" applyBorder="1" applyAlignment="1">
      <alignment vertical="center" wrapText="1"/>
    </xf>
    <xf numFmtId="171" fontId="6" fillId="0" borderId="94" xfId="3" applyNumberFormat="1" applyFont="1" applyBorder="1" applyAlignment="1">
      <alignment horizontal="center" vertical="center" wrapText="1"/>
    </xf>
    <xf numFmtId="166" fontId="2" fillId="6" borderId="94" xfId="3" applyNumberFormat="1" applyFont="1" applyFill="1" applyBorder="1" applyAlignment="1">
      <alignment horizontal="center" vertical="center" shrinkToFit="1"/>
    </xf>
    <xf numFmtId="166" fontId="2" fillId="0" borderId="94" xfId="3" applyNumberFormat="1" applyFont="1" applyFill="1" applyBorder="1" applyAlignment="1">
      <alignment horizontal="center" vertical="center" shrinkToFit="1"/>
    </xf>
    <xf numFmtId="229" fontId="6" fillId="0" borderId="94" xfId="57" applyNumberFormat="1" applyFont="1" applyFill="1" applyBorder="1" applyAlignment="1">
      <alignment horizontal="right" vertical="center" wrapText="1"/>
    </xf>
    <xf numFmtId="0" fontId="6" fillId="0" borderId="94" xfId="0" applyFont="1" applyBorder="1" applyAlignment="1">
      <alignment horizontal="center" vertical="center" wrapText="1"/>
    </xf>
    <xf numFmtId="0" fontId="6" fillId="0" borderId="94" xfId="0" applyFont="1" applyBorder="1" applyAlignment="1">
      <alignment vertical="center" wrapText="1"/>
    </xf>
    <xf numFmtId="166" fontId="6" fillId="6" borderId="94" xfId="3" applyNumberFormat="1" applyFont="1" applyFill="1" applyBorder="1" applyAlignment="1">
      <alignment horizontal="center" vertical="center" shrinkToFit="1"/>
    </xf>
    <xf numFmtId="166" fontId="6" fillId="0" borderId="94" xfId="3" applyNumberFormat="1" applyFont="1" applyFill="1" applyBorder="1" applyAlignment="1">
      <alignment horizontal="center" vertical="center" shrinkToFit="1"/>
    </xf>
    <xf numFmtId="171" fontId="6" fillId="6" borderId="94" xfId="3" applyNumberFormat="1" applyFont="1" applyFill="1" applyBorder="1" applyAlignment="1">
      <alignment horizontal="center" vertical="center" shrinkToFit="1"/>
    </xf>
    <xf numFmtId="169" fontId="6" fillId="0" borderId="94" xfId="3" applyNumberFormat="1" applyFont="1" applyFill="1" applyBorder="1" applyAlignment="1">
      <alignment horizontal="center" vertical="center" shrinkToFit="1"/>
    </xf>
    <xf numFmtId="170" fontId="6" fillId="0" borderId="94" xfId="3" applyNumberFormat="1" applyFont="1" applyFill="1" applyBorder="1" applyAlignment="1">
      <alignment horizontal="center" vertical="center" shrinkToFit="1"/>
    </xf>
    <xf numFmtId="171" fontId="114" fillId="0" borderId="94" xfId="3" applyNumberFormat="1" applyFont="1" applyFill="1" applyBorder="1" applyAlignment="1">
      <alignment horizontal="center" vertical="center" wrapText="1"/>
    </xf>
    <xf numFmtId="171" fontId="2" fillId="0" borderId="94" xfId="3" applyNumberFormat="1" applyFont="1" applyFill="1" applyBorder="1" applyAlignment="1">
      <alignment horizontal="center" vertical="center" wrapText="1"/>
    </xf>
    <xf numFmtId="9" fontId="2" fillId="0" borderId="94" xfId="0" applyNumberFormat="1" applyFont="1" applyBorder="1" applyAlignment="1">
      <alignment horizontal="center" vertical="center" wrapText="1"/>
    </xf>
    <xf numFmtId="166" fontId="114" fillId="0" borderId="94" xfId="3" applyNumberFormat="1" applyFont="1" applyFill="1" applyBorder="1" applyAlignment="1">
      <alignment horizontal="center" vertical="center" wrapText="1"/>
    </xf>
    <xf numFmtId="166" fontId="2" fillId="0" borderId="94" xfId="3" applyNumberFormat="1" applyFont="1" applyFill="1" applyBorder="1" applyAlignment="1">
      <alignment horizontal="center" vertical="center" wrapText="1"/>
    </xf>
    <xf numFmtId="0" fontId="2" fillId="0" borderId="94" xfId="0" applyFont="1" applyBorder="1" applyAlignment="1">
      <alignment horizontal="left" vertical="center" wrapText="1"/>
    </xf>
    <xf numFmtId="166" fontId="2" fillId="0" borderId="94" xfId="18" applyNumberFormat="1" applyFont="1" applyFill="1" applyBorder="1" applyAlignment="1">
      <alignment vertical="center" shrinkToFit="1"/>
    </xf>
    <xf numFmtId="166" fontId="2" fillId="0" borderId="94" xfId="18" applyNumberFormat="1" applyFont="1" applyFill="1" applyBorder="1" applyAlignment="1">
      <alignment vertical="center"/>
    </xf>
    <xf numFmtId="166" fontId="114" fillId="0" borderId="94" xfId="3" applyNumberFormat="1" applyFont="1" applyFill="1" applyBorder="1" applyAlignment="1">
      <alignment vertical="center"/>
    </xf>
    <xf numFmtId="166" fontId="2" fillId="0" borderId="94" xfId="3" applyNumberFormat="1" applyFont="1" applyFill="1" applyBorder="1" applyAlignment="1">
      <alignment vertical="center"/>
    </xf>
    <xf numFmtId="229" fontId="2" fillId="0" borderId="94" xfId="0" applyNumberFormat="1" applyFont="1" applyBorder="1" applyAlignment="1">
      <alignment vertical="center"/>
    </xf>
    <xf numFmtId="9" fontId="6" fillId="0" borderId="94" xfId="0" applyNumberFormat="1" applyFont="1" applyBorder="1" applyAlignment="1">
      <alignment vertical="center"/>
    </xf>
    <xf numFmtId="0" fontId="2" fillId="0" borderId="94" xfId="0" applyFont="1" applyBorder="1" applyAlignment="1">
      <alignment horizontal="center" wrapText="1"/>
    </xf>
    <xf numFmtId="0" fontId="2" fillId="0" borderId="94" xfId="0" applyFont="1" applyBorder="1" applyAlignment="1">
      <alignment wrapText="1"/>
    </xf>
    <xf numFmtId="166" fontId="2" fillId="0" borderId="94" xfId="18" applyNumberFormat="1" applyFont="1" applyFill="1" applyBorder="1" applyAlignment="1">
      <alignment shrinkToFit="1"/>
    </xf>
    <xf numFmtId="166" fontId="2" fillId="0" borderId="94" xfId="18" applyNumberFormat="1" applyFont="1" applyFill="1" applyBorder="1" applyAlignment="1"/>
    <xf numFmtId="166" fontId="114" fillId="0" borderId="94" xfId="3" applyNumberFormat="1" applyFont="1" applyFill="1" applyBorder="1" applyAlignment="1"/>
    <xf numFmtId="166" fontId="2" fillId="0" borderId="94" xfId="3" applyNumberFormat="1" applyFont="1" applyFill="1" applyBorder="1" applyAlignment="1"/>
    <xf numFmtId="229" fontId="2" fillId="0" borderId="94" xfId="0" applyNumberFormat="1" applyFont="1" applyBorder="1"/>
    <xf numFmtId="9" fontId="2" fillId="0" borderId="94" xfId="0" applyNumberFormat="1" applyFont="1" applyBorder="1"/>
    <xf numFmtId="166" fontId="6" fillId="0" borderId="94" xfId="18" applyNumberFormat="1" applyFont="1" applyFill="1" applyBorder="1" applyAlignment="1">
      <alignment vertical="center"/>
    </xf>
    <xf numFmtId="166" fontId="139" fillId="0" borderId="94" xfId="3" applyNumberFormat="1" applyFont="1" applyFill="1" applyBorder="1" applyAlignment="1">
      <alignment vertical="center"/>
    </xf>
    <xf numFmtId="166" fontId="6" fillId="0" borderId="94" xfId="3" applyNumberFormat="1" applyFont="1" applyFill="1" applyBorder="1" applyAlignment="1">
      <alignment vertical="center"/>
    </xf>
    <xf numFmtId="229" fontId="6" fillId="0" borderId="94" xfId="0" applyNumberFormat="1" applyFont="1" applyBorder="1" applyAlignment="1">
      <alignment vertical="center"/>
    </xf>
    <xf numFmtId="0" fontId="6" fillId="0" borderId="94" xfId="15" applyFont="1" applyBorder="1" applyAlignment="1">
      <alignment horizontal="left"/>
    </xf>
    <xf numFmtId="166" fontId="139" fillId="0" borderId="94" xfId="3" applyNumberFormat="1" applyFont="1" applyFill="1" applyBorder="1" applyAlignment="1"/>
    <xf numFmtId="229" fontId="6" fillId="0" borderId="94" xfId="0" applyNumberFormat="1" applyFont="1" applyBorder="1"/>
    <xf numFmtId="0" fontId="6" fillId="0" borderId="94" xfId="0" applyFont="1" applyBorder="1" applyAlignment="1">
      <alignment wrapText="1"/>
    </xf>
    <xf numFmtId="166" fontId="177" fillId="0" borderId="94" xfId="18" applyNumberFormat="1" applyFont="1" applyFill="1" applyBorder="1"/>
    <xf numFmtId="166" fontId="263" fillId="0" borderId="94" xfId="3" applyNumberFormat="1" applyFont="1" applyFill="1" applyBorder="1"/>
    <xf numFmtId="166" fontId="177" fillId="0" borderId="94" xfId="3" applyNumberFormat="1" applyFont="1" applyFill="1" applyBorder="1"/>
    <xf numFmtId="166" fontId="6" fillId="0" borderId="94" xfId="18" applyNumberFormat="1" applyFont="1" applyFill="1" applyBorder="1" applyAlignment="1">
      <alignment shrinkToFit="1"/>
    </xf>
    <xf numFmtId="166" fontId="177" fillId="0" borderId="94" xfId="18" applyNumberFormat="1" applyFont="1" applyFill="1" applyBorder="1" applyAlignment="1">
      <alignment shrinkToFit="1"/>
    </xf>
    <xf numFmtId="10" fontId="6" fillId="0" borderId="94" xfId="0" applyNumberFormat="1" applyFont="1" applyBorder="1"/>
    <xf numFmtId="0" fontId="3" fillId="0" borderId="94" xfId="0" applyFont="1" applyBorder="1" applyAlignment="1">
      <alignment wrapText="1"/>
    </xf>
    <xf numFmtId="166" fontId="3" fillId="0" borderId="94" xfId="18" applyNumberFormat="1" applyFont="1" applyFill="1" applyBorder="1" applyAlignment="1"/>
    <xf numFmtId="0" fontId="3" fillId="0" borderId="94" xfId="0" applyFont="1" applyBorder="1" applyAlignment="1">
      <alignment horizontal="center" wrapText="1"/>
    </xf>
    <xf numFmtId="166" fontId="139" fillId="0" borderId="94" xfId="18" applyNumberFormat="1" applyFont="1" applyFill="1" applyBorder="1" applyAlignment="1"/>
    <xf numFmtId="169" fontId="114" fillId="0" borderId="94" xfId="3" applyNumberFormat="1" applyFont="1" applyFill="1" applyBorder="1" applyAlignment="1"/>
    <xf numFmtId="169" fontId="2" fillId="0" borderId="94" xfId="3" applyNumberFormat="1" applyFont="1" applyFill="1" applyBorder="1" applyAlignment="1"/>
    <xf numFmtId="171" fontId="2" fillId="6" borderId="94" xfId="3" applyNumberFormat="1" applyFont="1" applyFill="1" applyBorder="1" applyAlignment="1">
      <alignment horizontal="center" vertical="center" wrapText="1"/>
    </xf>
    <xf numFmtId="0" fontId="2" fillId="6" borderId="94" xfId="0" applyFont="1" applyFill="1" applyBorder="1" applyAlignment="1">
      <alignment horizontal="center" wrapText="1"/>
    </xf>
    <xf numFmtId="0" fontId="2" fillId="6" borderId="94" xfId="0" applyFont="1" applyFill="1" applyBorder="1" applyAlignment="1">
      <alignment vertical="center" wrapText="1"/>
    </xf>
    <xf numFmtId="166" fontId="2" fillId="0" borderId="94" xfId="3" applyNumberFormat="1" applyFont="1" applyFill="1" applyBorder="1" applyAlignment="1">
      <alignment vertical="center" shrinkToFit="1"/>
    </xf>
    <xf numFmtId="43" fontId="2" fillId="6" borderId="94" xfId="3" applyNumberFormat="1" applyFont="1" applyFill="1" applyBorder="1" applyAlignment="1">
      <alignment vertical="center" shrinkToFit="1"/>
    </xf>
    <xf numFmtId="9" fontId="6" fillId="6" borderId="94" xfId="57" applyFont="1" applyFill="1" applyBorder="1" applyAlignment="1">
      <alignment vertical="center" wrapText="1"/>
    </xf>
    <xf numFmtId="9" fontId="2" fillId="6" borderId="94" xfId="57" applyFont="1" applyFill="1" applyBorder="1" applyAlignment="1">
      <alignment vertical="center" wrapText="1"/>
    </xf>
    <xf numFmtId="0" fontId="6" fillId="6" borderId="94" xfId="0" applyFont="1" applyFill="1" applyBorder="1" applyAlignment="1">
      <alignment horizontal="center" wrapText="1"/>
    </xf>
    <xf numFmtId="0" fontId="6" fillId="6" borderId="94" xfId="0" applyFont="1" applyFill="1" applyBorder="1" applyAlignment="1">
      <alignment vertical="center" wrapText="1"/>
    </xf>
    <xf numFmtId="166" fontId="6" fillId="0" borderId="94" xfId="3" applyNumberFormat="1" applyFont="1" applyFill="1" applyBorder="1" applyAlignment="1">
      <alignment vertical="center" shrinkToFit="1"/>
    </xf>
    <xf numFmtId="43" fontId="6" fillId="6" borderId="94" xfId="3" applyNumberFormat="1" applyFont="1" applyFill="1" applyBorder="1" applyAlignment="1">
      <alignment vertical="center" shrinkToFit="1"/>
    </xf>
    <xf numFmtId="0" fontId="3" fillId="6" borderId="94" xfId="0" applyFont="1" applyFill="1" applyBorder="1" applyAlignment="1">
      <alignment vertical="center" wrapText="1"/>
    </xf>
    <xf numFmtId="0" fontId="3" fillId="6" borderId="94" xfId="0" applyFont="1" applyFill="1" applyBorder="1" applyAlignment="1">
      <alignment horizontal="center" wrapText="1"/>
    </xf>
    <xf numFmtId="166" fontId="3" fillId="0" borderId="94" xfId="3" applyNumberFormat="1" applyFont="1" applyFill="1" applyBorder="1" applyAlignment="1">
      <alignment vertical="center" shrinkToFit="1"/>
    </xf>
    <xf numFmtId="166" fontId="3" fillId="6" borderId="94" xfId="3" applyNumberFormat="1" applyFont="1" applyFill="1" applyBorder="1" applyAlignment="1">
      <alignment vertical="center" shrinkToFit="1"/>
    </xf>
    <xf numFmtId="9" fontId="3" fillId="6" borderId="94" xfId="57" applyFont="1" applyFill="1" applyBorder="1" applyAlignment="1">
      <alignment vertical="center" wrapText="1"/>
    </xf>
    <xf numFmtId="169" fontId="3" fillId="6" borderId="94" xfId="3" applyNumberFormat="1" applyFont="1" applyFill="1" applyBorder="1" applyAlignment="1">
      <alignment vertical="center" shrinkToFit="1"/>
    </xf>
    <xf numFmtId="0" fontId="260" fillId="0" borderId="94" xfId="0" applyFont="1" applyBorder="1" applyAlignment="1">
      <alignment horizontal="left" vertical="center" wrapText="1" readingOrder="1"/>
    </xf>
    <xf numFmtId="170" fontId="6" fillId="6" borderId="94" xfId="3" applyNumberFormat="1" applyFont="1" applyFill="1" applyBorder="1" applyAlignment="1">
      <alignment vertical="center" shrinkToFit="1"/>
    </xf>
    <xf numFmtId="169" fontId="6" fillId="6" borderId="94" xfId="3" applyNumberFormat="1" applyFont="1" applyFill="1" applyBorder="1" applyAlignment="1">
      <alignment vertical="center" shrinkToFit="1"/>
    </xf>
    <xf numFmtId="166" fontId="6" fillId="6" borderId="94" xfId="3" applyNumberFormat="1" applyFont="1" applyFill="1" applyBorder="1" applyAlignment="1">
      <alignment vertical="center" wrapText="1"/>
    </xf>
    <xf numFmtId="0" fontId="6" fillId="6" borderId="94" xfId="0" applyFont="1" applyFill="1" applyBorder="1" applyAlignment="1">
      <alignment horizontal="center" vertical="center" wrapText="1"/>
    </xf>
    <xf numFmtId="170" fontId="2" fillId="6" borderId="94" xfId="3" applyNumberFormat="1" applyFont="1" applyFill="1" applyBorder="1" applyAlignment="1">
      <alignment vertical="center" shrinkToFit="1"/>
    </xf>
    <xf numFmtId="166" fontId="2" fillId="6" borderId="94" xfId="3" applyNumberFormat="1" applyFont="1" applyFill="1" applyBorder="1" applyAlignment="1">
      <alignment vertical="center" wrapText="1"/>
    </xf>
    <xf numFmtId="171" fontId="3" fillId="0" borderId="94" xfId="3" applyNumberFormat="1" applyFont="1" applyFill="1" applyBorder="1" applyAlignment="1">
      <alignment vertical="center" shrinkToFit="1"/>
    </xf>
    <xf numFmtId="170" fontId="3" fillId="6" borderId="94" xfId="3" applyNumberFormat="1" applyFont="1" applyFill="1" applyBorder="1" applyAlignment="1">
      <alignment vertical="center" shrinkToFit="1"/>
    </xf>
    <xf numFmtId="166" fontId="3" fillId="6" borderId="94" xfId="3" applyNumberFormat="1" applyFont="1" applyFill="1" applyBorder="1" applyAlignment="1">
      <alignment vertical="center" wrapText="1"/>
    </xf>
    <xf numFmtId="166" fontId="2" fillId="6" borderId="94" xfId="3" applyNumberFormat="1" applyFont="1" applyFill="1" applyBorder="1" applyAlignment="1">
      <alignment vertical="center" shrinkToFit="1"/>
    </xf>
    <xf numFmtId="170" fontId="2" fillId="0" borderId="94" xfId="3" applyNumberFormat="1" applyFont="1" applyFill="1" applyBorder="1" applyAlignment="1">
      <alignment horizontal="center" vertical="center" shrinkToFit="1"/>
    </xf>
    <xf numFmtId="170" fontId="2" fillId="6" borderId="94" xfId="3" applyNumberFormat="1" applyFont="1" applyFill="1" applyBorder="1" applyAlignment="1">
      <alignment horizontal="center" vertical="center" shrinkToFit="1"/>
    </xf>
    <xf numFmtId="170" fontId="6" fillId="6" borderId="94" xfId="3" applyNumberFormat="1" applyFont="1" applyFill="1" applyBorder="1" applyAlignment="1">
      <alignment horizontal="center" vertical="center" shrinkToFit="1"/>
    </xf>
    <xf numFmtId="170" fontId="3" fillId="0" borderId="94" xfId="3" applyNumberFormat="1" applyFont="1" applyFill="1" applyBorder="1" applyAlignment="1">
      <alignment horizontal="center" vertical="center" shrinkToFit="1"/>
    </xf>
    <xf numFmtId="0" fontId="6" fillId="6" borderId="94" xfId="0" quotePrefix="1" applyFont="1" applyFill="1" applyBorder="1" applyAlignment="1">
      <alignment vertical="center" wrapText="1"/>
    </xf>
    <xf numFmtId="170" fontId="3" fillId="6" borderId="94" xfId="3" applyNumberFormat="1" applyFont="1" applyFill="1" applyBorder="1" applyAlignment="1">
      <alignment horizontal="center" vertical="center" shrinkToFit="1"/>
    </xf>
    <xf numFmtId="0" fontId="8" fillId="6" borderId="94" xfId="0" applyFont="1" applyFill="1" applyBorder="1" applyAlignment="1">
      <alignment horizontal="center" wrapText="1"/>
    </xf>
    <xf numFmtId="0" fontId="2" fillId="0" borderId="94" xfId="0" applyFont="1" applyBorder="1" applyAlignment="1">
      <alignment horizontal="center" wrapText="1" readingOrder="1"/>
    </xf>
    <xf numFmtId="0" fontId="2" fillId="0" borderId="94" xfId="0" applyFont="1" applyBorder="1" applyAlignment="1">
      <alignment horizontal="left" vertical="center" wrapText="1" readingOrder="1"/>
    </xf>
    <xf numFmtId="43" fontId="2" fillId="0" borderId="94" xfId="3" applyNumberFormat="1" applyFont="1" applyFill="1" applyBorder="1" applyAlignment="1">
      <alignment horizontal="center" vertical="center" shrinkToFit="1"/>
    </xf>
    <xf numFmtId="0" fontId="6" fillId="0" borderId="94" xfId="0" applyFont="1" applyBorder="1" applyAlignment="1">
      <alignment horizontal="center" wrapText="1" readingOrder="1"/>
    </xf>
    <xf numFmtId="0" fontId="265" fillId="6" borderId="94" xfId="0" applyFont="1" applyFill="1" applyBorder="1" applyAlignment="1">
      <alignment horizontal="left" vertical="center" wrapText="1" readingOrder="1"/>
    </xf>
    <xf numFmtId="0" fontId="260" fillId="0" borderId="94" xfId="0" applyFont="1" applyBorder="1" applyAlignment="1">
      <alignment horizontal="center" wrapText="1" readingOrder="1"/>
    </xf>
    <xf numFmtId="166" fontId="2" fillId="0" borderId="94" xfId="3" applyNumberFormat="1" applyFont="1" applyFill="1" applyBorder="1" applyAlignment="1">
      <alignment vertical="center" wrapText="1"/>
    </xf>
    <xf numFmtId="0" fontId="114" fillId="6" borderId="72" xfId="0" applyFont="1" applyFill="1" applyBorder="1" applyAlignment="1">
      <alignment horizontal="center" vertical="center" wrapText="1" readingOrder="1"/>
    </xf>
    <xf numFmtId="166" fontId="114" fillId="6" borderId="72" xfId="3" applyNumberFormat="1" applyFont="1" applyFill="1" applyBorder="1" applyAlignment="1">
      <alignment horizontal="center" vertical="center" wrapText="1" readingOrder="1"/>
    </xf>
    <xf numFmtId="0" fontId="114" fillId="6" borderId="94" xfId="0" applyFont="1" applyFill="1" applyBorder="1" applyAlignment="1">
      <alignment horizontal="center" vertical="center" wrapText="1" readingOrder="1"/>
    </xf>
    <xf numFmtId="0" fontId="114" fillId="6" borderId="94" xfId="0" applyFont="1" applyFill="1" applyBorder="1" applyAlignment="1">
      <alignment horizontal="left" vertical="center" wrapText="1" readingOrder="1"/>
    </xf>
    <xf numFmtId="166" fontId="114" fillId="0" borderId="94" xfId="3" applyNumberFormat="1" applyFont="1" applyFill="1" applyBorder="1" applyAlignment="1">
      <alignment horizontal="right" vertical="center" shrinkToFit="1" readingOrder="1"/>
    </xf>
    <xf numFmtId="166" fontId="114" fillId="6" borderId="94" xfId="3" applyNumberFormat="1" applyFont="1" applyFill="1" applyBorder="1" applyAlignment="1">
      <alignment horizontal="right" vertical="center" shrinkToFit="1" readingOrder="1"/>
    </xf>
    <xf numFmtId="166" fontId="114" fillId="6" borderId="94" xfId="3" applyNumberFormat="1" applyFont="1" applyFill="1" applyBorder="1" applyAlignment="1">
      <alignment horizontal="right" vertical="center" wrapText="1" readingOrder="1"/>
    </xf>
    <xf numFmtId="0" fontId="114" fillId="6" borderId="94" xfId="0" applyFont="1" applyFill="1" applyBorder="1" applyAlignment="1">
      <alignment horizontal="center" wrapText="1" readingOrder="1"/>
    </xf>
    <xf numFmtId="0" fontId="114" fillId="6" borderId="94" xfId="0" applyFont="1" applyFill="1" applyBorder="1" applyAlignment="1">
      <alignment horizontal="left" wrapText="1" readingOrder="1"/>
    </xf>
    <xf numFmtId="169" fontId="114" fillId="0" borderId="94" xfId="3" applyNumberFormat="1" applyFont="1" applyFill="1" applyBorder="1" applyAlignment="1">
      <alignment horizontal="right" wrapText="1" readingOrder="1"/>
    </xf>
    <xf numFmtId="169" fontId="114" fillId="6" borderId="94" xfId="3" applyNumberFormat="1" applyFont="1" applyFill="1" applyBorder="1" applyAlignment="1">
      <alignment horizontal="right" wrapText="1" readingOrder="1"/>
    </xf>
    <xf numFmtId="166" fontId="114" fillId="6" borderId="94" xfId="3" applyNumberFormat="1" applyFont="1" applyFill="1" applyBorder="1" applyAlignment="1">
      <alignment horizontal="right" wrapText="1" readingOrder="1"/>
    </xf>
    <xf numFmtId="170" fontId="114" fillId="0" borderId="94" xfId="3" applyNumberFormat="1" applyFont="1" applyFill="1" applyBorder="1" applyAlignment="1">
      <alignment horizontal="right" shrinkToFit="1" readingOrder="1"/>
    </xf>
    <xf numFmtId="170" fontId="114" fillId="6" borderId="94" xfId="3" applyNumberFormat="1" applyFont="1" applyFill="1" applyBorder="1" applyAlignment="1">
      <alignment horizontal="right" shrinkToFit="1" readingOrder="1"/>
    </xf>
    <xf numFmtId="166" fontId="114" fillId="6" borderId="94" xfId="3" applyNumberFormat="1" applyFont="1" applyFill="1" applyBorder="1" applyAlignment="1">
      <alignment horizontal="right" shrinkToFit="1" readingOrder="1"/>
    </xf>
    <xf numFmtId="0" fontId="139" fillId="6" borderId="94" xfId="0" applyFont="1" applyFill="1" applyBorder="1" applyAlignment="1">
      <alignment horizontal="center" wrapText="1" readingOrder="1"/>
    </xf>
    <xf numFmtId="0" fontId="139" fillId="6" borderId="94" xfId="0" applyFont="1" applyFill="1" applyBorder="1" applyAlignment="1">
      <alignment horizontal="left" wrapText="1" readingOrder="1"/>
    </xf>
    <xf numFmtId="170" fontId="139" fillId="0" borderId="94" xfId="3" applyNumberFormat="1" applyFont="1" applyFill="1" applyBorder="1" applyAlignment="1">
      <alignment horizontal="right" shrinkToFit="1" readingOrder="1"/>
    </xf>
    <xf numFmtId="170" fontId="139" fillId="6" borderId="94" xfId="3" applyNumberFormat="1" applyFont="1" applyFill="1" applyBorder="1" applyAlignment="1">
      <alignment horizontal="right" shrinkToFit="1" readingOrder="1"/>
    </xf>
    <xf numFmtId="166" fontId="139" fillId="6" borderId="94" xfId="3" applyNumberFormat="1" applyFont="1" applyFill="1" applyBorder="1" applyAlignment="1">
      <alignment horizontal="right" shrinkToFit="1" readingOrder="1"/>
    </xf>
    <xf numFmtId="169" fontId="139" fillId="0" borderId="94" xfId="3" applyNumberFormat="1" applyFont="1" applyFill="1" applyBorder="1" applyAlignment="1">
      <alignment horizontal="right" shrinkToFit="1" readingOrder="1"/>
    </xf>
    <xf numFmtId="169" fontId="139" fillId="6" borderId="94" xfId="3" applyNumberFormat="1" applyFont="1" applyFill="1" applyBorder="1" applyAlignment="1">
      <alignment horizontal="right" shrinkToFit="1" readingOrder="1"/>
    </xf>
    <xf numFmtId="43" fontId="139" fillId="0" borderId="94" xfId="3" applyNumberFormat="1" applyFont="1" applyFill="1" applyBorder="1" applyAlignment="1">
      <alignment horizontal="right" shrinkToFit="1" readingOrder="1"/>
    </xf>
    <xf numFmtId="43" fontId="139" fillId="6" borderId="94" xfId="3" applyNumberFormat="1" applyFont="1" applyFill="1" applyBorder="1" applyAlignment="1">
      <alignment horizontal="right" shrinkToFit="1" readingOrder="1"/>
    </xf>
    <xf numFmtId="0" fontId="139" fillId="6" borderId="94" xfId="0" quotePrefix="1" applyFont="1" applyFill="1" applyBorder="1" applyAlignment="1">
      <alignment horizontal="center" wrapText="1" readingOrder="1"/>
    </xf>
    <xf numFmtId="166" fontId="114" fillId="0" borderId="94" xfId="3" applyNumberFormat="1" applyFont="1" applyFill="1" applyBorder="1" applyAlignment="1">
      <alignment horizontal="right" shrinkToFit="1" readingOrder="1"/>
    </xf>
    <xf numFmtId="229" fontId="139" fillId="6" borderId="94" xfId="57" applyNumberFormat="1" applyFont="1" applyFill="1" applyBorder="1" applyAlignment="1">
      <alignment horizontal="right" shrinkToFit="1" readingOrder="1"/>
    </xf>
    <xf numFmtId="166" fontId="139" fillId="0" borderId="94" xfId="3" applyNumberFormat="1" applyFont="1" applyFill="1" applyBorder="1" applyAlignment="1">
      <alignment horizontal="right" shrinkToFit="1" readingOrder="1"/>
    </xf>
    <xf numFmtId="10" fontId="139" fillId="6" borderId="94" xfId="57" applyNumberFormat="1" applyFont="1" applyFill="1" applyBorder="1" applyAlignment="1">
      <alignment horizontal="right" shrinkToFit="1" readingOrder="1"/>
    </xf>
    <xf numFmtId="9" fontId="139" fillId="6" borderId="94" xfId="57" applyFont="1" applyFill="1" applyBorder="1" applyAlignment="1">
      <alignment horizontal="right" shrinkToFit="1" readingOrder="1"/>
    </xf>
    <xf numFmtId="166" fontId="139" fillId="0" borderId="94" xfId="3" applyNumberFormat="1" applyFont="1" applyFill="1" applyBorder="1" applyAlignment="1">
      <alignment shrinkToFit="1" readingOrder="1"/>
    </xf>
    <xf numFmtId="171" fontId="139" fillId="6" borderId="94" xfId="3" applyNumberFormat="1" applyFont="1" applyFill="1" applyBorder="1" applyAlignment="1">
      <alignment horizontal="right" shrinkToFit="1" readingOrder="1"/>
    </xf>
    <xf numFmtId="171" fontId="139" fillId="0" borderId="94" xfId="3" applyNumberFormat="1" applyFont="1" applyFill="1" applyBorder="1" applyAlignment="1">
      <alignment horizontal="right" shrinkToFit="1" readingOrder="1"/>
    </xf>
    <xf numFmtId="0" fontId="139" fillId="6" borderId="94" xfId="0" applyFont="1" applyFill="1" applyBorder="1" applyAlignment="1">
      <alignment horizontal="center" vertical="center" wrapText="1" readingOrder="1"/>
    </xf>
    <xf numFmtId="166" fontId="139" fillId="6" borderId="94" xfId="3" applyNumberFormat="1" applyFont="1" applyFill="1" applyBorder="1" applyAlignment="1">
      <alignment horizontal="center" vertical="center" shrinkToFit="1"/>
    </xf>
    <xf numFmtId="171" fontId="139" fillId="0" borderId="94" xfId="3" applyNumberFormat="1" applyFont="1" applyFill="1" applyBorder="1" applyAlignment="1">
      <alignment horizontal="right" vertical="center" shrinkToFit="1" readingOrder="1"/>
    </xf>
    <xf numFmtId="166" fontId="139" fillId="6" borderId="94" xfId="3" applyNumberFormat="1" applyFont="1" applyFill="1" applyBorder="1" applyAlignment="1">
      <alignment horizontal="right" vertical="center" shrinkToFit="1" readingOrder="1"/>
    </xf>
    <xf numFmtId="9" fontId="139" fillId="6" borderId="94" xfId="57" applyFont="1" applyFill="1" applyBorder="1" applyAlignment="1">
      <alignment horizontal="right" vertical="center" shrinkToFit="1" readingOrder="1"/>
    </xf>
    <xf numFmtId="0" fontId="114" fillId="0" borderId="94" xfId="0" applyFont="1" applyBorder="1" applyAlignment="1">
      <alignment horizontal="center" wrapText="1" readingOrder="1"/>
    </xf>
    <xf numFmtId="0" fontId="114" fillId="0" borderId="94" xfId="0" applyFont="1" applyBorder="1" applyAlignment="1">
      <alignment horizontal="left" wrapText="1" readingOrder="1"/>
    </xf>
    <xf numFmtId="166" fontId="114" fillId="0" borderId="94" xfId="3" applyNumberFormat="1" applyFont="1" applyBorder="1" applyAlignment="1">
      <alignment horizontal="right" shrinkToFit="1" readingOrder="1"/>
    </xf>
    <xf numFmtId="170" fontId="114" fillId="6" borderId="94" xfId="3" applyNumberFormat="1" applyFont="1" applyFill="1" applyBorder="1" applyAlignment="1">
      <alignment shrinkToFit="1"/>
    </xf>
    <xf numFmtId="3" fontId="139" fillId="6" borderId="94" xfId="0" applyNumberFormat="1" applyFont="1" applyFill="1" applyBorder="1" applyAlignment="1">
      <alignment horizontal="justify" wrapText="1"/>
    </xf>
    <xf numFmtId="166" fontId="139" fillId="6" borderId="94" xfId="3" applyNumberFormat="1" applyFont="1" applyFill="1" applyBorder="1" applyAlignment="1">
      <alignment shrinkToFit="1"/>
    </xf>
    <xf numFmtId="3" fontId="139" fillId="6" borderId="94" xfId="0" applyNumberFormat="1" applyFont="1" applyFill="1" applyBorder="1" applyAlignment="1">
      <alignment wrapText="1"/>
    </xf>
    <xf numFmtId="166" fontId="139" fillId="6" borderId="94" xfId="3" applyNumberFormat="1" applyFont="1" applyFill="1" applyBorder="1" applyAlignment="1">
      <alignment horizontal="center" shrinkToFit="1"/>
    </xf>
    <xf numFmtId="166" fontId="139" fillId="0" borderId="94" xfId="3" applyNumberFormat="1" applyFont="1" applyFill="1" applyBorder="1" applyAlignment="1">
      <alignment horizontal="center" shrinkToFit="1"/>
    </xf>
    <xf numFmtId="43" fontId="114" fillId="0" borderId="94" xfId="28" applyFont="1" applyBorder="1" applyAlignment="1">
      <alignment horizontal="center" vertical="center"/>
    </xf>
    <xf numFmtId="3" fontId="114" fillId="6" borderId="94" xfId="0" applyNumberFormat="1" applyFont="1" applyFill="1" applyBorder="1" applyAlignment="1">
      <alignment vertical="center" wrapText="1"/>
    </xf>
    <xf numFmtId="166" fontId="114" fillId="6" borderId="94" xfId="3" applyNumberFormat="1" applyFont="1" applyFill="1" applyBorder="1" applyAlignment="1">
      <alignment vertical="center" shrinkToFit="1"/>
    </xf>
    <xf numFmtId="170" fontId="114" fillId="6" borderId="94" xfId="3" applyNumberFormat="1" applyFont="1" applyFill="1" applyBorder="1" applyAlignment="1">
      <alignment vertical="center" shrinkToFit="1"/>
    </xf>
    <xf numFmtId="166" fontId="6" fillId="0" borderId="94" xfId="3" applyNumberFormat="1" applyFont="1" applyFill="1" applyBorder="1" applyAlignment="1">
      <alignment horizontal="center" shrinkToFit="1"/>
    </xf>
    <xf numFmtId="0" fontId="114" fillId="0" borderId="94" xfId="0" applyFont="1" applyBorder="1" applyAlignment="1">
      <alignment horizontal="center" vertical="center" wrapText="1" readingOrder="1"/>
    </xf>
    <xf numFmtId="0" fontId="114" fillId="0" borderId="94" xfId="0" applyFont="1" applyBorder="1" applyAlignment="1">
      <alignment vertical="center" wrapText="1" readingOrder="1"/>
    </xf>
    <xf numFmtId="169" fontId="114" fillId="0" borderId="94" xfId="3" applyNumberFormat="1" applyFont="1" applyFill="1" applyBorder="1" applyAlignment="1">
      <alignment horizontal="right" vertical="center" wrapText="1" readingOrder="1"/>
    </xf>
    <xf numFmtId="166" fontId="114" fillId="0" borderId="94" xfId="3" applyNumberFormat="1" applyFont="1" applyBorder="1" applyAlignment="1">
      <alignment horizontal="right" vertical="center" wrapText="1" readingOrder="1"/>
    </xf>
    <xf numFmtId="166" fontId="114" fillId="0" borderId="94" xfId="3" applyNumberFormat="1" applyFont="1" applyFill="1" applyBorder="1" applyAlignment="1">
      <alignment horizontal="right" vertical="center" wrapText="1" readingOrder="1"/>
    </xf>
    <xf numFmtId="166" fontId="264" fillId="6" borderId="72" xfId="3" applyNumberFormat="1" applyFont="1" applyFill="1" applyBorder="1" applyAlignment="1">
      <alignment horizontal="center" vertical="center" wrapText="1" readingOrder="1"/>
    </xf>
    <xf numFmtId="171" fontId="264" fillId="6" borderId="72" xfId="3" applyNumberFormat="1" applyFont="1" applyFill="1" applyBorder="1" applyAlignment="1">
      <alignment horizontal="center" vertical="center" wrapText="1" readingOrder="1"/>
    </xf>
    <xf numFmtId="0" fontId="264" fillId="6" borderId="72" xfId="0" applyFont="1" applyFill="1" applyBorder="1" applyAlignment="1">
      <alignment horizontal="center" vertical="center" wrapText="1" readingOrder="1"/>
    </xf>
    <xf numFmtId="166" fontId="265" fillId="6" borderId="72" xfId="3" applyNumberFormat="1" applyFont="1" applyFill="1" applyBorder="1" applyAlignment="1">
      <alignment horizontal="center" vertical="center" wrapText="1" readingOrder="1"/>
    </xf>
    <xf numFmtId="0" fontId="265" fillId="6" borderId="72" xfId="0" applyFont="1" applyFill="1" applyBorder="1" applyAlignment="1">
      <alignment horizontal="center" vertical="center" wrapText="1" readingOrder="1"/>
    </xf>
    <xf numFmtId="0" fontId="264" fillId="6" borderId="94" xfId="0" applyFont="1" applyFill="1" applyBorder="1" applyAlignment="1">
      <alignment horizontal="center" vertical="center" wrapText="1" readingOrder="1"/>
    </xf>
    <xf numFmtId="0" fontId="264" fillId="6" borderId="94" xfId="0" applyFont="1" applyFill="1" applyBorder="1" applyAlignment="1">
      <alignment horizontal="left" vertical="center" wrapText="1" readingOrder="1"/>
    </xf>
    <xf numFmtId="170" fontId="264" fillId="6" borderId="94" xfId="3" applyNumberFormat="1" applyFont="1" applyFill="1" applyBorder="1" applyAlignment="1">
      <alignment horizontal="right" vertical="center" shrinkToFit="1" readingOrder="1"/>
    </xf>
    <xf numFmtId="166" fontId="264" fillId="6" borderId="94" xfId="3" applyNumberFormat="1" applyFont="1" applyFill="1" applyBorder="1" applyAlignment="1">
      <alignment horizontal="right" vertical="center" shrinkToFit="1" readingOrder="1"/>
    </xf>
    <xf numFmtId="166" fontId="264" fillId="6" borderId="94" xfId="3" applyNumberFormat="1" applyFont="1" applyFill="1" applyBorder="1" applyAlignment="1">
      <alignment horizontal="right" vertical="center" wrapText="1" readingOrder="1"/>
    </xf>
    <xf numFmtId="185" fontId="264" fillId="6" borderId="94" xfId="0" applyNumberFormat="1" applyFont="1" applyFill="1" applyBorder="1" applyAlignment="1">
      <alignment horizontal="right" vertical="center" shrinkToFit="1" readingOrder="1"/>
    </xf>
    <xf numFmtId="0" fontId="265" fillId="6" borderId="94" xfId="0" applyFont="1" applyFill="1" applyBorder="1" applyAlignment="1">
      <alignment horizontal="center" vertical="center" wrapText="1" readingOrder="1"/>
    </xf>
    <xf numFmtId="170" fontId="265" fillId="6" borderId="94" xfId="3" applyNumberFormat="1" applyFont="1" applyFill="1" applyBorder="1" applyAlignment="1">
      <alignment horizontal="right" vertical="center" shrinkToFit="1" readingOrder="1"/>
    </xf>
    <xf numFmtId="185" fontId="265" fillId="6" borderId="94" xfId="0" applyNumberFormat="1" applyFont="1" applyFill="1" applyBorder="1" applyAlignment="1">
      <alignment horizontal="right" vertical="center" shrinkToFit="1" readingOrder="1"/>
    </xf>
    <xf numFmtId="166" fontId="265" fillId="6" borderId="94" xfId="3" applyNumberFormat="1" applyFont="1" applyFill="1" applyBorder="1" applyAlignment="1">
      <alignment horizontal="right" vertical="center" shrinkToFit="1" readingOrder="1"/>
    </xf>
    <xf numFmtId="166" fontId="265" fillId="6" borderId="94" xfId="3" applyNumberFormat="1" applyFont="1" applyFill="1" applyBorder="1" applyAlignment="1">
      <alignment horizontal="right" vertical="center" wrapText="1" readingOrder="1"/>
    </xf>
    <xf numFmtId="0" fontId="266" fillId="6" borderId="94" xfId="0" applyFont="1" applyFill="1" applyBorder="1" applyAlignment="1">
      <alignment horizontal="center" vertical="center" wrapText="1" readingOrder="1"/>
    </xf>
    <xf numFmtId="0" fontId="266" fillId="6" borderId="94" xfId="0" applyFont="1" applyFill="1" applyBorder="1" applyAlignment="1">
      <alignment horizontal="left" vertical="center" wrapText="1" readingOrder="1"/>
    </xf>
    <xf numFmtId="170" fontId="266" fillId="6" borderId="94" xfId="3" applyNumberFormat="1" applyFont="1" applyFill="1" applyBorder="1" applyAlignment="1">
      <alignment horizontal="right" vertical="center" shrinkToFit="1" readingOrder="1"/>
    </xf>
    <xf numFmtId="185" fontId="266" fillId="6" borderId="94" xfId="0" applyNumberFormat="1" applyFont="1" applyFill="1" applyBorder="1" applyAlignment="1">
      <alignment horizontal="right" vertical="center" shrinkToFit="1" readingOrder="1"/>
    </xf>
    <xf numFmtId="166" fontId="266" fillId="6" borderId="94" xfId="3" applyNumberFormat="1" applyFont="1" applyFill="1" applyBorder="1" applyAlignment="1">
      <alignment horizontal="right" vertical="center" shrinkToFit="1" readingOrder="1"/>
    </xf>
    <xf numFmtId="0" fontId="265" fillId="6" borderId="94" xfId="0" quotePrefix="1" applyFont="1" applyFill="1" applyBorder="1" applyAlignment="1">
      <alignment horizontal="center" vertical="center" wrapText="1" readingOrder="1"/>
    </xf>
    <xf numFmtId="166" fontId="266" fillId="6" borderId="94" xfId="3" applyNumberFormat="1" applyFont="1" applyFill="1" applyBorder="1" applyAlignment="1">
      <alignment horizontal="right" vertical="center" wrapText="1" readingOrder="1"/>
    </xf>
    <xf numFmtId="170" fontId="264" fillId="6" borderId="94" xfId="3" applyNumberFormat="1" applyFont="1" applyFill="1" applyBorder="1" applyAlignment="1">
      <alignment horizontal="center" vertical="center" shrinkToFit="1"/>
    </xf>
    <xf numFmtId="0" fontId="265" fillId="6" borderId="94" xfId="0" applyFont="1" applyFill="1" applyBorder="1" applyAlignment="1">
      <alignment horizontal="center" vertical="center" wrapText="1"/>
    </xf>
    <xf numFmtId="0" fontId="265" fillId="6" borderId="94" xfId="0" applyFont="1" applyFill="1" applyBorder="1" applyAlignment="1">
      <alignment vertical="center" wrapText="1"/>
    </xf>
    <xf numFmtId="170" fontId="265" fillId="6" borderId="94" xfId="3" applyNumberFormat="1" applyFont="1" applyFill="1" applyBorder="1" applyAlignment="1">
      <alignment horizontal="center" vertical="center" shrinkToFit="1"/>
    </xf>
    <xf numFmtId="0" fontId="266" fillId="6" borderId="94" xfId="0" applyFont="1" applyFill="1" applyBorder="1" applyAlignment="1">
      <alignment vertical="center" wrapText="1"/>
    </xf>
    <xf numFmtId="0" fontId="265" fillId="6" borderId="94" xfId="0" quotePrefix="1" applyFont="1" applyFill="1" applyBorder="1" applyAlignment="1">
      <alignment vertical="center" wrapText="1"/>
    </xf>
    <xf numFmtId="0" fontId="266" fillId="6" borderId="94" xfId="0" applyFont="1" applyFill="1" applyBorder="1" applyAlignment="1">
      <alignment horizontal="center" vertical="center" wrapText="1"/>
    </xf>
    <xf numFmtId="170" fontId="266" fillId="6" borderId="94" xfId="3" applyNumberFormat="1" applyFont="1" applyFill="1" applyBorder="1" applyAlignment="1">
      <alignment horizontal="center" vertical="center" shrinkToFit="1"/>
    </xf>
    <xf numFmtId="170" fontId="266" fillId="6" borderId="94" xfId="3" applyNumberFormat="1" applyFont="1" applyFill="1" applyBorder="1" applyAlignment="1">
      <alignment horizontal="center" vertical="center" shrinkToFit="1" readingOrder="1"/>
    </xf>
    <xf numFmtId="0" fontId="267" fillId="6" borderId="94" xfId="0" applyFont="1" applyFill="1" applyBorder="1" applyAlignment="1">
      <alignment horizontal="center" vertical="center" wrapText="1"/>
    </xf>
    <xf numFmtId="166" fontId="139" fillId="0" borderId="94" xfId="3" applyNumberFormat="1" applyFont="1" applyFill="1" applyBorder="1" applyAlignment="1">
      <alignment horizontal="center" vertical="center" shrinkToFit="1"/>
    </xf>
    <xf numFmtId="0" fontId="264" fillId="6" borderId="94" xfId="0" applyFont="1" applyFill="1" applyBorder="1" applyAlignment="1">
      <alignment horizontal="center" wrapText="1" readingOrder="1"/>
    </xf>
    <xf numFmtId="0" fontId="264" fillId="6" borderId="94" xfId="0" applyFont="1" applyFill="1" applyBorder="1" applyAlignment="1">
      <alignment horizontal="left" wrapText="1" readingOrder="1"/>
    </xf>
    <xf numFmtId="170" fontId="264" fillId="6" borderId="94" xfId="3" applyNumberFormat="1" applyFont="1" applyFill="1" applyBorder="1" applyAlignment="1">
      <alignment horizontal="right" shrinkToFit="1" readingOrder="1"/>
    </xf>
    <xf numFmtId="166" fontId="264" fillId="6" borderId="94" xfId="3" applyNumberFormat="1" applyFont="1" applyFill="1" applyBorder="1" applyAlignment="1">
      <alignment horizontal="right" shrinkToFit="1" readingOrder="1"/>
    </xf>
    <xf numFmtId="202" fontId="264" fillId="6" borderId="94" xfId="0" applyNumberFormat="1" applyFont="1" applyFill="1" applyBorder="1" applyAlignment="1">
      <alignment horizontal="right" shrinkToFit="1" readingOrder="1"/>
    </xf>
    <xf numFmtId="202" fontId="264" fillId="6" borderId="94" xfId="3" applyNumberFormat="1" applyFont="1" applyFill="1" applyBorder="1" applyAlignment="1">
      <alignment horizontal="right" shrinkToFit="1" readingOrder="1"/>
    </xf>
    <xf numFmtId="202" fontId="264" fillId="6" borderId="94" xfId="3" applyNumberFormat="1" applyFont="1" applyFill="1" applyBorder="1" applyAlignment="1">
      <alignment horizontal="right" wrapText="1" readingOrder="1"/>
    </xf>
    <xf numFmtId="166" fontId="114" fillId="6" borderId="94" xfId="3" applyNumberFormat="1" applyFont="1" applyFill="1" applyBorder="1" applyAlignment="1">
      <alignment horizontal="center" vertical="center" wrapText="1"/>
    </xf>
    <xf numFmtId="166" fontId="205" fillId="6" borderId="94" xfId="3" applyNumberFormat="1" applyFont="1" applyFill="1" applyBorder="1" applyAlignment="1">
      <alignment horizontal="center" vertical="center" wrapText="1"/>
    </xf>
    <xf numFmtId="0" fontId="114" fillId="6" borderId="94" xfId="0" applyFont="1" applyFill="1" applyBorder="1" applyAlignment="1">
      <alignment horizontal="center" vertical="center" wrapText="1"/>
    </xf>
    <xf numFmtId="166" fontId="114" fillId="6" borderId="94" xfId="3" applyNumberFormat="1" applyFont="1" applyFill="1" applyBorder="1" applyAlignment="1">
      <alignment horizontal="center" vertical="center" shrinkToFit="1"/>
    </xf>
    <xf numFmtId="166" fontId="129" fillId="6" borderId="5" xfId="3" applyNumberFormat="1" applyFont="1" applyFill="1" applyBorder="1" applyAlignment="1">
      <alignment horizontal="center" vertical="center" wrapText="1"/>
    </xf>
    <xf numFmtId="166" fontId="139" fillId="6" borderId="5" xfId="3" applyNumberFormat="1" applyFont="1" applyFill="1" applyBorder="1" applyAlignment="1">
      <alignment horizontal="center" vertical="center" wrapText="1"/>
    </xf>
    <xf numFmtId="166" fontId="139" fillId="6" borderId="5" xfId="3" applyNumberFormat="1" applyFont="1" applyFill="1" applyBorder="1" applyAlignment="1">
      <alignment horizontal="center" vertical="center" shrinkToFit="1"/>
    </xf>
    <xf numFmtId="0" fontId="139" fillId="0" borderId="11" xfId="0" applyFont="1" applyFill="1" applyBorder="1" applyAlignment="1">
      <alignment horizontal="left" vertical="center" wrapText="1"/>
    </xf>
    <xf numFmtId="166" fontId="136" fillId="6" borderId="5" xfId="3" applyNumberFormat="1" applyFont="1" applyFill="1" applyBorder="1" applyAlignment="1">
      <alignment horizontal="center" vertical="center" wrapText="1"/>
    </xf>
    <xf numFmtId="166" fontId="129" fillId="6" borderId="5" xfId="3" applyNumberFormat="1" applyFont="1" applyFill="1" applyBorder="1" applyAlignment="1">
      <alignment horizontal="center" vertical="center" shrinkToFit="1"/>
    </xf>
    <xf numFmtId="169" fontId="114" fillId="6" borderId="5" xfId="3" applyNumberFormat="1" applyFont="1" applyFill="1" applyBorder="1" applyAlignment="1">
      <alignment horizontal="center" vertical="center" wrapText="1"/>
    </xf>
    <xf numFmtId="169" fontId="114" fillId="6" borderId="5" xfId="3" applyNumberFormat="1" applyFont="1" applyFill="1" applyBorder="1" applyAlignment="1">
      <alignment horizontal="center" vertical="center" shrinkToFit="1"/>
    </xf>
    <xf numFmtId="166" fontId="129" fillId="6" borderId="6" xfId="3" applyNumberFormat="1" applyFont="1" applyFill="1" applyBorder="1" applyAlignment="1">
      <alignment horizontal="center" vertical="center" wrapText="1"/>
    </xf>
    <xf numFmtId="166" fontId="139" fillId="6" borderId="6" xfId="3" applyNumberFormat="1" applyFont="1" applyFill="1" applyBorder="1" applyAlignment="1">
      <alignment horizontal="center" vertical="center" wrapText="1"/>
    </xf>
    <xf numFmtId="166" fontId="129" fillId="6" borderId="6" xfId="3" applyNumberFormat="1" applyFont="1" applyFill="1" applyBorder="1" applyAlignment="1">
      <alignment horizontal="center" vertical="center" shrinkToFit="1"/>
    </xf>
    <xf numFmtId="166" fontId="139" fillId="6" borderId="6" xfId="3" applyNumberFormat="1" applyFont="1" applyFill="1" applyBorder="1" applyAlignment="1">
      <alignment horizontal="center" vertical="center" shrinkToFit="1"/>
    </xf>
    <xf numFmtId="230" fontId="271" fillId="0" borderId="100" xfId="0" applyNumberFormat="1" applyFont="1" applyFill="1" applyBorder="1" applyAlignment="1">
      <alignment horizontal="right" vertical="center" wrapText="1" readingOrder="1"/>
    </xf>
    <xf numFmtId="169" fontId="42" fillId="0" borderId="94" xfId="46" applyNumberFormat="1" applyFont="1" applyFill="1" applyBorder="1" applyAlignment="1">
      <alignment horizontal="right" vertical="center" shrinkToFit="1"/>
    </xf>
    <xf numFmtId="0" fontId="71" fillId="0" borderId="94" xfId="44" applyFont="1" applyBorder="1" applyAlignment="1">
      <alignment horizontal="justify" vertical="center" wrapText="1"/>
    </xf>
    <xf numFmtId="169" fontId="42" fillId="0" borderId="94" xfId="46" applyNumberFormat="1" applyFont="1" applyFill="1" applyBorder="1" applyAlignment="1">
      <alignment horizontal="center" vertical="center" shrinkToFit="1"/>
    </xf>
    <xf numFmtId="169" fontId="42" fillId="0" borderId="94" xfId="46" applyNumberFormat="1" applyFont="1" applyFill="1" applyBorder="1"/>
    <xf numFmtId="169" fontId="43" fillId="0" borderId="94" xfId="46" applyNumberFormat="1" applyFont="1" applyFill="1" applyBorder="1" applyAlignment="1">
      <alignment horizontal="center" vertical="center"/>
    </xf>
    <xf numFmtId="169" fontId="41" fillId="6" borderId="94" xfId="3" applyNumberFormat="1" applyFont="1" applyFill="1" applyBorder="1" applyAlignment="1">
      <alignment horizontal="center" vertical="center" wrapText="1" readingOrder="1"/>
    </xf>
    <xf numFmtId="0" fontId="42" fillId="6" borderId="94" xfId="0" applyFont="1" applyFill="1" applyBorder="1" applyAlignment="1">
      <alignment horizontal="center" vertical="center" wrapText="1" readingOrder="1"/>
    </xf>
    <xf numFmtId="171" fontId="42" fillId="6" borderId="94" xfId="0" applyNumberFormat="1" applyFont="1" applyFill="1" applyBorder="1" applyAlignment="1">
      <alignment horizontal="center" vertical="top" wrapText="1" readingOrder="1"/>
    </xf>
    <xf numFmtId="166" fontId="42" fillId="6" borderId="94" xfId="3" applyNumberFormat="1" applyFont="1" applyFill="1" applyBorder="1" applyAlignment="1">
      <alignment horizontal="center" vertical="top" wrapText="1" readingOrder="1"/>
    </xf>
    <xf numFmtId="166" fontId="73" fillId="6" borderId="94" xfId="3" applyNumberFormat="1" applyFont="1" applyFill="1" applyBorder="1" applyAlignment="1">
      <alignment horizontal="right" wrapText="1" readingOrder="1"/>
    </xf>
    <xf numFmtId="167" fontId="73" fillId="6" borderId="94" xfId="3" applyNumberFormat="1" applyFont="1" applyFill="1" applyBorder="1" applyAlignment="1">
      <alignment horizontal="right" vertical="center" wrapText="1" readingOrder="1"/>
    </xf>
    <xf numFmtId="166" fontId="73" fillId="6" borderId="94" xfId="3" applyNumberFormat="1" applyFont="1" applyFill="1" applyBorder="1" applyAlignment="1">
      <alignment horizontal="center" vertical="center" wrapText="1"/>
    </xf>
    <xf numFmtId="170" fontId="73" fillId="6" borderId="94" xfId="3" applyNumberFormat="1" applyFont="1" applyFill="1" applyBorder="1" applyAlignment="1">
      <alignment horizontal="center" vertical="center" wrapText="1"/>
    </xf>
    <xf numFmtId="166" fontId="73" fillId="6" borderId="94" xfId="3" applyNumberFormat="1" applyFont="1" applyFill="1" applyBorder="1" applyAlignment="1">
      <alignment vertical="center" wrapText="1"/>
    </xf>
    <xf numFmtId="166" fontId="73" fillId="6" borderId="94" xfId="3" applyNumberFormat="1" applyFont="1" applyFill="1" applyBorder="1" applyAlignment="1">
      <alignment horizontal="right" vertical="center" shrinkToFit="1"/>
    </xf>
    <xf numFmtId="169" fontId="73" fillId="6" borderId="94" xfId="3" applyNumberFormat="1" applyFont="1" applyFill="1" applyBorder="1" applyAlignment="1">
      <alignment horizontal="right" vertical="center" wrapText="1"/>
    </xf>
    <xf numFmtId="170" fontId="73" fillId="6" borderId="94" xfId="3" applyNumberFormat="1" applyFont="1" applyFill="1" applyBorder="1" applyAlignment="1">
      <alignment horizontal="right" vertical="center" wrapText="1"/>
    </xf>
    <xf numFmtId="166" fontId="73" fillId="6" borderId="94" xfId="3" applyNumberFormat="1" applyFont="1" applyFill="1" applyBorder="1" applyAlignment="1">
      <alignment horizontal="right" vertical="center" wrapText="1"/>
    </xf>
    <xf numFmtId="0" fontId="6" fillId="6" borderId="125" xfId="0" applyFont="1" applyFill="1" applyBorder="1" applyAlignment="1">
      <alignment horizontal="center" vertical="center" wrapText="1"/>
    </xf>
    <xf numFmtId="0" fontId="275" fillId="0" borderId="125" xfId="0" applyNumberFormat="1" applyFont="1" applyFill="1" applyBorder="1" applyAlignment="1">
      <alignment vertical="center" wrapText="1" readingOrder="1"/>
    </xf>
    <xf numFmtId="228" fontId="275" fillId="0" borderId="125" xfId="0" applyNumberFormat="1" applyFont="1" applyFill="1" applyBorder="1" applyAlignment="1">
      <alignment horizontal="right" vertical="center" wrapText="1" readingOrder="1"/>
    </xf>
    <xf numFmtId="169" fontId="6" fillId="6" borderId="125" xfId="3" applyNumberFormat="1" applyFont="1" applyFill="1" applyBorder="1" applyAlignment="1">
      <alignment horizontal="right" vertical="center" wrapText="1"/>
    </xf>
    <xf numFmtId="166" fontId="6" fillId="6" borderId="125" xfId="3" applyNumberFormat="1" applyFont="1" applyFill="1" applyBorder="1" applyAlignment="1">
      <alignment horizontal="right" vertical="center" wrapText="1"/>
    </xf>
    <xf numFmtId="170" fontId="6" fillId="6" borderId="126" xfId="3" applyNumberFormat="1" applyFont="1" applyFill="1" applyBorder="1" applyAlignment="1">
      <alignment horizontal="right" vertical="center" wrapText="1"/>
    </xf>
    <xf numFmtId="166" fontId="2" fillId="6" borderId="94" xfId="3" applyNumberFormat="1" applyFont="1" applyFill="1" applyBorder="1" applyAlignment="1">
      <alignment horizontal="right" vertical="center" wrapText="1"/>
    </xf>
    <xf numFmtId="166" fontId="2" fillId="6" borderId="94" xfId="3" applyNumberFormat="1" applyFont="1" applyFill="1" applyBorder="1" applyAlignment="1">
      <alignment horizontal="right" vertical="center" shrinkToFit="1"/>
    </xf>
    <xf numFmtId="170" fontId="2" fillId="6" borderId="94" xfId="3" applyNumberFormat="1" applyFont="1" applyFill="1" applyBorder="1" applyAlignment="1">
      <alignment horizontal="right" vertical="center" wrapText="1"/>
    </xf>
    <xf numFmtId="169" fontId="6" fillId="6" borderId="94" xfId="3" applyNumberFormat="1" applyFont="1" applyFill="1" applyBorder="1" applyAlignment="1">
      <alignment horizontal="right" vertical="center" wrapText="1"/>
    </xf>
    <xf numFmtId="166" fontId="6" fillId="6" borderId="126" xfId="3" applyNumberFormat="1" applyFont="1" applyFill="1" applyBorder="1" applyAlignment="1">
      <alignment horizontal="right" vertical="center" wrapText="1"/>
    </xf>
    <xf numFmtId="0" fontId="6" fillId="6" borderId="126" xfId="0" applyFont="1" applyFill="1" applyBorder="1" applyAlignment="1">
      <alignment horizontal="center" vertical="center" wrapText="1"/>
    </xf>
    <xf numFmtId="0" fontId="6" fillId="6" borderId="126" xfId="0" applyFont="1" applyFill="1" applyBorder="1" applyAlignment="1">
      <alignment horizontal="left" vertical="center" wrapText="1"/>
    </xf>
    <xf numFmtId="169" fontId="6" fillId="6" borderId="126" xfId="3" applyNumberFormat="1" applyFont="1" applyFill="1" applyBorder="1" applyAlignment="1">
      <alignment horizontal="right" vertical="center" wrapText="1"/>
    </xf>
    <xf numFmtId="0" fontId="6" fillId="6" borderId="43" xfId="0" applyFont="1" applyFill="1" applyBorder="1" applyAlignment="1">
      <alignment vertical="center" wrapText="1"/>
    </xf>
    <xf numFmtId="231" fontId="71" fillId="0" borderId="0" xfId="0" applyNumberFormat="1" applyFont="1" applyFill="1" applyBorder="1"/>
    <xf numFmtId="228" fontId="71" fillId="0" borderId="0" xfId="0" applyNumberFormat="1" applyFont="1" applyFill="1" applyBorder="1" applyAlignment="1">
      <alignment vertical="center" shrinkToFit="1"/>
    </xf>
    <xf numFmtId="228" fontId="71" fillId="0" borderId="0" xfId="0" applyNumberFormat="1" applyFont="1" applyFill="1" applyBorder="1" applyAlignment="1">
      <alignment vertical="center"/>
    </xf>
    <xf numFmtId="230" fontId="291" fillId="0" borderId="100" xfId="0" applyNumberFormat="1" applyFont="1" applyFill="1" applyBorder="1" applyAlignment="1">
      <alignment horizontal="right" vertical="center" shrinkToFit="1" readingOrder="1"/>
    </xf>
    <xf numFmtId="43" fontId="291" fillId="0" borderId="100" xfId="3" applyFont="1" applyFill="1" applyBorder="1" applyAlignment="1">
      <alignment horizontal="right" vertical="center" shrinkToFit="1" readingOrder="1"/>
    </xf>
    <xf numFmtId="228" fontId="291" fillId="0" borderId="100" xfId="0" applyNumberFormat="1" applyFont="1" applyFill="1" applyBorder="1" applyAlignment="1">
      <alignment horizontal="right" vertical="center" wrapText="1" readingOrder="1"/>
    </xf>
    <xf numFmtId="0" fontId="291" fillId="0" borderId="104" xfId="0" applyNumberFormat="1" applyFont="1" applyFill="1" applyBorder="1" applyAlignment="1">
      <alignment horizontal="center" vertical="center" wrapText="1" readingOrder="1"/>
    </xf>
    <xf numFmtId="0" fontId="291" fillId="0" borderId="104" xfId="0" applyNumberFormat="1" applyFont="1" applyFill="1" applyBorder="1" applyAlignment="1">
      <alignment vertical="center" wrapText="1" readingOrder="1"/>
    </xf>
    <xf numFmtId="228" fontId="291" fillId="0" borderId="104" xfId="0" applyNumberFormat="1" applyFont="1" applyFill="1" applyBorder="1" applyAlignment="1">
      <alignment horizontal="right" vertical="center" shrinkToFit="1" readingOrder="1"/>
    </xf>
    <xf numFmtId="0" fontId="291" fillId="0" borderId="104" xfId="0" applyNumberFormat="1" applyFont="1" applyFill="1" applyBorder="1" applyAlignment="1">
      <alignment horizontal="right" vertical="center" shrinkToFit="1" readingOrder="1"/>
    </xf>
    <xf numFmtId="0" fontId="291" fillId="0" borderId="104" xfId="0" applyNumberFormat="1" applyFont="1" applyFill="1" applyBorder="1" applyAlignment="1">
      <alignment horizontal="right" vertical="center" wrapText="1" readingOrder="1"/>
    </xf>
    <xf numFmtId="0" fontId="291" fillId="0" borderId="94" xfId="0" applyNumberFormat="1" applyFont="1" applyFill="1" applyBorder="1" applyAlignment="1">
      <alignment horizontal="center" vertical="center" wrapText="1" readingOrder="1"/>
    </xf>
    <xf numFmtId="0" fontId="291" fillId="0" borderId="94" xfId="0" applyNumberFormat="1" applyFont="1" applyFill="1" applyBorder="1" applyAlignment="1">
      <alignment vertical="center" wrapText="1" readingOrder="1"/>
    </xf>
    <xf numFmtId="228" fontId="291" fillId="0" borderId="94" xfId="0" applyNumberFormat="1" applyFont="1" applyFill="1" applyBorder="1" applyAlignment="1">
      <alignment horizontal="right" vertical="center" shrinkToFit="1" readingOrder="1"/>
    </xf>
    <xf numFmtId="0" fontId="72" fillId="0" borderId="94" xfId="0" applyFont="1" applyFill="1" applyBorder="1" applyAlignment="1">
      <alignment vertical="center" shrinkToFit="1"/>
    </xf>
    <xf numFmtId="0" fontId="291" fillId="0" borderId="94" xfId="0" applyNumberFormat="1" applyFont="1" applyFill="1" applyBorder="1" applyAlignment="1">
      <alignment horizontal="right" vertical="center" shrinkToFit="1" readingOrder="1"/>
    </xf>
    <xf numFmtId="0" fontId="291" fillId="0" borderId="94" xfId="0" applyNumberFormat="1" applyFont="1" applyFill="1" applyBorder="1" applyAlignment="1">
      <alignment horizontal="right" vertical="center" wrapText="1" readingOrder="1"/>
    </xf>
    <xf numFmtId="0" fontId="291" fillId="0" borderId="103" xfId="0" applyNumberFormat="1" applyFont="1" applyFill="1" applyBorder="1" applyAlignment="1">
      <alignment horizontal="center" vertical="center" wrapText="1" readingOrder="1"/>
    </xf>
    <xf numFmtId="0" fontId="291" fillId="0" borderId="103" xfId="0" applyNumberFormat="1" applyFont="1" applyFill="1" applyBorder="1" applyAlignment="1">
      <alignment vertical="center" wrapText="1" readingOrder="1"/>
    </xf>
    <xf numFmtId="228" fontId="291" fillId="0" borderId="103" xfId="0" applyNumberFormat="1" applyFont="1" applyFill="1" applyBorder="1" applyAlignment="1">
      <alignment horizontal="right" vertical="center" shrinkToFit="1" readingOrder="1"/>
    </xf>
    <xf numFmtId="0" fontId="291" fillId="0" borderId="103" xfId="0" applyNumberFormat="1" applyFont="1" applyFill="1" applyBorder="1" applyAlignment="1">
      <alignment horizontal="right" vertical="center" shrinkToFit="1" readingOrder="1"/>
    </xf>
    <xf numFmtId="0" fontId="291" fillId="0" borderId="103" xfId="0" applyNumberFormat="1" applyFont="1" applyFill="1" applyBorder="1" applyAlignment="1">
      <alignment horizontal="right" vertical="center" wrapText="1" readingOrder="1"/>
    </xf>
    <xf numFmtId="228" fontId="272" fillId="0" borderId="0" xfId="0" applyNumberFormat="1" applyFont="1" applyFill="1" applyBorder="1"/>
    <xf numFmtId="0" fontId="282" fillId="0" borderId="0" xfId="0" applyFont="1" applyFill="1" applyBorder="1" applyAlignment="1">
      <alignment vertical="center"/>
    </xf>
    <xf numFmtId="0" fontId="278" fillId="0" borderId="107" xfId="0" applyNumberFormat="1" applyFont="1" applyFill="1" applyBorder="1" applyAlignment="1">
      <alignment horizontal="center" wrapText="1" readingOrder="1"/>
    </xf>
    <xf numFmtId="0" fontId="286" fillId="0" borderId="100" xfId="0" applyNumberFormat="1" applyFont="1" applyFill="1" applyBorder="1" applyAlignment="1">
      <alignment horizontal="center" vertical="center" wrapText="1" readingOrder="1"/>
    </xf>
    <xf numFmtId="0" fontId="278" fillId="0" borderId="100" xfId="0" applyNumberFormat="1" applyFont="1" applyFill="1" applyBorder="1" applyAlignment="1">
      <alignment vertical="center" wrapText="1" readingOrder="1"/>
    </xf>
    <xf numFmtId="228" fontId="278" fillId="0" borderId="100" xfId="0" applyNumberFormat="1" applyFont="1" applyFill="1" applyBorder="1" applyAlignment="1">
      <alignment horizontal="right" vertical="center" shrinkToFit="1" readingOrder="1"/>
    </xf>
    <xf numFmtId="0" fontId="42" fillId="0" borderId="0" xfId="0" applyFont="1" applyFill="1" applyBorder="1" applyAlignment="1">
      <alignment vertical="center" shrinkToFit="1"/>
    </xf>
    <xf numFmtId="0" fontId="278" fillId="0" borderId="100" xfId="0" applyNumberFormat="1" applyFont="1" applyFill="1" applyBorder="1" applyAlignment="1">
      <alignment horizontal="right" vertical="center" shrinkToFit="1" readingOrder="1"/>
    </xf>
    <xf numFmtId="0" fontId="279" fillId="0" borderId="100" xfId="0" applyNumberFormat="1" applyFont="1" applyFill="1" applyBorder="1" applyAlignment="1">
      <alignment horizontal="center" vertical="center" wrapText="1" readingOrder="1"/>
    </xf>
    <xf numFmtId="0" fontId="279" fillId="0" borderId="100" xfId="0" applyNumberFormat="1" applyFont="1" applyFill="1" applyBorder="1" applyAlignment="1">
      <alignment vertical="center" wrapText="1" readingOrder="1"/>
    </xf>
    <xf numFmtId="228" fontId="279" fillId="0" borderId="100" xfId="0" applyNumberFormat="1" applyFont="1" applyFill="1" applyBorder="1" applyAlignment="1">
      <alignment horizontal="right" vertical="center" shrinkToFit="1" readingOrder="1"/>
    </xf>
    <xf numFmtId="0" fontId="279" fillId="0" borderId="100" xfId="0" applyNumberFormat="1" applyFont="1" applyFill="1" applyBorder="1" applyAlignment="1">
      <alignment horizontal="right" vertical="center" shrinkToFit="1" readingOrder="1"/>
    </xf>
    <xf numFmtId="0" fontId="279" fillId="0" borderId="100" xfId="0" applyNumberFormat="1" applyFont="1" applyFill="1" applyBorder="1" applyAlignment="1">
      <alignment horizontal="right" vertical="center" wrapText="1" readingOrder="1"/>
    </xf>
    <xf numFmtId="0" fontId="276" fillId="0" borderId="104" xfId="0" applyNumberFormat="1" applyFont="1" applyFill="1" applyBorder="1" applyAlignment="1">
      <alignment horizontal="center" vertical="top" wrapText="1" readingOrder="1"/>
    </xf>
    <xf numFmtId="0" fontId="276" fillId="0" borderId="100" xfId="0" applyNumberFormat="1" applyFont="1" applyFill="1" applyBorder="1" applyAlignment="1">
      <alignment horizontal="center" vertical="top" wrapText="1" readingOrder="1"/>
    </xf>
    <xf numFmtId="0" fontId="276" fillId="0" borderId="103" xfId="0" applyNumberFormat="1" applyFont="1" applyFill="1" applyBorder="1" applyAlignment="1">
      <alignment horizontal="center" vertical="top" wrapText="1" readingOrder="1"/>
    </xf>
    <xf numFmtId="0" fontId="278" fillId="0" borderId="103" xfId="0" applyNumberFormat="1" applyFont="1" applyFill="1" applyBorder="1" applyAlignment="1">
      <alignment horizontal="center" vertical="top" wrapText="1" readingOrder="1"/>
    </xf>
    <xf numFmtId="0" fontId="286" fillId="0" borderId="100" xfId="0" applyNumberFormat="1" applyFont="1" applyFill="1" applyBorder="1" applyAlignment="1">
      <alignment horizontal="right" vertical="top" wrapText="1" readingOrder="1"/>
    </xf>
    <xf numFmtId="0" fontId="291" fillId="0" borderId="109" xfId="0" applyNumberFormat="1" applyFont="1" applyFill="1" applyBorder="1" applyAlignment="1">
      <alignment horizontal="center" vertical="center" wrapText="1" readingOrder="1"/>
    </xf>
    <xf numFmtId="0" fontId="291" fillId="0" borderId="110" xfId="0" applyNumberFormat="1" applyFont="1" applyFill="1" applyBorder="1" applyAlignment="1">
      <alignment horizontal="center" vertical="center" wrapText="1" readingOrder="1"/>
    </xf>
    <xf numFmtId="0" fontId="291" fillId="0" borderId="110" xfId="0" applyNumberFormat="1" applyFont="1" applyFill="1" applyBorder="1" applyAlignment="1">
      <alignment horizontal="left" vertical="center" wrapText="1" readingOrder="1"/>
    </xf>
    <xf numFmtId="0" fontId="291" fillId="0" borderId="110" xfId="0" applyNumberFormat="1" applyFont="1" applyFill="1" applyBorder="1" applyAlignment="1">
      <alignment horizontal="right" vertical="center" wrapText="1" readingOrder="1"/>
    </xf>
    <xf numFmtId="0" fontId="291" fillId="0" borderId="111" xfId="0" applyNumberFormat="1" applyFont="1" applyFill="1" applyBorder="1" applyAlignment="1">
      <alignment horizontal="center" vertical="center" wrapText="1" readingOrder="1"/>
    </xf>
    <xf numFmtId="0" fontId="291" fillId="0" borderId="112" xfId="0" applyNumberFormat="1" applyFont="1" applyFill="1" applyBorder="1" applyAlignment="1">
      <alignment horizontal="center" vertical="center" wrapText="1" readingOrder="1"/>
    </xf>
    <xf numFmtId="0" fontId="272" fillId="0" borderId="98" xfId="0" applyFont="1" applyFill="1" applyBorder="1" applyAlignment="1">
      <alignment vertical="center"/>
    </xf>
    <xf numFmtId="0" fontId="291" fillId="0" borderId="112" xfId="0" applyNumberFormat="1" applyFont="1" applyFill="1" applyBorder="1" applyAlignment="1">
      <alignment horizontal="left" vertical="center" wrapText="1" readingOrder="1"/>
    </xf>
    <xf numFmtId="0" fontId="291" fillId="0" borderId="112" xfId="0" applyNumberFormat="1" applyFont="1" applyFill="1" applyBorder="1" applyAlignment="1">
      <alignment horizontal="right" vertical="center" wrapText="1" readingOrder="1"/>
    </xf>
    <xf numFmtId="0" fontId="172" fillId="0" borderId="0" xfId="13" applyFont="1" applyBorder="1" applyAlignment="1"/>
    <xf numFmtId="0" fontId="294" fillId="0" borderId="0" xfId="13" applyFont="1"/>
    <xf numFmtId="0" fontId="91" fillId="0" borderId="0" xfId="13" applyFont="1" applyAlignment="1"/>
    <xf numFmtId="0" fontId="91" fillId="0" borderId="0" xfId="0" applyFont="1" applyAlignment="1"/>
    <xf numFmtId="0" fontId="295" fillId="0" borderId="0" xfId="13" applyFont="1"/>
    <xf numFmtId="0" fontId="172" fillId="0" borderId="0" xfId="13" applyFont="1" applyAlignment="1"/>
    <xf numFmtId="0" fontId="177" fillId="0" borderId="0" xfId="0" applyFont="1" applyFill="1" applyBorder="1"/>
    <xf numFmtId="0" fontId="91" fillId="0" borderId="0" xfId="0" applyFont="1" applyFill="1" applyBorder="1" applyAlignment="1"/>
    <xf numFmtId="0" fontId="272" fillId="0" borderId="0" xfId="0" applyFont="1" applyFill="1" applyBorder="1" applyAlignment="1"/>
    <xf numFmtId="0" fontId="71" fillId="0" borderId="0" xfId="0" applyFont="1" applyFill="1" applyBorder="1" applyAlignment="1"/>
    <xf numFmtId="0" fontId="289" fillId="0" borderId="0" xfId="0" applyNumberFormat="1" applyFont="1" applyFill="1" applyBorder="1" applyAlignment="1">
      <alignment horizontal="center" vertical="top" wrapText="1" readingOrder="1"/>
    </xf>
    <xf numFmtId="0" fontId="280" fillId="0" borderId="100" xfId="0" applyNumberFormat="1" applyFont="1" applyFill="1" applyBorder="1" applyAlignment="1">
      <alignment horizontal="right" vertical="center" wrapText="1" readingOrder="1"/>
    </xf>
    <xf numFmtId="0" fontId="71" fillId="0" borderId="98" xfId="0" applyFont="1" applyFill="1" applyBorder="1" applyAlignment="1">
      <alignment vertical="center"/>
    </xf>
    <xf numFmtId="0" fontId="3" fillId="0" borderId="0" xfId="13" applyFont="1"/>
    <xf numFmtId="0" fontId="2" fillId="0" borderId="0" xfId="13" applyFont="1" applyAlignment="1"/>
    <xf numFmtId="0" fontId="6" fillId="0" borderId="0" xfId="13" applyFont="1"/>
    <xf numFmtId="0" fontId="2" fillId="0" borderId="0" xfId="0" applyFont="1" applyFill="1" applyBorder="1" applyAlignment="1">
      <alignment vertical="center" wrapText="1"/>
    </xf>
    <xf numFmtId="0" fontId="280" fillId="0" borderId="100" xfId="0" applyNumberFormat="1" applyFont="1" applyFill="1" applyBorder="1" applyAlignment="1">
      <alignment horizontal="center" vertical="center" wrapText="1" readingOrder="1"/>
    </xf>
    <xf numFmtId="0" fontId="279" fillId="0" borderId="103" xfId="0" applyNumberFormat="1" applyFont="1" applyFill="1" applyBorder="1" applyAlignment="1">
      <alignment horizontal="center" vertical="center" wrapText="1" readingOrder="1"/>
    </xf>
    <xf numFmtId="0" fontId="273" fillId="0" borderId="100" xfId="0" applyNumberFormat="1" applyFont="1" applyFill="1" applyBorder="1" applyAlignment="1">
      <alignment vertical="center" wrapText="1" readingOrder="1"/>
    </xf>
    <xf numFmtId="228" fontId="273" fillId="0" borderId="100" xfId="0" applyNumberFormat="1" applyFont="1" applyFill="1" applyBorder="1" applyAlignment="1">
      <alignment horizontal="right" vertical="center" wrapText="1" readingOrder="1"/>
    </xf>
    <xf numFmtId="229" fontId="271" fillId="0" borderId="100" xfId="57" applyNumberFormat="1" applyFont="1" applyFill="1" applyBorder="1" applyAlignment="1">
      <alignment horizontal="right" vertical="center" wrapText="1" readingOrder="1"/>
    </xf>
    <xf numFmtId="0" fontId="271" fillId="0" borderId="100" xfId="0" applyNumberFormat="1" applyFont="1" applyFill="1" applyBorder="1" applyAlignment="1">
      <alignment horizontal="center" vertical="center" wrapText="1" readingOrder="1"/>
    </xf>
    <xf numFmtId="0" fontId="274" fillId="0" borderId="100" xfId="0" applyNumberFormat="1" applyFont="1" applyFill="1" applyBorder="1" applyAlignment="1">
      <alignment horizontal="center" vertical="center" wrapText="1" readingOrder="1"/>
    </xf>
    <xf numFmtId="0" fontId="274" fillId="0" borderId="100" xfId="0" applyNumberFormat="1" applyFont="1" applyFill="1" applyBorder="1" applyAlignment="1">
      <alignment vertical="center" wrapText="1" readingOrder="1"/>
    </xf>
    <xf numFmtId="228" fontId="273" fillId="0" borderId="102" xfId="0" applyNumberFormat="1" applyFont="1" applyFill="1" applyBorder="1" applyAlignment="1">
      <alignment vertical="center" wrapText="1" readingOrder="1"/>
    </xf>
    <xf numFmtId="0" fontId="73" fillId="0" borderId="0" xfId="0" applyFont="1" applyFill="1" applyBorder="1"/>
    <xf numFmtId="0" fontId="279" fillId="0" borderId="103" xfId="0" applyNumberFormat="1" applyFont="1" applyFill="1" applyBorder="1" applyAlignment="1">
      <alignment horizontal="center" vertical="top" wrapText="1" readingOrder="1"/>
    </xf>
    <xf numFmtId="0" fontId="279" fillId="0" borderId="100" xfId="0" applyNumberFormat="1" applyFont="1" applyFill="1" applyBorder="1" applyAlignment="1">
      <alignment horizontal="center" vertical="top" wrapText="1" readingOrder="1"/>
    </xf>
    <xf numFmtId="0" fontId="280" fillId="0" borderId="100" xfId="0" applyNumberFormat="1" applyFont="1" applyFill="1" applyBorder="1" applyAlignment="1">
      <alignment vertical="center" wrapText="1" readingOrder="1"/>
    </xf>
    <xf numFmtId="228" fontId="280" fillId="0" borderId="100" xfId="0" applyNumberFormat="1" applyFont="1" applyFill="1" applyBorder="1" applyAlignment="1">
      <alignment horizontal="right" vertical="center" wrapText="1" readingOrder="1"/>
    </xf>
    <xf numFmtId="0" fontId="280" fillId="0" borderId="100" xfId="0" applyNumberFormat="1" applyFont="1" applyFill="1" applyBorder="1" applyAlignment="1">
      <alignment horizontal="left" vertical="center" wrapText="1" readingOrder="1"/>
    </xf>
    <xf numFmtId="0" fontId="296" fillId="0" borderId="100" xfId="0" applyNumberFormat="1" applyFont="1" applyFill="1" applyBorder="1" applyAlignment="1">
      <alignment vertical="center" wrapText="1" readingOrder="1"/>
    </xf>
    <xf numFmtId="228" fontId="296" fillId="0" borderId="100" xfId="0" applyNumberFormat="1" applyFont="1" applyFill="1" applyBorder="1" applyAlignment="1">
      <alignment horizontal="right" vertical="center" wrapText="1" readingOrder="1"/>
    </xf>
    <xf numFmtId="0" fontId="270" fillId="0" borderId="100" xfId="0" applyNumberFormat="1" applyFont="1" applyFill="1" applyBorder="1" applyAlignment="1">
      <alignment horizontal="left" vertical="center" wrapText="1" readingOrder="1"/>
    </xf>
    <xf numFmtId="228" fontId="270" fillId="0" borderId="100" xfId="0" applyNumberFormat="1" applyFont="1" applyFill="1" applyBorder="1" applyAlignment="1">
      <alignment horizontal="right" vertical="center" wrapText="1" readingOrder="1"/>
    </xf>
    <xf numFmtId="0" fontId="270" fillId="0" borderId="100" xfId="0" applyNumberFormat="1" applyFont="1" applyFill="1" applyBorder="1" applyAlignment="1">
      <alignment vertical="center" wrapText="1" readingOrder="1"/>
    </xf>
    <xf numFmtId="170" fontId="71" fillId="6" borderId="94" xfId="3" applyNumberFormat="1" applyFont="1" applyFill="1" applyBorder="1" applyAlignment="1">
      <alignment vertical="center" shrinkToFit="1"/>
    </xf>
    <xf numFmtId="166" fontId="71" fillId="6" borderId="94" xfId="3" applyNumberFormat="1" applyFont="1" applyFill="1" applyBorder="1" applyAlignment="1">
      <alignment vertical="center" shrinkToFit="1"/>
    </xf>
    <xf numFmtId="166" fontId="6" fillId="6" borderId="98" xfId="39" applyNumberFormat="1" applyFont="1" applyFill="1" applyBorder="1" applyAlignment="1">
      <alignment vertical="center" wrapText="1"/>
    </xf>
    <xf numFmtId="166" fontId="6" fillId="6" borderId="98" xfId="40" applyNumberFormat="1" applyFont="1" applyFill="1" applyBorder="1" applyAlignment="1">
      <alignment horizontal="center" vertical="center" wrapText="1"/>
    </xf>
    <xf numFmtId="1" fontId="71" fillId="6" borderId="77" xfId="39" applyNumberFormat="1" applyFont="1" applyFill="1" applyBorder="1" applyAlignment="1">
      <alignment horizontal="center" vertical="center" wrapText="1"/>
    </xf>
    <xf numFmtId="216" fontId="71" fillId="6" borderId="94" xfId="39" applyNumberFormat="1" applyFont="1" applyFill="1" applyBorder="1" applyAlignment="1">
      <alignment horizontal="center" vertical="center" shrinkToFit="1"/>
    </xf>
    <xf numFmtId="0" fontId="73" fillId="6" borderId="77" xfId="39" quotePrefix="1" applyFont="1" applyFill="1" applyBorder="1" applyAlignment="1">
      <alignment horizontal="left" vertical="center" wrapText="1"/>
    </xf>
    <xf numFmtId="1" fontId="71" fillId="6" borderId="91" xfId="39" applyNumberFormat="1" applyFont="1" applyFill="1" applyBorder="1" applyAlignment="1">
      <alignment horizontal="center" vertical="center" shrinkToFit="1"/>
    </xf>
    <xf numFmtId="1" fontId="71" fillId="6" borderId="94" xfId="39" applyNumberFormat="1" applyFont="1" applyFill="1" applyBorder="1" applyAlignment="1">
      <alignment horizontal="center" vertical="center" shrinkToFit="1"/>
    </xf>
    <xf numFmtId="1" fontId="73" fillId="6" borderId="94" xfId="0" applyNumberFormat="1" applyFont="1" applyFill="1" applyBorder="1" applyAlignment="1">
      <alignment horizontal="center" vertical="center" shrinkToFit="1"/>
    </xf>
    <xf numFmtId="0" fontId="234" fillId="6" borderId="127" xfId="0" applyFont="1" applyFill="1" applyBorder="1" applyAlignment="1">
      <alignment horizontal="center" vertical="center" wrapText="1"/>
    </xf>
    <xf numFmtId="1" fontId="234" fillId="6" borderId="127" xfId="42" applyNumberFormat="1" applyFont="1" applyFill="1" applyBorder="1" applyAlignment="1">
      <alignment horizontal="center" vertical="center" wrapText="1"/>
    </xf>
    <xf numFmtId="1" fontId="234" fillId="6" borderId="127" xfId="42" applyNumberFormat="1" applyFont="1" applyFill="1" applyBorder="1" applyAlignment="1">
      <alignment horizontal="center" vertical="center" shrinkToFit="1"/>
    </xf>
    <xf numFmtId="170" fontId="234" fillId="6" borderId="127" xfId="3" applyNumberFormat="1" applyFont="1" applyFill="1" applyBorder="1" applyAlignment="1">
      <alignment vertical="center" shrinkToFit="1"/>
    </xf>
    <xf numFmtId="169" fontId="234" fillId="6" borderId="127" xfId="3" applyNumberFormat="1" applyFont="1" applyFill="1" applyBorder="1" applyAlignment="1">
      <alignment vertical="center" shrinkToFit="1"/>
    </xf>
    <xf numFmtId="169" fontId="234" fillId="6" borderId="127" xfId="3" applyNumberFormat="1" applyFont="1" applyFill="1" applyBorder="1" applyAlignment="1">
      <alignment vertical="center" wrapText="1"/>
    </xf>
    <xf numFmtId="0" fontId="71" fillId="6" borderId="99" xfId="0" applyFont="1" applyFill="1" applyBorder="1" applyAlignment="1">
      <alignment horizontal="center" vertical="center" wrapText="1"/>
    </xf>
    <xf numFmtId="1" fontId="71" fillId="6" borderId="99" xfId="42" applyNumberFormat="1" applyFont="1" applyFill="1" applyBorder="1" applyAlignment="1">
      <alignment horizontal="center" vertical="center" wrapText="1"/>
    </xf>
    <xf numFmtId="1" fontId="71" fillId="6" borderId="99" xfId="42" applyNumberFormat="1" applyFont="1" applyFill="1" applyBorder="1" applyAlignment="1">
      <alignment horizontal="center" vertical="center" shrinkToFit="1"/>
    </xf>
    <xf numFmtId="170" fontId="71" fillId="6" borderId="99" xfId="3" applyNumberFormat="1" applyFont="1" applyFill="1" applyBorder="1" applyAlignment="1">
      <alignment vertical="center" shrinkToFit="1"/>
    </xf>
    <xf numFmtId="170" fontId="71" fillId="6" borderId="99" xfId="3" applyNumberFormat="1" applyFont="1" applyFill="1" applyBorder="1" applyAlignment="1">
      <alignment horizontal="center" vertical="center" shrinkToFit="1"/>
    </xf>
    <xf numFmtId="170" fontId="71" fillId="6" borderId="99" xfId="3" applyNumberFormat="1" applyFont="1" applyFill="1" applyBorder="1" applyAlignment="1">
      <alignment horizontal="right" vertical="center" shrinkToFit="1"/>
    </xf>
    <xf numFmtId="169" fontId="71" fillId="6" borderId="99" xfId="3" applyNumberFormat="1" applyFont="1" applyFill="1" applyBorder="1" applyAlignment="1">
      <alignment vertical="center" wrapText="1"/>
    </xf>
    <xf numFmtId="1" fontId="234" fillId="6" borderId="99" xfId="42" applyNumberFormat="1" applyFont="1" applyFill="1" applyBorder="1" applyAlignment="1">
      <alignment horizontal="center" vertical="center" shrinkToFit="1"/>
    </xf>
    <xf numFmtId="169" fontId="234" fillId="6" borderId="99" xfId="3" applyNumberFormat="1" applyFont="1" applyFill="1" applyBorder="1" applyAlignment="1">
      <alignment vertical="center" wrapText="1"/>
    </xf>
    <xf numFmtId="1" fontId="71" fillId="6" borderId="16" xfId="42" applyNumberFormat="1" applyFont="1" applyFill="1" applyBorder="1" applyAlignment="1">
      <alignment horizontal="center" vertical="center" shrinkToFit="1"/>
    </xf>
    <xf numFmtId="170" fontId="73" fillId="6" borderId="94" xfId="3" applyNumberFormat="1" applyFont="1" applyFill="1" applyBorder="1" applyAlignment="1">
      <alignment vertical="center" shrinkToFit="1"/>
    </xf>
    <xf numFmtId="169" fontId="71" fillId="6" borderId="94" xfId="3" applyNumberFormat="1" applyFont="1" applyFill="1" applyBorder="1" applyAlignment="1">
      <alignment vertical="center" shrinkToFit="1"/>
    </xf>
    <xf numFmtId="43" fontId="71" fillId="6" borderId="94" xfId="3" applyNumberFormat="1" applyFont="1" applyFill="1" applyBorder="1" applyAlignment="1">
      <alignment vertical="center" shrinkToFit="1"/>
    </xf>
    <xf numFmtId="166" fontId="73" fillId="6" borderId="94" xfId="39" applyNumberFormat="1" applyFont="1" applyFill="1" applyBorder="1" applyAlignment="1">
      <alignment horizontal="center" vertical="center" shrinkToFit="1"/>
    </xf>
    <xf numFmtId="166" fontId="71" fillId="6" borderId="99" xfId="3" applyNumberFormat="1" applyFont="1" applyFill="1" applyBorder="1" applyAlignment="1">
      <alignment vertical="center" shrinkToFit="1"/>
    </xf>
    <xf numFmtId="166" fontId="234" fillId="6" borderId="99" xfId="3" applyNumberFormat="1" applyFont="1" applyFill="1" applyBorder="1" applyAlignment="1">
      <alignment vertical="center" shrinkToFit="1"/>
    </xf>
    <xf numFmtId="166" fontId="73" fillId="6" borderId="83" xfId="39" applyNumberFormat="1" applyFont="1" applyFill="1" applyBorder="1" applyAlignment="1">
      <alignment vertical="center" wrapText="1"/>
    </xf>
    <xf numFmtId="166" fontId="73" fillId="6" borderId="84" xfId="39" applyNumberFormat="1" applyFont="1" applyFill="1" applyBorder="1" applyAlignment="1">
      <alignment vertical="center" wrapText="1"/>
    </xf>
    <xf numFmtId="166" fontId="73" fillId="6" borderId="98" xfId="39" applyNumberFormat="1" applyFont="1" applyFill="1" applyBorder="1" applyAlignment="1">
      <alignment vertical="center" wrapText="1"/>
    </xf>
    <xf numFmtId="166" fontId="73" fillId="6" borderId="26" xfId="39" applyNumberFormat="1" applyFont="1" applyFill="1" applyBorder="1" applyAlignment="1">
      <alignment vertical="center" wrapText="1"/>
    </xf>
    <xf numFmtId="166" fontId="73" fillId="6" borderId="87" xfId="39" applyNumberFormat="1" applyFont="1" applyFill="1" applyBorder="1" applyAlignment="1">
      <alignment vertical="center" wrapText="1"/>
    </xf>
    <xf numFmtId="166" fontId="73" fillId="6" borderId="88" xfId="39" applyNumberFormat="1" applyFont="1" applyFill="1" applyBorder="1" applyAlignment="1">
      <alignment vertical="center" wrapText="1"/>
    </xf>
    <xf numFmtId="0" fontId="278" fillId="0" borderId="0" xfId="0" applyNumberFormat="1" applyFont="1" applyFill="1" applyBorder="1" applyAlignment="1">
      <alignment vertical="top" wrapText="1" readingOrder="1"/>
    </xf>
    <xf numFmtId="0" fontId="46" fillId="0" borderId="8"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3" xfId="0" applyFont="1" applyBorder="1" applyAlignment="1">
      <alignment horizontal="center" vertical="center" wrapText="1"/>
    </xf>
    <xf numFmtId="0" fontId="46" fillId="0" borderId="8" xfId="0" applyFont="1" applyBorder="1" applyAlignment="1">
      <alignment horizontal="justify" vertical="center" wrapText="1"/>
    </xf>
    <xf numFmtId="0" fontId="46" fillId="0" borderId="16" xfId="0" applyFont="1" applyBorder="1" applyAlignment="1">
      <alignment horizontal="justify" vertical="center" wrapText="1"/>
    </xf>
    <xf numFmtId="0" fontId="46" fillId="0" borderId="13" xfId="0" applyFont="1" applyBorder="1" applyAlignment="1">
      <alignment horizontal="justify" vertical="center" wrapText="1"/>
    </xf>
    <xf numFmtId="0" fontId="9" fillId="0" borderId="0" xfId="0" applyFont="1" applyAlignment="1">
      <alignment horizontal="center" vertical="center"/>
    </xf>
    <xf numFmtId="0" fontId="46" fillId="0" borderId="3" xfId="0" applyFont="1" applyBorder="1" applyAlignment="1">
      <alignment horizontal="center" vertical="center" wrapText="1"/>
    </xf>
    <xf numFmtId="0" fontId="6" fillId="0" borderId="0" xfId="0" applyFont="1" applyAlignment="1">
      <alignment horizontal="center" vertical="center"/>
    </xf>
    <xf numFmtId="0" fontId="46" fillId="0" borderId="0" xfId="0" applyFont="1" applyAlignment="1">
      <alignment horizontal="center" vertical="center"/>
    </xf>
    <xf numFmtId="0" fontId="46" fillId="0" borderId="3" xfId="0" applyFont="1" applyBorder="1" applyAlignment="1">
      <alignment horizontal="justify" vertical="center" wrapText="1"/>
    </xf>
    <xf numFmtId="0" fontId="9" fillId="0" borderId="0" xfId="0" applyFont="1" applyAlignment="1">
      <alignment horizontal="center" vertical="center" wrapText="1"/>
    </xf>
    <xf numFmtId="182" fontId="127" fillId="6" borderId="0" xfId="3" applyNumberFormat="1" applyFont="1" applyFill="1" applyAlignment="1">
      <alignment horizontal="center" vertical="center" wrapText="1"/>
    </xf>
    <xf numFmtId="182" fontId="126" fillId="6" borderId="0" xfId="3" applyNumberFormat="1" applyFont="1" applyFill="1" applyAlignment="1">
      <alignment horizontal="center" vertical="center"/>
    </xf>
    <xf numFmtId="182" fontId="145" fillId="6" borderId="8" xfId="3" applyNumberFormat="1" applyFont="1" applyFill="1" applyBorder="1" applyAlignment="1">
      <alignment horizontal="center" vertical="center" wrapText="1"/>
    </xf>
    <xf numFmtId="182" fontId="145" fillId="6" borderId="16" xfId="3" applyNumberFormat="1" applyFont="1" applyFill="1" applyBorder="1" applyAlignment="1">
      <alignment horizontal="center" vertical="center" wrapText="1"/>
    </xf>
    <xf numFmtId="182" fontId="145" fillId="6" borderId="13" xfId="3" applyNumberFormat="1" applyFont="1" applyFill="1" applyBorder="1" applyAlignment="1">
      <alignment horizontal="center" vertical="center" wrapText="1"/>
    </xf>
    <xf numFmtId="182" fontId="145" fillId="6" borderId="23" xfId="3" applyNumberFormat="1" applyFont="1" applyFill="1" applyBorder="1" applyAlignment="1">
      <alignment horizontal="center" vertical="center" wrapText="1"/>
    </xf>
    <xf numFmtId="182" fontId="145" fillId="6" borderId="2" xfId="3" applyNumberFormat="1" applyFont="1" applyFill="1" applyBorder="1" applyAlignment="1">
      <alignment horizontal="center" vertical="center" wrapText="1"/>
    </xf>
    <xf numFmtId="182" fontId="145" fillId="6" borderId="14" xfId="3" applyNumberFormat="1" applyFont="1" applyFill="1" applyBorder="1" applyAlignment="1">
      <alignment horizontal="center" vertical="center" wrapText="1"/>
    </xf>
    <xf numFmtId="164" fontId="145" fillId="6" borderId="23" xfId="3" applyNumberFormat="1" applyFont="1" applyFill="1" applyBorder="1" applyAlignment="1">
      <alignment horizontal="center" vertical="center" wrapText="1"/>
    </xf>
    <xf numFmtId="164" fontId="145" fillId="6" borderId="2" xfId="3" applyNumberFormat="1" applyFont="1" applyFill="1" applyBorder="1" applyAlignment="1">
      <alignment horizontal="center" vertical="center" wrapText="1"/>
    </xf>
    <xf numFmtId="164" fontId="145" fillId="6" borderId="14" xfId="3" applyNumberFormat="1" applyFont="1" applyFill="1" applyBorder="1" applyAlignment="1">
      <alignment horizontal="center" vertical="center" wrapText="1"/>
    </xf>
    <xf numFmtId="164" fontId="145" fillId="6" borderId="3" xfId="3" applyNumberFormat="1" applyFont="1" applyFill="1" applyBorder="1" applyAlignment="1">
      <alignment horizontal="center" vertical="center" wrapText="1"/>
    </xf>
    <xf numFmtId="164" fontId="145" fillId="6" borderId="8" xfId="3" applyNumberFormat="1" applyFont="1" applyFill="1" applyBorder="1" applyAlignment="1">
      <alignment horizontal="center" vertical="center" wrapText="1"/>
    </xf>
    <xf numFmtId="164" fontId="145" fillId="6" borderId="13" xfId="3" applyNumberFormat="1" applyFont="1" applyFill="1" applyBorder="1" applyAlignment="1">
      <alignment horizontal="center" vertical="center" wrapText="1"/>
    </xf>
    <xf numFmtId="0" fontId="151" fillId="6" borderId="0" xfId="0" applyFont="1" applyFill="1" applyAlignment="1">
      <alignment horizontal="center" vertical="center" wrapText="1"/>
    </xf>
    <xf numFmtId="0" fontId="152" fillId="6" borderId="0" xfId="16" applyFont="1" applyFill="1" applyAlignment="1">
      <alignment horizontal="center" vertical="center" wrapText="1"/>
    </xf>
    <xf numFmtId="0" fontId="152" fillId="6" borderId="0" xfId="0" applyFont="1" applyFill="1" applyAlignment="1">
      <alignment horizontal="center" vertical="center" wrapText="1"/>
    </xf>
    <xf numFmtId="0" fontId="149" fillId="6" borderId="16" xfId="16" applyFont="1" applyFill="1" applyBorder="1" applyAlignment="1">
      <alignment horizontal="center" vertical="center" wrapText="1"/>
    </xf>
    <xf numFmtId="0" fontId="149" fillId="6" borderId="13" xfId="16" applyFont="1" applyFill="1" applyBorder="1" applyAlignment="1">
      <alignment horizontal="center" vertical="center" wrapText="1"/>
    </xf>
    <xf numFmtId="0" fontId="149" fillId="6" borderId="3" xfId="16" applyFont="1" applyFill="1" applyBorder="1" applyAlignment="1">
      <alignment horizontal="center" vertical="center" wrapText="1"/>
    </xf>
    <xf numFmtId="179" fontId="152" fillId="6" borderId="0" xfId="16" applyNumberFormat="1" applyFont="1" applyFill="1" applyAlignment="1">
      <alignment horizontal="center" vertical="center"/>
    </xf>
    <xf numFmtId="0" fontId="149" fillId="6" borderId="3" xfId="16" applyFont="1" applyFill="1" applyBorder="1" applyAlignment="1">
      <alignment horizontal="center" vertical="center"/>
    </xf>
    <xf numFmtId="0" fontId="149" fillId="6" borderId="8" xfId="16" applyFont="1" applyFill="1" applyBorder="1" applyAlignment="1">
      <alignment horizontal="center" vertical="center" wrapText="1"/>
    </xf>
    <xf numFmtId="0" fontId="149" fillId="6" borderId="27" xfId="16" applyFont="1" applyFill="1" applyBorder="1" applyAlignment="1">
      <alignment horizontal="center" vertical="center" wrapText="1"/>
    </xf>
    <xf numFmtId="0" fontId="149" fillId="6" borderId="17" xfId="16" applyFont="1" applyFill="1" applyBorder="1" applyAlignment="1">
      <alignment horizontal="center" vertical="center" wrapText="1"/>
    </xf>
    <xf numFmtId="0" fontId="149" fillId="6" borderId="26" xfId="16" applyFont="1" applyFill="1" applyBorder="1" applyAlignment="1">
      <alignment horizontal="center" vertical="center" wrapText="1"/>
    </xf>
    <xf numFmtId="0" fontId="149" fillId="6" borderId="23" xfId="16" applyFont="1" applyFill="1" applyBorder="1" applyAlignment="1">
      <alignment horizontal="center" vertical="center" wrapText="1"/>
    </xf>
    <xf numFmtId="0" fontId="149" fillId="6" borderId="2" xfId="16" applyFont="1" applyFill="1" applyBorder="1" applyAlignment="1">
      <alignment horizontal="center" vertical="center" wrapText="1"/>
    </xf>
    <xf numFmtId="0" fontId="149" fillId="6" borderId="14" xfId="16" applyFont="1" applyFill="1" applyBorder="1" applyAlignment="1">
      <alignment horizontal="center" vertical="center" wrapText="1"/>
    </xf>
    <xf numFmtId="0" fontId="149" fillId="6" borderId="19" xfId="16" applyFont="1" applyFill="1" applyBorder="1" applyAlignment="1">
      <alignment horizontal="center" vertical="center" wrapText="1"/>
    </xf>
    <xf numFmtId="0" fontId="127" fillId="6" borderId="0" xfId="16" applyFont="1" applyFill="1" applyAlignment="1">
      <alignment horizontal="center"/>
    </xf>
    <xf numFmtId="0" fontId="148" fillId="6" borderId="0" xfId="16" applyFont="1" applyFill="1" applyAlignment="1">
      <alignment horizontal="center"/>
    </xf>
    <xf numFmtId="0" fontId="149" fillId="6" borderId="23" xfId="16" applyFont="1" applyFill="1" applyBorder="1" applyAlignment="1">
      <alignment horizontal="center" vertical="center"/>
    </xf>
    <xf numFmtId="0" fontId="149" fillId="6" borderId="2" xfId="16" applyFont="1" applyFill="1" applyBorder="1" applyAlignment="1">
      <alignment horizontal="center" vertical="center"/>
    </xf>
    <xf numFmtId="0" fontId="149" fillId="6" borderId="14" xfId="16" applyFont="1" applyFill="1" applyBorder="1" applyAlignment="1">
      <alignment horizontal="center" vertical="center"/>
    </xf>
    <xf numFmtId="0" fontId="149" fillId="6" borderId="21" xfId="16" applyFont="1" applyFill="1" applyBorder="1" applyAlignment="1">
      <alignment horizontal="center" vertical="center" wrapText="1"/>
    </xf>
    <xf numFmtId="0" fontId="149" fillId="6" borderId="22" xfId="16" applyFont="1" applyFill="1" applyBorder="1" applyAlignment="1">
      <alignment horizontal="center" vertical="center" wrapText="1"/>
    </xf>
    <xf numFmtId="0" fontId="149" fillId="6" borderId="25" xfId="16" applyFont="1" applyFill="1" applyBorder="1" applyAlignment="1">
      <alignment horizontal="center" vertical="center" wrapText="1"/>
    </xf>
    <xf numFmtId="0" fontId="149" fillId="6" borderId="16" xfId="16" applyFont="1" applyFill="1" applyBorder="1" applyAlignment="1">
      <alignment horizontal="center" vertical="center"/>
    </xf>
    <xf numFmtId="0" fontId="149" fillId="6" borderId="13" xfId="16" applyFont="1" applyFill="1" applyBorder="1" applyAlignment="1">
      <alignment horizontal="center" vertical="center"/>
    </xf>
    <xf numFmtId="0" fontId="157" fillId="6" borderId="8" xfId="16" applyFont="1" applyFill="1" applyBorder="1" applyAlignment="1">
      <alignment horizontal="center" vertical="center" wrapText="1"/>
    </xf>
    <xf numFmtId="0" fontId="157" fillId="6" borderId="16" xfId="16" applyFont="1" applyFill="1" applyBorder="1" applyAlignment="1">
      <alignment horizontal="center" vertical="center" wrapText="1"/>
    </xf>
    <xf numFmtId="0" fontId="157" fillId="6" borderId="13" xfId="16" applyFont="1" applyFill="1" applyBorder="1" applyAlignment="1">
      <alignment horizontal="center" vertical="center" wrapText="1"/>
    </xf>
    <xf numFmtId="0" fontId="157" fillId="6" borderId="8" xfId="16" applyFont="1" applyFill="1" applyBorder="1" applyAlignment="1">
      <alignment horizontal="center" vertical="center"/>
    </xf>
    <xf numFmtId="0" fontId="157" fillId="6" borderId="13" xfId="16" applyFont="1" applyFill="1" applyBorder="1" applyAlignment="1">
      <alignment horizontal="center" vertical="center"/>
    </xf>
    <xf numFmtId="0" fontId="157" fillId="6" borderId="3" xfId="16" applyFont="1" applyFill="1" applyBorder="1" applyAlignment="1">
      <alignment horizontal="center" vertical="center" wrapText="1"/>
    </xf>
    <xf numFmtId="0" fontId="157" fillId="6" borderId="25" xfId="16" applyFont="1" applyFill="1" applyBorder="1" applyAlignment="1">
      <alignment horizontal="center" vertical="center" wrapText="1"/>
    </xf>
    <xf numFmtId="0" fontId="157" fillId="6" borderId="26" xfId="16" applyFont="1" applyFill="1" applyBorder="1" applyAlignment="1">
      <alignment horizontal="center" vertical="center" wrapText="1"/>
    </xf>
    <xf numFmtId="0" fontId="157" fillId="6" borderId="3" xfId="16" applyFont="1" applyFill="1" applyBorder="1" applyAlignment="1">
      <alignment horizontal="center" vertical="center"/>
    </xf>
    <xf numFmtId="0" fontId="155" fillId="6" borderId="0" xfId="16" applyFont="1" applyFill="1" applyAlignment="1">
      <alignment horizontal="center"/>
    </xf>
    <xf numFmtId="0" fontId="156" fillId="6" borderId="0" xfId="16" applyFont="1" applyFill="1" applyAlignment="1">
      <alignment horizontal="center"/>
    </xf>
    <xf numFmtId="0" fontId="157" fillId="6" borderId="21" xfId="16" applyFont="1" applyFill="1" applyBorder="1" applyAlignment="1">
      <alignment horizontal="center" vertical="center"/>
    </xf>
    <xf numFmtId="0" fontId="157" fillId="6" borderId="22" xfId="16" applyFont="1" applyFill="1" applyBorder="1" applyAlignment="1">
      <alignment horizontal="center" vertical="center"/>
    </xf>
    <xf numFmtId="0" fontId="157" fillId="6" borderId="25" xfId="16" applyFont="1" applyFill="1" applyBorder="1" applyAlignment="1">
      <alignment horizontal="center" vertical="center"/>
    </xf>
    <xf numFmtId="0" fontId="162" fillId="6" borderId="0" xfId="16" applyFont="1" applyFill="1" applyAlignment="1">
      <alignment horizontal="center" vertical="center" wrapText="1"/>
    </xf>
    <xf numFmtId="179" fontId="162" fillId="6" borderId="0" xfId="16" applyNumberFormat="1" applyFont="1" applyFill="1" applyAlignment="1">
      <alignment horizontal="center" vertical="center"/>
    </xf>
    <xf numFmtId="0" fontId="161" fillId="6" borderId="0" xfId="0" applyFont="1" applyFill="1" applyAlignment="1">
      <alignment horizontal="center" vertical="center" wrapText="1"/>
    </xf>
    <xf numFmtId="0" fontId="162" fillId="6" borderId="0" xfId="0" applyFont="1" applyFill="1" applyAlignment="1">
      <alignment horizontal="center" vertical="center" wrapText="1"/>
    </xf>
    <xf numFmtId="0" fontId="3" fillId="6" borderId="0" xfId="0" applyFont="1" applyFill="1" applyAlignment="1">
      <alignment horizontal="center" vertical="center" wrapText="1"/>
    </xf>
    <xf numFmtId="0" fontId="2" fillId="6" borderId="0" xfId="0" applyFont="1" applyFill="1" applyAlignment="1">
      <alignment horizontal="center" vertical="center" wrapText="1"/>
    </xf>
    <xf numFmtId="166" fontId="2" fillId="6" borderId="0" xfId="3" applyNumberFormat="1" applyFont="1" applyFill="1" applyAlignment="1">
      <alignment horizontal="center"/>
    </xf>
    <xf numFmtId="169" fontId="71" fillId="6" borderId="0" xfId="3" applyNumberFormat="1" applyFont="1" applyFill="1" applyAlignment="1">
      <alignment horizontal="center"/>
    </xf>
    <xf numFmtId="0" fontId="2" fillId="6" borderId="3" xfId="0" applyFont="1" applyFill="1" applyBorder="1" applyAlignment="1">
      <alignment horizontal="center" vertical="center" wrapText="1"/>
    </xf>
    <xf numFmtId="166" fontId="2" fillId="6" borderId="3" xfId="3" applyNumberFormat="1" applyFont="1" applyFill="1" applyBorder="1" applyAlignment="1">
      <alignment horizontal="center" vertical="center" wrapText="1"/>
    </xf>
    <xf numFmtId="167" fontId="2" fillId="6" borderId="3" xfId="3" applyNumberFormat="1" applyFont="1" applyFill="1" applyBorder="1" applyAlignment="1">
      <alignment horizontal="center" vertical="center" wrapText="1"/>
    </xf>
    <xf numFmtId="0" fontId="118" fillId="6" borderId="0" xfId="16" applyFont="1" applyFill="1" applyAlignment="1">
      <alignment horizontal="center"/>
    </xf>
    <xf numFmtId="0" fontId="192" fillId="6" borderId="0" xfId="16" applyFont="1" applyFill="1" applyAlignment="1">
      <alignment horizontal="center"/>
    </xf>
    <xf numFmtId="0" fontId="193" fillId="6" borderId="0" xfId="16" applyFont="1" applyFill="1" applyAlignment="1">
      <alignment horizontal="center"/>
    </xf>
    <xf numFmtId="0" fontId="119" fillId="6" borderId="0" xfId="16" applyFont="1" applyFill="1" applyAlignment="1">
      <alignment horizontal="center"/>
    </xf>
    <xf numFmtId="0" fontId="121" fillId="6" borderId="3" xfId="16" applyFont="1" applyFill="1" applyBorder="1" applyAlignment="1">
      <alignment horizontal="center" vertical="center"/>
    </xf>
    <xf numFmtId="0" fontId="121" fillId="6" borderId="8" xfId="16" applyFont="1" applyFill="1" applyBorder="1" applyAlignment="1">
      <alignment horizontal="center" vertical="center" wrapText="1"/>
    </xf>
    <xf numFmtId="0" fontId="121" fillId="6" borderId="16" xfId="16" applyFont="1" applyFill="1" applyBorder="1" applyAlignment="1">
      <alignment horizontal="center" vertical="center" wrapText="1"/>
    </xf>
    <xf numFmtId="0" fontId="121" fillId="6" borderId="13" xfId="16" applyFont="1" applyFill="1" applyBorder="1" applyAlignment="1">
      <alignment horizontal="center" vertical="center" wrapText="1"/>
    </xf>
    <xf numFmtId="0" fontId="121" fillId="6" borderId="8" xfId="16" applyFont="1" applyFill="1" applyBorder="1" applyAlignment="1">
      <alignment horizontal="center" vertical="center"/>
    </xf>
    <xf numFmtId="0" fontId="121" fillId="6" borderId="13" xfId="16" applyFont="1" applyFill="1" applyBorder="1" applyAlignment="1">
      <alignment horizontal="center" vertical="center"/>
    </xf>
    <xf numFmtId="0" fontId="121" fillId="6" borderId="3" xfId="16" applyFont="1" applyFill="1" applyBorder="1" applyAlignment="1">
      <alignment horizontal="center" vertical="center" wrapText="1"/>
    </xf>
    <xf numFmtId="0" fontId="121" fillId="6" borderId="25" xfId="16" applyFont="1" applyFill="1" applyBorder="1" applyAlignment="1">
      <alignment horizontal="center" vertical="center" wrapText="1"/>
    </xf>
    <xf numFmtId="0" fontId="121" fillId="6" borderId="26" xfId="16" applyFont="1" applyFill="1" applyBorder="1" applyAlignment="1">
      <alignment horizontal="center" vertical="center" wrapText="1"/>
    </xf>
    <xf numFmtId="0" fontId="121" fillId="6" borderId="21" xfId="16" applyFont="1" applyFill="1" applyBorder="1" applyAlignment="1">
      <alignment horizontal="center" vertical="center"/>
    </xf>
    <xf numFmtId="0" fontId="121" fillId="6" borderId="22" xfId="16" applyFont="1" applyFill="1" applyBorder="1" applyAlignment="1">
      <alignment horizontal="center" vertical="center"/>
    </xf>
    <xf numFmtId="0" fontId="121" fillId="6" borderId="25" xfId="16" applyFont="1" applyFill="1" applyBorder="1" applyAlignment="1">
      <alignment horizontal="center" vertical="center"/>
    </xf>
    <xf numFmtId="166" fontId="6" fillId="6" borderId="0" xfId="3" applyNumberFormat="1" applyFont="1" applyFill="1" applyAlignment="1">
      <alignment horizontal="center" vertical="center"/>
    </xf>
    <xf numFmtId="166" fontId="6" fillId="6" borderId="17" xfId="3" applyNumberFormat="1" applyFont="1" applyFill="1" applyBorder="1" applyAlignment="1">
      <alignment horizontal="center" vertical="center"/>
    </xf>
    <xf numFmtId="166" fontId="2" fillId="6" borderId="23" xfId="3" applyNumberFormat="1" applyFont="1" applyFill="1" applyBorder="1" applyAlignment="1">
      <alignment horizontal="center" vertical="center" wrapText="1"/>
    </xf>
    <xf numFmtId="166" fontId="2" fillId="6" borderId="2" xfId="3" applyNumberFormat="1" applyFont="1" applyFill="1" applyBorder="1" applyAlignment="1">
      <alignment horizontal="center" vertical="center" wrapText="1"/>
    </xf>
    <xf numFmtId="166" fontId="2" fillId="6" borderId="14" xfId="3" applyNumberFormat="1" applyFont="1" applyFill="1" applyBorder="1" applyAlignment="1">
      <alignment horizontal="center" vertical="center" wrapText="1"/>
    </xf>
    <xf numFmtId="166" fontId="2" fillId="6" borderId="8" xfId="3" applyNumberFormat="1" applyFont="1" applyFill="1" applyBorder="1" applyAlignment="1">
      <alignment horizontal="center" vertical="center" wrapText="1"/>
    </xf>
    <xf numFmtId="166" fontId="2" fillId="6" borderId="16" xfId="3" applyNumberFormat="1" applyFont="1" applyFill="1" applyBorder="1" applyAlignment="1">
      <alignment horizontal="center" vertical="center" wrapText="1"/>
    </xf>
    <xf numFmtId="166" fontId="2" fillId="6" borderId="13" xfId="3" applyNumberFormat="1" applyFont="1" applyFill="1" applyBorder="1" applyAlignment="1">
      <alignment horizontal="center" vertical="center" wrapText="1"/>
    </xf>
    <xf numFmtId="166" fontId="2" fillId="6" borderId="23" xfId="3" applyNumberFormat="1" applyFont="1" applyFill="1" applyBorder="1" applyAlignment="1">
      <alignment horizontal="center" vertical="center"/>
    </xf>
    <xf numFmtId="166" fontId="2" fillId="6" borderId="2" xfId="3" applyNumberFormat="1" applyFont="1" applyFill="1" applyBorder="1" applyAlignment="1">
      <alignment horizontal="center" vertical="center"/>
    </xf>
    <xf numFmtId="166" fontId="2" fillId="6" borderId="14" xfId="3" applyNumberFormat="1" applyFont="1" applyFill="1" applyBorder="1" applyAlignment="1">
      <alignment horizontal="center" vertical="center"/>
    </xf>
    <xf numFmtId="43" fontId="2" fillId="6" borderId="8" xfId="3" applyFont="1" applyFill="1" applyBorder="1" applyAlignment="1">
      <alignment horizontal="center" vertical="center" wrapText="1"/>
    </xf>
    <xf numFmtId="43" fontId="2" fillId="6" borderId="16" xfId="3" applyFont="1" applyFill="1" applyBorder="1" applyAlignment="1">
      <alignment horizontal="center" vertical="center" wrapText="1"/>
    </xf>
    <xf numFmtId="43" fontId="2" fillId="6" borderId="13" xfId="3" applyFont="1" applyFill="1" applyBorder="1" applyAlignment="1">
      <alignment horizontal="center" vertical="center" wrapText="1"/>
    </xf>
    <xf numFmtId="166" fontId="2" fillId="6" borderId="10" xfId="3" applyNumberFormat="1" applyFont="1" applyFill="1" applyBorder="1" applyAlignment="1">
      <alignment horizontal="center" vertical="center" wrapText="1"/>
    </xf>
    <xf numFmtId="166" fontId="2" fillId="6" borderId="19" xfId="3" applyNumberFormat="1" applyFont="1" applyFill="1" applyBorder="1" applyAlignment="1">
      <alignment horizontal="center" vertical="center" wrapText="1"/>
    </xf>
    <xf numFmtId="166" fontId="126" fillId="6" borderId="0" xfId="3" applyNumberFormat="1" applyFont="1" applyFill="1" applyAlignment="1">
      <alignment horizontal="center" vertical="center" wrapText="1"/>
    </xf>
    <xf numFmtId="166" fontId="125" fillId="6" borderId="0" xfId="3" applyNumberFormat="1" applyFont="1" applyFill="1" applyAlignment="1">
      <alignment horizontal="center" vertical="center" wrapText="1"/>
    </xf>
    <xf numFmtId="166" fontId="125" fillId="6" borderId="0" xfId="3" applyNumberFormat="1" applyFont="1" applyFill="1" applyBorder="1" applyAlignment="1">
      <alignment horizontal="center" vertical="center"/>
    </xf>
    <xf numFmtId="171" fontId="195" fillId="6" borderId="0" xfId="3" applyNumberFormat="1" applyFont="1" applyFill="1" applyBorder="1" applyAlignment="1">
      <alignment horizontal="center" vertical="center" wrapText="1"/>
    </xf>
    <xf numFmtId="171" fontId="196" fillId="6" borderId="0" xfId="3" applyNumberFormat="1" applyFont="1" applyFill="1" applyAlignment="1">
      <alignment horizontal="center" vertical="center" wrapText="1"/>
    </xf>
    <xf numFmtId="171" fontId="196" fillId="6" borderId="0" xfId="3" applyNumberFormat="1" applyFont="1" applyFill="1" applyAlignment="1">
      <alignment horizontal="center" vertical="center"/>
    </xf>
    <xf numFmtId="0" fontId="3" fillId="0" borderId="0" xfId="0" applyFont="1" applyAlignment="1">
      <alignment horizontal="center" vertical="center" wrapText="1"/>
    </xf>
    <xf numFmtId="171" fontId="75" fillId="6" borderId="0" xfId="3" applyNumberFormat="1" applyFont="1" applyFill="1" applyBorder="1" applyAlignment="1">
      <alignment horizontal="center" vertical="center" wrapText="1"/>
    </xf>
    <xf numFmtId="171" fontId="2" fillId="6" borderId="0" xfId="3" applyNumberFormat="1" applyFont="1" applyFill="1" applyAlignment="1">
      <alignment horizontal="center" vertical="center" wrapText="1"/>
    </xf>
    <xf numFmtId="171" fontId="2" fillId="6" borderId="0" xfId="3" applyNumberFormat="1" applyFont="1" applyFill="1" applyAlignment="1">
      <alignment horizontal="center" vertical="center"/>
    </xf>
    <xf numFmtId="0" fontId="71" fillId="6" borderId="0" xfId="0" applyFont="1" applyFill="1" applyAlignment="1">
      <alignment horizontal="center" vertical="center" wrapText="1"/>
    </xf>
    <xf numFmtId="0" fontId="73" fillId="6" borderId="0" xfId="0" applyFont="1" applyFill="1" applyAlignment="1">
      <alignment horizontal="center" vertical="center" wrapText="1"/>
    </xf>
    <xf numFmtId="3" fontId="75" fillId="6" borderId="0" xfId="0" applyNumberFormat="1" applyFont="1" applyFill="1" applyAlignment="1">
      <alignment horizontal="center" vertical="center" wrapText="1"/>
    </xf>
    <xf numFmtId="0" fontId="75" fillId="6" borderId="0" xfId="0" applyFont="1" applyFill="1" applyAlignment="1">
      <alignment horizontal="center" vertical="center" wrapText="1"/>
    </xf>
    <xf numFmtId="0" fontId="25" fillId="0" borderId="68" xfId="0" applyFont="1" applyBorder="1" applyAlignment="1">
      <alignment horizontal="center" vertical="center" wrapText="1"/>
    </xf>
    <xf numFmtId="0" fontId="25" fillId="0" borderId="69" xfId="0" applyFont="1" applyBorder="1" applyAlignment="1">
      <alignment horizontal="center" vertical="center" wrapText="1"/>
    </xf>
    <xf numFmtId="0" fontId="18" fillId="0" borderId="0" xfId="0" applyFont="1" applyAlignment="1">
      <alignment horizontal="center" vertical="center" wrapText="1"/>
    </xf>
    <xf numFmtId="0" fontId="182" fillId="0" borderId="68" xfId="0" applyFont="1" applyBorder="1" applyAlignment="1">
      <alignment horizontal="center" vertical="center" wrapText="1"/>
    </xf>
    <xf numFmtId="3" fontId="2" fillId="6" borderId="0" xfId="37" applyNumberFormat="1" applyFont="1" applyFill="1" applyAlignment="1" applyProtection="1">
      <alignment horizontal="center" vertical="center" wrapText="1"/>
      <protection locked="0"/>
    </xf>
    <xf numFmtId="3" fontId="3" fillId="6" borderId="0" xfId="37" applyNumberFormat="1" applyFont="1" applyFill="1" applyAlignment="1" applyProtection="1">
      <alignment horizontal="center" vertical="center" wrapText="1"/>
      <protection locked="0"/>
    </xf>
    <xf numFmtId="3" fontId="71" fillId="6" borderId="0" xfId="37" applyNumberFormat="1" applyFont="1" applyFill="1" applyAlignment="1" applyProtection="1">
      <alignment horizontal="center"/>
      <protection locked="0"/>
    </xf>
    <xf numFmtId="3" fontId="75" fillId="6" borderId="17" xfId="37" applyNumberFormat="1" applyFont="1" applyFill="1" applyBorder="1" applyAlignment="1" applyProtection="1">
      <alignment horizontal="right"/>
      <protection locked="0"/>
    </xf>
    <xf numFmtId="3" fontId="73" fillId="8" borderId="0" xfId="37" applyNumberFormat="1" applyFont="1" applyFill="1" applyAlignment="1" applyProtection="1">
      <alignment horizontal="center"/>
      <protection locked="0"/>
    </xf>
    <xf numFmtId="0" fontId="42" fillId="6" borderId="8" xfId="0" applyFont="1" applyFill="1" applyBorder="1" applyAlignment="1">
      <alignment horizontal="center" vertical="center" wrapText="1"/>
    </xf>
    <xf numFmtId="0" fontId="42" fillId="6" borderId="13" xfId="0" applyFont="1" applyFill="1" applyBorder="1" applyAlignment="1">
      <alignment horizontal="center" vertical="center" wrapText="1"/>
    </xf>
    <xf numFmtId="166" fontId="41" fillId="6" borderId="23" xfId="3" applyNumberFormat="1" applyFont="1" applyFill="1" applyBorder="1" applyAlignment="1">
      <alignment horizontal="center" vertical="center" wrapText="1"/>
    </xf>
    <xf numFmtId="166" fontId="41" fillId="6" borderId="2" xfId="3" applyNumberFormat="1" applyFont="1" applyFill="1" applyBorder="1" applyAlignment="1">
      <alignment horizontal="center" vertical="center" wrapText="1"/>
    </xf>
    <xf numFmtId="166" fontId="41" fillId="6" borderId="14" xfId="3" applyNumberFormat="1" applyFont="1" applyFill="1" applyBorder="1" applyAlignment="1">
      <alignment horizontal="center" vertical="center" wrapText="1"/>
    </xf>
    <xf numFmtId="0" fontId="87" fillId="6" borderId="3" xfId="0" applyFont="1" applyFill="1" applyBorder="1" applyAlignment="1">
      <alignment horizontal="center" vertical="center" wrapText="1"/>
    </xf>
    <xf numFmtId="171" fontId="125" fillId="6" borderId="0" xfId="3" applyNumberFormat="1" applyFont="1" applyFill="1" applyAlignment="1">
      <alignment horizontal="center" vertical="center"/>
    </xf>
    <xf numFmtId="0" fontId="189" fillId="6" borderId="22" xfId="23" applyFont="1" applyFill="1" applyBorder="1" applyAlignment="1">
      <alignment horizontal="left" vertical="center" wrapText="1"/>
    </xf>
    <xf numFmtId="0" fontId="135" fillId="6" borderId="0" xfId="0" applyFont="1" applyFill="1" applyAlignment="1">
      <alignment horizontal="center" vertical="center" wrapText="1"/>
    </xf>
    <xf numFmtId="171" fontId="199" fillId="6" borderId="0" xfId="3" applyNumberFormat="1" applyFont="1" applyFill="1" applyBorder="1" applyAlignment="1">
      <alignment horizontal="center" vertical="center" wrapText="1"/>
    </xf>
    <xf numFmtId="171" fontId="125" fillId="6" borderId="0" xfId="3" applyNumberFormat="1" applyFont="1" applyFill="1" applyAlignment="1">
      <alignment horizontal="center" vertical="center" wrapText="1"/>
    </xf>
    <xf numFmtId="0" fontId="135" fillId="6" borderId="3" xfId="0" applyFont="1" applyFill="1" applyBorder="1" applyAlignment="1">
      <alignment horizontal="center" vertical="center" wrapText="1"/>
    </xf>
    <xf numFmtId="0" fontId="189" fillId="6" borderId="17" xfId="0" applyFont="1" applyFill="1" applyBorder="1" applyAlignment="1">
      <alignment horizontal="right" vertical="center" wrapText="1"/>
    </xf>
    <xf numFmtId="0" fontId="135" fillId="0" borderId="0" xfId="0" applyFont="1" applyAlignment="1">
      <alignment horizontal="left" vertical="center" wrapText="1"/>
    </xf>
    <xf numFmtId="0" fontId="139" fillId="6" borderId="0" xfId="0" applyFont="1" applyFill="1" applyAlignment="1">
      <alignment horizontal="right" vertical="center" wrapText="1"/>
    </xf>
    <xf numFmtId="0" fontId="71" fillId="6" borderId="0" xfId="0" applyFont="1" applyFill="1" applyAlignment="1">
      <alignment horizontal="justify" vertical="center" wrapText="1"/>
    </xf>
    <xf numFmtId="0" fontId="73" fillId="6" borderId="0" xfId="0" applyFont="1" applyFill="1" applyAlignment="1">
      <alignment horizontal="center"/>
    </xf>
    <xf numFmtId="0" fontId="71" fillId="6" borderId="0" xfId="0" applyFont="1" applyFill="1" applyAlignment="1">
      <alignment horizontal="center" wrapText="1"/>
    </xf>
    <xf numFmtId="0" fontId="71" fillId="6" borderId="0" xfId="0" applyFont="1" applyFill="1" applyAlignment="1">
      <alignment horizontal="center"/>
    </xf>
    <xf numFmtId="0" fontId="71" fillId="6" borderId="0" xfId="0" applyFont="1" applyFill="1" applyAlignment="1">
      <alignment horizontal="left" vertical="center"/>
    </xf>
    <xf numFmtId="0" fontId="9" fillId="6" borderId="0" xfId="0" applyFont="1" applyFill="1" applyAlignment="1">
      <alignment horizontal="center"/>
    </xf>
    <xf numFmtId="3" fontId="3" fillId="6" borderId="0" xfId="0" applyNumberFormat="1" applyFont="1" applyFill="1" applyAlignment="1">
      <alignment horizontal="center"/>
    </xf>
    <xf numFmtId="0" fontId="3" fillId="6" borderId="0" xfId="0" applyFont="1" applyFill="1" applyAlignment="1">
      <alignment horizontal="center"/>
    </xf>
    <xf numFmtId="0" fontId="75" fillId="6" borderId="17" xfId="0" applyFont="1" applyFill="1" applyBorder="1" applyAlignment="1">
      <alignment horizontal="right"/>
    </xf>
    <xf numFmtId="3" fontId="73" fillId="6" borderId="0" xfId="0" applyNumberFormat="1" applyFont="1" applyFill="1" applyAlignment="1">
      <alignment horizontal="center"/>
    </xf>
    <xf numFmtId="0" fontId="6" fillId="6" borderId="0" xfId="0" applyFont="1" applyFill="1" applyAlignment="1">
      <alignment horizontal="center" vertical="center" wrapText="1"/>
    </xf>
    <xf numFmtId="0" fontId="9" fillId="6" borderId="0" xfId="0" applyFont="1" applyFill="1" applyAlignment="1">
      <alignment horizontal="center" vertical="center" wrapText="1"/>
    </xf>
    <xf numFmtId="3" fontId="3" fillId="6" borderId="0" xfId="0" applyNumberFormat="1" applyFont="1" applyFill="1" applyAlignment="1">
      <alignment horizontal="center" vertical="center" wrapText="1"/>
    </xf>
    <xf numFmtId="0" fontId="184" fillId="6" borderId="8" xfId="0" applyFont="1" applyFill="1" applyBorder="1" applyAlignment="1">
      <alignment horizontal="center" vertical="center" wrapText="1"/>
    </xf>
    <xf numFmtId="0" fontId="184" fillId="6" borderId="16" xfId="0" applyFont="1" applyFill="1" applyBorder="1" applyAlignment="1">
      <alignment horizontal="center" vertical="center" wrapText="1"/>
    </xf>
    <xf numFmtId="0" fontId="184" fillId="6" borderId="13" xfId="0" applyFont="1" applyFill="1" applyBorder="1" applyAlignment="1">
      <alignment horizontal="center" vertical="center" wrapText="1"/>
    </xf>
    <xf numFmtId="166" fontId="184" fillId="6" borderId="23" xfId="3" applyNumberFormat="1" applyFont="1" applyFill="1" applyBorder="1" applyAlignment="1">
      <alignment horizontal="center" vertical="center" wrapText="1"/>
    </xf>
    <xf numFmtId="166" fontId="184" fillId="6" borderId="2" xfId="3" applyNumberFormat="1" applyFont="1" applyFill="1" applyBorder="1" applyAlignment="1">
      <alignment horizontal="center" vertical="center" wrapText="1"/>
    </xf>
    <xf numFmtId="166" fontId="184" fillId="6" borderId="14" xfId="3" applyNumberFormat="1" applyFont="1" applyFill="1" applyBorder="1" applyAlignment="1">
      <alignment horizontal="center" vertical="center" wrapText="1"/>
    </xf>
    <xf numFmtId="166" fontId="184" fillId="6" borderId="8" xfId="3" applyNumberFormat="1" applyFont="1" applyFill="1" applyBorder="1" applyAlignment="1">
      <alignment horizontal="center" vertical="center" wrapText="1"/>
    </xf>
    <xf numFmtId="166" fontId="184" fillId="6" borderId="16" xfId="3" applyNumberFormat="1" applyFont="1" applyFill="1" applyBorder="1" applyAlignment="1">
      <alignment horizontal="center" vertical="center" wrapText="1"/>
    </xf>
    <xf numFmtId="166" fontId="184" fillId="6" borderId="13" xfId="3" applyNumberFormat="1" applyFont="1" applyFill="1" applyBorder="1" applyAlignment="1">
      <alignment horizontal="center" vertical="center" wrapText="1"/>
    </xf>
    <xf numFmtId="166" fontId="184" fillId="6" borderId="21" xfId="3" applyNumberFormat="1" applyFont="1" applyFill="1" applyBorder="1" applyAlignment="1">
      <alignment horizontal="center" vertical="center" wrapText="1"/>
    </xf>
    <xf numFmtId="166" fontId="184" fillId="6" borderId="25" xfId="3" applyNumberFormat="1" applyFont="1" applyFill="1" applyBorder="1" applyAlignment="1">
      <alignment horizontal="center" vertical="center" wrapText="1"/>
    </xf>
    <xf numFmtId="0" fontId="186" fillId="6" borderId="22" xfId="23" applyFont="1" applyFill="1" applyBorder="1" applyAlignment="1">
      <alignment horizontal="left" vertical="center" wrapText="1"/>
    </xf>
    <xf numFmtId="166" fontId="149" fillId="6" borderId="0" xfId="3" applyNumberFormat="1" applyFont="1" applyFill="1" applyAlignment="1">
      <alignment horizontal="center" vertical="center" wrapText="1"/>
    </xf>
    <xf numFmtId="166" fontId="184" fillId="6" borderId="22" xfId="3" applyNumberFormat="1" applyFont="1" applyFill="1" applyBorder="1" applyAlignment="1">
      <alignment horizontal="center" vertical="center" wrapText="1"/>
    </xf>
    <xf numFmtId="166" fontId="184" fillId="6" borderId="3" xfId="3" applyNumberFormat="1" applyFont="1" applyFill="1" applyBorder="1" applyAlignment="1">
      <alignment horizontal="center" vertical="center" wrapText="1"/>
    </xf>
    <xf numFmtId="166" fontId="43" fillId="6" borderId="17" xfId="3" applyNumberFormat="1" applyFont="1" applyFill="1" applyBorder="1" applyAlignment="1">
      <alignment horizontal="right" vertical="center" wrapText="1"/>
    </xf>
    <xf numFmtId="0" fontId="41" fillId="6" borderId="0" xfId="0" applyFont="1" applyFill="1" applyAlignment="1">
      <alignment horizontal="left" vertical="center" wrapText="1"/>
    </xf>
    <xf numFmtId="166" fontId="41" fillId="6" borderId="0" xfId="3" applyNumberFormat="1" applyFont="1" applyFill="1" applyAlignment="1">
      <alignment horizontal="center" vertical="center" wrapText="1"/>
    </xf>
    <xf numFmtId="166" fontId="42" fillId="6" borderId="0" xfId="3" applyNumberFormat="1" applyFont="1" applyFill="1" applyAlignment="1">
      <alignment horizontal="right" vertical="center" wrapText="1"/>
    </xf>
    <xf numFmtId="0" fontId="41" fillId="6" borderId="0" xfId="0" applyFont="1" applyFill="1" applyAlignment="1">
      <alignment horizontal="center" vertical="center" wrapText="1"/>
    </xf>
    <xf numFmtId="0" fontId="43" fillId="6" borderId="0" xfId="0" applyFont="1" applyFill="1" applyAlignment="1">
      <alignment horizontal="center" vertical="center" wrapText="1"/>
    </xf>
    <xf numFmtId="166" fontId="41" fillId="6" borderId="3" xfId="3" applyNumberFormat="1" applyFont="1" applyFill="1" applyBorder="1" applyAlignment="1">
      <alignment horizontal="center" vertical="center" wrapText="1"/>
    </xf>
    <xf numFmtId="166" fontId="41" fillId="6" borderId="16" xfId="3" applyNumberFormat="1" applyFont="1" applyFill="1" applyBorder="1" applyAlignment="1">
      <alignment horizontal="center" vertical="center" wrapText="1"/>
    </xf>
    <xf numFmtId="166" fontId="41" fillId="6" borderId="13" xfId="3" applyNumberFormat="1" applyFont="1" applyFill="1" applyBorder="1" applyAlignment="1">
      <alignment horizontal="center" vertical="center" wrapText="1"/>
    </xf>
    <xf numFmtId="0" fontId="41" fillId="6" borderId="3" xfId="0" applyFont="1" applyFill="1" applyBorder="1" applyAlignment="1">
      <alignment horizontal="center" vertical="center" wrapText="1"/>
    </xf>
    <xf numFmtId="166" fontId="3" fillId="6" borderId="17" xfId="3" applyNumberFormat="1" applyFont="1" applyFill="1" applyBorder="1" applyAlignment="1">
      <alignment horizontal="center" vertical="center"/>
    </xf>
    <xf numFmtId="166" fontId="41" fillId="6" borderId="8" xfId="3" applyNumberFormat="1" applyFont="1" applyFill="1" applyBorder="1" applyAlignment="1">
      <alignment horizontal="center" vertical="center" wrapText="1"/>
    </xf>
    <xf numFmtId="166" fontId="41" fillId="6" borderId="23" xfId="3" applyNumberFormat="1" applyFont="1" applyFill="1" applyBorder="1" applyAlignment="1">
      <alignment horizontal="center" vertical="center"/>
    </xf>
    <xf numFmtId="166" fontId="41" fillId="6" borderId="2" xfId="3" applyNumberFormat="1" applyFont="1" applyFill="1" applyBorder="1" applyAlignment="1">
      <alignment horizontal="center" vertical="center"/>
    </xf>
    <xf numFmtId="166" fontId="41" fillId="6" borderId="14" xfId="3" applyNumberFormat="1" applyFont="1" applyFill="1" applyBorder="1" applyAlignment="1">
      <alignment horizontal="center" vertical="center"/>
    </xf>
    <xf numFmtId="166" fontId="41" fillId="6" borderId="10" xfId="3" applyNumberFormat="1" applyFont="1" applyFill="1" applyBorder="1" applyAlignment="1">
      <alignment horizontal="center" vertical="center" wrapText="1"/>
    </xf>
    <xf numFmtId="166" fontId="41" fillId="6" borderId="19" xfId="3" applyNumberFormat="1" applyFont="1" applyFill="1" applyBorder="1" applyAlignment="1">
      <alignment horizontal="center" vertical="center" wrapText="1"/>
    </xf>
    <xf numFmtId="166" fontId="2" fillId="0" borderId="0" xfId="3" applyNumberFormat="1" applyFont="1" applyFill="1" applyAlignment="1">
      <alignment horizontal="center"/>
    </xf>
    <xf numFmtId="169" fontId="2" fillId="0" borderId="0" xfId="3" applyNumberFormat="1" applyFont="1" applyFill="1" applyAlignment="1">
      <alignment horizontal="center" vertical="center" wrapText="1"/>
    </xf>
    <xf numFmtId="169" fontId="6" fillId="0" borderId="0" xfId="3" applyNumberFormat="1" applyFont="1" applyFill="1" applyAlignment="1">
      <alignment horizontal="center" vertical="center"/>
    </xf>
    <xf numFmtId="0" fontId="2" fillId="0" borderId="0" xfId="0" applyFont="1" applyAlignment="1">
      <alignment horizontal="center" vertical="center" wrapText="1"/>
    </xf>
    <xf numFmtId="0" fontId="2" fillId="0" borderId="94" xfId="0" applyFont="1" applyBorder="1" applyAlignment="1">
      <alignment horizontal="center" vertical="center" wrapText="1"/>
    </xf>
    <xf numFmtId="171" fontId="2" fillId="0" borderId="94" xfId="3" applyNumberFormat="1" applyFont="1" applyFill="1" applyBorder="1" applyAlignment="1">
      <alignment horizontal="center" vertical="center" wrapText="1"/>
    </xf>
    <xf numFmtId="171" fontId="114" fillId="0" borderId="94" xfId="3" applyNumberFormat="1" applyFont="1" applyFill="1" applyBorder="1" applyAlignment="1">
      <alignment horizontal="center" vertical="center" wrapText="1"/>
    </xf>
    <xf numFmtId="166" fontId="2" fillId="0" borderId="94" xfId="3" applyNumberFormat="1" applyFont="1" applyFill="1" applyBorder="1" applyAlignment="1">
      <alignment horizontal="center" vertical="center" wrapText="1"/>
    </xf>
    <xf numFmtId="0" fontId="2" fillId="0" borderId="0" xfId="0" applyFont="1" applyAlignment="1">
      <alignment horizontal="left" vertical="center"/>
    </xf>
    <xf numFmtId="169" fontId="6" fillId="0" borderId="0" xfId="3" applyNumberFormat="1" applyFont="1" applyFill="1" applyAlignment="1">
      <alignment horizontal="center" vertical="center" wrapText="1"/>
    </xf>
    <xf numFmtId="0" fontId="2" fillId="6" borderId="0" xfId="0" applyFont="1" applyFill="1" applyAlignment="1">
      <alignment horizontal="center"/>
    </xf>
    <xf numFmtId="166" fontId="3" fillId="0" borderId="0" xfId="3" applyNumberFormat="1" applyFont="1" applyAlignment="1">
      <alignment horizontal="center"/>
    </xf>
    <xf numFmtId="0" fontId="2" fillId="0" borderId="86" xfId="0" applyFont="1" applyBorder="1" applyAlignment="1">
      <alignment horizontal="center" vertical="center" wrapText="1"/>
    </xf>
    <xf numFmtId="0" fontId="2" fillId="0" borderId="88" xfId="0" applyFont="1" applyBorder="1" applyAlignment="1">
      <alignment horizontal="center" vertical="center" wrapText="1"/>
    </xf>
    <xf numFmtId="0" fontId="91" fillId="0" borderId="0" xfId="0" applyFont="1" applyAlignment="1">
      <alignment horizontal="center" vertical="center" wrapText="1"/>
    </xf>
    <xf numFmtId="3" fontId="172" fillId="0" borderId="0" xfId="0" applyNumberFormat="1" applyFont="1" applyAlignment="1">
      <alignment horizontal="center" vertical="center" wrapText="1"/>
    </xf>
    <xf numFmtId="0" fontId="2" fillId="0" borderId="77" xfId="0" applyFont="1" applyBorder="1" applyAlignment="1">
      <alignment horizontal="center" vertical="center" wrapText="1"/>
    </xf>
    <xf numFmtId="0" fontId="2" fillId="0" borderId="13" xfId="0" applyFont="1" applyBorder="1" applyAlignment="1">
      <alignment horizontal="center" vertical="center" wrapText="1"/>
    </xf>
    <xf numFmtId="171" fontId="2" fillId="0" borderId="86" xfId="3" applyNumberFormat="1" applyFont="1" applyFill="1" applyBorder="1" applyAlignment="1">
      <alignment horizontal="center" vertical="center" wrapText="1"/>
    </xf>
    <xf numFmtId="171" fontId="2" fillId="0" borderId="88" xfId="3" applyNumberFormat="1" applyFont="1" applyFill="1" applyBorder="1" applyAlignment="1">
      <alignment horizontal="center" vertical="center" wrapText="1"/>
    </xf>
    <xf numFmtId="0" fontId="3" fillId="0" borderId="98" xfId="0" applyFont="1" applyBorder="1" applyAlignment="1">
      <alignment horizontal="center" vertical="center"/>
    </xf>
    <xf numFmtId="0" fontId="172" fillId="0" borderId="0" xfId="0" applyFont="1" applyAlignment="1">
      <alignment horizontal="center" vertical="center" wrapText="1"/>
    </xf>
    <xf numFmtId="0" fontId="2" fillId="0" borderId="0" xfId="0" applyFont="1" applyAlignment="1">
      <alignment horizontal="center"/>
    </xf>
    <xf numFmtId="0" fontId="2" fillId="6" borderId="0" xfId="0" applyFont="1" applyFill="1" applyAlignment="1">
      <alignment horizontal="left" vertical="center"/>
    </xf>
    <xf numFmtId="171" fontId="73" fillId="6" borderId="0" xfId="3" applyNumberFormat="1" applyFont="1" applyFill="1" applyAlignment="1">
      <alignment horizontal="center" vertical="center" wrapText="1"/>
    </xf>
    <xf numFmtId="171" fontId="114" fillId="0" borderId="0" xfId="3" applyNumberFormat="1" applyFont="1" applyFill="1" applyAlignment="1">
      <alignment horizontal="center" vertical="center" wrapText="1"/>
    </xf>
    <xf numFmtId="0" fontId="114" fillId="6" borderId="0" xfId="0" applyFont="1" applyFill="1" applyAlignment="1">
      <alignment horizontal="left" vertical="center"/>
    </xf>
    <xf numFmtId="166" fontId="114" fillId="6" borderId="0" xfId="3" applyNumberFormat="1" applyFont="1" applyFill="1" applyAlignment="1">
      <alignment horizontal="center"/>
    </xf>
    <xf numFmtId="0" fontId="114" fillId="6" borderId="0" xfId="0" applyFont="1" applyFill="1" applyAlignment="1">
      <alignment horizontal="center" vertical="center" wrapText="1"/>
    </xf>
    <xf numFmtId="0" fontId="114" fillId="6" borderId="76" xfId="0" applyFont="1" applyFill="1" applyBorder="1" applyAlignment="1">
      <alignment horizontal="center" vertical="center" wrapText="1" readingOrder="1"/>
    </xf>
    <xf numFmtId="0" fontId="114" fillId="6" borderId="33" xfId="0" applyFont="1" applyFill="1" applyBorder="1" applyAlignment="1">
      <alignment horizontal="center" vertical="center" wrapText="1" readingOrder="1"/>
    </xf>
    <xf numFmtId="166" fontId="114" fillId="0" borderId="76" xfId="3" applyNumberFormat="1" applyFont="1" applyFill="1" applyBorder="1" applyAlignment="1">
      <alignment horizontal="center" vertical="center" wrapText="1" readingOrder="1"/>
    </xf>
    <xf numFmtId="166" fontId="114" fillId="0" borderId="33" xfId="3" applyNumberFormat="1" applyFont="1" applyFill="1" applyBorder="1" applyAlignment="1">
      <alignment horizontal="center" vertical="center" wrapText="1" readingOrder="1"/>
    </xf>
    <xf numFmtId="171" fontId="114" fillId="0" borderId="76" xfId="3" applyNumberFormat="1" applyFont="1" applyFill="1" applyBorder="1" applyAlignment="1">
      <alignment horizontal="center" vertical="center" wrapText="1" readingOrder="1"/>
    </xf>
    <xf numFmtId="171" fontId="114" fillId="0" borderId="33" xfId="3" applyNumberFormat="1" applyFont="1" applyFill="1" applyBorder="1" applyAlignment="1">
      <alignment horizontal="center" vertical="center" wrapText="1" readingOrder="1"/>
    </xf>
    <xf numFmtId="0" fontId="114" fillId="6" borderId="73" xfId="0" applyFont="1" applyFill="1" applyBorder="1" applyAlignment="1">
      <alignment horizontal="center" vertical="center" wrapText="1" readingOrder="1"/>
    </xf>
    <xf numFmtId="0" fontId="114" fillId="6" borderId="75" xfId="0" applyFont="1" applyFill="1" applyBorder="1" applyAlignment="1">
      <alignment horizontal="center" vertical="center" wrapText="1" readingOrder="1"/>
    </xf>
    <xf numFmtId="3" fontId="235" fillId="6" borderId="0" xfId="0" applyNumberFormat="1" applyFont="1" applyFill="1" applyAlignment="1">
      <alignment horizontal="center" vertical="center" wrapText="1"/>
    </xf>
    <xf numFmtId="0" fontId="235" fillId="6" borderId="0" xfId="0" applyFont="1" applyFill="1" applyAlignment="1">
      <alignment horizontal="center" vertical="center" wrapText="1"/>
    </xf>
    <xf numFmtId="171" fontId="266" fillId="6" borderId="97" xfId="3" applyNumberFormat="1" applyFont="1" applyFill="1" applyBorder="1" applyAlignment="1">
      <alignment horizontal="center" readingOrder="1"/>
    </xf>
    <xf numFmtId="0" fontId="266" fillId="6" borderId="0" xfId="0" applyFont="1" applyFill="1" applyAlignment="1">
      <alignment horizontal="center" vertical="center" wrapText="1"/>
    </xf>
    <xf numFmtId="0" fontId="264" fillId="6" borderId="0" xfId="0" applyFont="1" applyFill="1" applyAlignment="1">
      <alignment horizontal="center" vertical="center" wrapText="1"/>
    </xf>
    <xf numFmtId="0" fontId="265" fillId="6" borderId="0" xfId="0" applyFont="1" applyFill="1" applyAlignment="1">
      <alignment horizontal="center" vertical="center" wrapText="1" readingOrder="1"/>
    </xf>
    <xf numFmtId="166" fontId="264" fillId="6" borderId="0" xfId="3" applyNumberFormat="1" applyFont="1" applyFill="1" applyAlignment="1">
      <alignment horizontal="center"/>
    </xf>
    <xf numFmtId="0" fontId="264" fillId="6" borderId="0" xfId="0" applyFont="1" applyFill="1" applyAlignment="1">
      <alignment horizontal="center"/>
    </xf>
    <xf numFmtId="0" fontId="264" fillId="6" borderId="0" xfId="0" applyFont="1" applyFill="1" applyAlignment="1">
      <alignment horizontal="left" vertical="center" wrapText="1" readingOrder="1"/>
    </xf>
    <xf numFmtId="3" fontId="266" fillId="6" borderId="0" xfId="0" applyNumberFormat="1" applyFont="1" applyFill="1" applyAlignment="1">
      <alignment horizontal="center" wrapText="1" readingOrder="1"/>
    </xf>
    <xf numFmtId="0" fontId="266" fillId="6" borderId="0" xfId="0" applyFont="1" applyFill="1" applyAlignment="1">
      <alignment horizontal="center" wrapText="1" readingOrder="1"/>
    </xf>
    <xf numFmtId="0" fontId="264" fillId="6" borderId="76" xfId="0" applyFont="1" applyFill="1" applyBorder="1" applyAlignment="1">
      <alignment horizontal="center" vertical="center" wrapText="1" readingOrder="1"/>
    </xf>
    <xf numFmtId="0" fontId="264" fillId="6" borderId="33" xfId="0" applyFont="1" applyFill="1" applyBorder="1" applyAlignment="1">
      <alignment horizontal="center" vertical="center" wrapText="1" readingOrder="1"/>
    </xf>
    <xf numFmtId="166" fontId="264" fillId="6" borderId="76" xfId="3" applyNumberFormat="1" applyFont="1" applyFill="1" applyBorder="1" applyAlignment="1">
      <alignment horizontal="center" vertical="center" wrapText="1" readingOrder="1"/>
    </xf>
    <xf numFmtId="166" fontId="264" fillId="6" borderId="33" xfId="3" applyNumberFormat="1" applyFont="1" applyFill="1" applyBorder="1" applyAlignment="1">
      <alignment horizontal="center" vertical="center" wrapText="1" readingOrder="1"/>
    </xf>
    <xf numFmtId="166" fontId="264" fillId="6" borderId="73" xfId="3" applyNumberFormat="1" applyFont="1" applyFill="1" applyBorder="1" applyAlignment="1">
      <alignment horizontal="center" vertical="center" wrapText="1" readingOrder="1"/>
    </xf>
    <xf numFmtId="166" fontId="264" fillId="6" borderId="75" xfId="3" applyNumberFormat="1" applyFont="1" applyFill="1" applyBorder="1" applyAlignment="1">
      <alignment horizontal="center" vertical="center" wrapText="1" readingOrder="1"/>
    </xf>
    <xf numFmtId="171" fontId="264" fillId="6" borderId="76" xfId="3" applyNumberFormat="1" applyFont="1" applyFill="1" applyBorder="1" applyAlignment="1">
      <alignment horizontal="center" vertical="center" wrapText="1" readingOrder="1"/>
    </xf>
    <xf numFmtId="171" fontId="264" fillId="6" borderId="33" xfId="3" applyNumberFormat="1" applyFont="1" applyFill="1" applyBorder="1" applyAlignment="1">
      <alignment horizontal="center" vertical="center" wrapText="1" readingOrder="1"/>
    </xf>
    <xf numFmtId="171" fontId="264" fillId="6" borderId="73" xfId="3" applyNumberFormat="1" applyFont="1" applyFill="1" applyBorder="1" applyAlignment="1">
      <alignment horizontal="center" vertical="center" wrapText="1" readingOrder="1"/>
    </xf>
    <xf numFmtId="171" fontId="264" fillId="6" borderId="75" xfId="3" applyNumberFormat="1" applyFont="1" applyFill="1" applyBorder="1" applyAlignment="1">
      <alignment horizontal="center" vertical="center" wrapText="1" readingOrder="1"/>
    </xf>
    <xf numFmtId="0" fontId="264" fillId="6" borderId="73" xfId="0" applyFont="1" applyFill="1" applyBorder="1" applyAlignment="1">
      <alignment horizontal="center" vertical="center" wrapText="1" readingOrder="1"/>
    </xf>
    <xf numFmtId="0" fontId="264" fillId="6" borderId="74" xfId="0" applyFont="1" applyFill="1" applyBorder="1" applyAlignment="1">
      <alignment horizontal="center" vertical="center" wrapText="1" readingOrder="1"/>
    </xf>
    <xf numFmtId="0" fontId="264" fillId="6" borderId="75" xfId="0" applyFont="1" applyFill="1" applyBorder="1" applyAlignment="1">
      <alignment horizontal="center" vertical="center" wrapText="1" readingOrder="1"/>
    </xf>
    <xf numFmtId="0" fontId="264" fillId="6" borderId="0" xfId="0" applyFont="1" applyFill="1" applyAlignment="1">
      <alignment horizontal="center" wrapText="1" readingOrder="1"/>
    </xf>
    <xf numFmtId="0" fontId="114" fillId="6" borderId="0" xfId="0" applyFont="1" applyFill="1" applyAlignment="1">
      <alignment horizontal="center"/>
    </xf>
    <xf numFmtId="166" fontId="205" fillId="6" borderId="94" xfId="3" applyNumberFormat="1" applyFont="1" applyFill="1" applyBorder="1" applyAlignment="1">
      <alignment horizontal="center" vertical="center" wrapText="1"/>
    </xf>
    <xf numFmtId="166" fontId="139" fillId="6" borderId="0" xfId="3" applyNumberFormat="1" applyFont="1" applyFill="1" applyAlignment="1">
      <alignment horizontal="center" vertical="center" wrapText="1"/>
    </xf>
    <xf numFmtId="0" fontId="114" fillId="6" borderId="0" xfId="0" applyFont="1" applyFill="1" applyAlignment="1">
      <alignment horizontal="center" vertical="center"/>
    </xf>
    <xf numFmtId="170" fontId="114" fillId="6" borderId="94" xfId="3" applyNumberFormat="1" applyFont="1" applyFill="1" applyBorder="1" applyAlignment="1">
      <alignment horizontal="center" vertical="center" wrapText="1"/>
    </xf>
    <xf numFmtId="166" fontId="114" fillId="6" borderId="94" xfId="3" applyNumberFormat="1" applyFont="1" applyFill="1" applyBorder="1" applyAlignment="1">
      <alignment horizontal="center" vertical="center" wrapText="1"/>
    </xf>
    <xf numFmtId="0" fontId="114" fillId="6" borderId="94" xfId="0" applyFont="1" applyFill="1" applyBorder="1" applyAlignment="1">
      <alignment horizontal="center" vertical="center" wrapText="1"/>
    </xf>
    <xf numFmtId="166" fontId="235" fillId="6" borderId="0" xfId="3" applyNumberFormat="1" applyFont="1" applyFill="1" applyBorder="1" applyAlignment="1">
      <alignment horizontal="center" vertical="center" wrapText="1"/>
    </xf>
    <xf numFmtId="171" fontId="114" fillId="6" borderId="94" xfId="3" applyNumberFormat="1" applyFont="1" applyFill="1" applyBorder="1" applyAlignment="1">
      <alignment horizontal="center" vertical="center" wrapText="1"/>
    </xf>
    <xf numFmtId="166" fontId="114" fillId="6" borderId="86" xfId="3" applyNumberFormat="1" applyFont="1" applyFill="1" applyBorder="1" applyAlignment="1">
      <alignment horizontal="center" wrapText="1"/>
    </xf>
    <xf numFmtId="166" fontId="114" fillId="6" borderId="87" xfId="3" applyNumberFormat="1" applyFont="1" applyFill="1" applyBorder="1" applyAlignment="1">
      <alignment horizontal="center" wrapText="1"/>
    </xf>
    <xf numFmtId="166" fontId="114" fillId="6" borderId="88" xfId="3" applyNumberFormat="1" applyFont="1" applyFill="1" applyBorder="1" applyAlignment="1">
      <alignment horizontal="center" wrapText="1"/>
    </xf>
    <xf numFmtId="166" fontId="139" fillId="6" borderId="98" xfId="3" applyNumberFormat="1" applyFont="1" applyFill="1" applyBorder="1" applyAlignment="1">
      <alignment horizontal="center"/>
    </xf>
    <xf numFmtId="172" fontId="114" fillId="6" borderId="94" xfId="3" applyNumberFormat="1" applyFont="1" applyFill="1" applyBorder="1" applyAlignment="1">
      <alignment horizontal="center" vertical="center" wrapText="1"/>
    </xf>
    <xf numFmtId="0" fontId="13" fillId="0" borderId="0" xfId="0" applyFont="1" applyAlignment="1">
      <alignment horizontal="center" vertical="center" wrapText="1"/>
    </xf>
    <xf numFmtId="0" fontId="89" fillId="0" borderId="0" xfId="0" applyFont="1" applyAlignment="1">
      <alignment horizontal="center" vertical="center" wrapText="1"/>
    </xf>
    <xf numFmtId="0" fontId="9" fillId="0" borderId="0" xfId="0" applyFont="1" applyAlignment="1">
      <alignment horizontal="center"/>
    </xf>
    <xf numFmtId="0" fontId="6" fillId="0" borderId="0" xfId="0" applyFont="1" applyAlignment="1">
      <alignment horizontal="center" vertical="center" wrapText="1"/>
    </xf>
    <xf numFmtId="0" fontId="75" fillId="0" borderId="0" xfId="0" applyFont="1" applyAlignment="1">
      <alignment horizontal="center" vertical="center"/>
    </xf>
    <xf numFmtId="171" fontId="73" fillId="0" borderId="94" xfId="46" applyNumberFormat="1" applyFont="1" applyFill="1" applyBorder="1" applyAlignment="1">
      <alignment horizontal="center" vertical="center" wrapText="1"/>
    </xf>
    <xf numFmtId="0" fontId="91" fillId="0" borderId="0" xfId="44" applyFont="1" applyAlignment="1">
      <alignment horizontal="center" wrapText="1"/>
    </xf>
    <xf numFmtId="0" fontId="91" fillId="0" borderId="0" xfId="44" applyFont="1" applyAlignment="1">
      <alignment horizontal="center"/>
    </xf>
    <xf numFmtId="0" fontId="73" fillId="0" borderId="94" xfId="44" applyFont="1" applyBorder="1" applyAlignment="1">
      <alignment horizontal="center" vertical="center" wrapText="1"/>
    </xf>
    <xf numFmtId="171" fontId="43" fillId="0" borderId="98" xfId="46" applyNumberFormat="1" applyFont="1" applyFill="1" applyBorder="1" applyAlignment="1">
      <alignment horizontal="center" vertical="center"/>
    </xf>
    <xf numFmtId="171" fontId="73" fillId="0" borderId="77" xfId="46" applyNumberFormat="1" applyFont="1" applyFill="1" applyBorder="1" applyAlignment="1">
      <alignment horizontal="center" vertical="center" wrapText="1"/>
    </xf>
    <xf numFmtId="171" fontId="73" fillId="0" borderId="13" xfId="46" applyNumberFormat="1" applyFont="1" applyFill="1" applyBorder="1" applyAlignment="1">
      <alignment horizontal="center" vertical="center" wrapText="1"/>
    </xf>
    <xf numFmtId="170" fontId="73" fillId="0" borderId="94" xfId="46" applyNumberFormat="1" applyFont="1" applyFill="1" applyBorder="1" applyAlignment="1">
      <alignment horizontal="center" vertical="center" wrapText="1"/>
    </xf>
    <xf numFmtId="9" fontId="73" fillId="0" borderId="4" xfId="44" applyNumberFormat="1" applyFont="1" applyBorder="1" applyAlignment="1">
      <alignment horizontal="center" vertical="center" wrapText="1"/>
    </xf>
    <xf numFmtId="9" fontId="73" fillId="0" borderId="15" xfId="44" applyNumberFormat="1" applyFont="1" applyBorder="1" applyAlignment="1">
      <alignment horizontal="center" vertical="center" wrapText="1"/>
    </xf>
    <xf numFmtId="0" fontId="91" fillId="0" borderId="0" xfId="0" applyFont="1" applyAlignment="1">
      <alignment horizontal="center" vertical="center"/>
    </xf>
    <xf numFmtId="3" fontId="172" fillId="0" borderId="0" xfId="44" applyNumberFormat="1" applyFont="1" applyAlignment="1">
      <alignment horizontal="center" vertical="center" wrapText="1"/>
    </xf>
    <xf numFmtId="0" fontId="172" fillId="0" borderId="0" xfId="44" applyFont="1" applyAlignment="1">
      <alignment horizontal="center" vertical="center" wrapText="1"/>
    </xf>
    <xf numFmtId="169" fontId="42" fillId="6" borderId="0" xfId="3" applyNumberFormat="1" applyFont="1" applyFill="1" applyAlignment="1">
      <alignment horizontal="center"/>
    </xf>
    <xf numFmtId="166" fontId="42" fillId="6" borderId="0" xfId="3" applyNumberFormat="1" applyFont="1" applyFill="1" applyAlignment="1">
      <alignment horizontal="center" vertical="center" wrapText="1"/>
    </xf>
    <xf numFmtId="166" fontId="42" fillId="6" borderId="0" xfId="3" applyNumberFormat="1" applyFont="1" applyFill="1" applyAlignment="1">
      <alignment horizontal="center" vertical="center"/>
    </xf>
    <xf numFmtId="0" fontId="41" fillId="6" borderId="0" xfId="0" applyFont="1" applyFill="1" applyAlignment="1">
      <alignment horizontal="center" vertical="center"/>
    </xf>
    <xf numFmtId="3" fontId="43" fillId="6" borderId="0" xfId="0" applyNumberFormat="1" applyFont="1" applyFill="1" applyAlignment="1">
      <alignment horizontal="center" vertical="center"/>
    </xf>
    <xf numFmtId="0" fontId="43" fillId="6" borderId="0" xfId="0" applyFont="1" applyFill="1" applyAlignment="1">
      <alignment horizontal="center" vertical="center"/>
    </xf>
    <xf numFmtId="169" fontId="41" fillId="6" borderId="94" xfId="3" applyNumberFormat="1" applyFont="1" applyFill="1" applyBorder="1" applyAlignment="1">
      <alignment horizontal="center" vertical="center" wrapText="1" readingOrder="1"/>
    </xf>
    <xf numFmtId="166" fontId="41" fillId="6" borderId="94" xfId="3" applyNumberFormat="1" applyFont="1" applyFill="1" applyBorder="1" applyAlignment="1">
      <alignment horizontal="center" vertical="center" wrapText="1" readingOrder="1"/>
    </xf>
    <xf numFmtId="0" fontId="41" fillId="6" borderId="94" xfId="0" applyFont="1" applyFill="1" applyBorder="1" applyAlignment="1">
      <alignment horizontal="center" vertical="center" wrapText="1" readingOrder="1"/>
    </xf>
    <xf numFmtId="171" fontId="41" fillId="6" borderId="94" xfId="0" applyNumberFormat="1" applyFont="1" applyFill="1" applyBorder="1" applyAlignment="1">
      <alignment horizontal="center" vertical="center" wrapText="1" readingOrder="1"/>
    </xf>
    <xf numFmtId="167" fontId="41" fillId="6" borderId="94" xfId="3" applyNumberFormat="1" applyFont="1" applyFill="1" applyBorder="1" applyAlignment="1">
      <alignment horizontal="center" vertical="center" wrapText="1" readingOrder="1"/>
    </xf>
    <xf numFmtId="0" fontId="75" fillId="6" borderId="0" xfId="0" applyFont="1" applyFill="1" applyAlignment="1">
      <alignment horizontal="center" vertical="center"/>
    </xf>
    <xf numFmtId="171" fontId="73" fillId="6" borderId="0" xfId="3" applyNumberFormat="1" applyFont="1" applyFill="1" applyAlignment="1">
      <alignment horizontal="center"/>
    </xf>
    <xf numFmtId="171" fontId="71" fillId="6" borderId="0" xfId="3" applyNumberFormat="1" applyFont="1" applyFill="1" applyAlignment="1">
      <alignment horizontal="center"/>
    </xf>
    <xf numFmtId="171" fontId="73" fillId="6" borderId="0" xfId="3" applyNumberFormat="1" applyFont="1" applyFill="1" applyAlignment="1">
      <alignment horizontal="center" vertical="center"/>
    </xf>
    <xf numFmtId="171" fontId="75" fillId="6" borderId="0" xfId="3" applyNumberFormat="1" applyFont="1" applyFill="1" applyBorder="1" applyAlignment="1">
      <alignment horizontal="center" wrapText="1"/>
    </xf>
    <xf numFmtId="171" fontId="73" fillId="6" borderId="0" xfId="3" applyNumberFormat="1" applyFont="1" applyFill="1" applyAlignment="1">
      <alignment horizontal="center" wrapText="1"/>
    </xf>
    <xf numFmtId="171" fontId="75" fillId="6" borderId="0" xfId="3" applyNumberFormat="1" applyFont="1" applyFill="1" applyAlignment="1">
      <alignment horizontal="center" wrapText="1"/>
    </xf>
    <xf numFmtId="0" fontId="91" fillId="6" borderId="0" xfId="0" applyFont="1" applyFill="1" applyAlignment="1">
      <alignment horizontal="center" vertical="center"/>
    </xf>
    <xf numFmtId="172" fontId="73" fillId="6" borderId="94" xfId="3" applyNumberFormat="1" applyFont="1" applyFill="1" applyBorder="1" applyAlignment="1">
      <alignment horizontal="center" vertical="center" wrapText="1"/>
    </xf>
    <xf numFmtId="171" fontId="73" fillId="6" borderId="94" xfId="3" applyNumberFormat="1" applyFont="1" applyFill="1" applyBorder="1" applyAlignment="1">
      <alignment horizontal="center" vertical="center" wrapText="1"/>
    </xf>
    <xf numFmtId="0" fontId="73" fillId="6" borderId="94" xfId="0" applyFont="1" applyFill="1" applyBorder="1" applyAlignment="1">
      <alignment horizontal="center" vertical="center" wrapText="1"/>
    </xf>
    <xf numFmtId="0" fontId="71" fillId="6" borderId="94" xfId="0" applyFont="1" applyFill="1" applyBorder="1" applyAlignment="1">
      <alignment horizontal="center" vertical="center" wrapText="1"/>
    </xf>
    <xf numFmtId="0" fontId="91" fillId="6" borderId="0" xfId="0" applyFont="1" applyFill="1" applyAlignment="1">
      <alignment horizontal="center" wrapText="1"/>
    </xf>
    <xf numFmtId="3" fontId="172" fillId="6" borderId="0" xfId="0" applyNumberFormat="1" applyFont="1" applyFill="1" applyAlignment="1">
      <alignment horizontal="center" wrapText="1"/>
    </xf>
    <xf numFmtId="0" fontId="172" fillId="6" borderId="0" xfId="0" applyFont="1" applyFill="1" applyAlignment="1">
      <alignment horizontal="center" wrapText="1"/>
    </xf>
    <xf numFmtId="171" fontId="91" fillId="6" borderId="0" xfId="3" applyNumberFormat="1" applyFont="1" applyFill="1" applyAlignment="1">
      <alignment horizontal="center" vertical="center" wrapText="1"/>
    </xf>
    <xf numFmtId="171" fontId="177" fillId="6" borderId="0" xfId="3" applyNumberFormat="1" applyFont="1" applyFill="1" applyAlignment="1">
      <alignment horizontal="center" vertical="center"/>
    </xf>
    <xf numFmtId="171" fontId="75" fillId="6" borderId="0" xfId="3" applyNumberFormat="1" applyFont="1" applyFill="1" applyAlignment="1">
      <alignment horizontal="center"/>
    </xf>
    <xf numFmtId="166" fontId="242" fillId="0" borderId="79" xfId="3" applyNumberFormat="1" applyFont="1" applyBorder="1" applyAlignment="1">
      <alignment horizontal="center"/>
    </xf>
    <xf numFmtId="166" fontId="242" fillId="0" borderId="81" xfId="3" applyNumberFormat="1" applyFont="1" applyBorder="1" applyAlignment="1">
      <alignment horizontal="center"/>
    </xf>
    <xf numFmtId="166" fontId="242" fillId="0" borderId="80" xfId="3" applyNumberFormat="1" applyFont="1" applyBorder="1" applyAlignment="1">
      <alignment horizontal="center"/>
    </xf>
    <xf numFmtId="0" fontId="278" fillId="0" borderId="108" xfId="0" applyNumberFormat="1" applyFont="1" applyFill="1" applyBorder="1" applyAlignment="1">
      <alignment horizontal="center" vertical="center" wrapText="1" readingOrder="1"/>
    </xf>
    <xf numFmtId="0" fontId="71" fillId="0" borderId="108" xfId="0" applyNumberFormat="1" applyFont="1" applyFill="1" applyBorder="1" applyAlignment="1">
      <alignment vertical="center" wrapText="1"/>
    </xf>
    <xf numFmtId="0" fontId="278" fillId="0" borderId="100" xfId="0" applyNumberFormat="1" applyFont="1" applyFill="1" applyBorder="1" applyAlignment="1">
      <alignment horizontal="center" vertical="center" wrapText="1" readingOrder="1"/>
    </xf>
    <xf numFmtId="0" fontId="71" fillId="0" borderId="101" xfId="0" applyNumberFormat="1" applyFont="1" applyFill="1" applyBorder="1" applyAlignment="1">
      <alignment vertical="center" wrapText="1"/>
    </xf>
    <xf numFmtId="0" fontId="278" fillId="0" borderId="123" xfId="0" applyNumberFormat="1" applyFont="1" applyFill="1" applyBorder="1" applyAlignment="1">
      <alignment horizontal="center" vertical="center" wrapText="1" readingOrder="1"/>
    </xf>
    <xf numFmtId="0" fontId="71" fillId="0" borderId="0" xfId="0" applyFont="1" applyFill="1" applyBorder="1" applyAlignment="1">
      <alignment vertical="center"/>
    </xf>
    <xf numFmtId="228" fontId="291" fillId="0" borderId="100" xfId="0" applyNumberFormat="1" applyFont="1" applyFill="1" applyBorder="1" applyAlignment="1">
      <alignment horizontal="right" vertical="center" shrinkToFit="1" readingOrder="1"/>
    </xf>
    <xf numFmtId="0" fontId="72" fillId="0" borderId="101" xfId="0" applyNumberFormat="1" applyFont="1" applyFill="1" applyBorder="1" applyAlignment="1">
      <alignment vertical="center" shrinkToFit="1"/>
    </xf>
    <xf numFmtId="228" fontId="291" fillId="0" borderId="94" xfId="0" applyNumberFormat="1" applyFont="1" applyFill="1" applyBorder="1" applyAlignment="1">
      <alignment horizontal="right" vertical="center" shrinkToFit="1" readingOrder="1"/>
    </xf>
    <xf numFmtId="0" fontId="72" fillId="0" borderId="94" xfId="0" applyNumberFormat="1" applyFont="1" applyFill="1" applyBorder="1" applyAlignment="1">
      <alignment vertical="center" shrinkToFit="1"/>
    </xf>
    <xf numFmtId="228" fontId="291" fillId="0" borderId="103" xfId="0" applyNumberFormat="1" applyFont="1" applyFill="1" applyBorder="1" applyAlignment="1">
      <alignment horizontal="right" vertical="center" shrinkToFit="1" readingOrder="1"/>
    </xf>
    <xf numFmtId="0" fontId="72" fillId="0" borderId="114" xfId="0" applyNumberFormat="1" applyFont="1" applyFill="1" applyBorder="1" applyAlignment="1">
      <alignment vertical="center" shrinkToFit="1"/>
    </xf>
    <xf numFmtId="0" fontId="276" fillId="0" borderId="0" xfId="0" applyNumberFormat="1" applyFont="1" applyFill="1" applyBorder="1" applyAlignment="1">
      <alignment horizontal="center" vertical="center" wrapText="1" readingOrder="1"/>
    </xf>
    <xf numFmtId="0" fontId="2" fillId="0" borderId="0" xfId="0" applyFont="1" applyFill="1" applyBorder="1" applyAlignment="1">
      <alignment horizontal="center" vertical="center"/>
    </xf>
    <xf numFmtId="0" fontId="278" fillId="0" borderId="0" xfId="0" applyNumberFormat="1" applyFont="1" applyFill="1" applyBorder="1" applyAlignment="1">
      <alignment horizontal="center" vertical="center" wrapText="1" readingOrder="1"/>
    </xf>
    <xf numFmtId="0" fontId="292" fillId="0" borderId="0" xfId="0" applyNumberFormat="1" applyFont="1" applyFill="1" applyBorder="1" applyAlignment="1">
      <alignment horizontal="center" vertical="top" wrapText="1" readingOrder="1"/>
    </xf>
    <xf numFmtId="0" fontId="71" fillId="0" borderId="0" xfId="0" applyFont="1" applyFill="1" applyBorder="1"/>
    <xf numFmtId="0" fontId="279" fillId="0" borderId="0" xfId="0" applyNumberFormat="1" applyFont="1" applyFill="1" applyBorder="1" applyAlignment="1">
      <alignment horizontal="right" vertical="top" wrapText="1" readingOrder="1"/>
    </xf>
    <xf numFmtId="0" fontId="278" fillId="0" borderId="104" xfId="0" applyNumberFormat="1" applyFont="1" applyFill="1" applyBorder="1" applyAlignment="1">
      <alignment horizontal="center" vertical="top" wrapText="1" readingOrder="1"/>
    </xf>
    <xf numFmtId="0" fontId="71" fillId="0" borderId="105" xfId="0" applyNumberFormat="1" applyFont="1" applyFill="1" applyBorder="1" applyAlignment="1">
      <alignment vertical="top" wrapText="1"/>
    </xf>
    <xf numFmtId="0" fontId="71" fillId="0" borderId="106" xfId="0" applyNumberFormat="1" applyFont="1" applyFill="1" applyBorder="1" applyAlignment="1">
      <alignment vertical="top" wrapText="1"/>
    </xf>
    <xf numFmtId="0" fontId="278" fillId="0" borderId="100" xfId="0" applyNumberFormat="1" applyFont="1" applyFill="1" applyBorder="1" applyAlignment="1">
      <alignment horizontal="center" vertical="top" wrapText="1" readingOrder="1"/>
    </xf>
    <xf numFmtId="0" fontId="71" fillId="0" borderId="108" xfId="0" applyNumberFormat="1" applyFont="1" applyFill="1" applyBorder="1" applyAlignment="1">
      <alignment vertical="top" wrapText="1"/>
    </xf>
    <xf numFmtId="0" fontId="71" fillId="0" borderId="101" xfId="0" applyNumberFormat="1" applyFont="1" applyFill="1" applyBorder="1" applyAlignment="1">
      <alignment vertical="top" wrapText="1"/>
    </xf>
    <xf numFmtId="3" fontId="293" fillId="0" borderId="0" xfId="0" applyNumberFormat="1" applyFont="1" applyFill="1" applyBorder="1" applyAlignment="1">
      <alignment horizontal="center" vertical="top" wrapText="1" readingOrder="1"/>
    </xf>
    <xf numFmtId="0" fontId="293" fillId="0" borderId="0" xfId="0" applyNumberFormat="1" applyFont="1" applyFill="1" applyBorder="1" applyAlignment="1">
      <alignment horizontal="center" vertical="top" wrapText="1" readingOrder="1"/>
    </xf>
    <xf numFmtId="0" fontId="278" fillId="0" borderId="107" xfId="0" applyNumberFormat="1" applyFont="1" applyFill="1" applyBorder="1" applyAlignment="1">
      <alignment horizontal="center" vertical="center" wrapText="1" readingOrder="1"/>
    </xf>
    <xf numFmtId="228" fontId="291" fillId="0" borderId="104" xfId="0" applyNumberFormat="1" applyFont="1" applyFill="1" applyBorder="1" applyAlignment="1">
      <alignment horizontal="right" vertical="center" shrinkToFit="1" readingOrder="1"/>
    </xf>
    <xf numFmtId="0" fontId="72" fillId="0" borderId="106" xfId="0" applyNumberFormat="1" applyFont="1" applyFill="1" applyBorder="1" applyAlignment="1">
      <alignment vertical="center" shrinkToFit="1"/>
    </xf>
    <xf numFmtId="0" fontId="278" fillId="0" borderId="104" xfId="0" applyNumberFormat="1" applyFont="1" applyFill="1" applyBorder="1" applyAlignment="1">
      <alignment horizontal="center" vertical="center" wrapText="1" readingOrder="1"/>
    </xf>
    <xf numFmtId="0" fontId="71" fillId="0" borderId="106" xfId="0" applyNumberFormat="1" applyFont="1" applyFill="1" applyBorder="1" applyAlignment="1">
      <alignment vertical="center" wrapText="1"/>
    </xf>
    <xf numFmtId="0" fontId="278" fillId="0" borderId="94" xfId="0" applyNumberFormat="1" applyFont="1" applyFill="1" applyBorder="1" applyAlignment="1">
      <alignment horizontal="center" vertical="center" wrapText="1" readingOrder="1"/>
    </xf>
    <xf numFmtId="0" fontId="71" fillId="0" borderId="94" xfId="0" applyNumberFormat="1" applyFont="1" applyFill="1" applyBorder="1" applyAlignment="1">
      <alignment vertical="center" wrapText="1"/>
    </xf>
    <xf numFmtId="228" fontId="286" fillId="0" borderId="103" xfId="0" applyNumberFormat="1" applyFont="1" applyFill="1" applyBorder="1" applyAlignment="1">
      <alignment horizontal="right" vertical="center" shrinkToFit="1" readingOrder="1"/>
    </xf>
    <xf numFmtId="0" fontId="5" fillId="0" borderId="0" xfId="0" applyFont="1" applyAlignment="1">
      <alignment horizontal="center" vertical="center" wrapText="1"/>
    </xf>
    <xf numFmtId="0" fontId="47" fillId="0" borderId="0" xfId="0" applyFont="1" applyAlignment="1">
      <alignment horizontal="center" vertical="center" wrapText="1"/>
    </xf>
    <xf numFmtId="0" fontId="278" fillId="0" borderId="94" xfId="0" applyNumberFormat="1" applyFont="1" applyFill="1" applyBorder="1" applyAlignment="1">
      <alignment vertical="center" wrapText="1" readingOrder="1"/>
    </xf>
    <xf numFmtId="0" fontId="278" fillId="0" borderId="124" xfId="0" applyNumberFormat="1" applyFont="1" applyFill="1" applyBorder="1" applyAlignment="1">
      <alignment horizontal="center" vertical="center" wrapText="1" readingOrder="1"/>
    </xf>
    <xf numFmtId="0" fontId="278" fillId="0" borderId="113" xfId="0" applyNumberFormat="1" applyFont="1" applyFill="1" applyBorder="1" applyAlignment="1">
      <alignment horizontal="center" vertical="center" wrapText="1" readingOrder="1"/>
    </xf>
    <xf numFmtId="0" fontId="71" fillId="0" borderId="115" xfId="0" applyNumberFormat="1" applyFont="1" applyFill="1" applyBorder="1" applyAlignment="1">
      <alignment vertical="center" wrapText="1"/>
    </xf>
    <xf numFmtId="0" fontId="278" fillId="0" borderId="103" xfId="0" applyNumberFormat="1" applyFont="1" applyFill="1" applyBorder="1" applyAlignment="1">
      <alignment horizontal="center" vertical="center" wrapText="1" readingOrder="1"/>
    </xf>
    <xf numFmtId="0" fontId="71" fillId="0" borderId="114" xfId="0" applyNumberFormat="1" applyFont="1" applyFill="1" applyBorder="1" applyAlignment="1">
      <alignment vertical="center" wrapText="1"/>
    </xf>
    <xf numFmtId="0" fontId="73" fillId="0" borderId="0" xfId="0" applyFont="1" applyFill="1" applyBorder="1" applyAlignment="1">
      <alignment horizontal="center"/>
    </xf>
    <xf numFmtId="0" fontId="279" fillId="0" borderId="0" xfId="0" applyNumberFormat="1" applyFont="1" applyFill="1" applyBorder="1" applyAlignment="1">
      <alignment horizontal="center" vertical="top" wrapText="1" readingOrder="1"/>
    </xf>
    <xf numFmtId="0" fontId="272" fillId="0" borderId="0" xfId="0" applyFont="1" applyFill="1" applyBorder="1"/>
    <xf numFmtId="0" fontId="281" fillId="0" borderId="107" xfId="0" applyNumberFormat="1" applyFont="1" applyFill="1" applyBorder="1" applyAlignment="1">
      <alignment horizontal="center" vertical="center" wrapText="1" readingOrder="1"/>
    </xf>
    <xf numFmtId="0" fontId="281" fillId="0" borderId="103" xfId="0" applyNumberFormat="1" applyFont="1" applyFill="1" applyBorder="1" applyAlignment="1">
      <alignment horizontal="center" vertical="center" wrapText="1" readingOrder="1"/>
    </xf>
    <xf numFmtId="0" fontId="282" fillId="0" borderId="105" xfId="0" applyNumberFormat="1" applyFont="1" applyFill="1" applyBorder="1" applyAlignment="1">
      <alignment vertical="center" wrapText="1"/>
    </xf>
    <xf numFmtId="0" fontId="282" fillId="0" borderId="106" xfId="0" applyNumberFormat="1" applyFont="1" applyFill="1" applyBorder="1" applyAlignment="1">
      <alignment vertical="center" wrapText="1"/>
    </xf>
    <xf numFmtId="0" fontId="272" fillId="0" borderId="0" xfId="0" applyFont="1" applyFill="1" applyBorder="1" applyAlignment="1">
      <alignment vertical="center"/>
    </xf>
    <xf numFmtId="0" fontId="283" fillId="0" borderId="0" xfId="0" applyNumberFormat="1" applyFont="1" applyFill="1" applyBorder="1" applyAlignment="1">
      <alignment horizontal="center" vertical="top" wrapText="1" readingOrder="1"/>
    </xf>
    <xf numFmtId="0" fontId="285" fillId="0" borderId="0" xfId="0" applyFont="1" applyFill="1" applyBorder="1"/>
    <xf numFmtId="0" fontId="282" fillId="0" borderId="101" xfId="0" applyNumberFormat="1" applyFont="1" applyFill="1" applyBorder="1" applyAlignment="1">
      <alignment vertical="center" wrapText="1"/>
    </xf>
    <xf numFmtId="0" fontId="282" fillId="0" borderId="108" xfId="0" applyNumberFormat="1" applyFont="1" applyFill="1" applyBorder="1" applyAlignment="1">
      <alignment vertical="center" wrapText="1"/>
    </xf>
    <xf numFmtId="0" fontId="87" fillId="0" borderId="30" xfId="20" applyFont="1" applyBorder="1" applyAlignment="1">
      <alignment horizontal="center" vertical="center" wrapText="1"/>
    </xf>
    <xf numFmtId="0" fontId="87" fillId="0" borderId="55" xfId="20" applyFont="1" applyBorder="1" applyAlignment="1">
      <alignment horizontal="center" vertical="center" wrapText="1"/>
    </xf>
    <xf numFmtId="0" fontId="87" fillId="0" borderId="56" xfId="20" applyFont="1" applyBorder="1" applyAlignment="1">
      <alignment horizontal="center" vertical="center" wrapText="1"/>
    </xf>
    <xf numFmtId="0" fontId="87" fillId="0" borderId="57" xfId="20" applyFont="1" applyBorder="1" applyAlignment="1">
      <alignment horizontal="center" vertical="center" wrapText="1"/>
    </xf>
    <xf numFmtId="0" fontId="75" fillId="0" borderId="0" xfId="0" applyFont="1" applyAlignment="1">
      <alignment horizontal="center" vertical="center" wrapText="1"/>
    </xf>
    <xf numFmtId="43" fontId="88" fillId="0" borderId="0" xfId="3" applyFont="1" applyFill="1" applyBorder="1" applyAlignment="1" applyProtection="1">
      <alignment horizontal="center" vertical="center"/>
    </xf>
    <xf numFmtId="171" fontId="175" fillId="0" borderId="30" xfId="3" applyNumberFormat="1" applyFont="1" applyFill="1" applyBorder="1" applyAlignment="1" applyProtection="1">
      <alignment horizontal="center" vertical="center" wrapText="1"/>
    </xf>
    <xf numFmtId="171" fontId="175" fillId="0" borderId="38" xfId="3" applyNumberFormat="1" applyFont="1" applyFill="1" applyBorder="1" applyAlignment="1" applyProtection="1">
      <alignment horizontal="center" vertical="center" wrapText="1"/>
    </xf>
    <xf numFmtId="43" fontId="87" fillId="0" borderId="30" xfId="3" applyFont="1" applyFill="1" applyBorder="1" applyAlignment="1" applyProtection="1">
      <alignment horizontal="center" vertical="center" wrapText="1"/>
    </xf>
    <xf numFmtId="43" fontId="87" fillId="0" borderId="38" xfId="3" applyFont="1" applyFill="1" applyBorder="1" applyAlignment="1" applyProtection="1">
      <alignment horizontal="center" vertical="center" wrapText="1"/>
    </xf>
    <xf numFmtId="43" fontId="87" fillId="0" borderId="35" xfId="3" applyFont="1" applyFill="1" applyBorder="1" applyAlignment="1" applyProtection="1">
      <alignment horizontal="center" vertical="center" wrapText="1"/>
    </xf>
    <xf numFmtId="43" fontId="87" fillId="0" borderId="46" xfId="3" applyFont="1" applyFill="1" applyBorder="1" applyAlignment="1" applyProtection="1">
      <alignment horizontal="center" vertical="center" wrapText="1"/>
    </xf>
    <xf numFmtId="166" fontId="89" fillId="0" borderId="0" xfId="3" applyNumberFormat="1" applyFont="1" applyFill="1" applyAlignment="1">
      <alignment horizontal="center" vertical="center" wrapText="1"/>
    </xf>
    <xf numFmtId="3" fontId="79" fillId="6" borderId="0" xfId="12" applyNumberFormat="1" applyFont="1" applyFill="1" applyAlignment="1">
      <alignment horizontal="center"/>
    </xf>
    <xf numFmtId="0" fontId="114" fillId="0" borderId="0" xfId="0" applyFont="1" applyAlignment="1">
      <alignment horizontal="center"/>
    </xf>
    <xf numFmtId="190" fontId="13" fillId="0" borderId="0" xfId="21" applyNumberFormat="1" applyFont="1" applyFill="1" applyBorder="1" applyAlignment="1" applyProtection="1">
      <alignment horizontal="center" vertical="center"/>
    </xf>
    <xf numFmtId="0" fontId="9" fillId="0" borderId="0" xfId="20" applyFont="1" applyAlignment="1">
      <alignment horizontal="center" vertical="center"/>
    </xf>
    <xf numFmtId="0" fontId="3" fillId="0" borderId="0" xfId="20" applyFont="1" applyAlignment="1">
      <alignment horizontal="center" vertical="center"/>
    </xf>
    <xf numFmtId="43" fontId="43" fillId="0" borderId="0" xfId="3" applyFont="1" applyFill="1" applyBorder="1" applyAlignment="1" applyProtection="1">
      <alignment horizontal="center" vertical="center"/>
    </xf>
    <xf numFmtId="166" fontId="87" fillId="0" borderId="3" xfId="21" applyNumberFormat="1" applyFont="1" applyFill="1" applyBorder="1" applyAlignment="1" applyProtection="1">
      <alignment horizontal="center" vertical="center" wrapText="1"/>
    </xf>
    <xf numFmtId="166" fontId="87" fillId="0" borderId="45" xfId="21" applyNumberFormat="1" applyFont="1" applyFill="1" applyBorder="1" applyAlignment="1" applyProtection="1">
      <alignment horizontal="center" vertical="center" wrapText="1"/>
    </xf>
    <xf numFmtId="166" fontId="87" fillId="0" borderId="30" xfId="3" applyNumberFormat="1" applyFont="1" applyFill="1" applyBorder="1" applyAlignment="1" applyProtection="1">
      <alignment horizontal="center" vertical="center" wrapText="1"/>
    </xf>
    <xf numFmtId="166" fontId="87" fillId="0" borderId="35" xfId="3" applyNumberFormat="1" applyFont="1" applyFill="1" applyBorder="1" applyAlignment="1" applyProtection="1">
      <alignment horizontal="center" vertical="center" wrapText="1"/>
    </xf>
    <xf numFmtId="43" fontId="87" fillId="0" borderId="44" xfId="3" applyFont="1" applyFill="1" applyBorder="1" applyAlignment="1" applyProtection="1">
      <alignment horizontal="center" vertical="center" wrapText="1"/>
    </xf>
    <xf numFmtId="43" fontId="87" fillId="0" borderId="3" xfId="3" applyFont="1" applyFill="1" applyBorder="1" applyAlignment="1" applyProtection="1">
      <alignment horizontal="center" vertical="center" wrapText="1"/>
    </xf>
    <xf numFmtId="43" fontId="87" fillId="0" borderId="8" xfId="3" applyFont="1" applyFill="1" applyBorder="1" applyAlignment="1" applyProtection="1">
      <alignment horizontal="center" vertical="center" wrapText="1"/>
    </xf>
    <xf numFmtId="43" fontId="87" fillId="0" borderId="45" xfId="3" applyFont="1" applyFill="1" applyBorder="1" applyAlignment="1" applyProtection="1">
      <alignment horizontal="center" vertical="center" wrapText="1"/>
    </xf>
    <xf numFmtId="190" fontId="87" fillId="0" borderId="30" xfId="21" applyNumberFormat="1" applyFont="1" applyFill="1" applyBorder="1" applyAlignment="1" applyProtection="1">
      <alignment horizontal="center" vertical="center" wrapText="1"/>
    </xf>
    <xf numFmtId="0" fontId="91" fillId="0" borderId="0" xfId="20" applyFont="1" applyAlignment="1">
      <alignment horizontal="center" vertical="center"/>
    </xf>
    <xf numFmtId="191" fontId="88" fillId="0" borderId="29" xfId="21" applyNumberFormat="1" applyFont="1" applyFill="1" applyBorder="1" applyAlignment="1" applyProtection="1">
      <alignment horizontal="center" vertical="center" wrapText="1"/>
    </xf>
    <xf numFmtId="191" fontId="88" fillId="0" borderId="30" xfId="21" applyNumberFormat="1" applyFont="1" applyFill="1" applyBorder="1" applyAlignment="1" applyProtection="1">
      <alignment horizontal="center" vertical="center" wrapText="1"/>
    </xf>
    <xf numFmtId="43" fontId="87" fillId="5" borderId="3" xfId="3" applyFont="1" applyFill="1" applyBorder="1" applyAlignment="1" applyProtection="1">
      <alignment horizontal="center" vertical="center" wrapText="1"/>
    </xf>
    <xf numFmtId="43" fontId="87" fillId="0" borderId="23" xfId="3" applyFont="1" applyFill="1" applyBorder="1" applyAlignment="1" applyProtection="1">
      <alignment horizontal="center" vertical="center" wrapText="1"/>
    </xf>
    <xf numFmtId="43" fontId="87" fillId="0" borderId="2" xfId="3" applyFont="1" applyFill="1" applyBorder="1" applyAlignment="1" applyProtection="1">
      <alignment horizontal="center" vertical="center" wrapText="1"/>
    </xf>
    <xf numFmtId="43" fontId="87" fillId="0" borderId="14" xfId="3" applyFont="1" applyFill="1" applyBorder="1" applyAlignment="1" applyProtection="1">
      <alignment horizontal="center" vertical="center" wrapText="1"/>
    </xf>
    <xf numFmtId="43" fontId="87" fillId="0" borderId="16" xfId="3" applyFont="1" applyFill="1" applyBorder="1" applyAlignment="1" applyProtection="1">
      <alignment horizontal="center" vertical="center" wrapText="1"/>
    </xf>
    <xf numFmtId="43" fontId="87" fillId="0" borderId="47" xfId="3" applyFont="1" applyFill="1" applyBorder="1" applyAlignment="1" applyProtection="1">
      <alignment horizontal="center" vertical="center" wrapText="1"/>
    </xf>
    <xf numFmtId="43" fontId="42" fillId="0" borderId="0" xfId="3" applyFont="1" applyFill="1" applyBorder="1" applyAlignment="1" applyProtection="1">
      <alignment horizontal="center" vertical="center"/>
    </xf>
    <xf numFmtId="0" fontId="2" fillId="6" borderId="0" xfId="0" applyFont="1" applyFill="1" applyAlignment="1">
      <alignment horizontal="center" wrapText="1"/>
    </xf>
    <xf numFmtId="0" fontId="3" fillId="6" borderId="0" xfId="0" applyFont="1" applyFill="1" applyAlignment="1">
      <alignment horizontal="center" wrapText="1"/>
    </xf>
    <xf numFmtId="0" fontId="72" fillId="6" borderId="8" xfId="0" applyFont="1" applyFill="1" applyBorder="1" applyAlignment="1">
      <alignment horizontal="center" vertical="center" wrapText="1"/>
    </xf>
    <xf numFmtId="0" fontId="72" fillId="6" borderId="13" xfId="0" applyFont="1" applyFill="1" applyBorder="1" applyAlignment="1">
      <alignment horizontal="center" vertical="center" wrapText="1"/>
    </xf>
    <xf numFmtId="0" fontId="76" fillId="6" borderId="8" xfId="0" applyFont="1" applyFill="1" applyBorder="1" applyAlignment="1">
      <alignment horizontal="center" vertical="center" wrapText="1"/>
    </xf>
    <xf numFmtId="0" fontId="76" fillId="6" borderId="13" xfId="0" applyFont="1" applyFill="1" applyBorder="1" applyAlignment="1">
      <alignment horizontal="center" vertical="center" wrapText="1"/>
    </xf>
    <xf numFmtId="0" fontId="76" fillId="6" borderId="41" xfId="0" applyFont="1" applyFill="1" applyBorder="1" applyAlignment="1">
      <alignment horizontal="center" vertical="center" wrapText="1"/>
    </xf>
    <xf numFmtId="0" fontId="76" fillId="6" borderId="42" xfId="0" applyFont="1" applyFill="1" applyBorder="1" applyAlignment="1">
      <alignment horizontal="center" vertical="center" wrapText="1"/>
    </xf>
    <xf numFmtId="0" fontId="76" fillId="6" borderId="31" xfId="0" applyFont="1" applyFill="1" applyBorder="1" applyAlignment="1">
      <alignment horizontal="center" vertical="center" wrapText="1"/>
    </xf>
    <xf numFmtId="0" fontId="76" fillId="6" borderId="34" xfId="0" applyFont="1" applyFill="1" applyBorder="1" applyAlignment="1">
      <alignment horizontal="center" vertical="center" wrapText="1"/>
    </xf>
    <xf numFmtId="0" fontId="76" fillId="6" borderId="32" xfId="0" applyFont="1" applyFill="1" applyBorder="1" applyAlignment="1">
      <alignment horizontal="center" vertical="center" wrapText="1"/>
    </xf>
    <xf numFmtId="168" fontId="76" fillId="6" borderId="30" xfId="3" applyNumberFormat="1" applyFont="1" applyFill="1" applyBorder="1" applyAlignment="1">
      <alignment horizontal="center" vertical="center" wrapText="1"/>
    </xf>
    <xf numFmtId="168" fontId="76" fillId="6" borderId="43" xfId="3" applyNumberFormat="1" applyFont="1" applyFill="1" applyBorder="1" applyAlignment="1">
      <alignment horizontal="center" vertical="center" wrapText="1"/>
    </xf>
    <xf numFmtId="0" fontId="76" fillId="6" borderId="30" xfId="0" applyFont="1" applyFill="1" applyBorder="1" applyAlignment="1">
      <alignment horizontal="center" vertical="center" wrapText="1"/>
    </xf>
    <xf numFmtId="0" fontId="76" fillId="6" borderId="43" xfId="0" applyFont="1" applyFill="1" applyBorder="1" applyAlignment="1">
      <alignment horizontal="center" vertical="center" wrapText="1"/>
    </xf>
    <xf numFmtId="170" fontId="6" fillId="6" borderId="0" xfId="3" applyNumberFormat="1" applyFont="1" applyFill="1" applyAlignment="1">
      <alignment horizontal="center"/>
    </xf>
    <xf numFmtId="0" fontId="77" fillId="6" borderId="0" xfId="0" applyFont="1" applyFill="1" applyAlignment="1">
      <alignment horizontal="center" wrapText="1"/>
    </xf>
    <xf numFmtId="170" fontId="6" fillId="0" borderId="0" xfId="3" applyNumberFormat="1" applyFont="1" applyFill="1" applyAlignment="1">
      <alignment horizontal="center"/>
    </xf>
    <xf numFmtId="0" fontId="130" fillId="0" borderId="30" xfId="0" applyFont="1" applyBorder="1" applyAlignment="1">
      <alignment horizontal="center" vertical="center" wrapText="1" readingOrder="1"/>
    </xf>
    <xf numFmtId="0" fontId="130" fillId="0" borderId="33" xfId="0" applyFont="1" applyBorder="1" applyAlignment="1">
      <alignment horizontal="center" vertical="center" wrapText="1" readingOrder="1"/>
    </xf>
    <xf numFmtId="166" fontId="130" fillId="0" borderId="30" xfId="3" applyNumberFormat="1" applyFont="1" applyBorder="1" applyAlignment="1">
      <alignment horizontal="center" vertical="center" wrapText="1" readingOrder="1"/>
    </xf>
    <xf numFmtId="166" fontId="130" fillId="0" borderId="33" xfId="3" applyNumberFormat="1" applyFont="1" applyBorder="1" applyAlignment="1">
      <alignment horizontal="center" vertical="center" wrapText="1" readingOrder="1"/>
    </xf>
    <xf numFmtId="0" fontId="2" fillId="0" borderId="0" xfId="0" applyFont="1" applyAlignment="1">
      <alignment horizontal="center" vertical="center"/>
    </xf>
    <xf numFmtId="0" fontId="3" fillId="0" borderId="0" xfId="0" applyFont="1" applyAlignment="1">
      <alignment horizontal="center" vertical="center"/>
    </xf>
    <xf numFmtId="166" fontId="71" fillId="0" borderId="0" xfId="3" applyNumberFormat="1" applyFont="1" applyFill="1" applyAlignment="1">
      <alignment horizontal="center" vertical="center"/>
    </xf>
    <xf numFmtId="0" fontId="76" fillId="0" borderId="58" xfId="0" applyFont="1" applyBorder="1" applyAlignment="1">
      <alignment horizontal="center" vertical="center" wrapText="1" readingOrder="1"/>
    </xf>
    <xf numFmtId="172" fontId="47" fillId="3" borderId="0" xfId="3" applyNumberFormat="1" applyFont="1" applyFill="1" applyAlignment="1">
      <alignment horizontal="center" vertical="center"/>
    </xf>
    <xf numFmtId="172" fontId="92" fillId="3" borderId="0" xfId="3" applyNumberFormat="1" applyFont="1" applyFill="1" applyAlignment="1">
      <alignment horizontal="center" vertical="center"/>
    </xf>
    <xf numFmtId="166" fontId="5" fillId="3" borderId="0" xfId="3" applyNumberFormat="1" applyFont="1" applyFill="1" applyBorder="1" applyAlignment="1">
      <alignment horizontal="center" vertical="center" wrapText="1"/>
    </xf>
    <xf numFmtId="166" fontId="94" fillId="3" borderId="0" xfId="3" applyNumberFormat="1" applyFont="1" applyFill="1" applyBorder="1" applyAlignment="1">
      <alignment horizontal="center" vertical="center" wrapText="1"/>
    </xf>
    <xf numFmtId="166" fontId="47" fillId="3" borderId="0" xfId="3" applyNumberFormat="1" applyFont="1" applyFill="1" applyAlignment="1">
      <alignment horizontal="center" vertical="center" wrapText="1"/>
    </xf>
    <xf numFmtId="166" fontId="92" fillId="3" borderId="0" xfId="3" applyNumberFormat="1" applyFont="1" applyFill="1" applyAlignment="1">
      <alignment horizontal="center" vertical="center" wrapText="1"/>
    </xf>
    <xf numFmtId="0" fontId="130" fillId="0" borderId="31" xfId="0" applyFont="1" applyBorder="1" applyAlignment="1">
      <alignment horizontal="center" vertical="center" wrapText="1" readingOrder="1"/>
    </xf>
    <xf numFmtId="0" fontId="130" fillId="0" borderId="32" xfId="0" applyFont="1" applyBorder="1" applyAlignment="1">
      <alignment horizontal="center" vertical="center" wrapText="1" readingOrder="1"/>
    </xf>
    <xf numFmtId="0" fontId="64" fillId="0" borderId="30" xfId="0" applyFont="1" applyBorder="1" applyAlignment="1">
      <alignment horizontal="center" vertical="center" wrapText="1" readingOrder="1"/>
    </xf>
    <xf numFmtId="166" fontId="94" fillId="3" borderId="0" xfId="3" applyNumberFormat="1" applyFont="1" applyFill="1" applyAlignment="1">
      <alignment horizontal="center" vertical="center" wrapText="1"/>
    </xf>
    <xf numFmtId="0" fontId="165" fillId="6" borderId="8" xfId="0" applyFont="1" applyFill="1" applyBorder="1" applyAlignment="1">
      <alignment horizontal="center" vertical="center" wrapText="1"/>
    </xf>
    <xf numFmtId="0" fontId="165" fillId="6" borderId="16" xfId="0" applyFont="1" applyFill="1" applyBorder="1" applyAlignment="1">
      <alignment horizontal="center" vertical="center" wrapText="1"/>
    </xf>
    <xf numFmtId="0" fontId="165" fillId="6" borderId="13" xfId="0" applyFont="1" applyFill="1" applyBorder="1" applyAlignment="1">
      <alignment horizontal="center" vertical="center" wrapText="1"/>
    </xf>
    <xf numFmtId="0" fontId="165" fillId="6" borderId="3" xfId="0" applyFont="1" applyFill="1" applyBorder="1" applyAlignment="1">
      <alignment horizontal="center" vertical="center" wrapText="1"/>
    </xf>
    <xf numFmtId="0" fontId="165" fillId="6" borderId="23" xfId="0" applyFont="1" applyFill="1" applyBorder="1" applyAlignment="1">
      <alignment horizontal="center" vertical="center" wrapText="1"/>
    </xf>
    <xf numFmtId="0" fontId="165" fillId="6" borderId="2" xfId="0" applyFont="1" applyFill="1" applyBorder="1" applyAlignment="1">
      <alignment horizontal="center" vertical="center" wrapText="1"/>
    </xf>
    <xf numFmtId="0" fontId="165" fillId="6" borderId="14" xfId="0" applyFont="1" applyFill="1" applyBorder="1" applyAlignment="1">
      <alignment horizontal="center" vertical="center" wrapText="1"/>
    </xf>
    <xf numFmtId="0" fontId="149" fillId="6" borderId="0" xfId="0" applyFont="1" applyFill="1" applyAlignment="1">
      <alignment horizontal="left"/>
    </xf>
    <xf numFmtId="0" fontId="164" fillId="6" borderId="0" xfId="0" applyFont="1" applyFill="1" applyAlignment="1">
      <alignment horizontal="center"/>
    </xf>
    <xf numFmtId="0" fontId="125" fillId="6" borderId="0" xfId="0" applyFont="1" applyFill="1" applyAlignment="1">
      <alignment horizontal="center" vertical="center" wrapText="1"/>
    </xf>
    <xf numFmtId="1" fontId="165" fillId="6" borderId="8" xfId="0" applyNumberFormat="1" applyFont="1" applyFill="1" applyBorder="1" applyAlignment="1">
      <alignment horizontal="left" vertical="center" wrapText="1"/>
    </xf>
    <xf numFmtId="1" fontId="165" fillId="6" borderId="16" xfId="0" applyNumberFormat="1" applyFont="1" applyFill="1" applyBorder="1" applyAlignment="1">
      <alignment horizontal="left" vertical="center" wrapText="1"/>
    </xf>
    <xf numFmtId="1" fontId="165" fillId="6" borderId="13" xfId="0" applyNumberFormat="1" applyFont="1" applyFill="1" applyBorder="1" applyAlignment="1">
      <alignment horizontal="left" vertical="center" wrapText="1"/>
    </xf>
    <xf numFmtId="1" fontId="165" fillId="6" borderId="8" xfId="0" applyNumberFormat="1" applyFont="1" applyFill="1" applyBorder="1" applyAlignment="1">
      <alignment horizontal="center" vertical="center" wrapText="1"/>
    </xf>
    <xf numFmtId="1" fontId="165" fillId="6" borderId="16" xfId="0" applyNumberFormat="1" applyFont="1" applyFill="1" applyBorder="1" applyAlignment="1">
      <alignment horizontal="center" vertical="center" wrapText="1"/>
    </xf>
    <xf numFmtId="0" fontId="18" fillId="0" borderId="0" xfId="13" applyFont="1" applyAlignment="1">
      <alignment horizontal="right"/>
    </xf>
    <xf numFmtId="0" fontId="32" fillId="0" borderId="0" xfId="13" applyFont="1" applyAlignment="1">
      <alignment horizontal="center"/>
    </xf>
    <xf numFmtId="0" fontId="18" fillId="0" borderId="0" xfId="13" applyFont="1" applyAlignment="1">
      <alignment horizontal="center"/>
    </xf>
    <xf numFmtId="0" fontId="19" fillId="0" borderId="0" xfId="13" applyFont="1"/>
    <xf numFmtId="0" fontId="23" fillId="0" borderId="0" xfId="13" applyFont="1"/>
    <xf numFmtId="0" fontId="29" fillId="0" borderId="3" xfId="13" applyFont="1" applyBorder="1" applyAlignment="1">
      <alignment horizontal="center" vertical="center" wrapText="1"/>
    </xf>
    <xf numFmtId="0" fontId="25" fillId="0" borderId="5" xfId="13" applyFont="1" applyBorder="1"/>
    <xf numFmtId="0" fontId="26" fillId="0" borderId="5" xfId="13" applyFont="1" applyBorder="1"/>
    <xf numFmtId="0" fontId="26" fillId="0" borderId="5" xfId="13" applyFont="1" applyBorder="1" applyAlignment="1">
      <alignment wrapText="1"/>
    </xf>
    <xf numFmtId="0" fontId="29" fillId="0" borderId="4" xfId="13" applyFont="1" applyBorder="1"/>
    <xf numFmtId="0" fontId="26" fillId="0" borderId="4" xfId="13" applyFont="1" applyBorder="1"/>
    <xf numFmtId="0" fontId="24" fillId="0" borderId="4" xfId="13" applyFont="1" applyBorder="1" applyAlignment="1">
      <alignment wrapText="1"/>
    </xf>
    <xf numFmtId="0" fontId="22" fillId="0" borderId="3" xfId="13" applyFont="1" applyBorder="1" applyAlignment="1">
      <alignment horizontal="center" vertical="center" wrapText="1"/>
    </xf>
    <xf numFmtId="0" fontId="19" fillId="0" borderId="3" xfId="13" applyFont="1" applyBorder="1" applyAlignment="1">
      <alignment horizontal="center" vertical="center" wrapText="1"/>
    </xf>
    <xf numFmtId="0" fontId="24" fillId="0" borderId="6" xfId="13" applyFont="1" applyBorder="1"/>
    <xf numFmtId="0" fontId="24" fillId="0" borderId="6" xfId="13" applyFont="1" applyBorder="1" applyAlignment="1">
      <alignment wrapText="1"/>
    </xf>
    <xf numFmtId="0" fontId="29" fillId="0" borderId="5" xfId="13" applyFont="1" applyBorder="1" applyAlignment="1">
      <alignment horizontal="left" wrapText="1"/>
    </xf>
    <xf numFmtId="0" fontId="29" fillId="0" borderId="5" xfId="13" applyFont="1" applyBorder="1" applyAlignment="1">
      <alignment vertical="center"/>
    </xf>
    <xf numFmtId="0" fontId="28" fillId="0" borderId="5" xfId="13" applyFont="1" applyBorder="1"/>
    <xf numFmtId="0" fontId="27" fillId="0" borderId="5" xfId="13" applyFont="1" applyBorder="1" applyAlignment="1">
      <alignment wrapText="1"/>
    </xf>
    <xf numFmtId="0" fontId="24" fillId="0" borderId="6" xfId="13" applyFont="1" applyBorder="1" applyAlignment="1">
      <alignment horizontal="right"/>
    </xf>
    <xf numFmtId="0" fontId="17" fillId="0" borderId="0" xfId="13" applyFont="1" applyAlignment="1">
      <alignment horizontal="center"/>
    </xf>
    <xf numFmtId="0" fontId="22" fillId="0" borderId="0" xfId="13" applyFont="1"/>
    <xf numFmtId="0" fontId="25" fillId="0" borderId="6" xfId="13" applyFont="1" applyBorder="1"/>
    <xf numFmtId="0" fontId="17" fillId="0" borderId="0" xfId="13" applyFont="1" applyAlignment="1">
      <alignment horizontal="left"/>
    </xf>
    <xf numFmtId="0" fontId="18" fillId="0" borderId="0" xfId="13" applyFont="1"/>
    <xf numFmtId="0" fontId="29" fillId="0" borderId="28" xfId="13" applyFont="1" applyBorder="1" applyAlignment="1">
      <alignment vertical="center" wrapText="1"/>
    </xf>
    <xf numFmtId="0" fontId="29" fillId="0" borderId="18" xfId="13" applyFont="1" applyBorder="1" applyAlignment="1">
      <alignment vertical="center" wrapText="1"/>
    </xf>
    <xf numFmtId="0" fontId="24" fillId="0" borderId="5" xfId="13" applyFont="1" applyBorder="1" applyAlignment="1">
      <alignment wrapText="1"/>
    </xf>
    <xf numFmtId="0" fontId="23" fillId="0" borderId="5" xfId="13" applyFont="1" applyBorder="1" applyAlignment="1">
      <alignment vertical="center"/>
    </xf>
    <xf numFmtId="0" fontId="24" fillId="0" borderId="5" xfId="13" applyFont="1" applyBorder="1"/>
    <xf numFmtId="0" fontId="25" fillId="0" borderId="5" xfId="13" applyFont="1" applyBorder="1" applyAlignment="1">
      <alignment vertical="center"/>
    </xf>
    <xf numFmtId="0" fontId="21" fillId="0" borderId="0" xfId="13" applyFont="1" applyAlignment="1">
      <alignment horizontal="right"/>
    </xf>
    <xf numFmtId="0" fontId="25" fillId="0" borderId="6" xfId="13" applyFont="1" applyBorder="1" applyAlignment="1">
      <alignment vertical="center"/>
    </xf>
    <xf numFmtId="0" fontId="23" fillId="0" borderId="4" xfId="13" applyFont="1" applyBorder="1" applyAlignment="1">
      <alignment vertical="center"/>
    </xf>
    <xf numFmtId="0" fontId="26" fillId="0" borderId="4" xfId="13" applyFont="1" applyBorder="1" applyAlignment="1">
      <alignment wrapText="1"/>
    </xf>
    <xf numFmtId="0" fontId="22" fillId="0" borderId="3" xfId="13" applyFont="1" applyBorder="1" applyAlignment="1">
      <alignment horizontal="center" wrapText="1"/>
    </xf>
    <xf numFmtId="0" fontId="23" fillId="0" borderId="3" xfId="13" applyFont="1" applyBorder="1" applyAlignment="1">
      <alignment horizontal="center" vertical="center" wrapText="1"/>
    </xf>
    <xf numFmtId="0" fontId="23" fillId="0" borderId="0" xfId="13" applyFont="1" applyAlignment="1">
      <alignment horizontal="center"/>
    </xf>
    <xf numFmtId="0" fontId="31" fillId="0" borderId="0" xfId="13" applyFont="1" applyAlignment="1">
      <alignment horizontal="right"/>
    </xf>
    <xf numFmtId="0" fontId="23" fillId="0" borderId="3" xfId="13" applyFont="1" applyBorder="1" applyAlignment="1">
      <alignment vertical="center" wrapText="1"/>
    </xf>
    <xf numFmtId="166" fontId="73" fillId="6" borderId="94" xfId="39" applyNumberFormat="1" applyFont="1" applyFill="1" applyBorder="1" applyAlignment="1">
      <alignment horizontal="center" vertical="center" wrapText="1"/>
    </xf>
    <xf numFmtId="166" fontId="73" fillId="6" borderId="94" xfId="40" applyNumberFormat="1" applyFont="1" applyFill="1" applyBorder="1" applyAlignment="1">
      <alignment horizontal="center" vertical="center" wrapText="1"/>
    </xf>
    <xf numFmtId="0" fontId="9" fillId="6" borderId="0" xfId="39" applyFont="1" applyFill="1" applyAlignment="1">
      <alignment horizontal="center" vertical="center" wrapText="1"/>
    </xf>
    <xf numFmtId="166" fontId="2" fillId="6" borderId="0" xfId="40" applyNumberFormat="1" applyFont="1" applyFill="1" applyAlignment="1">
      <alignment horizontal="center" vertical="center" wrapText="1"/>
    </xf>
    <xf numFmtId="166" fontId="6" fillId="6" borderId="0" xfId="40" applyNumberFormat="1" applyFont="1" applyFill="1" applyAlignment="1">
      <alignment horizontal="center" vertical="center" wrapText="1"/>
    </xf>
    <xf numFmtId="166" fontId="172" fillId="6" borderId="0" xfId="39" applyNumberFormat="1" applyFont="1" applyFill="1" applyAlignment="1">
      <alignment horizontal="center" vertical="center" wrapText="1"/>
    </xf>
    <xf numFmtId="166" fontId="3" fillId="6" borderId="98" xfId="39" applyNumberFormat="1" applyFont="1" applyFill="1" applyBorder="1" applyAlignment="1">
      <alignment horizontal="center" vertical="center" wrapText="1"/>
    </xf>
    <xf numFmtId="166" fontId="3" fillId="6" borderId="26" xfId="39" applyNumberFormat="1" applyFont="1" applyFill="1" applyBorder="1" applyAlignment="1">
      <alignment horizontal="center" vertical="center" wrapText="1"/>
    </xf>
    <xf numFmtId="166" fontId="73" fillId="6" borderId="82" xfId="39" applyNumberFormat="1" applyFont="1" applyFill="1" applyBorder="1" applyAlignment="1">
      <alignment horizontal="center" vertical="center" wrapText="1"/>
    </xf>
    <xf numFmtId="166" fontId="73" fillId="6" borderId="83" xfId="39" applyNumberFormat="1" applyFont="1" applyFill="1" applyBorder="1" applyAlignment="1">
      <alignment horizontal="center" vertical="center" wrapText="1"/>
    </xf>
    <xf numFmtId="166" fontId="73" fillId="6" borderId="84" xfId="39" applyNumberFormat="1" applyFont="1" applyFill="1" applyBorder="1" applyAlignment="1">
      <alignment horizontal="center" vertical="center" wrapText="1"/>
    </xf>
    <xf numFmtId="166" fontId="73" fillId="6" borderId="27" xfId="39" applyNumberFormat="1" applyFont="1" applyFill="1" applyBorder="1" applyAlignment="1">
      <alignment horizontal="center" vertical="center" wrapText="1"/>
    </xf>
    <xf numFmtId="166" fontId="73" fillId="6" borderId="98" xfId="39" applyNumberFormat="1" applyFont="1" applyFill="1" applyBorder="1" applyAlignment="1">
      <alignment horizontal="center" vertical="center" wrapText="1"/>
    </xf>
    <xf numFmtId="166" fontId="73" fillId="6" borderId="26" xfId="39" applyNumberFormat="1" applyFont="1" applyFill="1" applyBorder="1" applyAlignment="1">
      <alignment horizontal="center" vertical="center" wrapText="1"/>
    </xf>
    <xf numFmtId="0" fontId="2" fillId="6" borderId="0" xfId="39" applyFont="1" applyFill="1" applyAlignment="1">
      <alignment horizontal="center" vertical="center" wrapText="1"/>
    </xf>
    <xf numFmtId="0" fontId="73" fillId="6" borderId="94" xfId="39" applyFont="1" applyFill="1" applyBorder="1" applyAlignment="1">
      <alignment horizontal="center" vertical="center" wrapText="1"/>
    </xf>
    <xf numFmtId="166" fontId="9" fillId="6" borderId="0" xfId="39" applyNumberFormat="1" applyFont="1" applyFill="1" applyAlignment="1">
      <alignment horizontal="center"/>
    </xf>
    <xf numFmtId="166" fontId="73" fillId="6" borderId="86" xfId="39" applyNumberFormat="1" applyFont="1" applyFill="1" applyBorder="1" applyAlignment="1">
      <alignment horizontal="center" vertical="center" wrapText="1"/>
    </xf>
    <xf numFmtId="166" fontId="73" fillId="6" borderId="88" xfId="39" applyNumberFormat="1" applyFont="1" applyFill="1" applyBorder="1" applyAlignment="1">
      <alignment horizontal="center" vertical="center" wrapText="1"/>
    </xf>
    <xf numFmtId="166" fontId="172" fillId="6" borderId="0" xfId="39" applyNumberFormat="1" applyFont="1" applyFill="1" applyAlignment="1">
      <alignment horizontal="center"/>
    </xf>
    <xf numFmtId="166" fontId="172" fillId="6" borderId="0" xfId="40" applyNumberFormat="1" applyFont="1" applyFill="1" applyBorder="1" applyAlignment="1">
      <alignment horizontal="center" vertical="center" wrapText="1"/>
    </xf>
    <xf numFmtId="166" fontId="9" fillId="6" borderId="0" xfId="40" applyNumberFormat="1" applyFont="1" applyFill="1" applyBorder="1" applyAlignment="1">
      <alignment horizontal="center" vertical="center" wrapText="1"/>
    </xf>
    <xf numFmtId="0" fontId="9" fillId="6" borderId="0" xfId="0" applyFont="1" applyFill="1" applyAlignment="1">
      <alignment horizontal="center" vertical="center"/>
    </xf>
    <xf numFmtId="0" fontId="278" fillId="0" borderId="0" xfId="0" applyNumberFormat="1" applyFont="1" applyFill="1" applyBorder="1" applyAlignment="1">
      <alignment horizontal="center" vertical="top" wrapText="1" readingOrder="1"/>
    </xf>
    <xf numFmtId="0" fontId="292" fillId="0" borderId="0" xfId="0" applyNumberFormat="1" applyFont="1" applyFill="1" applyBorder="1" applyAlignment="1">
      <alignment horizontal="center" vertical="center" wrapText="1" readingOrder="1"/>
    </xf>
    <xf numFmtId="0" fontId="275" fillId="0" borderId="0" xfId="0" applyNumberFormat="1" applyFont="1" applyFill="1" applyBorder="1" applyAlignment="1">
      <alignment horizontal="center" vertical="top" wrapText="1" readingOrder="1"/>
    </xf>
    <xf numFmtId="0" fontId="91" fillId="0" borderId="0" xfId="0" applyFont="1" applyFill="1" applyBorder="1" applyAlignment="1">
      <alignment horizontal="center"/>
    </xf>
    <xf numFmtId="0" fontId="75" fillId="0" borderId="0" xfId="0" applyFont="1" applyFill="1" applyBorder="1" applyAlignment="1">
      <alignment horizontal="center"/>
    </xf>
    <xf numFmtId="0" fontId="2" fillId="0" borderId="0" xfId="0" applyFont="1" applyFill="1" applyBorder="1" applyAlignment="1">
      <alignment horizontal="center"/>
    </xf>
    <xf numFmtId="0" fontId="278" fillId="0" borderId="0" xfId="0" applyNumberFormat="1" applyFont="1" applyFill="1" applyBorder="1" applyAlignment="1">
      <alignment horizontal="left" vertical="top" wrapText="1" readingOrder="1"/>
    </xf>
    <xf numFmtId="0" fontId="280" fillId="0" borderId="104" xfId="0" applyNumberFormat="1" applyFont="1" applyFill="1" applyBorder="1" applyAlignment="1">
      <alignment horizontal="center" vertical="center" wrapText="1" readingOrder="1"/>
    </xf>
    <xf numFmtId="0" fontId="280" fillId="0" borderId="103" xfId="0" applyNumberFormat="1" applyFont="1" applyFill="1" applyBorder="1" applyAlignment="1">
      <alignment horizontal="center" vertical="center" wrapText="1" readingOrder="1"/>
    </xf>
    <xf numFmtId="0" fontId="272" fillId="0" borderId="101" xfId="0" applyNumberFormat="1" applyFont="1" applyFill="1" applyBorder="1" applyAlignment="1">
      <alignment vertical="center" wrapText="1"/>
    </xf>
    <xf numFmtId="0" fontId="73" fillId="0" borderId="0" xfId="0" applyFont="1" applyFill="1" applyBorder="1" applyAlignment="1">
      <alignment horizontal="center" vertical="center"/>
    </xf>
    <xf numFmtId="0" fontId="270" fillId="0" borderId="0" xfId="0" applyNumberFormat="1" applyFont="1" applyFill="1" applyBorder="1" applyAlignment="1">
      <alignment horizontal="center" vertical="top" wrapText="1" readingOrder="1"/>
    </xf>
    <xf numFmtId="0" fontId="272" fillId="0" borderId="108" xfId="0" applyNumberFormat="1" applyFont="1" applyFill="1" applyBorder="1" applyAlignment="1">
      <alignment vertical="center" wrapText="1"/>
    </xf>
    <xf numFmtId="169" fontId="43" fillId="6" borderId="0" xfId="0" applyNumberFormat="1" applyFont="1" applyFill="1" applyAlignment="1">
      <alignment horizontal="center" vertical="center" wrapText="1"/>
    </xf>
    <xf numFmtId="169" fontId="73" fillId="6" borderId="0" xfId="0" applyNumberFormat="1" applyFont="1" applyFill="1" applyAlignment="1">
      <alignment horizontal="center" vertical="center" wrapText="1"/>
    </xf>
    <xf numFmtId="171" fontId="75" fillId="6" borderId="0" xfId="3" applyNumberFormat="1" applyFont="1" applyFill="1" applyAlignment="1">
      <alignment horizontal="center" vertical="center"/>
    </xf>
    <xf numFmtId="169" fontId="73" fillId="6" borderId="0" xfId="3" applyNumberFormat="1" applyFont="1" applyFill="1" applyAlignment="1">
      <alignment horizontal="center" vertical="center" wrapText="1"/>
    </xf>
    <xf numFmtId="169" fontId="71" fillId="6" borderId="0" xfId="3" applyNumberFormat="1" applyFont="1" applyFill="1" applyAlignment="1">
      <alignment horizontal="center" vertical="center" wrapText="1"/>
    </xf>
    <xf numFmtId="169" fontId="73" fillId="6" borderId="0" xfId="3" applyNumberFormat="1" applyFont="1" applyFill="1" applyAlignment="1">
      <alignment horizontal="center"/>
    </xf>
    <xf numFmtId="172" fontId="91" fillId="6" borderId="0" xfId="3" applyNumberFormat="1" applyFont="1" applyFill="1" applyAlignment="1">
      <alignment horizontal="center"/>
    </xf>
    <xf numFmtId="0" fontId="172" fillId="6" borderId="0" xfId="0" applyFont="1" applyFill="1" applyAlignment="1">
      <alignment horizontal="center" vertical="center"/>
    </xf>
    <xf numFmtId="0" fontId="2" fillId="6" borderId="85" xfId="0" applyFont="1" applyFill="1" applyBorder="1" applyAlignment="1">
      <alignment horizontal="center" vertical="center" wrapText="1"/>
    </xf>
    <xf numFmtId="169" fontId="2" fillId="6" borderId="85" xfId="3" applyNumberFormat="1" applyFont="1" applyFill="1" applyBorder="1" applyAlignment="1">
      <alignment horizontal="center" vertical="center" wrapText="1"/>
    </xf>
    <xf numFmtId="166" fontId="2" fillId="6" borderId="85" xfId="3" applyNumberFormat="1" applyFont="1" applyFill="1" applyBorder="1" applyAlignment="1">
      <alignment horizontal="center" vertical="center" wrapText="1"/>
    </xf>
    <xf numFmtId="171" fontId="2" fillId="0" borderId="77" xfId="3" applyNumberFormat="1" applyFont="1" applyFill="1" applyBorder="1" applyAlignment="1">
      <alignment horizontal="center" vertical="center" wrapText="1"/>
    </xf>
    <xf numFmtId="171" fontId="2" fillId="0" borderId="13" xfId="3" applyNumberFormat="1" applyFont="1" applyFill="1" applyBorder="1" applyAlignment="1">
      <alignment horizontal="center" vertical="center" wrapText="1"/>
    </xf>
    <xf numFmtId="171" fontId="2" fillId="6" borderId="77" xfId="3" applyNumberFormat="1" applyFont="1" applyFill="1" applyBorder="1" applyAlignment="1">
      <alignment horizontal="center" vertical="center" wrapText="1"/>
    </xf>
    <xf numFmtId="171" fontId="2" fillId="6" borderId="13" xfId="3" applyNumberFormat="1" applyFont="1" applyFill="1" applyBorder="1" applyAlignment="1">
      <alignment horizontal="center" vertical="center" wrapText="1"/>
    </xf>
    <xf numFmtId="166" fontId="75" fillId="6" borderId="0" xfId="3" applyNumberFormat="1" applyFont="1" applyFill="1" applyAlignment="1">
      <alignment horizontal="center"/>
    </xf>
    <xf numFmtId="0" fontId="172" fillId="0" borderId="0" xfId="13" applyFont="1" applyAlignment="1">
      <alignment horizontal="center"/>
    </xf>
    <xf numFmtId="0" fontId="91" fillId="0" borderId="0" xfId="13" applyFont="1" applyAlignment="1">
      <alignment horizontal="center"/>
    </xf>
    <xf numFmtId="0" fontId="276" fillId="0" borderId="0" xfId="0" applyNumberFormat="1" applyFont="1" applyFill="1" applyBorder="1" applyAlignment="1">
      <alignment horizontal="center" vertical="top" wrapText="1" readingOrder="1"/>
    </xf>
    <xf numFmtId="0" fontId="287" fillId="0" borderId="0" xfId="0" applyNumberFormat="1" applyFont="1" applyFill="1" applyBorder="1" applyAlignment="1">
      <alignment horizontal="left" vertical="top" wrapText="1" readingOrder="1"/>
    </xf>
    <xf numFmtId="0" fontId="288" fillId="0" borderId="0" xfId="0" applyFont="1" applyFill="1" applyBorder="1"/>
    <xf numFmtId="0" fontId="289" fillId="0" borderId="0" xfId="0" applyNumberFormat="1" applyFont="1" applyFill="1" applyBorder="1" applyAlignment="1">
      <alignment horizontal="right" vertical="top" wrapText="1" readingOrder="1"/>
    </xf>
    <xf numFmtId="0" fontId="272" fillId="0" borderId="108" xfId="0" applyNumberFormat="1" applyFont="1" applyFill="1" applyBorder="1" applyAlignment="1">
      <alignment vertical="top" wrapText="1"/>
    </xf>
    <xf numFmtId="0" fontId="272" fillId="0" borderId="101" xfId="0" applyNumberFormat="1" applyFont="1" applyFill="1" applyBorder="1" applyAlignment="1">
      <alignment vertical="top" wrapText="1"/>
    </xf>
    <xf numFmtId="0" fontId="278" fillId="0" borderId="102" xfId="0" applyNumberFormat="1" applyFont="1" applyFill="1" applyBorder="1" applyAlignment="1">
      <alignment horizontal="right" vertical="top" wrapText="1" readingOrder="1"/>
    </xf>
    <xf numFmtId="0" fontId="91" fillId="0" borderId="0" xfId="0" applyFont="1" applyAlignment="1">
      <alignment horizontal="center"/>
    </xf>
    <xf numFmtId="0" fontId="172" fillId="0" borderId="0" xfId="13" applyFont="1" applyBorder="1" applyAlignment="1">
      <alignment horizontal="center"/>
    </xf>
    <xf numFmtId="0" fontId="280" fillId="0" borderId="102" xfId="0" applyNumberFormat="1" applyFont="1" applyFill="1" applyBorder="1" applyAlignment="1">
      <alignment horizontal="center" vertical="center" wrapText="1" readingOrder="1"/>
    </xf>
    <xf numFmtId="0" fontId="73" fillId="0" borderId="0" xfId="0" applyFont="1" applyFill="1" applyBorder="1"/>
    <xf numFmtId="0" fontId="290" fillId="0" borderId="0" xfId="0" applyNumberFormat="1" applyFont="1" applyFill="1" applyBorder="1" applyAlignment="1">
      <alignment horizontal="center" vertical="top" wrapText="1" readingOrder="1"/>
    </xf>
    <xf numFmtId="0" fontId="177" fillId="6" borderId="76" xfId="0" applyFont="1" applyFill="1" applyBorder="1" applyAlignment="1">
      <alignment horizontal="left" wrapText="1"/>
    </xf>
    <xf numFmtId="0" fontId="177" fillId="6" borderId="33" xfId="0" applyFont="1" applyFill="1" applyBorder="1" applyAlignment="1">
      <alignment horizontal="left" wrapText="1"/>
    </xf>
    <xf numFmtId="171" fontId="91" fillId="6" borderId="0" xfId="3" applyNumberFormat="1" applyFont="1" applyFill="1" applyAlignment="1">
      <alignment horizontal="center" wrapText="1"/>
    </xf>
    <xf numFmtId="171" fontId="91" fillId="6" borderId="0" xfId="3" applyNumberFormat="1" applyFont="1" applyFill="1" applyAlignment="1">
      <alignment horizontal="center"/>
    </xf>
    <xf numFmtId="171" fontId="172" fillId="6" borderId="0" xfId="3" applyNumberFormat="1" applyFont="1" applyFill="1" applyAlignment="1">
      <alignment horizontal="center"/>
    </xf>
    <xf numFmtId="0" fontId="177" fillId="6" borderId="38" xfId="0" applyFont="1" applyFill="1" applyBorder="1" applyAlignment="1">
      <alignment horizontal="left" wrapText="1"/>
    </xf>
    <xf numFmtId="0" fontId="177" fillId="6" borderId="73" xfId="0" applyFont="1" applyFill="1" applyBorder="1" applyAlignment="1">
      <alignment horizontal="left" wrapText="1"/>
    </xf>
    <xf numFmtId="0" fontId="177" fillId="6" borderId="74" xfId="0" applyFont="1" applyFill="1" applyBorder="1" applyAlignment="1">
      <alignment horizontal="left" wrapText="1"/>
    </xf>
    <xf numFmtId="0" fontId="177" fillId="6" borderId="75" xfId="0" applyFont="1" applyFill="1" applyBorder="1" applyAlignment="1">
      <alignment horizontal="left" wrapText="1"/>
    </xf>
    <xf numFmtId="0" fontId="91" fillId="6" borderId="0" xfId="0" applyFont="1" applyFill="1" applyAlignment="1">
      <alignment horizontal="right" wrapText="1"/>
    </xf>
    <xf numFmtId="0" fontId="91" fillId="6" borderId="73" xfId="0" applyFont="1" applyFill="1" applyBorder="1" applyAlignment="1">
      <alignment horizontal="center" wrapText="1"/>
    </xf>
    <xf numFmtId="0" fontId="91" fillId="6" borderId="74" xfId="0" applyFont="1" applyFill="1" applyBorder="1" applyAlignment="1">
      <alignment horizontal="center" wrapText="1"/>
    </xf>
    <xf numFmtId="0" fontId="91" fillId="6" borderId="75" xfId="0" applyFont="1" applyFill="1" applyBorder="1" applyAlignment="1">
      <alignment horizontal="center" wrapText="1"/>
    </xf>
    <xf numFmtId="171" fontId="41" fillId="6" borderId="0" xfId="3" applyNumberFormat="1" applyFont="1" applyFill="1" applyAlignment="1">
      <alignment horizontal="center" vertical="center" wrapText="1"/>
    </xf>
    <xf numFmtId="171" fontId="2" fillId="6" borderId="0" xfId="3" applyNumberFormat="1" applyFont="1" applyFill="1" applyAlignment="1">
      <alignment horizontal="center"/>
    </xf>
    <xf numFmtId="171" fontId="43" fillId="6" borderId="0" xfId="3" applyNumberFormat="1" applyFont="1" applyFill="1" applyAlignment="1">
      <alignment horizontal="center" vertical="center"/>
    </xf>
    <xf numFmtId="172" fontId="2" fillId="6" borderId="0" xfId="3" applyNumberFormat="1" applyFont="1" applyFill="1" applyAlignment="1">
      <alignment horizontal="center"/>
    </xf>
    <xf numFmtId="0" fontId="129" fillId="7" borderId="64" xfId="0" applyFont="1" applyFill="1" applyBorder="1" applyAlignment="1">
      <alignment horizontal="left" vertical="center" wrapText="1"/>
    </xf>
    <xf numFmtId="0" fontId="202" fillId="0" borderId="0" xfId="0" applyFont="1" applyAlignment="1">
      <alignment horizontal="center" vertical="center" wrapText="1"/>
    </xf>
    <xf numFmtId="0" fontId="204" fillId="0" borderId="0" xfId="0" applyFont="1" applyAlignment="1">
      <alignment horizontal="right" vertical="top" wrapText="1"/>
    </xf>
    <xf numFmtId="0" fontId="205" fillId="7" borderId="63" xfId="0" applyFont="1" applyFill="1" applyBorder="1" applyAlignment="1">
      <alignment horizontal="left" vertical="center" wrapText="1"/>
    </xf>
    <xf numFmtId="0" fontId="203" fillId="0" borderId="0" xfId="0" applyFont="1" applyAlignment="1">
      <alignment horizontal="center" vertical="top" wrapText="1"/>
    </xf>
    <xf numFmtId="0" fontId="207" fillId="0" borderId="0" xfId="0" applyFont="1" applyAlignment="1">
      <alignment horizontal="center" vertical="top" wrapText="1"/>
    </xf>
    <xf numFmtId="171" fontId="216" fillId="6" borderId="0" xfId="3" applyNumberFormat="1" applyFont="1" applyFill="1" applyAlignment="1">
      <alignment horizontal="center"/>
    </xf>
    <xf numFmtId="172" fontId="216" fillId="6" borderId="0" xfId="3" applyNumberFormat="1" applyFont="1" applyFill="1" applyAlignment="1">
      <alignment horizontal="center"/>
    </xf>
    <xf numFmtId="0" fontId="217" fillId="6" borderId="0" xfId="0" applyFont="1" applyFill="1" applyAlignment="1">
      <alignment horizontal="center" vertical="center" wrapText="1"/>
    </xf>
    <xf numFmtId="0" fontId="216" fillId="6" borderId="0" xfId="0" applyFont="1" applyFill="1" applyAlignment="1">
      <alignment horizontal="center" vertical="center" wrapText="1"/>
    </xf>
    <xf numFmtId="171" fontId="216" fillId="6" borderId="0" xfId="3" applyNumberFormat="1" applyFont="1" applyFill="1" applyAlignment="1">
      <alignment horizontal="center" vertical="center" wrapText="1"/>
    </xf>
    <xf numFmtId="0" fontId="224" fillId="0" borderId="70" xfId="0" applyFont="1" applyBorder="1" applyAlignment="1">
      <alignment horizontal="center" vertical="center" wrapText="1" readingOrder="1"/>
    </xf>
    <xf numFmtId="0" fontId="216" fillId="0" borderId="0" xfId="0" applyFont="1" applyAlignment="1">
      <alignment horizontal="center" wrapText="1"/>
    </xf>
    <xf numFmtId="0" fontId="216" fillId="0" borderId="0" xfId="0" applyFont="1" applyAlignment="1">
      <alignment horizontal="center" vertical="center" wrapText="1"/>
    </xf>
    <xf numFmtId="0" fontId="217" fillId="0" borderId="0" xfId="0" applyFont="1" applyAlignment="1">
      <alignment horizontal="center" wrapText="1"/>
    </xf>
    <xf numFmtId="172" fontId="229" fillId="6" borderId="0" xfId="3" applyNumberFormat="1" applyFont="1" applyFill="1" applyAlignment="1">
      <alignment horizontal="center"/>
    </xf>
    <xf numFmtId="171" fontId="229" fillId="6" borderId="0" xfId="3" applyNumberFormat="1" applyFont="1" applyFill="1" applyAlignment="1">
      <alignment horizontal="center"/>
    </xf>
    <xf numFmtId="171" fontId="227" fillId="6" borderId="0" xfId="3" applyNumberFormat="1" applyFont="1" applyFill="1" applyAlignment="1">
      <alignment horizontal="center" vertical="center"/>
    </xf>
    <xf numFmtId="0" fontId="229" fillId="6" borderId="0" xfId="0" applyFont="1" applyFill="1" applyAlignment="1">
      <alignment horizontal="center" vertical="center" wrapText="1"/>
    </xf>
    <xf numFmtId="171" fontId="229" fillId="6" borderId="0" xfId="3" applyNumberFormat="1" applyFont="1" applyFill="1" applyAlignment="1">
      <alignment horizontal="center" vertical="center" wrapText="1"/>
    </xf>
    <xf numFmtId="0" fontId="227" fillId="6" borderId="0" xfId="0" applyFont="1" applyFill="1" applyAlignment="1">
      <alignment horizontal="center" vertical="center" wrapText="1"/>
    </xf>
    <xf numFmtId="0" fontId="202" fillId="0" borderId="0" xfId="0" applyFont="1" applyAlignment="1">
      <alignment horizontal="center" wrapText="1"/>
    </xf>
    <xf numFmtId="172" fontId="41" fillId="6" borderId="0" xfId="3" applyNumberFormat="1" applyFont="1" applyFill="1" applyAlignment="1">
      <alignment horizontal="center"/>
    </xf>
    <xf numFmtId="0" fontId="207" fillId="0" borderId="0" xfId="0" applyFont="1" applyAlignment="1">
      <alignment horizontal="center" wrapText="1"/>
    </xf>
    <xf numFmtId="0" fontId="139" fillId="7" borderId="61" xfId="0" applyFont="1" applyFill="1" applyBorder="1" applyAlignment="1">
      <alignment horizontal="left" vertical="center" wrapText="1"/>
    </xf>
    <xf numFmtId="0" fontId="139" fillId="7" borderId="65" xfId="0" applyFont="1" applyFill="1" applyBorder="1" applyAlignment="1">
      <alignment horizontal="left" vertical="center" wrapText="1"/>
    </xf>
    <xf numFmtId="0" fontId="139" fillId="7" borderId="66" xfId="0" applyFont="1" applyFill="1" applyBorder="1" applyAlignment="1">
      <alignment horizontal="left" vertical="center" wrapText="1"/>
    </xf>
    <xf numFmtId="0" fontId="202" fillId="0" borderId="0" xfId="0" applyFont="1" applyAlignment="1">
      <alignment horizontal="center" vertical="top" wrapText="1"/>
    </xf>
    <xf numFmtId="0" fontId="114" fillId="7" borderId="61" xfId="0" applyFont="1" applyFill="1" applyBorder="1" applyAlignment="1">
      <alignment horizontal="left" vertical="center" wrapText="1"/>
    </xf>
    <xf numFmtId="0" fontId="114" fillId="7" borderId="65" xfId="0" applyFont="1" applyFill="1" applyBorder="1" applyAlignment="1">
      <alignment horizontal="left" vertical="center" wrapText="1"/>
    </xf>
    <xf numFmtId="0" fontId="114" fillId="7" borderId="66" xfId="0" applyFont="1" applyFill="1" applyBorder="1" applyAlignment="1">
      <alignment horizontal="left" vertical="center" wrapText="1"/>
    </xf>
    <xf numFmtId="175" fontId="139" fillId="0" borderId="0" xfId="0" applyNumberFormat="1" applyFont="1" applyAlignment="1">
      <alignment horizontal="center"/>
    </xf>
    <xf numFmtId="0" fontId="3" fillId="0" borderId="0" xfId="0" applyFont="1" applyAlignment="1">
      <alignment horizontal="center" vertical="top" readingOrder="1"/>
    </xf>
    <xf numFmtId="0" fontId="2" fillId="6" borderId="0" xfId="0" applyFont="1" applyFill="1" applyAlignment="1">
      <alignment horizontal="center" vertical="center" wrapText="1" readingOrder="1"/>
    </xf>
    <xf numFmtId="0" fontId="279" fillId="0" borderId="109" xfId="0" applyNumberFormat="1" applyFont="1" applyFill="1" applyBorder="1" applyAlignment="1">
      <alignment horizontal="left" vertical="center" wrapText="1" readingOrder="1"/>
    </xf>
    <xf numFmtId="0" fontId="71" fillId="0" borderId="116" xfId="0" applyNumberFormat="1" applyFont="1" applyFill="1" applyBorder="1" applyAlignment="1">
      <alignment vertical="center" wrapText="1"/>
    </xf>
    <xf numFmtId="0" fontId="71" fillId="0" borderId="110" xfId="0" applyNumberFormat="1" applyFont="1" applyFill="1" applyBorder="1" applyAlignment="1">
      <alignment vertical="center" wrapText="1"/>
    </xf>
    <xf numFmtId="0" fontId="279" fillId="0" borderId="110" xfId="0" applyNumberFormat="1" applyFont="1" applyFill="1" applyBorder="1" applyAlignment="1">
      <alignment horizontal="center" vertical="center" wrapText="1" readingOrder="1"/>
    </xf>
    <xf numFmtId="0" fontId="279" fillId="0" borderId="111" xfId="0" applyNumberFormat="1" applyFont="1" applyFill="1" applyBorder="1" applyAlignment="1">
      <alignment horizontal="left" vertical="center" wrapText="1" readingOrder="1"/>
    </xf>
    <xf numFmtId="0" fontId="71" fillId="0" borderId="118" xfId="0" applyNumberFormat="1" applyFont="1" applyFill="1" applyBorder="1" applyAlignment="1">
      <alignment vertical="center" wrapText="1"/>
    </xf>
    <xf numFmtId="0" fontId="71" fillId="0" borderId="112" xfId="0" applyNumberFormat="1" applyFont="1" applyFill="1" applyBorder="1" applyAlignment="1">
      <alignment vertical="center" wrapText="1"/>
    </xf>
    <xf numFmtId="0" fontId="279" fillId="0" borderId="112" xfId="0" applyNumberFormat="1" applyFont="1" applyFill="1" applyBorder="1" applyAlignment="1">
      <alignment horizontal="center" vertical="center" wrapText="1" readingOrder="1"/>
    </xf>
    <xf numFmtId="0" fontId="278" fillId="0" borderId="117" xfId="0" applyNumberFormat="1" applyFont="1" applyFill="1" applyBorder="1" applyAlignment="1">
      <alignment horizontal="left" vertical="center" wrapText="1" readingOrder="1"/>
    </xf>
    <xf numFmtId="0" fontId="278" fillId="0" borderId="116" xfId="0" applyNumberFormat="1" applyFont="1" applyFill="1" applyBorder="1" applyAlignment="1">
      <alignment horizontal="left" vertical="center" wrapText="1" readingOrder="1"/>
    </xf>
    <xf numFmtId="0" fontId="278" fillId="0" borderId="110" xfId="0" applyNumberFormat="1" applyFont="1" applyFill="1" applyBorder="1" applyAlignment="1">
      <alignment horizontal="left" vertical="center" wrapText="1" readingOrder="1"/>
    </xf>
    <xf numFmtId="0" fontId="73" fillId="0" borderId="109" xfId="0" applyNumberFormat="1" applyFont="1" applyFill="1" applyBorder="1" applyAlignment="1">
      <alignment horizontal="left" vertical="center" wrapText="1"/>
    </xf>
    <xf numFmtId="0" fontId="71" fillId="0" borderId="109" xfId="0" applyNumberFormat="1" applyFont="1" applyFill="1" applyBorder="1" applyAlignment="1">
      <alignment vertical="center" wrapText="1"/>
    </xf>
    <xf numFmtId="0" fontId="279" fillId="0" borderId="109" xfId="0" applyNumberFormat="1" applyFont="1" applyFill="1" applyBorder="1" applyAlignment="1">
      <alignment horizontal="center" vertical="center" wrapText="1" readingOrder="1"/>
    </xf>
    <xf numFmtId="0" fontId="75" fillId="0" borderId="0" xfId="0" applyFont="1" applyFill="1" applyBorder="1" applyAlignment="1">
      <alignment horizontal="center" vertical="center"/>
    </xf>
    <xf numFmtId="0" fontId="273" fillId="0" borderId="100" xfId="0" applyNumberFormat="1" applyFont="1" applyFill="1" applyBorder="1" applyAlignment="1">
      <alignment horizontal="center" vertical="center" wrapText="1" readingOrder="1"/>
    </xf>
    <xf numFmtId="0" fontId="73" fillId="0" borderId="119" xfId="0" applyNumberFormat="1" applyFont="1" applyFill="1" applyBorder="1" applyAlignment="1">
      <alignment horizontal="left" vertical="center" wrapText="1"/>
    </xf>
    <xf numFmtId="0" fontId="73" fillId="0" borderId="120" xfId="0" applyNumberFormat="1" applyFont="1" applyFill="1" applyBorder="1" applyAlignment="1">
      <alignment horizontal="left" vertical="center" wrapText="1"/>
    </xf>
    <xf numFmtId="0" fontId="73" fillId="0" borderId="121" xfId="0" applyNumberFormat="1" applyFont="1" applyFill="1" applyBorder="1" applyAlignment="1">
      <alignment horizontal="left" vertical="center" wrapText="1"/>
    </xf>
    <xf numFmtId="0" fontId="287" fillId="0" borderId="0" xfId="0" applyNumberFormat="1" applyFont="1" applyFill="1" applyBorder="1" applyAlignment="1">
      <alignment horizontal="left" vertical="center" wrapText="1" readingOrder="1"/>
    </xf>
    <xf numFmtId="0" fontId="73" fillId="0" borderId="0" xfId="0" applyFont="1" applyFill="1" applyBorder="1" applyAlignment="1">
      <alignment vertical="center"/>
    </xf>
    <xf numFmtId="0" fontId="290" fillId="0" borderId="0" xfId="0" applyNumberFormat="1" applyFont="1" applyFill="1" applyBorder="1" applyAlignment="1">
      <alignment horizontal="right" vertical="top" wrapText="1" readingOrder="1"/>
    </xf>
    <xf numFmtId="0" fontId="4" fillId="0" borderId="49" xfId="0" applyFont="1" applyBorder="1" applyAlignment="1">
      <alignment horizontal="center" vertical="center" wrapText="1" readingOrder="1"/>
    </xf>
    <xf numFmtId="166" fontId="125" fillId="0" borderId="0" xfId="3" applyNumberFormat="1" applyFont="1" applyFill="1" applyAlignment="1">
      <alignment horizontal="center" vertical="center"/>
    </xf>
    <xf numFmtId="0" fontId="126" fillId="0" borderId="0" xfId="0" applyFont="1" applyAlignment="1">
      <alignment horizontal="center" vertical="center" wrapText="1"/>
    </xf>
    <xf numFmtId="166" fontId="125" fillId="0" borderId="0" xfId="3" applyNumberFormat="1" applyFont="1" applyFill="1" applyAlignment="1">
      <alignment horizontal="center" vertical="center" wrapText="1"/>
    </xf>
    <xf numFmtId="0" fontId="125" fillId="0" borderId="0" xfId="0" applyFont="1" applyAlignment="1">
      <alignment horizontal="center" vertical="center" wrapText="1"/>
    </xf>
    <xf numFmtId="0" fontId="47" fillId="0" borderId="49" xfId="0" applyFont="1" applyBorder="1" applyAlignment="1">
      <alignment horizontal="left" vertical="center" wrapText="1" readingOrder="1"/>
    </xf>
    <xf numFmtId="0" fontId="173" fillId="6" borderId="49" xfId="0" applyFont="1" applyFill="1" applyBorder="1" applyAlignment="1">
      <alignment horizontal="left" vertical="center" wrapText="1" readingOrder="1"/>
    </xf>
    <xf numFmtId="0" fontId="172" fillId="0" borderId="0" xfId="0" applyFont="1" applyAlignment="1">
      <alignment horizontal="center" vertical="center"/>
    </xf>
    <xf numFmtId="3" fontId="86" fillId="0" borderId="0" xfId="12" applyNumberFormat="1" applyFont="1" applyAlignment="1">
      <alignment horizontal="center"/>
    </xf>
    <xf numFmtId="0" fontId="248" fillId="0" borderId="0" xfId="0" applyFont="1" applyAlignment="1">
      <alignment horizontal="center" vertical="center" wrapText="1"/>
    </xf>
    <xf numFmtId="166" fontId="248" fillId="0" borderId="0" xfId="3" applyNumberFormat="1" applyFont="1" applyFill="1" applyAlignment="1">
      <alignment horizontal="center" vertical="center" wrapText="1"/>
    </xf>
    <xf numFmtId="0" fontId="218" fillId="0" borderId="0" xfId="0" applyFont="1" applyAlignment="1">
      <alignment horizontal="center" vertical="center" wrapText="1"/>
    </xf>
    <xf numFmtId="0" fontId="248" fillId="0" borderId="0" xfId="0" applyFont="1" applyAlignment="1">
      <alignment horizontal="center"/>
    </xf>
    <xf numFmtId="166" fontId="248" fillId="0" borderId="0" xfId="3" applyNumberFormat="1" applyFont="1" applyFill="1" applyAlignment="1">
      <alignment horizontal="center" vertical="center"/>
    </xf>
    <xf numFmtId="0" fontId="218" fillId="0" borderId="17" xfId="48" applyFont="1" applyBorder="1" applyAlignment="1">
      <alignment horizontal="center" vertical="center"/>
    </xf>
    <xf numFmtId="166" fontId="218" fillId="0" borderId="0" xfId="3" applyNumberFormat="1" applyFont="1" applyFill="1" applyBorder="1" applyAlignment="1">
      <alignment horizontal="center" vertical="center" wrapText="1"/>
    </xf>
    <xf numFmtId="166" fontId="2" fillId="0" borderId="0" xfId="49" applyNumberFormat="1" applyFont="1" applyFill="1" applyAlignment="1">
      <alignment horizontal="right" vertical="center"/>
    </xf>
    <xf numFmtId="0" fontId="86" fillId="0" borderId="0" xfId="48" applyFont="1" applyAlignment="1">
      <alignment horizontal="center" vertical="center"/>
    </xf>
    <xf numFmtId="0" fontId="248" fillId="0" borderId="0" xfId="48" applyFont="1" applyAlignment="1">
      <alignment horizontal="center" vertical="center"/>
    </xf>
    <xf numFmtId="0" fontId="218" fillId="0" borderId="0" xfId="48" applyFont="1" applyAlignment="1">
      <alignment horizontal="center" vertical="center"/>
    </xf>
    <xf numFmtId="0" fontId="248" fillId="0" borderId="77" xfId="50" applyFont="1" applyBorder="1" applyAlignment="1">
      <alignment horizontal="center" vertical="center" wrapText="1"/>
    </xf>
    <xf numFmtId="0" fontId="248" fillId="0" borderId="13" xfId="50" applyFont="1" applyBorder="1" applyAlignment="1">
      <alignment horizontal="center" vertical="center" wrapText="1"/>
    </xf>
    <xf numFmtId="43" fontId="248" fillId="0" borderId="77" xfId="51" applyFont="1" applyFill="1" applyBorder="1" applyAlignment="1">
      <alignment horizontal="center" vertical="center" wrapText="1"/>
    </xf>
    <xf numFmtId="43" fontId="248" fillId="0" borderId="13" xfId="51" applyFont="1" applyFill="1" applyBorder="1" applyAlignment="1">
      <alignment horizontal="center" vertical="center" wrapText="1"/>
    </xf>
    <xf numFmtId="171" fontId="248" fillId="0" borderId="86" xfId="51" applyNumberFormat="1" applyFont="1" applyFill="1" applyBorder="1" applyAlignment="1">
      <alignment horizontal="center" vertical="center" wrapText="1"/>
    </xf>
    <xf numFmtId="171" fontId="248" fillId="0" borderId="87" xfId="51" applyNumberFormat="1" applyFont="1" applyFill="1" applyBorder="1" applyAlignment="1">
      <alignment horizontal="center" vertical="center" wrapText="1"/>
    </xf>
    <xf numFmtId="171" fontId="248" fillId="0" borderId="88" xfId="51" applyNumberFormat="1" applyFont="1" applyFill="1" applyBorder="1" applyAlignment="1">
      <alignment horizontal="center" vertical="center" wrapText="1"/>
    </xf>
    <xf numFmtId="166" fontId="248" fillId="0" borderId="86" xfId="51" applyNumberFormat="1" applyFont="1" applyFill="1" applyBorder="1" applyAlignment="1">
      <alignment horizontal="center" vertical="center" wrapText="1"/>
    </xf>
    <xf numFmtId="166" fontId="248" fillId="0" borderId="88" xfId="51" applyNumberFormat="1" applyFont="1" applyFill="1" applyBorder="1" applyAlignment="1">
      <alignment horizontal="center" vertical="center" wrapText="1"/>
    </xf>
    <xf numFmtId="0" fontId="86" fillId="0" borderId="91" xfId="50" applyFont="1" applyBorder="1" applyAlignment="1">
      <alignment horizontal="center" vertical="center" wrapText="1"/>
    </xf>
    <xf numFmtId="0" fontId="86" fillId="0" borderId="7" xfId="50" applyFont="1" applyBorder="1" applyAlignment="1">
      <alignment horizontal="center" vertical="center" wrapText="1"/>
    </xf>
    <xf numFmtId="0" fontId="86" fillId="0" borderId="91" xfId="50" applyFont="1" applyBorder="1" applyAlignment="1">
      <alignment horizontal="left" vertical="center"/>
    </xf>
    <xf numFmtId="0" fontId="86" fillId="0" borderId="7" xfId="50" applyFont="1" applyBorder="1" applyAlignment="1">
      <alignment horizontal="left" vertical="center"/>
    </xf>
    <xf numFmtId="0" fontId="125" fillId="6" borderId="0" xfId="0" applyFont="1" applyFill="1" applyAlignment="1">
      <alignment horizontal="center"/>
    </xf>
    <xf numFmtId="3" fontId="128" fillId="6" borderId="0" xfId="12" applyNumberFormat="1" applyFont="1" applyFill="1" applyAlignment="1">
      <alignment horizontal="center"/>
    </xf>
    <xf numFmtId="0" fontId="126" fillId="6" borderId="0" xfId="0" applyFont="1" applyFill="1" applyAlignment="1">
      <alignment horizontal="center" vertical="center" wrapText="1"/>
    </xf>
    <xf numFmtId="166" fontId="125" fillId="6" borderId="0" xfId="3" applyNumberFormat="1" applyFont="1" applyFill="1" applyAlignment="1">
      <alignment horizontal="center" vertical="center"/>
    </xf>
    <xf numFmtId="166" fontId="128" fillId="6" borderId="0" xfId="3" applyNumberFormat="1" applyFont="1" applyFill="1" applyAlignment="1">
      <alignment horizontal="center" vertical="center" wrapText="1"/>
    </xf>
    <xf numFmtId="166" fontId="126" fillId="6" borderId="0" xfId="3" applyNumberFormat="1" applyFont="1" applyFill="1" applyBorder="1" applyAlignment="1">
      <alignment horizontal="center" vertical="center" wrapText="1"/>
    </xf>
    <xf numFmtId="0" fontId="6" fillId="6" borderId="70" xfId="0" applyFont="1" applyFill="1" applyBorder="1" applyAlignment="1">
      <alignment horizontal="left"/>
    </xf>
    <xf numFmtId="0" fontId="177" fillId="6" borderId="0" xfId="0" applyFont="1" applyFill="1" applyAlignment="1">
      <alignment horizontal="center" vertical="center"/>
    </xf>
    <xf numFmtId="0" fontId="6" fillId="6" borderId="3" xfId="0" applyFont="1" applyFill="1" applyBorder="1" applyAlignment="1">
      <alignment horizontal="center" vertical="center" wrapText="1"/>
    </xf>
    <xf numFmtId="43" fontId="2" fillId="6" borderId="3" xfId="3" applyFont="1" applyFill="1" applyBorder="1" applyAlignment="1">
      <alignment horizontal="center" vertical="center" wrapText="1"/>
    </xf>
    <xf numFmtId="166" fontId="6" fillId="6" borderId="21" xfId="3" applyNumberFormat="1" applyFont="1" applyFill="1" applyBorder="1" applyAlignment="1">
      <alignment horizontal="center" vertical="center" wrapText="1"/>
    </xf>
    <xf numFmtId="166" fontId="6" fillId="6" borderId="22" xfId="3" applyNumberFormat="1" applyFont="1" applyFill="1" applyBorder="1" applyAlignment="1">
      <alignment horizontal="center" vertical="center" wrapText="1"/>
    </xf>
    <xf numFmtId="166" fontId="6" fillId="6" borderId="25" xfId="3" applyNumberFormat="1" applyFont="1" applyFill="1" applyBorder="1" applyAlignment="1">
      <alignment horizontal="center" vertical="center" wrapText="1"/>
    </xf>
    <xf numFmtId="0" fontId="6" fillId="6" borderId="71" xfId="0" applyFont="1" applyFill="1" applyBorder="1" applyAlignment="1">
      <alignment horizontal="center" wrapText="1"/>
    </xf>
    <xf numFmtId="0" fontId="6" fillId="6" borderId="13" xfId="0" applyFont="1" applyFill="1" applyBorder="1" applyAlignment="1">
      <alignment horizontal="center" wrapText="1"/>
    </xf>
    <xf numFmtId="166" fontId="177" fillId="6" borderId="0" xfId="3" applyNumberFormat="1" applyFont="1" applyFill="1" applyAlignment="1">
      <alignment horizontal="center"/>
    </xf>
    <xf numFmtId="182" fontId="3" fillId="6" borderId="0" xfId="3" applyNumberFormat="1" applyFont="1" applyFill="1" applyBorder="1" applyAlignment="1">
      <alignment horizontal="center" vertical="center" wrapText="1"/>
    </xf>
    <xf numFmtId="166" fontId="3" fillId="6" borderId="0" xfId="3" applyNumberFormat="1" applyFont="1" applyFill="1" applyBorder="1" applyAlignment="1">
      <alignment horizontal="center" vertical="center" wrapText="1"/>
    </xf>
    <xf numFmtId="166" fontId="2" fillId="6" borderId="0" xfId="3" applyNumberFormat="1" applyFont="1" applyFill="1" applyAlignment="1">
      <alignment horizontal="center" vertical="center" wrapText="1"/>
    </xf>
    <xf numFmtId="166" fontId="2" fillId="6" borderId="0" xfId="3" applyNumberFormat="1" applyFont="1" applyFill="1" applyAlignment="1">
      <alignment horizontal="center" vertical="center"/>
    </xf>
    <xf numFmtId="0" fontId="89" fillId="6" borderId="0" xfId="0" applyFont="1" applyFill="1" applyAlignment="1">
      <alignment horizontal="center"/>
    </xf>
    <xf numFmtId="3" fontId="111" fillId="3" borderId="0" xfId="12" applyNumberFormat="1" applyFont="1" applyFill="1" applyAlignment="1">
      <alignment horizontal="center"/>
    </xf>
    <xf numFmtId="43" fontId="111" fillId="3" borderId="9" xfId="3" applyFont="1" applyFill="1" applyBorder="1" applyAlignment="1">
      <alignment horizontal="center" vertical="center" wrapText="1"/>
    </xf>
    <xf numFmtId="43" fontId="111" fillId="3" borderId="11" xfId="3" applyFont="1" applyFill="1" applyBorder="1" applyAlignment="1">
      <alignment horizontal="center" vertical="center" wrapText="1"/>
    </xf>
    <xf numFmtId="3" fontId="111" fillId="3" borderId="9" xfId="12" applyNumberFormat="1" applyFont="1" applyFill="1" applyBorder="1" applyAlignment="1">
      <alignment horizontal="center" vertical="center"/>
    </xf>
    <xf numFmtId="3" fontId="111" fillId="3" borderId="11" xfId="12" applyNumberFormat="1" applyFont="1" applyFill="1" applyBorder="1" applyAlignment="1">
      <alignment horizontal="center" vertical="center"/>
    </xf>
    <xf numFmtId="3" fontId="111" fillId="3" borderId="9" xfId="12" applyNumberFormat="1" applyFont="1" applyFill="1" applyBorder="1" applyAlignment="1">
      <alignment horizontal="center" vertical="center" wrapText="1"/>
    </xf>
    <xf numFmtId="3" fontId="111" fillId="3" borderId="11" xfId="12" applyNumberFormat="1" applyFont="1" applyFill="1" applyBorder="1" applyAlignment="1">
      <alignment horizontal="center" vertical="center" wrapText="1"/>
    </xf>
    <xf numFmtId="43" fontId="113" fillId="3" borderId="0" xfId="3" applyFont="1" applyFill="1" applyAlignment="1">
      <alignment horizontal="center" wrapText="1"/>
    </xf>
    <xf numFmtId="43" fontId="111" fillId="3" borderId="0" xfId="3" applyFont="1" applyFill="1" applyAlignment="1">
      <alignment horizontal="center" wrapText="1"/>
    </xf>
    <xf numFmtId="3" fontId="114" fillId="3" borderId="0" xfId="12" applyNumberFormat="1" applyFont="1" applyFill="1" applyAlignment="1">
      <alignment horizontal="center"/>
    </xf>
    <xf numFmtId="172" fontId="111" fillId="3" borderId="9" xfId="3" applyNumberFormat="1" applyFont="1" applyFill="1" applyBorder="1" applyAlignment="1">
      <alignment horizontal="center" vertical="center" wrapText="1"/>
    </xf>
    <xf numFmtId="172" fontId="111" fillId="3" borderId="11" xfId="3" applyNumberFormat="1" applyFont="1" applyFill="1" applyBorder="1" applyAlignment="1">
      <alignment horizontal="center" vertical="center" wrapText="1"/>
    </xf>
    <xf numFmtId="43" fontId="69" fillId="0" borderId="0" xfId="3" applyFont="1" applyAlignment="1">
      <alignment horizontal="center"/>
    </xf>
    <xf numFmtId="0" fontId="48" fillId="0" borderId="0" xfId="0" applyFont="1" applyAlignment="1">
      <alignment horizontal="center" vertical="center" wrapText="1"/>
    </xf>
    <xf numFmtId="0" fontId="92" fillId="3" borderId="0" xfId="0" applyFont="1" applyFill="1" applyAlignment="1">
      <alignment horizontal="center" vertical="center" wrapText="1"/>
    </xf>
    <xf numFmtId="0" fontId="93" fillId="3" borderId="0" xfId="0" applyFont="1" applyFill="1" applyAlignment="1">
      <alignment horizontal="center" vertical="center" wrapText="1"/>
    </xf>
    <xf numFmtId="0" fontId="96" fillId="3" borderId="3" xfId="0" applyFont="1" applyFill="1" applyBorder="1" applyAlignment="1">
      <alignment horizontal="center" vertical="center" wrapText="1"/>
    </xf>
    <xf numFmtId="43" fontId="96" fillId="3" borderId="3" xfId="3" applyFont="1" applyFill="1" applyBorder="1" applyAlignment="1">
      <alignment horizontal="center" vertical="center" wrapText="1"/>
    </xf>
    <xf numFmtId="166" fontId="96" fillId="3" borderId="3" xfId="3" applyNumberFormat="1" applyFont="1" applyFill="1" applyBorder="1" applyAlignment="1">
      <alignment horizontal="center" vertical="center" wrapText="1"/>
    </xf>
    <xf numFmtId="43" fontId="42" fillId="0" borderId="0" xfId="3" applyFont="1" applyFill="1" applyAlignment="1">
      <alignment horizontal="center" vertical="center"/>
    </xf>
    <xf numFmtId="169" fontId="42" fillId="0" borderId="0" xfId="3" applyNumberFormat="1" applyFont="1" applyFill="1" applyAlignment="1">
      <alignment horizontal="center" vertical="center"/>
    </xf>
    <xf numFmtId="178" fontId="42" fillId="0" borderId="17" xfId="3" applyNumberFormat="1" applyFont="1" applyFill="1" applyBorder="1" applyAlignment="1">
      <alignment horizontal="center" vertical="center"/>
    </xf>
    <xf numFmtId="0" fontId="41" fillId="0" borderId="8"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13" xfId="0" applyFont="1" applyBorder="1" applyAlignment="1">
      <alignment horizontal="center" vertical="center" wrapText="1"/>
    </xf>
    <xf numFmtId="43" fontId="41" fillId="0" borderId="23" xfId="3" applyFont="1" applyFill="1" applyBorder="1" applyAlignment="1">
      <alignment horizontal="center" vertical="center" wrapText="1"/>
    </xf>
    <xf numFmtId="43" fontId="41" fillId="0" borderId="2" xfId="3" applyFont="1" applyFill="1" applyBorder="1" applyAlignment="1">
      <alignment horizontal="center" vertical="center" wrapText="1"/>
    </xf>
    <xf numFmtId="43" fontId="41" fillId="0" borderId="14" xfId="3" applyFont="1" applyFill="1" applyBorder="1" applyAlignment="1">
      <alignment horizontal="center" vertical="center" wrapText="1"/>
    </xf>
    <xf numFmtId="43" fontId="41" fillId="0" borderId="8" xfId="3" applyFont="1" applyFill="1" applyBorder="1" applyAlignment="1">
      <alignment horizontal="center" vertical="center" wrapText="1"/>
    </xf>
    <xf numFmtId="43" fontId="41" fillId="0" borderId="13" xfId="3" applyFont="1" applyFill="1" applyBorder="1" applyAlignment="1">
      <alignment horizontal="center" vertical="center" wrapText="1"/>
    </xf>
    <xf numFmtId="169" fontId="41" fillId="0" borderId="8" xfId="3" applyNumberFormat="1" applyFont="1" applyFill="1" applyBorder="1" applyAlignment="1">
      <alignment horizontal="center" vertical="center" wrapText="1"/>
    </xf>
    <xf numFmtId="169" fontId="41" fillId="0" borderId="13" xfId="3" applyNumberFormat="1" applyFont="1" applyFill="1" applyBorder="1" applyAlignment="1">
      <alignment horizontal="center" vertical="center" wrapText="1"/>
    </xf>
    <xf numFmtId="0" fontId="41" fillId="0" borderId="23"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4" xfId="0" applyFont="1" applyBorder="1" applyAlignment="1">
      <alignment horizontal="center" vertical="center" wrapText="1"/>
    </xf>
    <xf numFmtId="43" fontId="41" fillId="0" borderId="16" xfId="3" applyFont="1" applyFill="1" applyBorder="1" applyAlignment="1">
      <alignment horizontal="center" vertical="center" wrapText="1"/>
    </xf>
    <xf numFmtId="169" fontId="41" fillId="0" borderId="16" xfId="3" applyNumberFormat="1" applyFont="1" applyFill="1" applyBorder="1" applyAlignment="1">
      <alignment horizontal="center" vertical="center" wrapText="1"/>
    </xf>
    <xf numFmtId="43" fontId="94" fillId="3" borderId="0" xfId="3" applyFont="1" applyFill="1" applyAlignment="1">
      <alignment horizontal="center" vertical="center" wrapText="1"/>
    </xf>
    <xf numFmtId="172" fontId="101" fillId="3" borderId="0" xfId="3" applyNumberFormat="1" applyFont="1" applyFill="1" applyAlignment="1">
      <alignment horizontal="center" vertical="center"/>
    </xf>
    <xf numFmtId="0" fontId="71" fillId="0" borderId="0" xfId="0" applyFont="1" applyAlignment="1">
      <alignment horizontal="center" vertical="center" wrapText="1"/>
    </xf>
    <xf numFmtId="0" fontId="73" fillId="0" borderId="0" xfId="0" quotePrefix="1" applyFont="1" applyAlignment="1">
      <alignment horizontal="center" vertical="center"/>
    </xf>
    <xf numFmtId="0" fontId="73" fillId="0" borderId="0" xfId="0" applyFont="1" applyAlignment="1">
      <alignment horizontal="center" vertical="center"/>
    </xf>
    <xf numFmtId="0" fontId="62" fillId="0" borderId="12" xfId="0" applyFont="1" applyBorder="1" applyAlignment="1">
      <alignment horizontal="center" vertical="center" wrapText="1"/>
    </xf>
    <xf numFmtId="0" fontId="53" fillId="0" borderId="0" xfId="0" applyFont="1" applyAlignment="1">
      <alignment horizontal="center" vertical="center" wrapText="1"/>
    </xf>
    <xf numFmtId="0" fontId="52" fillId="3" borderId="5" xfId="0" applyFont="1" applyFill="1" applyBorder="1" applyAlignment="1">
      <alignment vertical="center" wrapText="1"/>
    </xf>
    <xf numFmtId="0" fontId="52" fillId="3" borderId="0" xfId="0" applyFont="1" applyFill="1" applyAlignment="1">
      <alignment horizontal="center" vertical="center" wrapText="1"/>
    </xf>
    <xf numFmtId="0" fontId="53" fillId="3" borderId="0" xfId="0" applyFont="1" applyFill="1" applyAlignment="1">
      <alignment horizontal="center" vertical="center" wrapText="1"/>
    </xf>
    <xf numFmtId="0" fontId="54" fillId="3" borderId="0" xfId="0" applyFont="1" applyFill="1" applyAlignment="1">
      <alignment horizontal="center" vertical="center" wrapText="1"/>
    </xf>
    <xf numFmtId="0" fontId="54" fillId="0" borderId="0" xfId="0" applyFont="1" applyAlignment="1">
      <alignment horizontal="center" vertical="center" wrapText="1"/>
    </xf>
    <xf numFmtId="0" fontId="52" fillId="0" borderId="0" xfId="0" applyFont="1" applyAlignment="1">
      <alignment horizontal="center" vertical="center" wrapText="1"/>
    </xf>
    <xf numFmtId="0" fontId="54" fillId="3" borderId="3" xfId="0" applyFont="1" applyFill="1" applyBorder="1" applyAlignment="1">
      <alignment horizontal="center" vertical="center" wrapText="1"/>
    </xf>
    <xf numFmtId="0" fontId="52" fillId="3" borderId="0" xfId="0" applyFont="1" applyFill="1" applyAlignment="1">
      <alignment horizontal="left" vertical="center" wrapText="1"/>
    </xf>
    <xf numFmtId="0" fontId="53" fillId="0" borderId="0" xfId="0" applyFont="1" applyAlignment="1">
      <alignment horizontal="left" vertical="center" wrapText="1"/>
    </xf>
    <xf numFmtId="3" fontId="3" fillId="0" borderId="22" xfId="12" applyNumberFormat="1" applyFont="1" applyBorder="1" applyAlignment="1">
      <alignment horizontal="right"/>
    </xf>
    <xf numFmtId="3" fontId="41" fillId="0" borderId="0" xfId="12" applyNumberFormat="1" applyFont="1" applyAlignment="1">
      <alignment horizontal="left"/>
    </xf>
    <xf numFmtId="3" fontId="9" fillId="0" borderId="0" xfId="12" applyNumberFormat="1" applyFont="1" applyAlignment="1">
      <alignment horizontal="center"/>
    </xf>
    <xf numFmtId="3" fontId="3" fillId="0" borderId="0" xfId="12" applyNumberFormat="1" applyFont="1" applyAlignment="1">
      <alignment horizontal="center" wrapText="1"/>
    </xf>
    <xf numFmtId="3" fontId="3" fillId="0" borderId="17" xfId="12" applyNumberFormat="1" applyFont="1" applyBorder="1" applyAlignment="1">
      <alignment horizontal="right"/>
    </xf>
    <xf numFmtId="3" fontId="2" fillId="0" borderId="4" xfId="12" applyNumberFormat="1" applyFont="1" applyBorder="1" applyAlignment="1">
      <alignment horizontal="center" vertical="center"/>
    </xf>
    <xf numFmtId="3" fontId="2" fillId="0" borderId="6" xfId="12" applyNumberFormat="1" applyFont="1" applyBorder="1" applyAlignment="1">
      <alignment horizontal="center" vertical="center"/>
    </xf>
    <xf numFmtId="165" fontId="2" fillId="0" borderId="3" xfId="12" applyNumberFormat="1" applyFont="1" applyBorder="1" applyAlignment="1">
      <alignment horizontal="center" vertical="center"/>
    </xf>
    <xf numFmtId="0" fontId="52" fillId="0" borderId="0" xfId="0" applyFont="1" applyAlignment="1">
      <alignment horizontal="left" vertical="center" wrapText="1"/>
    </xf>
    <xf numFmtId="0" fontId="58" fillId="0" borderId="17" xfId="0" applyFont="1" applyBorder="1" applyAlignment="1">
      <alignment horizontal="right" vertical="center"/>
    </xf>
    <xf numFmtId="0" fontId="66" fillId="0" borderId="0" xfId="0" applyFont="1" applyAlignment="1">
      <alignment horizontal="right" vertical="center"/>
    </xf>
    <xf numFmtId="0" fontId="66" fillId="0" borderId="0" xfId="0" applyFont="1" applyAlignment="1">
      <alignment horizontal="center" vertical="center"/>
    </xf>
    <xf numFmtId="0" fontId="67" fillId="0" borderId="0" xfId="0" applyFont="1" applyAlignment="1">
      <alignment horizontal="center" vertical="center"/>
    </xf>
    <xf numFmtId="0" fontId="57" fillId="0" borderId="0" xfId="0" applyFont="1" applyAlignment="1">
      <alignment horizontal="left" vertical="center" wrapText="1"/>
    </xf>
    <xf numFmtId="0" fontId="56" fillId="0" borderId="0" xfId="0" applyFont="1" applyAlignment="1">
      <alignment horizontal="center" vertical="center" wrapText="1"/>
    </xf>
    <xf numFmtId="0" fontId="68"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right" vertical="center"/>
    </xf>
    <xf numFmtId="0" fontId="54" fillId="3" borderId="8" xfId="0" applyFont="1" applyFill="1" applyBorder="1" applyAlignment="1">
      <alignment horizontal="center" vertical="center" wrapText="1"/>
    </xf>
    <xf numFmtId="0" fontId="54" fillId="3" borderId="16" xfId="0" applyFont="1" applyFill="1" applyBorder="1" applyAlignment="1">
      <alignment horizontal="center" vertical="center" wrapText="1"/>
    </xf>
    <xf numFmtId="0" fontId="54" fillId="3" borderId="13" xfId="0" applyFont="1" applyFill="1" applyBorder="1" applyAlignment="1">
      <alignment horizontal="center" vertical="center" wrapText="1"/>
    </xf>
    <xf numFmtId="0" fontId="57" fillId="0" borderId="0" xfId="0" applyFont="1" applyAlignment="1">
      <alignment horizontal="center" vertical="center"/>
    </xf>
    <xf numFmtId="0" fontId="57" fillId="0" borderId="0" xfId="0" applyFont="1" applyAlignment="1">
      <alignment horizontal="left" vertical="top" wrapText="1"/>
    </xf>
    <xf numFmtId="0" fontId="69" fillId="0" borderId="0" xfId="0" applyFont="1" applyAlignment="1">
      <alignment horizontal="center" vertical="center" wrapText="1"/>
    </xf>
    <xf numFmtId="0" fontId="57" fillId="0" borderId="0" xfId="0" applyFont="1" applyAlignment="1">
      <alignment horizontal="left" vertical="center"/>
    </xf>
    <xf numFmtId="0" fontId="69" fillId="0" borderId="0" xfId="0" applyFont="1" applyAlignment="1">
      <alignment horizontal="center" vertical="center"/>
    </xf>
    <xf numFmtId="0" fontId="58" fillId="0" borderId="0" xfId="0" applyFont="1" applyAlignment="1">
      <alignment horizontal="center" vertical="center"/>
    </xf>
    <xf numFmtId="0" fontId="54" fillId="0" borderId="3"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13" xfId="0" applyFont="1" applyBorder="1" applyAlignment="1">
      <alignment horizontal="center" vertical="center" wrapText="1"/>
    </xf>
    <xf numFmtId="0" fontId="54" fillId="0" borderId="23"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14" xfId="0" applyFont="1" applyBorder="1" applyAlignment="1">
      <alignment horizontal="center" vertical="center" wrapText="1"/>
    </xf>
    <xf numFmtId="0" fontId="58" fillId="0" borderId="0" xfId="0" applyFont="1" applyAlignment="1">
      <alignment horizontal="right" vertical="center" wrapText="1"/>
    </xf>
    <xf numFmtId="0" fontId="56" fillId="3" borderId="3" xfId="0" applyFont="1" applyFill="1" applyBorder="1" applyAlignment="1">
      <alignment horizontal="center" vertical="center" wrapText="1"/>
    </xf>
    <xf numFmtId="0" fontId="56" fillId="3" borderId="8" xfId="0" applyFont="1" applyFill="1" applyBorder="1" applyAlignment="1">
      <alignment horizontal="center" vertical="center" wrapText="1"/>
    </xf>
    <xf numFmtId="0" fontId="56" fillId="3" borderId="13" xfId="0" applyFont="1" applyFill="1" applyBorder="1" applyAlignment="1">
      <alignment horizontal="center" vertical="center" wrapText="1"/>
    </xf>
    <xf numFmtId="0" fontId="55" fillId="0" borderId="0" xfId="0" quotePrefix="1" applyFont="1" applyAlignment="1">
      <alignment horizontal="left" vertical="center"/>
    </xf>
    <xf numFmtId="0" fontId="55" fillId="0" borderId="0" xfId="0" applyFont="1" applyAlignment="1">
      <alignment horizontal="left" vertical="center"/>
    </xf>
    <xf numFmtId="0" fontId="60" fillId="0" borderId="0" xfId="0" applyFont="1" applyAlignment="1">
      <alignment horizontal="left" vertical="center"/>
    </xf>
    <xf numFmtId="0" fontId="55" fillId="0" borderId="0" xfId="0" applyFont="1" applyAlignment="1">
      <alignment horizontal="center" vertical="center"/>
    </xf>
    <xf numFmtId="0" fontId="55" fillId="0" borderId="0" xfId="0" applyFont="1" applyAlignment="1">
      <alignment horizontal="center" vertical="center" wrapText="1"/>
    </xf>
    <xf numFmtId="0" fontId="55" fillId="0" borderId="0" xfId="0" applyFont="1" applyAlignment="1">
      <alignment horizontal="left" vertical="center" wrapText="1"/>
    </xf>
    <xf numFmtId="0" fontId="60" fillId="0" borderId="8" xfId="0" applyFont="1" applyBorder="1" applyAlignment="1">
      <alignment horizontal="center" vertical="center"/>
    </xf>
    <xf numFmtId="0" fontId="60" fillId="0" borderId="13" xfId="0" applyFont="1" applyBorder="1" applyAlignment="1">
      <alignment horizontal="center" vertical="center"/>
    </xf>
    <xf numFmtId="0" fontId="55" fillId="0" borderId="0" xfId="0" quotePrefix="1" applyFont="1" applyAlignment="1">
      <alignment horizontal="left" vertical="center" wrapText="1"/>
    </xf>
    <xf numFmtId="0" fontId="59" fillId="0" borderId="0" xfId="0" applyFont="1" applyAlignment="1">
      <alignment horizontal="left" vertical="center"/>
    </xf>
    <xf numFmtId="0" fontId="60" fillId="0" borderId="0" xfId="0" applyFont="1" applyAlignment="1">
      <alignment horizontal="left" vertical="center" wrapText="1"/>
    </xf>
    <xf numFmtId="0" fontId="55" fillId="0" borderId="0" xfId="0" applyFont="1" applyAlignment="1">
      <alignment horizontal="right" vertical="center"/>
    </xf>
    <xf numFmtId="0" fontId="60" fillId="0" borderId="3" xfId="0" applyFont="1" applyBorder="1" applyAlignment="1">
      <alignment horizontal="center" vertical="center"/>
    </xf>
    <xf numFmtId="0" fontId="61" fillId="0" borderId="0" xfId="0" applyFont="1" applyAlignment="1">
      <alignment horizontal="left" vertical="center"/>
    </xf>
    <xf numFmtId="0" fontId="55" fillId="0" borderId="0" xfId="0" applyFont="1" applyAlignment="1">
      <alignment horizontal="center" vertical="top"/>
    </xf>
    <xf numFmtId="0" fontId="61" fillId="0" borderId="0" xfId="0" applyFont="1" applyAlignment="1">
      <alignment vertical="center" wrapText="1"/>
    </xf>
    <xf numFmtId="0" fontId="60" fillId="0" borderId="0" xfId="0" quotePrefix="1" applyFont="1" applyAlignment="1">
      <alignment horizontal="left" vertical="center"/>
    </xf>
    <xf numFmtId="0" fontId="60" fillId="0" borderId="0" xfId="0" applyFont="1" applyAlignment="1">
      <alignment horizontal="center" vertical="center" wrapText="1"/>
    </xf>
    <xf numFmtId="0" fontId="60" fillId="0" borderId="0" xfId="0" applyFont="1" applyAlignment="1">
      <alignment horizontal="center" vertical="center"/>
    </xf>
    <xf numFmtId="0" fontId="59" fillId="0" borderId="17" xfId="0" applyFont="1" applyBorder="1" applyAlignment="1">
      <alignment horizontal="center" vertical="center"/>
    </xf>
    <xf numFmtId="170" fontId="6" fillId="6" borderId="0" xfId="3" applyNumberFormat="1" applyFont="1" applyFill="1" applyAlignment="1">
      <alignment horizontal="center" vertical="center"/>
    </xf>
    <xf numFmtId="170" fontId="3" fillId="6" borderId="17" xfId="3" applyNumberFormat="1" applyFont="1" applyFill="1" applyBorder="1" applyAlignment="1">
      <alignment horizontal="center" vertical="center"/>
    </xf>
    <xf numFmtId="170" fontId="2" fillId="6" borderId="85" xfId="3" applyNumberFormat="1" applyFont="1" applyFill="1" applyBorder="1" applyAlignment="1">
      <alignment horizontal="center" vertical="center" wrapText="1"/>
    </xf>
    <xf numFmtId="170" fontId="2" fillId="6" borderId="86" xfId="3" applyNumberFormat="1" applyFont="1" applyFill="1" applyBorder="1" applyAlignment="1">
      <alignment horizontal="center" vertical="center" wrapText="1"/>
    </xf>
    <xf numFmtId="170" fontId="2" fillId="6" borderId="87" xfId="3" applyNumberFormat="1" applyFont="1" applyFill="1" applyBorder="1" applyAlignment="1">
      <alignment horizontal="center" vertical="center" wrapText="1"/>
    </xf>
    <xf numFmtId="170" fontId="2" fillId="0" borderId="71" xfId="3" applyNumberFormat="1" applyFont="1" applyFill="1" applyBorder="1" applyAlignment="1">
      <alignment horizontal="center" vertical="center" wrapText="1"/>
    </xf>
    <xf numFmtId="170" fontId="2" fillId="0" borderId="16" xfId="3" applyNumberFormat="1" applyFont="1" applyFill="1" applyBorder="1" applyAlignment="1">
      <alignment horizontal="center" vertical="center" wrapText="1"/>
    </xf>
    <xf numFmtId="170" fontId="2" fillId="0" borderId="13" xfId="3" applyNumberFormat="1" applyFont="1" applyFill="1" applyBorder="1" applyAlignment="1">
      <alignment horizontal="center" vertical="center" wrapText="1"/>
    </xf>
    <xf numFmtId="170" fontId="2" fillId="0" borderId="85" xfId="3" applyNumberFormat="1" applyFont="1" applyFill="1" applyBorder="1" applyAlignment="1">
      <alignment horizontal="center" vertical="center" wrapText="1"/>
    </xf>
    <xf numFmtId="170" fontId="2" fillId="6" borderId="88" xfId="3" applyNumberFormat="1" applyFont="1" applyFill="1" applyBorder="1" applyAlignment="1">
      <alignment horizontal="center" vertical="center" wrapText="1"/>
    </xf>
    <xf numFmtId="170" fontId="2" fillId="5" borderId="85" xfId="3" applyNumberFormat="1" applyFont="1" applyFill="1" applyBorder="1" applyAlignment="1">
      <alignment horizontal="center" vertical="center" wrapText="1"/>
    </xf>
    <xf numFmtId="170" fontId="2" fillId="6" borderId="71" xfId="3" applyNumberFormat="1" applyFont="1" applyFill="1" applyBorder="1" applyAlignment="1">
      <alignment horizontal="center" vertical="center" wrapText="1"/>
    </xf>
    <xf numFmtId="170" fontId="2" fillId="6" borderId="13" xfId="3" applyNumberFormat="1" applyFont="1" applyFill="1" applyBorder="1" applyAlignment="1">
      <alignment horizontal="center" vertical="center" wrapText="1"/>
    </xf>
    <xf numFmtId="169" fontId="2" fillId="5" borderId="71" xfId="3" applyNumberFormat="1" applyFont="1" applyFill="1" applyBorder="1" applyAlignment="1">
      <alignment horizontal="center" vertical="center" wrapText="1"/>
    </xf>
    <xf numFmtId="169" fontId="2" fillId="5" borderId="13" xfId="3" applyNumberFormat="1" applyFont="1" applyFill="1" applyBorder="1" applyAlignment="1">
      <alignment horizontal="center" vertical="center" wrapText="1"/>
    </xf>
    <xf numFmtId="170" fontId="3" fillId="6" borderId="0" xfId="3" applyNumberFormat="1" applyFont="1" applyFill="1" applyBorder="1" applyAlignment="1">
      <alignment horizontal="center" vertical="center" wrapText="1"/>
    </xf>
    <xf numFmtId="170" fontId="2" fillId="6" borderId="0" xfId="3" applyNumberFormat="1" applyFont="1" applyFill="1" applyAlignment="1">
      <alignment horizontal="center" vertical="center" wrapText="1"/>
    </xf>
    <xf numFmtId="170" fontId="2" fillId="6" borderId="0" xfId="3" applyNumberFormat="1" applyFont="1" applyFill="1" applyAlignment="1">
      <alignment horizontal="center" vertical="center"/>
    </xf>
    <xf numFmtId="170" fontId="2" fillId="6" borderId="10" xfId="3" applyNumberFormat="1" applyFont="1" applyFill="1" applyBorder="1" applyAlignment="1">
      <alignment horizontal="center" vertical="center" wrapText="1"/>
    </xf>
    <xf numFmtId="170" fontId="2" fillId="6" borderId="19" xfId="3" applyNumberFormat="1" applyFont="1" applyFill="1" applyBorder="1" applyAlignment="1">
      <alignment horizontal="center" vertical="center" wrapText="1"/>
    </xf>
    <xf numFmtId="170" fontId="2" fillId="6" borderId="16" xfId="3" applyNumberFormat="1" applyFont="1" applyFill="1" applyBorder="1" applyAlignment="1">
      <alignment horizontal="center" vertical="center" wrapText="1"/>
    </xf>
    <xf numFmtId="168" fontId="2" fillId="5" borderId="71" xfId="3" applyNumberFormat="1" applyFont="1" applyFill="1" applyBorder="1" applyAlignment="1">
      <alignment horizontal="center" vertical="center" wrapText="1"/>
    </xf>
    <xf numFmtId="168" fontId="2" fillId="5" borderId="16" xfId="3" applyNumberFormat="1" applyFont="1" applyFill="1" applyBorder="1" applyAlignment="1">
      <alignment horizontal="center" vertical="center" wrapText="1"/>
    </xf>
    <xf numFmtId="168" fontId="2" fillId="5" borderId="13" xfId="3" applyNumberFormat="1" applyFont="1" applyFill="1" applyBorder="1" applyAlignment="1">
      <alignment horizontal="center" vertical="center" wrapText="1"/>
    </xf>
    <xf numFmtId="170" fontId="2" fillId="6" borderId="86" xfId="3" applyNumberFormat="1" applyFont="1" applyFill="1" applyBorder="1" applyAlignment="1">
      <alignment horizontal="center" vertical="center"/>
    </xf>
    <xf numFmtId="170" fontId="2" fillId="6" borderId="87" xfId="3" applyNumberFormat="1" applyFont="1" applyFill="1" applyBorder="1" applyAlignment="1">
      <alignment horizontal="center" vertical="center"/>
    </xf>
    <xf numFmtId="170" fontId="2" fillId="6" borderId="88" xfId="3" applyNumberFormat="1" applyFont="1" applyFill="1" applyBorder="1" applyAlignment="1">
      <alignment horizontal="center" vertical="center"/>
    </xf>
    <xf numFmtId="182" fontId="205" fillId="5" borderId="79" xfId="3" applyNumberFormat="1" applyFont="1" applyFill="1" applyBorder="1" applyAlignment="1">
      <alignment horizontal="center" vertical="center" wrapText="1"/>
    </xf>
    <xf numFmtId="182" fontId="205" fillId="5" borderId="81" xfId="3" applyNumberFormat="1" applyFont="1" applyFill="1" applyBorder="1" applyAlignment="1">
      <alignment horizontal="center" vertical="center" wrapText="1"/>
    </xf>
    <xf numFmtId="182" fontId="205" fillId="5" borderId="80" xfId="3" applyNumberFormat="1" applyFont="1" applyFill="1" applyBorder="1" applyAlignment="1">
      <alignment horizontal="center" vertical="center" wrapText="1"/>
    </xf>
    <xf numFmtId="182" fontId="205" fillId="6" borderId="82" xfId="3" applyNumberFormat="1" applyFont="1" applyFill="1" applyBorder="1" applyAlignment="1">
      <alignment horizontal="center" vertical="center" wrapText="1"/>
    </xf>
    <xf numFmtId="182" fontId="205" fillId="6" borderId="83" xfId="3" applyNumberFormat="1" applyFont="1" applyFill="1" applyBorder="1" applyAlignment="1">
      <alignment horizontal="center" vertical="center" wrapText="1"/>
    </xf>
    <xf numFmtId="182" fontId="205" fillId="6" borderId="84" xfId="3" applyNumberFormat="1" applyFont="1" applyFill="1" applyBorder="1" applyAlignment="1">
      <alignment horizontal="center" vertical="center" wrapText="1"/>
    </xf>
    <xf numFmtId="182" fontId="205" fillId="6" borderId="79" xfId="3" applyNumberFormat="1" applyFont="1" applyFill="1" applyBorder="1" applyAlignment="1">
      <alignment horizontal="center" vertical="center" wrapText="1"/>
    </xf>
    <xf numFmtId="182" fontId="205" fillId="6" borderId="81" xfId="3" applyNumberFormat="1" applyFont="1" applyFill="1" applyBorder="1" applyAlignment="1">
      <alignment horizontal="center" vertical="center" wrapText="1"/>
    </xf>
    <xf numFmtId="182" fontId="205" fillId="6" borderId="80" xfId="3" applyNumberFormat="1" applyFont="1" applyFill="1" applyBorder="1" applyAlignment="1">
      <alignment horizontal="center" vertical="center" wrapText="1"/>
    </xf>
    <xf numFmtId="0" fontId="205" fillId="6" borderId="0" xfId="0" applyFont="1" applyFill="1" applyAlignment="1">
      <alignment horizontal="center" vertical="center"/>
    </xf>
    <xf numFmtId="0" fontId="205" fillId="6" borderId="70" xfId="0" applyFont="1" applyFill="1" applyBorder="1" applyAlignment="1">
      <alignment horizontal="center" vertical="center" wrapText="1"/>
    </xf>
    <xf numFmtId="0" fontId="205" fillId="6" borderId="77" xfId="0" applyFont="1" applyFill="1" applyBorder="1" applyAlignment="1">
      <alignment horizontal="center" vertical="center" wrapText="1"/>
    </xf>
    <xf numFmtId="0" fontId="205" fillId="6" borderId="13" xfId="0" applyFont="1" applyFill="1" applyBorder="1" applyAlignment="1">
      <alignment horizontal="center" vertical="center" wrapText="1"/>
    </xf>
    <xf numFmtId="182" fontId="205" fillId="6" borderId="70" xfId="3" applyNumberFormat="1" applyFont="1" applyFill="1" applyBorder="1" applyAlignment="1">
      <alignment horizontal="center" vertical="center" wrapText="1"/>
    </xf>
    <xf numFmtId="0" fontId="41" fillId="0" borderId="0" xfId="0" applyFont="1" applyAlignment="1">
      <alignment horizontal="center" vertical="center"/>
    </xf>
    <xf numFmtId="182" fontId="41" fillId="0" borderId="82" xfId="3" applyNumberFormat="1" applyFont="1" applyBorder="1" applyAlignment="1">
      <alignment horizontal="center" vertical="center" wrapText="1"/>
    </xf>
    <xf numFmtId="182" fontId="41" fillId="0" borderId="83" xfId="3" applyNumberFormat="1" applyFont="1" applyBorder="1" applyAlignment="1">
      <alignment horizontal="center" vertical="center" wrapText="1"/>
    </xf>
    <xf numFmtId="182" fontId="41" fillId="0" borderId="84" xfId="3" applyNumberFormat="1" applyFont="1" applyBorder="1" applyAlignment="1">
      <alignment horizontal="center" vertical="center" wrapText="1"/>
    </xf>
    <xf numFmtId="182" fontId="41" fillId="0" borderId="79" xfId="3" applyNumberFormat="1" applyFont="1" applyBorder="1" applyAlignment="1">
      <alignment horizontal="center" vertical="center" wrapText="1"/>
    </xf>
    <xf numFmtId="182" fontId="41" fillId="0" borderId="81" xfId="3" applyNumberFormat="1" applyFont="1" applyBorder="1" applyAlignment="1">
      <alignment horizontal="center" vertical="center" wrapText="1"/>
    </xf>
    <xf numFmtId="182" fontId="41" fillId="0" borderId="80" xfId="3" applyNumberFormat="1" applyFont="1" applyBorder="1" applyAlignment="1">
      <alignment horizontal="center" vertical="center" wrapText="1"/>
    </xf>
    <xf numFmtId="0" fontId="205" fillId="0" borderId="70" xfId="0" applyFont="1" applyBorder="1" applyAlignment="1">
      <alignment horizontal="center" vertical="center" wrapText="1"/>
    </xf>
    <xf numFmtId="0" fontId="41" fillId="0" borderId="70" xfId="0" applyFont="1" applyBorder="1" applyAlignment="1">
      <alignment horizontal="center" vertical="center" wrapText="1"/>
    </xf>
    <xf numFmtId="0" fontId="41" fillId="0" borderId="77" xfId="0" applyFont="1" applyBorder="1" applyAlignment="1">
      <alignment horizontal="center" vertical="center" wrapText="1"/>
    </xf>
    <xf numFmtId="182" fontId="41" fillId="0" borderId="70" xfId="3" applyNumberFormat="1" applyFont="1" applyBorder="1" applyAlignment="1">
      <alignment horizontal="center" vertical="center" wrapText="1"/>
    </xf>
    <xf numFmtId="0" fontId="25" fillId="0" borderId="5" xfId="0" applyFont="1" applyBorder="1" applyAlignment="1">
      <alignment horizontal="center" vertical="center" wrapText="1"/>
    </xf>
  </cellXfs>
  <cellStyles count="59">
    <cellStyle name="Bình thường 2" xfId="22"/>
    <cellStyle name="Bình thường 2 2" xfId="41"/>
    <cellStyle name="Bình thường 3" xfId="29"/>
    <cellStyle name="Bình thường 3 2" xfId="39"/>
    <cellStyle name="Bình thường 4" xfId="35"/>
    <cellStyle name="Bình thường 5" xfId="45"/>
    <cellStyle name="Chuẩn 2" xfId="1"/>
    <cellStyle name="Chuẩn 2 2" xfId="36"/>
    <cellStyle name="Chuẩn 24" xfId="2"/>
    <cellStyle name="Chuẩn 25" xfId="19"/>
    <cellStyle name="Chuẩn 9" xfId="52"/>
    <cellStyle name="Comma" xfId="3" builtinId="3"/>
    <cellStyle name="Comma 12" xfId="28"/>
    <cellStyle name="Comma 12 2 2" xfId="58"/>
    <cellStyle name="Comma 17 2" xfId="56"/>
    <cellStyle name="Comma 2" xfId="27"/>
    <cellStyle name="Comma 2 2" xfId="31"/>
    <cellStyle name="Comma 2 4" xfId="18"/>
    <cellStyle name="Comma 3" xfId="4"/>
    <cellStyle name="Comma 4" xfId="5"/>
    <cellStyle name="Comma 5" xfId="51"/>
    <cellStyle name="Comma 6" xfId="21"/>
    <cellStyle name="Comma 7" xfId="49"/>
    <cellStyle name="Comma 9" xfId="25"/>
    <cellStyle name="Dấu phảy 2" xfId="6"/>
    <cellStyle name="Dấu_phảy 2" xfId="53"/>
    <cellStyle name="Dấu_phảy 2 2" xfId="40"/>
    <cellStyle name="Dấu_phảy 4" xfId="46"/>
    <cellStyle name="Header1" xfId="7"/>
    <cellStyle name="Header2" xfId="8"/>
    <cellStyle name="Hyperlink" xfId="9" builtinId="8"/>
    <cellStyle name="Ledger 17 x 11 in" xfId="23"/>
    <cellStyle name="Normal" xfId="0" builtinId="0"/>
    <cellStyle name="Normal 10" xfId="54"/>
    <cellStyle name="Normal 11" xfId="10"/>
    <cellStyle name="Normal 12" xfId="11"/>
    <cellStyle name="Normal 12 2" xfId="30"/>
    <cellStyle name="Normal 14" xfId="24"/>
    <cellStyle name="Normal 2" xfId="12"/>
    <cellStyle name="Normal 2 2" xfId="26"/>
    <cellStyle name="Normal 2 3" xfId="32"/>
    <cellStyle name="Normal 2 4" xfId="34"/>
    <cellStyle name="Normal 2 4 2" xfId="44"/>
    <cellStyle name="Normal 2 5" xfId="43"/>
    <cellStyle name="Normal 3" xfId="13"/>
    <cellStyle name="Normal 4" xfId="14"/>
    <cellStyle name="Normal 5" xfId="50"/>
    <cellStyle name="Normal 6" xfId="20"/>
    <cellStyle name="Normal 6 2" xfId="33"/>
    <cellStyle name="Normal 7" xfId="48"/>
    <cellStyle name="Normal 9" xfId="37"/>
    <cellStyle name="Normal_Bieu 01" xfId="15"/>
    <cellStyle name="Normal_Bieu mau (CV ) 2" xfId="42"/>
    <cellStyle name="Normal_pl6Bieu so 45" xfId="16"/>
    <cellStyle name="Normal_pl6Bieu so 51" xfId="17"/>
    <cellStyle name="Normal_Sheet1 2" xfId="38"/>
    <cellStyle name="Percent" xfId="57" builtinId="5"/>
    <cellStyle name="Percent 3" xfId="55"/>
    <cellStyle name="Phần_trăm 2" xfId="4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xdr:col>
      <xdr:colOff>245745</xdr:colOff>
      <xdr:row>21</xdr:row>
      <xdr:rowOff>161925</xdr:rowOff>
    </xdr:from>
    <xdr:ext cx="186676" cy="268135"/>
    <xdr:sp macro="" textlink="">
      <xdr:nvSpPr>
        <xdr:cNvPr id="2" name="TextBox 1">
          <a:extLst>
            <a:ext uri="{FF2B5EF4-FFF2-40B4-BE49-F238E27FC236}">
              <a16:creationId xmlns:a16="http://schemas.microsoft.com/office/drawing/2014/main" xmlns="" id="{00000000-0008-0000-2300-000002000000}"/>
            </a:ext>
          </a:extLst>
        </xdr:cNvPr>
        <xdr:cNvSpPr txBox="1"/>
      </xdr:nvSpPr>
      <xdr:spPr>
        <a:xfrm>
          <a:off x="46577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44;ng%20khai%20QT%20ng&#226;n%20s&#225;ch%20&#273;&#7883;a%20ph&#432;&#417;ng%202025%20%20-QD%20Chu&#7849;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BND%20X&#195;%20PHONG%20QUANG/PH&#210;NG%20KINH%20T&#7870;/N&#258;M%202026/X&#233;t%20duy&#7879;t%20QT%20n&#259;m%202025/Tr&#236;nh%20H&#272;ND%20ph&#234;%20chu&#7849;n%20QTNS%202025/Quy&#7871;t%20to&#225;n%20ng&#226;n%20s&#225;ch%20&#273;&#7883;a%20ph&#432;&#417;ng%202025%20%20-H&#272;ND%20s&#7917;a%2026-3%20g&#7917;i%20Di&#7879;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ownloads\L&#7853;p.%20Quy&#7871;t%20to&#225;n%20ng&#226;n%20s&#225;ch%20&#273;&#7883;a%20ph&#432;&#417;ng%202024%20%20Ch&#7907;%20&#272;&#7891;n.L&#7853;p.Gi&#7899;i%2015.5.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TTC\Desktop\t&#225;ch%20ngu&#7891;n%202022%20chuy&#7875;n%202023%20cho%20c%20Lan%20Anh\Ch&#7907;%20&#272;&#7891;n%20Ri&#234;ng%20Ph&#7909;%20l&#7909;c%2001.01.7.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tong hop"/>
      <sheetName val="shee fdjt1"/>
      <sheetName val="Sheet2"/>
      <sheetName val="shête 3"/>
      <sheetName val="dhhh4"/>
      <sheetName val="5.1x (2)"/>
      <sheetName val="shêt 5"/>
      <sheetName val="Tiền đất2020"/>
      <sheetName val="Biểu 01 năm 2021 bo"/>
      <sheetName val="Dự phòng cấp huyện 2020"/>
      <sheetName val="108"/>
      <sheetName val="Sheet3"/>
      <sheetName val="SGV_3"/>
      <sheetName val="SGV_4"/>
      <sheetName val="SGV_5"/>
      <sheetName val="SGV_6"/>
      <sheetName val="CCTL 2021chuẩn"/>
      <sheetName val="tăng thu so với 2017 (2)"/>
      <sheetName val="tăng thu so với 2017"/>
      <sheetName val="Sheet6"/>
      <sheetName val="CCTL 2021"/>
      <sheetName val="Qtoán nông thôn mới năm 2021"/>
      <sheetName val="135 2021"/>
      <sheetName val="tính tăng thu"/>
      <sheetName val="QT theo cơ cấu"/>
      <sheetName val="QT BỔ SUNG CÓ MT"/>
      <sheetName val="Nông thôn mới 2021"/>
      <sheetName val="ct1352020"/>
      <sheetName val="Biêu so 01 2020"/>
      <sheetName val="SGV"/>
      <sheetName val="SGV_2"/>
      <sheetName val="B48"/>
      <sheetName val="B49"/>
      <sheetName val="B50"/>
      <sheetName val="B51"/>
      <sheetName val="B52"/>
      <sheetName val="B53"/>
      <sheetName val="B54"/>
      <sheetName val="B55"/>
      <sheetName val="B56"/>
      <sheetName val="B57"/>
      <sheetName val="chi BS cho xã"/>
      <sheetName val="B58"/>
      <sheetName val="B61"/>
      <sheetName val="5.7"/>
      <sheetName val="lệnh chi"/>
      <sheetName val="dự toán (2)"/>
      <sheetName val="dự toán"/>
      <sheetName val="5.9"/>
      <sheetName val="5.15 bỏ"/>
      <sheetName val="5.18"/>
      <sheetName val="5.19"/>
      <sheetName val="5.23.2022"/>
      <sheetName val="5.23"/>
      <sheetName val="5.24 2022"/>
      <sheetName val="5.24"/>
      <sheetName val="5,25a"/>
      <sheetName val="5.30 .2022"/>
      <sheetName val="5.30"/>
      <sheetName val="Bổ sung MT tỉnh21"/>
      <sheetName val="CTnông thôn mới 2020"/>
      <sheetName val="Biêu so 01 2022"/>
      <sheetName val="Biểu chi nhiệm vụ"/>
      <sheetName val="Biểu QT các nhiẹm vụ 2018"/>
      <sheetName val="Biểu BSMT tinh huyen"/>
      <sheetName val="5.31 (2)"/>
      <sheetName val="5.6 (2)"/>
      <sheetName val="Biểu tách theo STC (2)"/>
      <sheetName val="Biểu tách theo STC"/>
      <sheetName val="5.25"/>
      <sheetName val="5.32"/>
      <sheetName val="5.33"/>
      <sheetName val="5.34"/>
      <sheetName val="5.35"/>
      <sheetName val="5.36"/>
      <sheetName val="5.37"/>
      <sheetName val="5.38"/>
      <sheetName val="5.39"/>
      <sheetName val="5.40"/>
      <sheetName val="5.41"/>
      <sheetName val="5.42"/>
      <sheetName val="5.43"/>
      <sheetName val="5.44"/>
      <sheetName val="Sheet1"/>
      <sheetName val="kết dư"/>
      <sheetName val="DTTS"/>
      <sheetName val="GN"/>
      <sheetName val="cải cách"/>
      <sheetName val="CCT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9">
          <cell r="C9">
            <v>71341000</v>
          </cell>
        </row>
        <row r="10">
          <cell r="C10">
            <v>0</v>
          </cell>
        </row>
        <row r="14">
          <cell r="C14">
            <v>58266000</v>
          </cell>
          <cell r="D14">
            <v>57862000</v>
          </cell>
        </row>
        <row r="15">
          <cell r="C15">
            <v>13075000</v>
          </cell>
          <cell r="D15">
            <v>48376768.743000001</v>
          </cell>
        </row>
        <row r="16">
          <cell r="D16">
            <v>0</v>
          </cell>
        </row>
        <row r="17">
          <cell r="D17">
            <v>1154897</v>
          </cell>
        </row>
        <row r="18">
          <cell r="D18">
            <v>3984497</v>
          </cell>
        </row>
        <row r="20">
          <cell r="D20">
            <v>110429011.65699999</v>
          </cell>
        </row>
        <row r="22">
          <cell r="C22">
            <v>1003000</v>
          </cell>
          <cell r="D22">
            <v>1298671</v>
          </cell>
        </row>
        <row r="23">
          <cell r="C23">
            <v>55936000</v>
          </cell>
        </row>
        <row r="25">
          <cell r="C25">
            <v>1327000</v>
          </cell>
        </row>
        <row r="30">
          <cell r="D30">
            <v>604889</v>
          </cell>
        </row>
        <row r="34">
          <cell r="D34">
            <v>604889</v>
          </cell>
        </row>
        <row r="35">
          <cell r="C35">
            <v>696833</v>
          </cell>
        </row>
        <row r="36">
          <cell r="C36">
            <v>25167</v>
          </cell>
        </row>
        <row r="38">
          <cell r="C38">
            <v>2218000</v>
          </cell>
          <cell r="D38">
            <v>4800791</v>
          </cell>
        </row>
        <row r="39">
          <cell r="C39">
            <v>2131000</v>
          </cell>
        </row>
        <row r="40">
          <cell r="C40">
            <v>87000</v>
          </cell>
        </row>
        <row r="41">
          <cell r="C41">
            <v>1413000</v>
          </cell>
          <cell r="D41">
            <v>941604</v>
          </cell>
        </row>
        <row r="42">
          <cell r="C42">
            <v>1345000</v>
          </cell>
        </row>
        <row r="43">
          <cell r="C43">
            <v>68000</v>
          </cell>
        </row>
        <row r="45">
          <cell r="D45">
            <v>308000</v>
          </cell>
        </row>
        <row r="46">
          <cell r="C46">
            <v>280000</v>
          </cell>
        </row>
        <row r="47">
          <cell r="C47">
            <v>28000</v>
          </cell>
        </row>
        <row r="48">
          <cell r="C48">
            <v>8081000</v>
          </cell>
          <cell r="D48">
            <v>7490533</v>
          </cell>
        </row>
        <row r="49">
          <cell r="C49">
            <v>7835000</v>
          </cell>
        </row>
        <row r="50">
          <cell r="C50">
            <v>246000</v>
          </cell>
        </row>
      </sheetData>
      <sheetData sheetId="32">
        <row r="20">
          <cell r="C20">
            <v>71341000</v>
          </cell>
          <cell r="D20">
            <v>110429011.557</v>
          </cell>
        </row>
        <row r="22">
          <cell r="C22">
            <v>0</v>
          </cell>
        </row>
      </sheetData>
      <sheetData sheetId="33" refreshError="1"/>
      <sheetData sheetId="34" refreshError="1"/>
      <sheetData sheetId="35">
        <row r="12">
          <cell r="D12">
            <v>1298671</v>
          </cell>
        </row>
        <row r="26">
          <cell r="D26">
            <v>77015656</v>
          </cell>
        </row>
      </sheetData>
      <sheetData sheetId="36">
        <row r="11">
          <cell r="F11">
            <v>1298671</v>
          </cell>
        </row>
        <row r="14">
          <cell r="C14">
            <v>800000</v>
          </cell>
          <cell r="H14">
            <v>399339</v>
          </cell>
        </row>
        <row r="17">
          <cell r="C17">
            <v>0</v>
          </cell>
        </row>
        <row r="19">
          <cell r="F19">
            <v>0</v>
          </cell>
        </row>
        <row r="20">
          <cell r="F20">
            <v>0</v>
          </cell>
        </row>
        <row r="22">
          <cell r="F22">
            <v>77015655.900000006</v>
          </cell>
        </row>
        <row r="29">
          <cell r="F29">
            <v>1084441</v>
          </cell>
        </row>
        <row r="38">
          <cell r="C38">
            <v>696833</v>
          </cell>
        </row>
        <row r="39">
          <cell r="C39">
            <v>25167</v>
          </cell>
        </row>
        <row r="42">
          <cell r="C42">
            <v>2131000</v>
          </cell>
        </row>
        <row r="43">
          <cell r="C43">
            <v>87000</v>
          </cell>
        </row>
        <row r="45">
          <cell r="F45">
            <v>0</v>
          </cell>
        </row>
        <row r="46">
          <cell r="F46">
            <v>0</v>
          </cell>
        </row>
        <row r="49">
          <cell r="C49">
            <v>280000</v>
          </cell>
        </row>
        <row r="50">
          <cell r="C50">
            <v>28000</v>
          </cell>
        </row>
        <row r="52">
          <cell r="C52">
            <v>7835000</v>
          </cell>
        </row>
        <row r="53">
          <cell r="C53">
            <v>246000</v>
          </cell>
        </row>
        <row r="55">
          <cell r="C55">
            <v>50000</v>
          </cell>
          <cell r="F55">
            <v>50000</v>
          </cell>
        </row>
        <row r="56">
          <cell r="C56">
            <v>83000</v>
          </cell>
          <cell r="F56">
            <v>83000</v>
          </cell>
        </row>
        <row r="57">
          <cell r="C57">
            <v>200000</v>
          </cell>
          <cell r="F57">
            <v>41639.1</v>
          </cell>
        </row>
        <row r="58">
          <cell r="F58">
            <v>16709787.557000002</v>
          </cell>
        </row>
      </sheetData>
      <sheetData sheetId="37" refreshError="1"/>
      <sheetData sheetId="38" refreshError="1"/>
      <sheetData sheetId="39" refreshError="1"/>
      <sheetData sheetId="40">
        <row r="20">
          <cell r="B20" t="str">
            <v>Văn phòng Đảng ủy xã Phong Quang</v>
          </cell>
        </row>
        <row r="21">
          <cell r="B21" t="str">
            <v>Công an xã Phong Quang</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tong hop"/>
      <sheetName val="shee fdjt1"/>
      <sheetName val="Sheet2"/>
      <sheetName val="shête 3"/>
      <sheetName val="dhhh4"/>
      <sheetName val="5.1x (2)"/>
      <sheetName val="shêt 5"/>
      <sheetName val="Tiền đất2020"/>
      <sheetName val="Biểu 01 năm 2021 bo"/>
      <sheetName val="Dự phòng cấp huyện 2020"/>
      <sheetName val="108"/>
      <sheetName val="Sheet3"/>
      <sheetName val="SGV_3"/>
      <sheetName val="SGV_4"/>
      <sheetName val="SGV_5"/>
      <sheetName val="SGV_6"/>
      <sheetName val="CCTL 2021chuẩn"/>
      <sheetName val="tăng thu so với 2017 (2)"/>
      <sheetName val="tăng thu so với 2017"/>
      <sheetName val="Sheet6"/>
      <sheetName val="CCTL 2021"/>
      <sheetName val="Qtoán nông thôn mới năm 2021"/>
      <sheetName val="135 2021"/>
      <sheetName val="tính tăng thu"/>
      <sheetName val="QT theo cơ cấu"/>
      <sheetName val="QT BỔ SUNG CÓ MT"/>
      <sheetName val="Nông thôn mới 2021"/>
      <sheetName val="ct1352020"/>
      <sheetName val="Biêu so 01 2020"/>
      <sheetName val="SGV"/>
      <sheetName val="SGV_2"/>
      <sheetName val="B48"/>
      <sheetName val="B49"/>
      <sheetName val="B50"/>
      <sheetName val="B51"/>
      <sheetName val="B52"/>
      <sheetName val="B53"/>
      <sheetName val="B54"/>
      <sheetName val="B55"/>
      <sheetName val="B56"/>
      <sheetName val="B57"/>
      <sheetName val="chi BS cho xã"/>
      <sheetName val="B58"/>
      <sheetName val="B61"/>
      <sheetName val="5.7"/>
      <sheetName val="lệnh chi"/>
      <sheetName val="dự toán (2)"/>
      <sheetName val="dự toán"/>
      <sheetName val="5.9"/>
      <sheetName val="5.15 bỏ"/>
      <sheetName val="5.18"/>
      <sheetName val="5.19"/>
      <sheetName val="B62"/>
      <sheetName val="B60-342"/>
      <sheetName val="B61-342"/>
      <sheetName val="5.23.2022"/>
      <sheetName val="5.23"/>
      <sheetName val="5.24 2022"/>
      <sheetName val="5.24"/>
      <sheetName val="5,25a"/>
      <sheetName val="5.30 .2022"/>
      <sheetName val="5.30"/>
      <sheetName val="Bổ sung MT tỉnh21"/>
      <sheetName val="CTnông thôn mới 2020"/>
      <sheetName val="Biêu so 01 2022"/>
      <sheetName val="Biểu chi nhiệm vụ"/>
      <sheetName val="Biểu QT các nhiẹm vụ 2018"/>
      <sheetName val="Biểu BSMT tinh huyen"/>
      <sheetName val="5.31 (2)"/>
      <sheetName val="5.6 (2)"/>
      <sheetName val="Biểu tách theo STC (2)"/>
      <sheetName val="Biểu tách theo STC"/>
      <sheetName val="5.25"/>
      <sheetName val="5.32"/>
      <sheetName val="5.33"/>
      <sheetName val="5.34"/>
      <sheetName val="5.35"/>
      <sheetName val="5.36"/>
      <sheetName val="5.37"/>
      <sheetName val="5.38"/>
      <sheetName val="5.39"/>
      <sheetName val="5.40"/>
      <sheetName val="5.41"/>
      <sheetName val="5.42"/>
      <sheetName val="5.43"/>
      <sheetName val="5.44"/>
      <sheetName val="Sheet1"/>
      <sheetName val="kết dư"/>
      <sheetName val="DTTS"/>
      <sheetName val="GN"/>
      <sheetName val="cải cách"/>
      <sheetName val="CCT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3">
          <cell r="D23">
            <v>77015656</v>
          </cell>
        </row>
      </sheetData>
      <sheetData sheetId="32"/>
      <sheetData sheetId="33"/>
      <sheetData sheetId="34"/>
      <sheetData sheetId="35"/>
      <sheetData sheetId="36">
        <row r="1">
          <cell r="A1" t="str">
            <v>HĐND XÃ PHONG QUANG</v>
          </cell>
        </row>
      </sheetData>
      <sheetData sheetId="37"/>
      <sheetData sheetId="38"/>
      <sheetData sheetId="39"/>
      <sheetData sheetId="40">
        <row r="1">
          <cell r="A1" t="str">
            <v>HĐND XÃ PHONG QUANG</v>
          </cell>
        </row>
      </sheetData>
      <sheetData sheetId="41"/>
      <sheetData sheetId="42">
        <row r="11">
          <cell r="I11">
            <v>93719224</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tong hop"/>
      <sheetName val="shee fdjt1"/>
      <sheetName val="Sheet2"/>
      <sheetName val="shête 3"/>
      <sheetName val="dhhh4"/>
      <sheetName val="5.1x (2)"/>
      <sheetName val="shêt 5"/>
      <sheetName val="Tiền đất2020"/>
      <sheetName val="Biểu 01 năm 2021 bo"/>
      <sheetName val="Dự phòng cấp huyện 2020"/>
      <sheetName val="108"/>
      <sheetName val="Sheet3"/>
      <sheetName val="SGV_3"/>
      <sheetName val="SGV_4"/>
      <sheetName val="SGV_5"/>
      <sheetName val="SGV_6"/>
      <sheetName val="CCTL 2021chuẩn"/>
      <sheetName val="tăng thu so với 2017 (2)"/>
      <sheetName val="tăng thu so với 2017"/>
      <sheetName val="Sheet6"/>
      <sheetName val="CCTL 2021"/>
      <sheetName val="Qtoán nông thôn mới năm 2021"/>
      <sheetName val="135 2021"/>
      <sheetName val="tính tăng thu"/>
      <sheetName val="QT theo cơ cấu"/>
      <sheetName val="QT BỔ SUNG CÓ MT"/>
      <sheetName val="Nông thôn mới 2021"/>
      <sheetName val="ct1352020"/>
      <sheetName val="Biêu so 01 2020"/>
      <sheetName val="SGV"/>
      <sheetName val="SGV_2"/>
      <sheetName val="5.1"/>
      <sheetName val="5.2 "/>
      <sheetName val="5.3"/>
      <sheetName val="5.4"/>
      <sheetName val="5.5"/>
      <sheetName val="5.6"/>
      <sheetName val="5.7 "/>
      <sheetName val="5.8 "/>
      <sheetName val="5.9 2024 G "/>
      <sheetName val="5.10 2024  G"/>
      <sheetName val="5.11 2022"/>
      <sheetName val="5.12.2022"/>
      <sheetName val="5.13"/>
      <sheetName val="chi BS cho xã"/>
      <sheetName val="5.14"/>
      <sheetName val="5.7"/>
      <sheetName val="lệnh chi"/>
      <sheetName val="dự toán (2)"/>
      <sheetName val="dự toán"/>
      <sheetName val="5.9"/>
      <sheetName val="5.15 bỏ"/>
      <sheetName val="5.18"/>
      <sheetName val="5.19"/>
      <sheetName val="5.15 "/>
      <sheetName val="5.16"/>
      <sheetName val="5.17"/>
      <sheetName val="5.20"/>
      <sheetName val="5.21"/>
      <sheetName val="5.22"/>
      <sheetName val="5.23.S"/>
      <sheetName val="5.24s"/>
      <sheetName val="5.23.2022"/>
      <sheetName val="5.23"/>
      <sheetName val="5.24 2022"/>
      <sheetName val="5.24"/>
      <sheetName val="5.25S"/>
      <sheetName val="5,25a"/>
      <sheetName val="5.26"/>
      <sheetName val="5.27"/>
      <sheetName val="5.28"/>
      <sheetName val="5.29"/>
      <sheetName val="5.30 .2022"/>
      <sheetName val="5.30"/>
      <sheetName val="5.30s"/>
      <sheetName val="5.30s (THS)"/>
      <sheetName val="5.31"/>
      <sheetName val="Bổ sung MT tỉnh21"/>
      <sheetName val="CTnông thôn mới 2020"/>
      <sheetName val="Biêu so 01 2022"/>
      <sheetName val="Biểu chi nhiệm vụ"/>
      <sheetName val="Biểu QT các nhiẹm vụ 2018"/>
      <sheetName val="Biểu BSMT tinh huyen"/>
      <sheetName val="5.31 (2)"/>
      <sheetName val="5.6 (2)"/>
      <sheetName val="Biểu tách theo STC (2)"/>
      <sheetName val="Biểu tách theo STC"/>
      <sheetName val="5.25"/>
      <sheetName val="5.32"/>
      <sheetName val="5.33"/>
      <sheetName val="5.34"/>
      <sheetName val="5.35"/>
      <sheetName val="5.36"/>
      <sheetName val="5.37"/>
      <sheetName val="5.38"/>
      <sheetName val="5.39"/>
      <sheetName val="5.40"/>
      <sheetName val="5.41"/>
      <sheetName val="5.42"/>
      <sheetName val="5.43"/>
      <sheetName val="5.44"/>
      <sheetName val="Sheet1"/>
      <sheetName val="kết dư"/>
      <sheetName val="DTTS"/>
      <sheetName val="PL 01.24"/>
      <sheetName val="NTM.24"/>
      <sheetName val="GN"/>
      <sheetName val="cải cách"/>
      <sheetName val="CCTL"/>
      <sheetName val="GN 24"/>
      <sheetName val="DTTS.23"/>
      <sheetName val="DTTS, 24 G"/>
      <sheetName val="DTTS, 24 G xã"/>
      <sheetName val="DTTS, 24 G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2">
          <cell r="D12">
            <v>12454.064168999999</v>
          </cell>
        </row>
        <row r="13">
          <cell r="D13">
            <v>8548.9903789999989</v>
          </cell>
        </row>
        <row r="14">
          <cell r="D14">
            <v>1282.143949</v>
          </cell>
        </row>
        <row r="15">
          <cell r="D15">
            <v>1430.4118799999999</v>
          </cell>
        </row>
        <row r="16">
          <cell r="D16">
            <v>5342.2429760000005</v>
          </cell>
        </row>
        <row r="17">
          <cell r="D17">
            <v>0</v>
          </cell>
        </row>
        <row r="18">
          <cell r="D18">
            <v>32481.747696999999</v>
          </cell>
        </row>
        <row r="19">
          <cell r="D19">
            <v>4121.6439600000003</v>
          </cell>
        </row>
        <row r="20">
          <cell r="D20">
            <v>3353.2398779999999</v>
          </cell>
        </row>
        <row r="21">
          <cell r="D21">
            <v>2135.4408560000002</v>
          </cell>
        </row>
        <row r="22">
          <cell r="D22">
            <v>1161.1706349999999</v>
          </cell>
        </row>
        <row r="23">
          <cell r="D23">
            <v>1898.6120979999998</v>
          </cell>
        </row>
        <row r="24">
          <cell r="D24">
            <v>1191.07619</v>
          </cell>
        </row>
        <row r="25">
          <cell r="D25">
            <v>2150.2694149999998</v>
          </cell>
        </row>
        <row r="26">
          <cell r="D26">
            <v>1180.259881</v>
          </cell>
        </row>
        <row r="27">
          <cell r="D27">
            <v>915.86926000000005</v>
          </cell>
        </row>
        <row r="28">
          <cell r="D28">
            <v>313.752611</v>
          </cell>
        </row>
        <row r="29">
          <cell r="D29">
            <v>332.57119999999998</v>
          </cell>
        </row>
        <row r="30">
          <cell r="D30">
            <v>79.488</v>
          </cell>
        </row>
        <row r="31">
          <cell r="D31">
            <v>119.24</v>
          </cell>
        </row>
        <row r="32">
          <cell r="D32">
            <v>132.03800000000001</v>
          </cell>
        </row>
        <row r="33">
          <cell r="D33">
            <v>3988.4573700000001</v>
          </cell>
        </row>
        <row r="34">
          <cell r="D34">
            <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gộp VĐT)"/>
      <sheetName val="Xã"/>
      <sheetName val="Ban"/>
      <sheetName val="Biểu 5.30"/>
      <sheetName val="Chuẩn xã"/>
      <sheetName val="Sheet4"/>
      <sheetName val="Sheet5"/>
      <sheetName val="Sôi sửa"/>
      <sheetName val="PL 01"/>
    </sheetNames>
    <sheetDataSet>
      <sheetData sheetId="0" refreshError="1"/>
      <sheetData sheetId="1" refreshError="1"/>
      <sheetData sheetId="2" refreshError="1"/>
      <sheetData sheetId="3" refreshError="1">
        <row r="76">
          <cell r="E76">
            <v>776.59</v>
          </cell>
        </row>
        <row r="83">
          <cell r="E83">
            <v>260.11650100000003</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hyperlink" Target="http://hscvsotc.backan.gov.vn/sotaichinh/VBden.nsf/str/551CA1B2AE5AFEA54725828F000C7D5B?OpenDocument"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hscvsotc.backan.gov.vn/sotaichinh/VBden.nsf/str/551CA1B2AE5AFEA54725828F000C7D5B?OpenDocument"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hscvsotc.backan.gov.vn/sotaichinh/VBden.nsf/str/551CA1B2AE5AFEA54725828F000C7D5B?OpenDocument" TargetMode="External"/></Relationships>
</file>

<file path=xl/worksheets/_rels/sheet7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03"/>
  <sheetViews>
    <sheetView topLeftCell="A43" workbookViewId="0">
      <selection activeCell="G83" sqref="G83"/>
    </sheetView>
  </sheetViews>
  <sheetFormatPr defaultColWidth="9.140625" defaultRowHeight="15.75" x14ac:dyDescent="0.25"/>
  <cols>
    <col min="1" max="1" width="18.85546875" style="7" customWidth="1"/>
    <col min="2" max="2" width="53.140625" style="6" customWidth="1"/>
    <col min="3" max="3" width="58.42578125" style="6" customWidth="1"/>
    <col min="4" max="4" width="9.140625" style="5" hidden="1" customWidth="1"/>
    <col min="5" max="5" width="12.85546875" style="5" hidden="1" customWidth="1"/>
    <col min="6" max="16384" width="9.140625" style="6"/>
  </cols>
  <sheetData>
    <row r="1" spans="1:5" ht="18.75" x14ac:dyDescent="0.25">
      <c r="A1" s="3933" t="s">
        <v>1395</v>
      </c>
      <c r="B1" s="3933"/>
      <c r="C1" s="3933"/>
      <c r="D1" s="3933"/>
      <c r="E1" s="3933"/>
    </row>
    <row r="2" spans="1:5" ht="39" customHeight="1" x14ac:dyDescent="0.25">
      <c r="A2" s="3938" t="s">
        <v>11</v>
      </c>
      <c r="B2" s="3938"/>
      <c r="C2" s="3938"/>
      <c r="D2" s="3938"/>
      <c r="E2" s="3938"/>
    </row>
    <row r="3" spans="1:5" x14ac:dyDescent="0.25">
      <c r="A3" s="3935"/>
      <c r="B3" s="3936"/>
      <c r="C3" s="3936"/>
    </row>
    <row r="4" spans="1:5" ht="36" customHeight="1" x14ac:dyDescent="0.25">
      <c r="A4" s="2" t="s">
        <v>8</v>
      </c>
      <c r="B4" s="3" t="s">
        <v>845</v>
      </c>
      <c r="C4" s="3" t="s">
        <v>9</v>
      </c>
      <c r="E4" s="3" t="s">
        <v>7</v>
      </c>
    </row>
    <row r="5" spans="1:5" x14ac:dyDescent="0.25">
      <c r="A5" s="8" t="s">
        <v>157</v>
      </c>
      <c r="B5" s="9" t="s">
        <v>158</v>
      </c>
      <c r="C5" s="10"/>
      <c r="E5" s="20"/>
    </row>
    <row r="6" spans="1:5" ht="20.25" customHeight="1" x14ac:dyDescent="0.25">
      <c r="A6" s="11" t="s">
        <v>159</v>
      </c>
      <c r="B6" s="12" t="s">
        <v>160</v>
      </c>
      <c r="C6" s="3937" t="s">
        <v>161</v>
      </c>
      <c r="E6" s="3934" t="str">
        <f>+IF(D6="x",0,"x")</f>
        <v>x</v>
      </c>
    </row>
    <row r="7" spans="1:5" ht="31.5" x14ac:dyDescent="0.25">
      <c r="A7" s="11" t="s">
        <v>162</v>
      </c>
      <c r="B7" s="12" t="s">
        <v>763</v>
      </c>
      <c r="C7" s="3937"/>
      <c r="E7" s="3934" t="str">
        <f t="shared" ref="E7:E41" si="0">+IF(D7="x",0,"x")</f>
        <v>x</v>
      </c>
    </row>
    <row r="8" spans="1:5" ht="21.75" customHeight="1" x14ac:dyDescent="0.25">
      <c r="A8" s="11" t="s">
        <v>764</v>
      </c>
      <c r="B8" s="12" t="s">
        <v>765</v>
      </c>
      <c r="C8" s="3937"/>
      <c r="E8" s="3934" t="str">
        <f t="shared" si="0"/>
        <v>x</v>
      </c>
    </row>
    <row r="9" spans="1:5" ht="47.25" x14ac:dyDescent="0.25">
      <c r="A9" s="11" t="s">
        <v>766</v>
      </c>
      <c r="B9" s="12" t="s">
        <v>767</v>
      </c>
      <c r="C9" s="12" t="s">
        <v>768</v>
      </c>
      <c r="E9" s="4" t="str">
        <f t="shared" si="0"/>
        <v>x</v>
      </c>
    </row>
    <row r="10" spans="1:5" x14ac:dyDescent="0.25">
      <c r="A10" s="8" t="s">
        <v>769</v>
      </c>
      <c r="B10" s="9" t="s">
        <v>770</v>
      </c>
      <c r="C10" s="10"/>
      <c r="E10" s="20"/>
    </row>
    <row r="11" spans="1:5" ht="39" customHeight="1" x14ac:dyDescent="0.25">
      <c r="A11" s="11" t="s">
        <v>771</v>
      </c>
      <c r="B11" s="12" t="s">
        <v>772</v>
      </c>
      <c r="C11" s="3930" t="s">
        <v>1401</v>
      </c>
      <c r="E11" s="3927" t="str">
        <f t="shared" si="0"/>
        <v>x</v>
      </c>
    </row>
    <row r="12" spans="1:5" ht="39" customHeight="1" x14ac:dyDescent="0.25">
      <c r="A12" s="11" t="s">
        <v>773</v>
      </c>
      <c r="B12" s="12" t="s">
        <v>809</v>
      </c>
      <c r="C12" s="3932"/>
      <c r="E12" s="3929" t="str">
        <f t="shared" si="0"/>
        <v>x</v>
      </c>
    </row>
    <row r="13" spans="1:5" ht="47.25" x14ac:dyDescent="0.25">
      <c r="A13" s="11" t="s">
        <v>810</v>
      </c>
      <c r="B13" s="12" t="s">
        <v>811</v>
      </c>
      <c r="C13" s="12" t="s">
        <v>1397</v>
      </c>
      <c r="E13" s="4" t="str">
        <f t="shared" si="0"/>
        <v>x</v>
      </c>
    </row>
    <row r="14" spans="1:5" ht="78.75" x14ac:dyDescent="0.25">
      <c r="A14" s="11" t="s">
        <v>812</v>
      </c>
      <c r="B14" s="12" t="s">
        <v>813</v>
      </c>
      <c r="C14" s="12" t="s">
        <v>1402</v>
      </c>
      <c r="E14" s="4" t="str">
        <f t="shared" si="0"/>
        <v>x</v>
      </c>
    </row>
    <row r="15" spans="1:5" ht="78.75" x14ac:dyDescent="0.25">
      <c r="A15" s="11" t="s">
        <v>814</v>
      </c>
      <c r="B15" s="12" t="s">
        <v>815</v>
      </c>
      <c r="C15" s="12" t="s">
        <v>1402</v>
      </c>
      <c r="E15" s="4" t="str">
        <f t="shared" si="0"/>
        <v>x</v>
      </c>
    </row>
    <row r="16" spans="1:5" ht="78.75" x14ac:dyDescent="0.25">
      <c r="A16" s="11" t="s">
        <v>816</v>
      </c>
      <c r="B16" s="12" t="s">
        <v>817</v>
      </c>
      <c r="C16" s="12" t="s">
        <v>1403</v>
      </c>
      <c r="D16" s="5" t="s">
        <v>1396</v>
      </c>
      <c r="E16" s="4"/>
    </row>
    <row r="17" spans="1:5" ht="72.75" customHeight="1" x14ac:dyDescent="0.25">
      <c r="A17" s="11" t="s">
        <v>818</v>
      </c>
      <c r="B17" s="12" t="s">
        <v>819</v>
      </c>
      <c r="C17" s="12" t="s">
        <v>1404</v>
      </c>
      <c r="E17" s="4" t="str">
        <f t="shared" si="0"/>
        <v>x</v>
      </c>
    </row>
    <row r="18" spans="1:5" ht="94.5" x14ac:dyDescent="0.25">
      <c r="A18" s="11" t="s">
        <v>820</v>
      </c>
      <c r="B18" s="12" t="s">
        <v>819</v>
      </c>
      <c r="C18" s="12" t="s">
        <v>1405</v>
      </c>
      <c r="E18" s="4" t="str">
        <f t="shared" si="0"/>
        <v>x</v>
      </c>
    </row>
    <row r="19" spans="1:5" ht="47.25" x14ac:dyDescent="0.25">
      <c r="A19" s="11" t="s">
        <v>821</v>
      </c>
      <c r="B19" s="12" t="s">
        <v>822</v>
      </c>
      <c r="C19" s="12" t="s">
        <v>1406</v>
      </c>
      <c r="E19" s="4" t="str">
        <f t="shared" si="0"/>
        <v>x</v>
      </c>
    </row>
    <row r="20" spans="1:5" ht="71.25" customHeight="1" x14ac:dyDescent="0.25">
      <c r="A20" s="11" t="s">
        <v>906</v>
      </c>
      <c r="B20" s="12" t="s">
        <v>823</v>
      </c>
      <c r="C20" s="12" t="s">
        <v>0</v>
      </c>
      <c r="E20" s="4" t="str">
        <f t="shared" si="0"/>
        <v>x</v>
      </c>
    </row>
    <row r="21" spans="1:5" ht="78.75" customHeight="1" x14ac:dyDescent="0.25">
      <c r="A21" s="11" t="s">
        <v>824</v>
      </c>
      <c r="B21" s="12" t="s">
        <v>823</v>
      </c>
      <c r="C21" s="12" t="s">
        <v>1</v>
      </c>
      <c r="E21" s="4" t="str">
        <f t="shared" si="0"/>
        <v>x</v>
      </c>
    </row>
    <row r="22" spans="1:5" ht="63" x14ac:dyDescent="0.25">
      <c r="A22" s="11" t="s">
        <v>825</v>
      </c>
      <c r="B22" s="12" t="s">
        <v>823</v>
      </c>
      <c r="C22" s="12" t="s">
        <v>2</v>
      </c>
      <c r="E22" s="4" t="str">
        <f t="shared" si="0"/>
        <v>x</v>
      </c>
    </row>
    <row r="23" spans="1:5" ht="63" x14ac:dyDescent="0.25">
      <c r="A23" s="11" t="s">
        <v>826</v>
      </c>
      <c r="B23" s="12" t="s">
        <v>823</v>
      </c>
      <c r="C23" s="12" t="s">
        <v>3</v>
      </c>
      <c r="E23" s="4" t="str">
        <f t="shared" si="0"/>
        <v>x</v>
      </c>
    </row>
    <row r="24" spans="1:5" ht="31.5" x14ac:dyDescent="0.25">
      <c r="A24" s="11" t="s">
        <v>827</v>
      </c>
      <c r="B24" s="12" t="s">
        <v>828</v>
      </c>
      <c r="C24" s="3930" t="s">
        <v>1397</v>
      </c>
      <c r="E24" s="3927" t="str">
        <f t="shared" si="0"/>
        <v>x</v>
      </c>
    </row>
    <row r="25" spans="1:5" x14ac:dyDescent="0.25">
      <c r="A25" s="11" t="s">
        <v>829</v>
      </c>
      <c r="B25" s="12" t="s">
        <v>830</v>
      </c>
      <c r="C25" s="3931"/>
      <c r="E25" s="3928" t="str">
        <f t="shared" si="0"/>
        <v>x</v>
      </c>
    </row>
    <row r="26" spans="1:5" x14ac:dyDescent="0.25">
      <c r="A26" s="11" t="s">
        <v>831</v>
      </c>
      <c r="B26" s="12" t="s">
        <v>832</v>
      </c>
      <c r="C26" s="3931"/>
      <c r="E26" s="3928" t="str">
        <f t="shared" si="0"/>
        <v>x</v>
      </c>
    </row>
    <row r="27" spans="1:5" x14ac:dyDescent="0.25">
      <c r="A27" s="11" t="s">
        <v>833</v>
      </c>
      <c r="B27" s="12" t="s">
        <v>834</v>
      </c>
      <c r="C27" s="3931"/>
      <c r="E27" s="3928" t="str">
        <f t="shared" si="0"/>
        <v>x</v>
      </c>
    </row>
    <row r="28" spans="1:5" ht="31.5" x14ac:dyDescent="0.25">
      <c r="A28" s="11" t="s">
        <v>835</v>
      </c>
      <c r="B28" s="12" t="s">
        <v>836</v>
      </c>
      <c r="C28" s="3931"/>
      <c r="E28" s="3928" t="str">
        <f t="shared" si="0"/>
        <v>x</v>
      </c>
    </row>
    <row r="29" spans="1:5" x14ac:dyDescent="0.25">
      <c r="A29" s="11" t="s">
        <v>837</v>
      </c>
      <c r="B29" s="12" t="s">
        <v>838</v>
      </c>
      <c r="C29" s="3931"/>
      <c r="E29" s="3928" t="str">
        <f t="shared" si="0"/>
        <v>x</v>
      </c>
    </row>
    <row r="30" spans="1:5" x14ac:dyDescent="0.25">
      <c r="A30" s="11" t="s">
        <v>839</v>
      </c>
      <c r="B30" s="12" t="s">
        <v>840</v>
      </c>
      <c r="C30" s="3931"/>
      <c r="E30" s="3928" t="str">
        <f t="shared" si="0"/>
        <v>x</v>
      </c>
    </row>
    <row r="31" spans="1:5" x14ac:dyDescent="0.25">
      <c r="A31" s="11" t="s">
        <v>841</v>
      </c>
      <c r="B31" s="12" t="s">
        <v>216</v>
      </c>
      <c r="C31" s="3931"/>
      <c r="E31" s="3928" t="str">
        <f t="shared" si="0"/>
        <v>x</v>
      </c>
    </row>
    <row r="32" spans="1:5" ht="31.5" x14ac:dyDescent="0.25">
      <c r="A32" s="11" t="s">
        <v>217</v>
      </c>
      <c r="B32" s="12" t="s">
        <v>218</v>
      </c>
      <c r="C32" s="3931"/>
      <c r="E32" s="3928" t="str">
        <f t="shared" si="0"/>
        <v>x</v>
      </c>
    </row>
    <row r="33" spans="1:5" ht="31.5" x14ac:dyDescent="0.25">
      <c r="A33" s="11" t="s">
        <v>219</v>
      </c>
      <c r="B33" s="12" t="s">
        <v>220</v>
      </c>
      <c r="C33" s="3932"/>
      <c r="E33" s="3929" t="str">
        <f t="shared" si="0"/>
        <v>x</v>
      </c>
    </row>
    <row r="34" spans="1:5" ht="63" x14ac:dyDescent="0.25">
      <c r="A34" s="11" t="s">
        <v>221</v>
      </c>
      <c r="B34" s="12" t="s">
        <v>222</v>
      </c>
      <c r="C34" s="12" t="s">
        <v>4</v>
      </c>
      <c r="E34" s="4" t="str">
        <f t="shared" si="0"/>
        <v>x</v>
      </c>
    </row>
    <row r="35" spans="1:5" ht="31.5" x14ac:dyDescent="0.25">
      <c r="A35" s="11" t="s">
        <v>223</v>
      </c>
      <c r="B35" s="12" t="s">
        <v>224</v>
      </c>
      <c r="C35" s="12" t="s">
        <v>225</v>
      </c>
      <c r="E35" s="4" t="str">
        <f t="shared" si="0"/>
        <v>x</v>
      </c>
    </row>
    <row r="36" spans="1:5" ht="31.5" x14ac:dyDescent="0.25">
      <c r="A36" s="11" t="s">
        <v>226</v>
      </c>
      <c r="B36" s="12" t="s">
        <v>227</v>
      </c>
      <c r="C36" s="3930" t="s">
        <v>1397</v>
      </c>
      <c r="E36" s="3927" t="str">
        <f t="shared" si="0"/>
        <v>x</v>
      </c>
    </row>
    <row r="37" spans="1:5" ht="31.5" x14ac:dyDescent="0.25">
      <c r="A37" s="11" t="s">
        <v>228</v>
      </c>
      <c r="B37" s="12" t="s">
        <v>229</v>
      </c>
      <c r="C37" s="3931"/>
      <c r="E37" s="3928" t="str">
        <f t="shared" si="0"/>
        <v>x</v>
      </c>
    </row>
    <row r="38" spans="1:5" ht="31.5" x14ac:dyDescent="0.25">
      <c r="A38" s="11" t="s">
        <v>230</v>
      </c>
      <c r="B38" s="12" t="s">
        <v>231</v>
      </c>
      <c r="C38" s="3932"/>
      <c r="E38" s="3929" t="str">
        <f t="shared" si="0"/>
        <v>x</v>
      </c>
    </row>
    <row r="39" spans="1:5" ht="84" customHeight="1" x14ac:dyDescent="0.25">
      <c r="A39" s="19" t="s">
        <v>232</v>
      </c>
      <c r="B39" s="12" t="s">
        <v>233</v>
      </c>
      <c r="C39" s="12" t="s">
        <v>5</v>
      </c>
      <c r="D39" s="5" t="s">
        <v>1396</v>
      </c>
      <c r="E39" s="4"/>
    </row>
    <row r="40" spans="1:5" ht="47.25" x14ac:dyDescent="0.25">
      <c r="A40" s="19" t="s">
        <v>234</v>
      </c>
      <c r="B40" s="12" t="s">
        <v>235</v>
      </c>
      <c r="C40" s="12" t="s">
        <v>236</v>
      </c>
      <c r="D40" s="5" t="s">
        <v>1396</v>
      </c>
      <c r="E40" s="4"/>
    </row>
    <row r="41" spans="1:5" ht="31.5" x14ac:dyDescent="0.25">
      <c r="A41" s="11" t="s">
        <v>237</v>
      </c>
      <c r="B41" s="12" t="s">
        <v>238</v>
      </c>
      <c r="C41" s="12" t="s">
        <v>239</v>
      </c>
      <c r="E41" s="4" t="str">
        <f t="shared" si="0"/>
        <v>x</v>
      </c>
    </row>
    <row r="42" spans="1:5" ht="31.5" x14ac:dyDescent="0.25">
      <c r="A42" s="8" t="s">
        <v>240</v>
      </c>
      <c r="B42" s="9" t="s">
        <v>241</v>
      </c>
      <c r="C42" s="10"/>
      <c r="E42" s="20"/>
    </row>
    <row r="43" spans="1:5" x14ac:dyDescent="0.25">
      <c r="A43" s="13" t="s">
        <v>242</v>
      </c>
      <c r="B43" s="12" t="s">
        <v>243</v>
      </c>
      <c r="C43" s="3930" t="s">
        <v>1398</v>
      </c>
      <c r="D43" s="5" t="s">
        <v>1396</v>
      </c>
      <c r="E43" s="3927"/>
    </row>
    <row r="44" spans="1:5" x14ac:dyDescent="0.25">
      <c r="A44" s="13" t="s">
        <v>244</v>
      </c>
      <c r="B44" s="12" t="s">
        <v>929</v>
      </c>
      <c r="C44" s="3931"/>
      <c r="D44" s="5" t="s">
        <v>1396</v>
      </c>
      <c r="E44" s="3928"/>
    </row>
    <row r="45" spans="1:5" x14ac:dyDescent="0.25">
      <c r="A45" s="13" t="s">
        <v>930</v>
      </c>
      <c r="B45" s="12" t="s">
        <v>931</v>
      </c>
      <c r="C45" s="3931"/>
      <c r="D45" s="5" t="s">
        <v>1396</v>
      </c>
      <c r="E45" s="3928"/>
    </row>
    <row r="46" spans="1:5" x14ac:dyDescent="0.25">
      <c r="A46" s="13" t="s">
        <v>932</v>
      </c>
      <c r="B46" s="12" t="s">
        <v>10</v>
      </c>
      <c r="C46" s="3932"/>
      <c r="D46" s="5" t="s">
        <v>1396</v>
      </c>
      <c r="E46" s="3929"/>
    </row>
    <row r="47" spans="1:5" x14ac:dyDescent="0.25">
      <c r="A47" s="8" t="s">
        <v>933</v>
      </c>
      <c r="B47" s="9" t="s">
        <v>934</v>
      </c>
      <c r="C47" s="10"/>
      <c r="E47" s="20"/>
    </row>
    <row r="48" spans="1:5" x14ac:dyDescent="0.25">
      <c r="A48" s="11" t="s">
        <v>935</v>
      </c>
      <c r="B48" s="12" t="s">
        <v>936</v>
      </c>
      <c r="C48" s="3930" t="s">
        <v>1400</v>
      </c>
      <c r="E48" s="3927" t="str">
        <f t="shared" ref="E48:E62" si="1">+IF(D48="x",0,"x")</f>
        <v>x</v>
      </c>
    </row>
    <row r="49" spans="1:5" ht="63" x14ac:dyDescent="0.25">
      <c r="A49" s="11" t="s">
        <v>937</v>
      </c>
      <c r="B49" s="12" t="s">
        <v>938</v>
      </c>
      <c r="C49" s="3931"/>
      <c r="E49" s="3928" t="str">
        <f t="shared" si="1"/>
        <v>x</v>
      </c>
    </row>
    <row r="50" spans="1:5" ht="47.25" x14ac:dyDescent="0.25">
      <c r="A50" s="11" t="s">
        <v>939</v>
      </c>
      <c r="B50" s="12" t="s">
        <v>940</v>
      </c>
      <c r="C50" s="3932"/>
      <c r="E50" s="3929" t="str">
        <f t="shared" si="1"/>
        <v>x</v>
      </c>
    </row>
    <row r="51" spans="1:5" ht="63" x14ac:dyDescent="0.25">
      <c r="A51" s="11" t="s">
        <v>941</v>
      </c>
      <c r="B51" s="12" t="s">
        <v>942</v>
      </c>
      <c r="C51" s="12" t="s">
        <v>1399</v>
      </c>
      <c r="E51" s="4" t="str">
        <f t="shared" si="1"/>
        <v>x</v>
      </c>
    </row>
    <row r="52" spans="1:5" ht="31.5" x14ac:dyDescent="0.25">
      <c r="A52" s="11" t="s">
        <v>943</v>
      </c>
      <c r="B52" s="12" t="s">
        <v>944</v>
      </c>
      <c r="C52" s="12" t="s">
        <v>1057</v>
      </c>
      <c r="E52" s="4" t="str">
        <f t="shared" si="1"/>
        <v>x</v>
      </c>
    </row>
    <row r="53" spans="1:5" x14ac:dyDescent="0.25">
      <c r="A53" s="8" t="s">
        <v>1058</v>
      </c>
      <c r="B53" s="9" t="s">
        <v>1059</v>
      </c>
      <c r="C53" s="10"/>
      <c r="E53" s="20"/>
    </row>
    <row r="54" spans="1:5" x14ac:dyDescent="0.25">
      <c r="A54" s="11" t="s">
        <v>1060</v>
      </c>
      <c r="B54" s="12" t="s">
        <v>1061</v>
      </c>
      <c r="C54" s="3937" t="s">
        <v>1062</v>
      </c>
      <c r="E54" s="3934" t="str">
        <f t="shared" si="1"/>
        <v>x</v>
      </c>
    </row>
    <row r="55" spans="1:5" ht="31.5" x14ac:dyDescent="0.25">
      <c r="A55" s="11" t="s">
        <v>1063</v>
      </c>
      <c r="B55" s="12" t="s">
        <v>1064</v>
      </c>
      <c r="C55" s="3937"/>
      <c r="E55" s="3934" t="str">
        <f t="shared" si="1"/>
        <v>x</v>
      </c>
    </row>
    <row r="56" spans="1:5" ht="31.5" x14ac:dyDescent="0.25">
      <c r="A56" s="11" t="s">
        <v>1065</v>
      </c>
      <c r="B56" s="12" t="s">
        <v>1066</v>
      </c>
      <c r="C56" s="3937"/>
      <c r="E56" s="3934" t="str">
        <f t="shared" si="1"/>
        <v>x</v>
      </c>
    </row>
    <row r="57" spans="1:5" ht="31.5" x14ac:dyDescent="0.25">
      <c r="A57" s="11" t="s">
        <v>1067</v>
      </c>
      <c r="B57" s="12" t="s">
        <v>1068</v>
      </c>
      <c r="C57" s="3937"/>
      <c r="E57" s="3934" t="str">
        <f t="shared" si="1"/>
        <v>x</v>
      </c>
    </row>
    <row r="58" spans="1:5" x14ac:dyDescent="0.25">
      <c r="A58" s="11" t="s">
        <v>1069</v>
      </c>
      <c r="B58" s="12" t="s">
        <v>1070</v>
      </c>
      <c r="C58" s="3937"/>
      <c r="E58" s="3934" t="str">
        <f t="shared" si="1"/>
        <v>x</v>
      </c>
    </row>
    <row r="59" spans="1:5" x14ac:dyDescent="0.25">
      <c r="A59" s="11" t="s">
        <v>1071</v>
      </c>
      <c r="B59" s="12" t="s">
        <v>1072</v>
      </c>
      <c r="C59" s="3937"/>
      <c r="E59" s="3934" t="str">
        <f t="shared" si="1"/>
        <v>x</v>
      </c>
    </row>
    <row r="60" spans="1:5" ht="47.25" x14ac:dyDescent="0.25">
      <c r="A60" s="11" t="s">
        <v>1073</v>
      </c>
      <c r="B60" s="12" t="s">
        <v>1074</v>
      </c>
      <c r="C60" s="3937" t="s">
        <v>1062</v>
      </c>
      <c r="E60" s="3934" t="str">
        <f t="shared" si="1"/>
        <v>x</v>
      </c>
    </row>
    <row r="61" spans="1:5" ht="31.5" x14ac:dyDescent="0.25">
      <c r="A61" s="11" t="s">
        <v>1075</v>
      </c>
      <c r="B61" s="12" t="s">
        <v>1076</v>
      </c>
      <c r="C61" s="3937"/>
      <c r="E61" s="3934" t="str">
        <f t="shared" si="1"/>
        <v>x</v>
      </c>
    </row>
    <row r="62" spans="1:5" ht="31.5" x14ac:dyDescent="0.25">
      <c r="A62" s="11" t="s">
        <v>1077</v>
      </c>
      <c r="B62" s="12" t="s">
        <v>1078</v>
      </c>
      <c r="C62" s="3937"/>
      <c r="E62" s="3934" t="str">
        <f t="shared" si="1"/>
        <v>x</v>
      </c>
    </row>
    <row r="63" spans="1:5" ht="31.5" x14ac:dyDescent="0.25">
      <c r="A63" s="8" t="s">
        <v>1079</v>
      </c>
      <c r="B63" s="9" t="s">
        <v>1080</v>
      </c>
      <c r="C63" s="10"/>
      <c r="E63" s="20"/>
    </row>
    <row r="64" spans="1:5" x14ac:dyDescent="0.25">
      <c r="A64" s="14">
        <v>1</v>
      </c>
      <c r="B64" s="15" t="s">
        <v>1081</v>
      </c>
      <c r="C64" s="12"/>
      <c r="E64" s="4"/>
    </row>
    <row r="65" spans="1:5" x14ac:dyDescent="0.25">
      <c r="A65" s="13" t="s">
        <v>1082</v>
      </c>
      <c r="B65" s="12" t="s">
        <v>772</v>
      </c>
      <c r="C65" s="3937" t="s">
        <v>1083</v>
      </c>
      <c r="D65" s="5" t="s">
        <v>1396</v>
      </c>
      <c r="E65" s="3934"/>
    </row>
    <row r="66" spans="1:5" x14ac:dyDescent="0.25">
      <c r="A66" s="13" t="s">
        <v>1084</v>
      </c>
      <c r="B66" s="12" t="s">
        <v>1085</v>
      </c>
      <c r="C66" s="3937"/>
      <c r="D66" s="5" t="s">
        <v>1396</v>
      </c>
      <c r="E66" s="3934"/>
    </row>
    <row r="67" spans="1:5" ht="31.5" x14ac:dyDescent="0.25">
      <c r="A67" s="13" t="s">
        <v>1086</v>
      </c>
      <c r="B67" s="12" t="s">
        <v>1087</v>
      </c>
      <c r="C67" s="3937"/>
      <c r="D67" s="5" t="s">
        <v>1396</v>
      </c>
      <c r="E67" s="3934"/>
    </row>
    <row r="68" spans="1:5" ht="47.25" x14ac:dyDescent="0.25">
      <c r="A68" s="13" t="s">
        <v>1088</v>
      </c>
      <c r="B68" s="12" t="s">
        <v>1089</v>
      </c>
      <c r="C68" s="3937"/>
      <c r="D68" s="5" t="s">
        <v>1396</v>
      </c>
      <c r="E68" s="3934"/>
    </row>
    <row r="69" spans="1:5" ht="47.25" x14ac:dyDescent="0.25">
      <c r="A69" s="13" t="s">
        <v>957</v>
      </c>
      <c r="B69" s="12" t="s">
        <v>958</v>
      </c>
      <c r="C69" s="3937"/>
      <c r="D69" s="5" t="s">
        <v>1396</v>
      </c>
      <c r="E69" s="3934"/>
    </row>
    <row r="70" spans="1:5" x14ac:dyDescent="0.25">
      <c r="A70" s="13" t="s">
        <v>959</v>
      </c>
      <c r="B70" s="12" t="s">
        <v>960</v>
      </c>
      <c r="C70" s="3937"/>
      <c r="D70" s="5" t="s">
        <v>1396</v>
      </c>
      <c r="E70" s="3934"/>
    </row>
    <row r="71" spans="1:5" ht="31.5" x14ac:dyDescent="0.25">
      <c r="A71" s="13" t="s">
        <v>961</v>
      </c>
      <c r="B71" s="12" t="s">
        <v>962</v>
      </c>
      <c r="C71" s="3937"/>
      <c r="D71" s="5" t="s">
        <v>1396</v>
      </c>
      <c r="E71" s="3934"/>
    </row>
    <row r="72" spans="1:5" x14ac:dyDescent="0.25">
      <c r="A72" s="13" t="s">
        <v>963</v>
      </c>
      <c r="B72" s="12" t="s">
        <v>964</v>
      </c>
      <c r="C72" s="3937"/>
      <c r="D72" s="5" t="s">
        <v>1396</v>
      </c>
      <c r="E72" s="3934"/>
    </row>
    <row r="73" spans="1:5" ht="47.25" x14ac:dyDescent="0.25">
      <c r="A73" s="13" t="s">
        <v>965</v>
      </c>
      <c r="B73" s="12" t="s">
        <v>966</v>
      </c>
      <c r="C73" s="3937"/>
      <c r="D73" s="5" t="s">
        <v>1396</v>
      </c>
      <c r="E73" s="3934"/>
    </row>
    <row r="74" spans="1:5" ht="63" x14ac:dyDescent="0.25">
      <c r="A74" s="13" t="s">
        <v>967</v>
      </c>
      <c r="B74" s="12" t="s">
        <v>968</v>
      </c>
      <c r="C74" s="3937"/>
      <c r="D74" s="5" t="s">
        <v>1396</v>
      </c>
      <c r="E74" s="3934"/>
    </row>
    <row r="75" spans="1:5" ht="63" x14ac:dyDescent="0.25">
      <c r="A75" s="13" t="s">
        <v>969</v>
      </c>
      <c r="B75" s="12" t="s">
        <v>970</v>
      </c>
      <c r="C75" s="3937"/>
      <c r="D75" s="5" t="s">
        <v>1396</v>
      </c>
      <c r="E75" s="3934"/>
    </row>
    <row r="76" spans="1:5" ht="63" x14ac:dyDescent="0.25">
      <c r="A76" s="13" t="s">
        <v>971</v>
      </c>
      <c r="B76" s="12" t="s">
        <v>972</v>
      </c>
      <c r="C76" s="3937"/>
      <c r="D76" s="5" t="s">
        <v>1396</v>
      </c>
      <c r="E76" s="3934"/>
    </row>
    <row r="77" spans="1:5" x14ac:dyDescent="0.25">
      <c r="A77" s="11" t="s">
        <v>973</v>
      </c>
      <c r="B77" s="12" t="s">
        <v>772</v>
      </c>
      <c r="C77" s="3937" t="s">
        <v>1014</v>
      </c>
      <c r="E77" s="3934" t="str">
        <f>+IF(D77="x",0,"x")</f>
        <v>x</v>
      </c>
    </row>
    <row r="78" spans="1:5" x14ac:dyDescent="0.25">
      <c r="A78" s="11" t="s">
        <v>1015</v>
      </c>
      <c r="B78" s="12" t="s">
        <v>1085</v>
      </c>
      <c r="C78" s="3937"/>
      <c r="E78" s="3934" t="str">
        <f>+IF(D78="x",0,"x")</f>
        <v>x</v>
      </c>
    </row>
    <row r="79" spans="1:5" x14ac:dyDescent="0.25">
      <c r="A79" s="14">
        <v>2</v>
      </c>
      <c r="B79" s="15" t="s">
        <v>1016</v>
      </c>
      <c r="C79" s="12"/>
      <c r="E79" s="4"/>
    </row>
    <row r="80" spans="1:5" x14ac:dyDescent="0.25">
      <c r="A80" s="13" t="s">
        <v>1017</v>
      </c>
      <c r="B80" s="12" t="s">
        <v>1018</v>
      </c>
      <c r="C80" s="3937" t="s">
        <v>1019</v>
      </c>
      <c r="D80" s="5" t="s">
        <v>1396</v>
      </c>
      <c r="E80" s="3934"/>
    </row>
    <row r="81" spans="1:5" x14ac:dyDescent="0.25">
      <c r="A81" s="13" t="s">
        <v>1020</v>
      </c>
      <c r="B81" s="12" t="s">
        <v>1021</v>
      </c>
      <c r="C81" s="3937"/>
      <c r="D81" s="5" t="s">
        <v>1396</v>
      </c>
      <c r="E81" s="3934"/>
    </row>
    <row r="82" spans="1:5" x14ac:dyDescent="0.25">
      <c r="A82" s="13" t="s">
        <v>1022</v>
      </c>
      <c r="B82" s="12" t="s">
        <v>1023</v>
      </c>
      <c r="C82" s="3937"/>
      <c r="D82" s="5" t="s">
        <v>1396</v>
      </c>
      <c r="E82" s="3934"/>
    </row>
    <row r="83" spans="1:5" ht="31.5" x14ac:dyDescent="0.25">
      <c r="A83" s="11" t="s">
        <v>1024</v>
      </c>
      <c r="B83" s="12" t="s">
        <v>1021</v>
      </c>
      <c r="C83" s="12" t="s">
        <v>1025</v>
      </c>
      <c r="E83" s="4" t="str">
        <f>+IF(D83="x",0,"x")</f>
        <v>x</v>
      </c>
    </row>
    <row r="84" spans="1:5" ht="31.5" x14ac:dyDescent="0.25">
      <c r="A84" s="13" t="s">
        <v>1026</v>
      </c>
      <c r="B84" s="12" t="s">
        <v>1027</v>
      </c>
      <c r="C84" s="12" t="s">
        <v>1028</v>
      </c>
      <c r="D84" s="5" t="s">
        <v>1396</v>
      </c>
      <c r="E84" s="4"/>
    </row>
    <row r="85" spans="1:5" x14ac:dyDescent="0.25">
      <c r="A85" s="11" t="s">
        <v>1029</v>
      </c>
      <c r="B85" s="12" t="s">
        <v>1030</v>
      </c>
      <c r="C85" s="3937" t="s">
        <v>1031</v>
      </c>
      <c r="E85" s="3934" t="str">
        <f>+IF(D85="x",0,"x")</f>
        <v>x</v>
      </c>
    </row>
    <row r="86" spans="1:5" x14ac:dyDescent="0.25">
      <c r="A86" s="11" t="s">
        <v>1032</v>
      </c>
      <c r="B86" s="12" t="s">
        <v>1021</v>
      </c>
      <c r="C86" s="3937"/>
      <c r="E86" s="3934" t="str">
        <f>+IF(D86="x",0,"x")</f>
        <v>x</v>
      </c>
    </row>
    <row r="87" spans="1:5" x14ac:dyDescent="0.25">
      <c r="A87" s="11" t="s">
        <v>1033</v>
      </c>
      <c r="B87" s="12" t="s">
        <v>1034</v>
      </c>
      <c r="C87" s="3937"/>
      <c r="E87" s="3934" t="str">
        <f>+IF(D87="x",0,"x")</f>
        <v>x</v>
      </c>
    </row>
    <row r="88" spans="1:5" x14ac:dyDescent="0.25">
      <c r="A88" s="8" t="s">
        <v>1035</v>
      </c>
      <c r="B88" s="9" t="s">
        <v>1036</v>
      </c>
      <c r="C88" s="10"/>
      <c r="E88" s="20"/>
    </row>
    <row r="89" spans="1:5" ht="47.25" x14ac:dyDescent="0.25">
      <c r="A89" s="13" t="s">
        <v>1037</v>
      </c>
      <c r="B89" s="12" t="s">
        <v>1038</v>
      </c>
      <c r="C89" s="3937" t="s">
        <v>1039</v>
      </c>
      <c r="D89" s="5" t="s">
        <v>1396</v>
      </c>
      <c r="E89" s="3934"/>
    </row>
    <row r="90" spans="1:5" ht="47.25" x14ac:dyDescent="0.25">
      <c r="A90" s="13" t="s">
        <v>1040</v>
      </c>
      <c r="B90" s="12" t="s">
        <v>1370</v>
      </c>
      <c r="C90" s="3937"/>
      <c r="D90" s="5" t="s">
        <v>1396</v>
      </c>
      <c r="E90" s="3934"/>
    </row>
    <row r="91" spans="1:5" x14ac:dyDescent="0.25">
      <c r="A91" s="11" t="s">
        <v>1371</v>
      </c>
      <c r="B91" s="12" t="s">
        <v>1372</v>
      </c>
      <c r="C91" s="3937" t="s">
        <v>1373</v>
      </c>
      <c r="E91" s="3934" t="str">
        <f t="shared" ref="E91:E101" si="2">+IF(D91="x",0,"x")</f>
        <v>x</v>
      </c>
    </row>
    <row r="92" spans="1:5" x14ac:dyDescent="0.25">
      <c r="A92" s="11" t="s">
        <v>1374</v>
      </c>
      <c r="B92" s="12" t="s">
        <v>1497</v>
      </c>
      <c r="C92" s="3937"/>
      <c r="E92" s="3934" t="str">
        <f t="shared" si="2"/>
        <v>x</v>
      </c>
    </row>
    <row r="93" spans="1:5" x14ac:dyDescent="0.25">
      <c r="A93" s="11" t="s">
        <v>1498</v>
      </c>
      <c r="B93" s="12" t="s">
        <v>1499</v>
      </c>
      <c r="C93" s="3937"/>
      <c r="E93" s="3934" t="str">
        <f t="shared" si="2"/>
        <v>x</v>
      </c>
    </row>
    <row r="94" spans="1:5" ht="31.5" x14ac:dyDescent="0.25">
      <c r="A94" s="11" t="s">
        <v>1500</v>
      </c>
      <c r="B94" s="12" t="s">
        <v>1041</v>
      </c>
      <c r="C94" s="3937" t="s">
        <v>1042</v>
      </c>
      <c r="E94" s="3934" t="str">
        <f t="shared" si="2"/>
        <v>x</v>
      </c>
    </row>
    <row r="95" spans="1:5" ht="31.5" x14ac:dyDescent="0.25">
      <c r="A95" s="11" t="s">
        <v>1043</v>
      </c>
      <c r="B95" s="12" t="s">
        <v>1044</v>
      </c>
      <c r="C95" s="3937"/>
      <c r="E95" s="3934" t="str">
        <f t="shared" si="2"/>
        <v>x</v>
      </c>
    </row>
    <row r="96" spans="1:5" ht="31.5" x14ac:dyDescent="0.25">
      <c r="A96" s="11" t="s">
        <v>1045</v>
      </c>
      <c r="B96" s="12" t="s">
        <v>1046</v>
      </c>
      <c r="C96" s="3937"/>
      <c r="E96" s="3934" t="str">
        <f t="shared" si="2"/>
        <v>x</v>
      </c>
    </row>
    <row r="97" spans="1:5" ht="31.5" x14ac:dyDescent="0.25">
      <c r="A97" s="11" t="s">
        <v>1047</v>
      </c>
      <c r="B97" s="12" t="s">
        <v>1048</v>
      </c>
      <c r="C97" s="3937"/>
      <c r="E97" s="3934" t="str">
        <f t="shared" si="2"/>
        <v>x</v>
      </c>
    </row>
    <row r="98" spans="1:5" x14ac:dyDescent="0.25">
      <c r="A98" s="11" t="s">
        <v>1049</v>
      </c>
      <c r="B98" s="12" t="s">
        <v>1050</v>
      </c>
      <c r="C98" s="3937"/>
      <c r="E98" s="3934" t="str">
        <f t="shared" si="2"/>
        <v>x</v>
      </c>
    </row>
    <row r="99" spans="1:5" ht="31.5" x14ac:dyDescent="0.25">
      <c r="A99" s="11" t="s">
        <v>1051</v>
      </c>
      <c r="B99" s="12" t="s">
        <v>1052</v>
      </c>
      <c r="C99" s="3937"/>
      <c r="E99" s="3934" t="str">
        <f t="shared" si="2"/>
        <v>x</v>
      </c>
    </row>
    <row r="100" spans="1:5" ht="63" x14ac:dyDescent="0.25">
      <c r="A100" s="11" t="s">
        <v>1053</v>
      </c>
      <c r="B100" s="12" t="s">
        <v>1054</v>
      </c>
      <c r="C100" s="16" t="s">
        <v>6</v>
      </c>
      <c r="E100" s="21" t="str">
        <f t="shared" si="2"/>
        <v>x</v>
      </c>
    </row>
    <row r="101" spans="1:5" ht="31.5" x14ac:dyDescent="0.25">
      <c r="A101" s="11" t="s">
        <v>1055</v>
      </c>
      <c r="B101" s="12" t="s">
        <v>1056</v>
      </c>
      <c r="C101" s="12" t="s">
        <v>1394</v>
      </c>
      <c r="E101" s="4" t="str">
        <f t="shared" si="2"/>
        <v>x</v>
      </c>
    </row>
    <row r="102" spans="1:5" x14ac:dyDescent="0.25">
      <c r="A102" s="17"/>
      <c r="B102" s="18"/>
      <c r="C102" s="18"/>
    </row>
    <row r="103" spans="1:5" x14ac:dyDescent="0.25">
      <c r="A103" s="17"/>
      <c r="B103" s="18"/>
      <c r="C103" s="18"/>
    </row>
  </sheetData>
  <autoFilter ref="A4:E101"/>
  <mergeCells count="33">
    <mergeCell ref="E65:E76"/>
    <mergeCell ref="C65:C76"/>
    <mergeCell ref="C77:C78"/>
    <mergeCell ref="C80:C82"/>
    <mergeCell ref="C94:C99"/>
    <mergeCell ref="E94:E99"/>
    <mergeCell ref="E77:E78"/>
    <mergeCell ref="E80:E82"/>
    <mergeCell ref="E85:E87"/>
    <mergeCell ref="E89:E90"/>
    <mergeCell ref="E91:E93"/>
    <mergeCell ref="C85:C87"/>
    <mergeCell ref="C89:C90"/>
    <mergeCell ref="C91:C93"/>
    <mergeCell ref="C60:C62"/>
    <mergeCell ref="C54:C59"/>
    <mergeCell ref="C43:C46"/>
    <mergeCell ref="E54:E59"/>
    <mergeCell ref="E60:E62"/>
    <mergeCell ref="E43:E46"/>
    <mergeCell ref="A1:E1"/>
    <mergeCell ref="E6:E8"/>
    <mergeCell ref="E11:E12"/>
    <mergeCell ref="A3:C3"/>
    <mergeCell ref="C6:C8"/>
    <mergeCell ref="C11:C12"/>
    <mergeCell ref="A2:E2"/>
    <mergeCell ref="E24:E33"/>
    <mergeCell ref="E48:E50"/>
    <mergeCell ref="E36:E38"/>
    <mergeCell ref="C24:C33"/>
    <mergeCell ref="C48:C50"/>
    <mergeCell ref="C36:C38"/>
  </mergeCells>
  <phoneticPr fontId="70" type="noConversion"/>
  <hyperlinks>
    <hyperlink ref="A6" location="'01'!A1" display="Mẫu biểu số 01:"/>
    <hyperlink ref="A7" location="'02'!A1" display="Mẫu biểu số 02:"/>
    <hyperlink ref="A8" location="'03'!A1" display="Mẫu biểu số 03:"/>
    <hyperlink ref="A9" location="'04'!A1" display="Mẫu biểu số 04:"/>
    <hyperlink ref="A11" location="'05'!A1" display="Mẫu biểu số 05:"/>
    <hyperlink ref="A12" location="'06'!A1" display="Mẫu biểu số 06:"/>
    <hyperlink ref="A13" location="'07'!A1" display="Mẫu biểu số 07:"/>
    <hyperlink ref="A14" location="'08'!A1" display="Mẫu biểu số 08:"/>
    <hyperlink ref="A15" location="'09'!A1" display="Mẫu biểu số 09:"/>
    <hyperlink ref="A17" location="'11.1'!A1" display="Mẫu biểu số 11.1:"/>
    <hyperlink ref="A18" location="'11.2'!A1" display="Mẫu biểu số 11.2:"/>
    <hyperlink ref="A19" location="'12.1'!A1" display="Mẫu biểu số 12.1:"/>
    <hyperlink ref="A20" location="'12.2'!A1" display="Mẫu biểu số 12.2"/>
    <hyperlink ref="A21" location="'12.3'!A1" display="Mẫu biểu số 12.3:"/>
    <hyperlink ref="A22" location="'12.4'!A1" display="Mẫu biểu số 12.4:"/>
    <hyperlink ref="A23" location="'12.5'!A1" display="Mẫu biểu số 12.5:"/>
    <hyperlink ref="A24" location="'13.1'!A1" display="Mẫu biểu số 13.1:"/>
    <hyperlink ref="A25" location="'13.2'!A1" display="Mẫu biểu số 13.2:"/>
    <hyperlink ref="A26" location="'13.3'!A1" display="Mẫu biểu số 13.3:"/>
    <hyperlink ref="A27" location="'13.4'!A1" display="Mẫu biểu số 13.4:"/>
    <hyperlink ref="A28" location="'13.5'!A1" display="Mẫu biểu số 13.5:"/>
    <hyperlink ref="A29" location="'13.6'!A1" display="Mẫu biểu số 13.6:"/>
    <hyperlink ref="A30" location="'13.7'!A1" display="Mẫu biểu số 13.7:"/>
    <hyperlink ref="A31" location="'13.8'!A1" display="Mẫu biểu số 13.8:"/>
    <hyperlink ref="A32" location="'13.9'!A1" display="Mẫu biểu số 13.9:"/>
    <hyperlink ref="A33" location="'13.10'!A1" display="Mẫu biểu số 13.10:"/>
    <hyperlink ref="A34" location="'13.11'!A1" display="Mẫu biểu số 13.11:"/>
    <hyperlink ref="A35" location="'13.12'!A1" display="Mẫu biểu số 13.12:"/>
    <hyperlink ref="A36" location="'14'!A1" display="Mẫu biểu số 14:"/>
    <hyperlink ref="A37" location="'15.1'!A1" display="Mẫu biểu số 15.1:"/>
    <hyperlink ref="A38" location="'15.2'!A1" display="Mẫu biểu số 15.2:"/>
    <hyperlink ref="A41" location="'18'!A1" display="Mẫu biểu số 18:"/>
    <hyperlink ref="A48" location="'23'!A1" display="Mẫu biểu số 23:"/>
    <hyperlink ref="A49" location="'24'!A1" display="Mẫu biểu số 24:"/>
    <hyperlink ref="A50" location="'25'!A1" display="Mẫu biểu số 25:"/>
    <hyperlink ref="A51" location="'26'!A1" display="Mẫu biểu số 26:"/>
    <hyperlink ref="A52" location="'27'!A1" display="Mẫu biểu số 27:"/>
    <hyperlink ref="A54" location="'28'!A1" display="Mẫu biểu số 28:"/>
    <hyperlink ref="A55" location="'29.1'!A1" display="Mẫu biểu số 29.1:"/>
    <hyperlink ref="A56" location="'29.2'!A1" display="Mẫu biểu số 29.2:"/>
    <hyperlink ref="A57" location="'30'!A1" display="Mẫu biểu số 30:"/>
    <hyperlink ref="A58" location="'31'!A1" display="Mẫu biểu số 31:"/>
    <hyperlink ref="A59" location="'32'!A1" display="Mẫu biểu số 32:"/>
    <hyperlink ref="A60" location="'33'!A1" display="Mẫu biểu số 33:"/>
    <hyperlink ref="A61" location="'34'!A1" display="Mẫu biểu số 34:"/>
    <hyperlink ref="A62" location="'35'!A1" display="Mẫu biểu số 35:"/>
    <hyperlink ref="A77" location="'48'!A1" display="Mẫu biểu số 48:"/>
    <hyperlink ref="A78" location="'49'!A1" display="Mẫu biểu số 49:"/>
    <hyperlink ref="A83" location="'53'!A1" display="Mẫu biểu số 53:"/>
    <hyperlink ref="A85" location="'55'!A1" display="Mẫu biểu số 55:"/>
    <hyperlink ref="A86" location="'56'!A1" display="Mẫu biểu số 56:"/>
    <hyperlink ref="A87" location="'57'!A1" display="Mẫu biểu số 57:"/>
    <hyperlink ref="A91" location="'60'!A1" display="Mẫu biểu số 60:"/>
    <hyperlink ref="A92" location="'61'!A1" display="Mẫu biểu số 61:"/>
    <hyperlink ref="A93" location="'62'!A1" display="Mẫu biểu số 62:"/>
    <hyperlink ref="A94" location="'63'!A1" display="Mẫu biểu số 63:"/>
    <hyperlink ref="A95" location="'64'!A1" display="Mẫu biểu số 64:"/>
    <hyperlink ref="A96" location="'65'!A1" display="Mẫu biểu số 65:"/>
    <hyperlink ref="A97" location="'66'!A1" display="Mẫu biểu số 66:"/>
    <hyperlink ref="A98" location="'67'!A1" display="Mẫu biểu số 67:"/>
    <hyperlink ref="A99" location="'68'!A1" display="Mẫu biểu số 68:"/>
    <hyperlink ref="A100" location="'69'!A1" display="Mẫu biểu số 69:"/>
    <hyperlink ref="A101" location="'70'!A1" display="Mẫu biểu số 70:"/>
    <hyperlink ref="A16" location="'10'!A1" display="Mẫu biểu số 10:"/>
  </hyperlinks>
  <pageMargins left="0.55118110236220474" right="0.25" top="0.51181102362204722" bottom="0.27559055118110237" header="0.31496062992125984" footer="0.23622047244094491"/>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63"/>
  <sheetViews>
    <sheetView topLeftCell="A4" workbookViewId="0">
      <selection activeCell="E2" sqref="E2"/>
    </sheetView>
  </sheetViews>
  <sheetFormatPr defaultColWidth="9.140625" defaultRowHeight="12.75" x14ac:dyDescent="0.2"/>
  <cols>
    <col min="1" max="1" width="6.42578125" style="1101" customWidth="1"/>
    <col min="2" max="2" width="63.140625" style="1101" customWidth="1"/>
    <col min="3" max="3" width="23.7109375" style="1101" customWidth="1"/>
    <col min="4" max="4" width="21" style="1101" customWidth="1"/>
    <col min="5" max="5" width="16" style="1101" customWidth="1"/>
    <col min="6" max="6" width="9.85546875" style="1101" customWidth="1"/>
    <col min="7" max="7" width="9.140625" style="1101"/>
    <col min="8" max="8" width="18.42578125" style="1101" customWidth="1"/>
    <col min="9" max="9" width="8.85546875" style="1101" customWidth="1"/>
    <col min="10" max="10" width="10.7109375" style="1101" customWidth="1"/>
    <col min="11" max="11" width="13" style="1101" customWidth="1"/>
    <col min="12" max="16384" width="9.140625" style="1101"/>
  </cols>
  <sheetData>
    <row r="1" spans="1:15" x14ac:dyDescent="0.2">
      <c r="E1" s="301" t="s">
        <v>2552</v>
      </c>
    </row>
    <row r="2" spans="1:15" ht="26.25" customHeight="1" x14ac:dyDescent="0.2">
      <c r="A2" s="1102" t="s">
        <v>2359</v>
      </c>
      <c r="B2" s="1102"/>
      <c r="C2" s="1102"/>
      <c r="D2" s="1102"/>
      <c r="E2" s="1102"/>
    </row>
    <row r="3" spans="1:15" ht="26.25" customHeight="1" x14ac:dyDescent="0.2">
      <c r="A3" s="4042" t="str">
        <f>'Tiền đất2020'!A4:T4</f>
        <v>(Kèm theo Quyết định số         /QĐ-UBND ngày      tháng 4 năm 2026 của UBND xã Phong Quang)</v>
      </c>
      <c r="B3" s="4042"/>
      <c r="C3" s="4042"/>
      <c r="D3" s="4042"/>
      <c r="E3" s="4042"/>
    </row>
    <row r="4" spans="1:15" ht="15.75" x14ac:dyDescent="0.2">
      <c r="E4" s="1103" t="s">
        <v>147</v>
      </c>
    </row>
    <row r="5" spans="1:15" s="1106" customFormat="1" ht="29.25" customHeight="1" x14ac:dyDescent="0.25">
      <c r="A5" s="1104" t="s">
        <v>844</v>
      </c>
      <c r="B5" s="1104" t="s">
        <v>845</v>
      </c>
      <c r="C5" s="1104" t="s">
        <v>2360</v>
      </c>
      <c r="D5" s="1104" t="s">
        <v>2361</v>
      </c>
      <c r="E5" s="1105" t="s">
        <v>706</v>
      </c>
    </row>
    <row r="6" spans="1:15" s="1112" customFormat="1" ht="15" x14ac:dyDescent="0.25">
      <c r="A6" s="1107"/>
      <c r="B6" s="1108" t="s">
        <v>2362</v>
      </c>
      <c r="C6" s="1109"/>
      <c r="D6" s="1109"/>
      <c r="E6" s="1110"/>
      <c r="F6" s="1111"/>
      <c r="G6" s="1111"/>
      <c r="H6" s="1111"/>
    </row>
    <row r="7" spans="1:15" s="1118" customFormat="1" ht="14.25" x14ac:dyDescent="0.2">
      <c r="A7" s="1113"/>
      <c r="B7" s="1114" t="s">
        <v>2363</v>
      </c>
      <c r="C7" s="1115" t="s">
        <v>2364</v>
      </c>
      <c r="D7" s="1115"/>
      <c r="E7" s="1116">
        <v>5325.0349999999999</v>
      </c>
      <c r="F7" s="1117"/>
      <c r="G7" s="1117"/>
      <c r="H7" s="1117"/>
    </row>
    <row r="8" spans="1:15" s="1112" customFormat="1" ht="15" x14ac:dyDescent="0.25">
      <c r="A8" s="1119"/>
      <c r="B8" s="1120" t="s">
        <v>2365</v>
      </c>
      <c r="C8" s="735"/>
      <c r="D8" s="735"/>
      <c r="E8" s="1121"/>
      <c r="F8" s="1111"/>
      <c r="G8" s="1111"/>
      <c r="H8" s="1111"/>
    </row>
    <row r="9" spans="1:15" s="1106" customFormat="1" ht="15" x14ac:dyDescent="0.25">
      <c r="A9" s="1122" t="s">
        <v>1317</v>
      </c>
      <c r="B9" s="1123" t="s">
        <v>2366</v>
      </c>
      <c r="C9" s="1123"/>
      <c r="D9" s="1123"/>
      <c r="E9" s="1124">
        <f>SUM(E7:E8)</f>
        <v>5325.0349999999999</v>
      </c>
      <c r="F9" s="1125"/>
      <c r="G9" s="1125"/>
      <c r="H9" s="1125"/>
      <c r="I9" s="1126"/>
      <c r="J9" s="1126"/>
      <c r="K9" s="1126"/>
      <c r="L9" s="1126"/>
      <c r="M9" s="1126"/>
      <c r="N9" s="1126"/>
      <c r="O9" s="1126"/>
    </row>
    <row r="10" spans="1:15" s="1112" customFormat="1" ht="15" x14ac:dyDescent="0.25">
      <c r="A10" s="1119">
        <v>1</v>
      </c>
      <c r="B10" s="1127" t="s">
        <v>2367</v>
      </c>
      <c r="C10" s="1127"/>
      <c r="D10" s="1127"/>
      <c r="E10" s="1128">
        <f>SUM(E11:E48)</f>
        <v>3566.0464990000005</v>
      </c>
      <c r="F10" s="1111"/>
      <c r="G10" s="1111"/>
      <c r="H10" s="1111"/>
    </row>
    <row r="11" spans="1:15" s="1112" customFormat="1" ht="30" x14ac:dyDescent="0.25">
      <c r="A11" s="1119">
        <v>2</v>
      </c>
      <c r="B11" s="1127" t="s">
        <v>2368</v>
      </c>
      <c r="C11" s="1127" t="s">
        <v>2369</v>
      </c>
      <c r="D11" s="1127" t="s">
        <v>2370</v>
      </c>
      <c r="E11" s="1129">
        <v>153.75</v>
      </c>
      <c r="F11" s="1111"/>
      <c r="G11" s="1111"/>
      <c r="H11" s="1111"/>
    </row>
    <row r="12" spans="1:15" s="1132" customFormat="1" ht="30" x14ac:dyDescent="0.25">
      <c r="A12" s="1119">
        <v>3</v>
      </c>
      <c r="B12" s="1127" t="s">
        <v>2371</v>
      </c>
      <c r="C12" s="1130" t="s">
        <v>2372</v>
      </c>
      <c r="D12" s="1127" t="s">
        <v>2370</v>
      </c>
      <c r="E12" s="1131">
        <v>79.5</v>
      </c>
    </row>
    <row r="13" spans="1:15" s="1135" customFormat="1" ht="45" x14ac:dyDescent="0.25">
      <c r="A13" s="1119">
        <v>4</v>
      </c>
      <c r="B13" s="1127" t="s">
        <v>2373</v>
      </c>
      <c r="C13" s="1133" t="s">
        <v>2374</v>
      </c>
      <c r="D13" s="1127" t="s">
        <v>2370</v>
      </c>
      <c r="E13" s="1134">
        <v>162.5</v>
      </c>
      <c r="H13" s="1186"/>
    </row>
    <row r="14" spans="1:15" s="1135" customFormat="1" ht="31.5" x14ac:dyDescent="0.25">
      <c r="A14" s="1119">
        <v>5</v>
      </c>
      <c r="B14" s="1127" t="s">
        <v>2375</v>
      </c>
      <c r="C14" s="1136" t="s">
        <v>2376</v>
      </c>
      <c r="D14" s="1136" t="s">
        <v>2377</v>
      </c>
      <c r="E14" s="1134">
        <v>79.52</v>
      </c>
    </row>
    <row r="15" spans="1:15" s="1135" customFormat="1" ht="31.5" x14ac:dyDescent="0.25">
      <c r="A15" s="1119">
        <v>6</v>
      </c>
      <c r="B15" s="1127" t="s">
        <v>2378</v>
      </c>
      <c r="C15" s="1136" t="s">
        <v>2376</v>
      </c>
      <c r="D15" s="1136" t="s">
        <v>2379</v>
      </c>
      <c r="E15" s="1137">
        <v>30</v>
      </c>
    </row>
    <row r="16" spans="1:15" s="1135" customFormat="1" ht="31.5" x14ac:dyDescent="0.25">
      <c r="A16" s="1119">
        <v>7</v>
      </c>
      <c r="B16" s="1127" t="s">
        <v>2380</v>
      </c>
      <c r="C16" s="1136" t="s">
        <v>2376</v>
      </c>
      <c r="D16" s="1136" t="s">
        <v>2379</v>
      </c>
      <c r="E16" s="1137">
        <v>30</v>
      </c>
    </row>
    <row r="17" spans="1:7" s="1135" customFormat="1" ht="31.5" x14ac:dyDescent="0.25">
      <c r="A17" s="1119">
        <v>8</v>
      </c>
      <c r="B17" s="1127" t="s">
        <v>2381</v>
      </c>
      <c r="C17" s="1136" t="s">
        <v>2376</v>
      </c>
      <c r="D17" s="1136" t="s">
        <v>2379</v>
      </c>
      <c r="E17" s="1137">
        <v>398.00949900000001</v>
      </c>
    </row>
    <row r="18" spans="1:7" s="1135" customFormat="1" ht="31.5" x14ac:dyDescent="0.25">
      <c r="A18" s="1119">
        <v>9</v>
      </c>
      <c r="B18" s="1127" t="s">
        <v>2382</v>
      </c>
      <c r="C18" s="1133" t="s">
        <v>2383</v>
      </c>
      <c r="D18" s="1136" t="s">
        <v>1822</v>
      </c>
      <c r="E18" s="1137">
        <v>283.8</v>
      </c>
    </row>
    <row r="19" spans="1:7" s="1135" customFormat="1" ht="31.5" x14ac:dyDescent="0.25">
      <c r="A19" s="1119">
        <v>10</v>
      </c>
      <c r="B19" s="1127" t="s">
        <v>2384</v>
      </c>
      <c r="C19" s="1133" t="s">
        <v>2383</v>
      </c>
      <c r="D19" s="1136" t="s">
        <v>1822</v>
      </c>
      <c r="E19" s="1137">
        <v>207.6</v>
      </c>
      <c r="G19" s="1186"/>
    </row>
    <row r="20" spans="1:7" s="1135" customFormat="1" ht="31.5" x14ac:dyDescent="0.25">
      <c r="A20" s="1119">
        <v>11</v>
      </c>
      <c r="B20" s="1127" t="s">
        <v>2385</v>
      </c>
      <c r="C20" s="1133" t="s">
        <v>2383</v>
      </c>
      <c r="D20" s="1136" t="s">
        <v>1822</v>
      </c>
      <c r="E20" s="1137">
        <v>89.6</v>
      </c>
    </row>
    <row r="21" spans="1:7" s="1135" customFormat="1" ht="45" x14ac:dyDescent="0.25">
      <c r="A21" s="1119">
        <v>12</v>
      </c>
      <c r="B21" s="1127" t="s">
        <v>2386</v>
      </c>
      <c r="C21" s="1133" t="s">
        <v>2383</v>
      </c>
      <c r="D21" s="1136" t="s">
        <v>1822</v>
      </c>
      <c r="E21" s="1137">
        <v>800</v>
      </c>
    </row>
    <row r="22" spans="1:7" s="1135" customFormat="1" ht="30" x14ac:dyDescent="0.25">
      <c r="A22" s="1119">
        <v>13</v>
      </c>
      <c r="B22" s="1127" t="s">
        <v>2387</v>
      </c>
      <c r="C22" s="1133" t="s">
        <v>2388</v>
      </c>
      <c r="D22" s="1136" t="s">
        <v>2389</v>
      </c>
      <c r="E22" s="1187">
        <v>3.06</v>
      </c>
    </row>
    <row r="23" spans="1:7" s="1135" customFormat="1" ht="31.5" x14ac:dyDescent="0.25">
      <c r="A23" s="1119">
        <v>14</v>
      </c>
      <c r="B23" s="1127" t="s">
        <v>2387</v>
      </c>
      <c r="C23" s="1133" t="s">
        <v>2388</v>
      </c>
      <c r="D23" s="1136" t="s">
        <v>2133</v>
      </c>
      <c r="E23" s="1187">
        <v>1.34</v>
      </c>
    </row>
    <row r="24" spans="1:7" s="1135" customFormat="1" ht="31.5" x14ac:dyDescent="0.25">
      <c r="A24" s="1119">
        <v>15</v>
      </c>
      <c r="B24" s="1127" t="s">
        <v>2387</v>
      </c>
      <c r="C24" s="1133" t="s">
        <v>2388</v>
      </c>
      <c r="D24" s="1136" t="s">
        <v>2390</v>
      </c>
      <c r="E24" s="1187">
        <v>1.56</v>
      </c>
    </row>
    <row r="25" spans="1:7" s="1135" customFormat="1" ht="30" x14ac:dyDescent="0.25">
      <c r="A25" s="1119">
        <v>16</v>
      </c>
      <c r="B25" s="1127" t="s">
        <v>2387</v>
      </c>
      <c r="C25" s="1133" t="s">
        <v>2388</v>
      </c>
      <c r="D25" s="1136" t="s">
        <v>2391</v>
      </c>
      <c r="E25" s="1187">
        <v>6.88</v>
      </c>
    </row>
    <row r="26" spans="1:7" s="1135" customFormat="1" ht="30" x14ac:dyDescent="0.25">
      <c r="A26" s="1119">
        <v>17</v>
      </c>
      <c r="B26" s="1127" t="s">
        <v>2387</v>
      </c>
      <c r="C26" s="1133" t="s">
        <v>2388</v>
      </c>
      <c r="D26" s="1136" t="s">
        <v>2392</v>
      </c>
      <c r="E26" s="1187">
        <v>0.75</v>
      </c>
    </row>
    <row r="27" spans="1:7" s="1135" customFormat="1" ht="30" x14ac:dyDescent="0.25">
      <c r="A27" s="1119">
        <v>18</v>
      </c>
      <c r="B27" s="1127" t="s">
        <v>2387</v>
      </c>
      <c r="C27" s="1133" t="s">
        <v>2388</v>
      </c>
      <c r="D27" s="1136" t="s">
        <v>2393</v>
      </c>
      <c r="E27" s="1187">
        <v>3.0030000000000001</v>
      </c>
    </row>
    <row r="28" spans="1:7" s="1135" customFormat="1" ht="31.5" x14ac:dyDescent="0.25">
      <c r="A28" s="1119">
        <v>19</v>
      </c>
      <c r="B28" s="1127" t="s">
        <v>2387</v>
      </c>
      <c r="C28" s="1133" t="s">
        <v>2388</v>
      </c>
      <c r="D28" s="1136" t="s">
        <v>2394</v>
      </c>
      <c r="E28" s="1187">
        <v>4.6760000000000002</v>
      </c>
    </row>
    <row r="29" spans="1:7" s="1135" customFormat="1" ht="31.5" x14ac:dyDescent="0.25">
      <c r="A29" s="1119">
        <v>20</v>
      </c>
      <c r="B29" s="1127" t="s">
        <v>2387</v>
      </c>
      <c r="C29" s="1133" t="s">
        <v>2388</v>
      </c>
      <c r="D29" s="1136" t="s">
        <v>2395</v>
      </c>
      <c r="E29" s="1187">
        <v>10.1</v>
      </c>
    </row>
    <row r="30" spans="1:7" s="1135" customFormat="1" ht="45" x14ac:dyDescent="0.25">
      <c r="A30" s="1138"/>
      <c r="B30" s="1127" t="s">
        <v>2396</v>
      </c>
      <c r="C30" s="1133" t="s">
        <v>2397</v>
      </c>
      <c r="D30" s="1136" t="s">
        <v>2398</v>
      </c>
      <c r="E30" s="1137">
        <v>18.658000000000001</v>
      </c>
    </row>
    <row r="31" spans="1:7" s="1135" customFormat="1" ht="45" x14ac:dyDescent="0.25">
      <c r="A31" s="1138"/>
      <c r="B31" s="1127" t="s">
        <v>2396</v>
      </c>
      <c r="C31" s="1133" t="s">
        <v>2397</v>
      </c>
      <c r="D31" s="1136" t="s">
        <v>2394</v>
      </c>
      <c r="E31" s="1137">
        <v>92.605999999999995</v>
      </c>
    </row>
    <row r="32" spans="1:7" s="1135" customFormat="1" ht="45" x14ac:dyDescent="0.25">
      <c r="A32" s="1138"/>
      <c r="B32" s="1127" t="s">
        <v>2396</v>
      </c>
      <c r="C32" s="1133" t="s">
        <v>2397</v>
      </c>
      <c r="D32" s="1136" t="s">
        <v>2136</v>
      </c>
      <c r="E32" s="1137">
        <v>183.42599999999999</v>
      </c>
    </row>
    <row r="33" spans="1:5" s="1135" customFormat="1" ht="45" x14ac:dyDescent="0.25">
      <c r="A33" s="1138"/>
      <c r="B33" s="1127" t="s">
        <v>2396</v>
      </c>
      <c r="C33" s="1133" t="s">
        <v>2397</v>
      </c>
      <c r="D33" s="1136" t="s">
        <v>2389</v>
      </c>
      <c r="E33" s="1137">
        <v>24.282</v>
      </c>
    </row>
    <row r="34" spans="1:5" s="1135" customFormat="1" ht="45" x14ac:dyDescent="0.25">
      <c r="A34" s="1138"/>
      <c r="B34" s="1127" t="s">
        <v>2396</v>
      </c>
      <c r="C34" s="1133" t="s">
        <v>2397</v>
      </c>
      <c r="D34" s="1136" t="s">
        <v>2392</v>
      </c>
      <c r="E34" s="1137">
        <v>94.885999999999996</v>
      </c>
    </row>
    <row r="35" spans="1:5" s="1135" customFormat="1" ht="45" x14ac:dyDescent="0.25">
      <c r="A35" s="1138"/>
      <c r="B35" s="1127" t="s">
        <v>2396</v>
      </c>
      <c r="C35" s="1133" t="s">
        <v>2397</v>
      </c>
      <c r="D35" s="1136" t="s">
        <v>2393</v>
      </c>
      <c r="E35" s="1137">
        <v>107.958</v>
      </c>
    </row>
    <row r="36" spans="1:5" s="1135" customFormat="1" ht="45" x14ac:dyDescent="0.25">
      <c r="A36" s="1138"/>
      <c r="B36" s="1127" t="s">
        <v>2396</v>
      </c>
      <c r="C36" s="1133" t="s">
        <v>2397</v>
      </c>
      <c r="D36" s="1136" t="s">
        <v>2399</v>
      </c>
      <c r="E36" s="1137">
        <v>20.367999999999999</v>
      </c>
    </row>
    <row r="37" spans="1:5" s="1135" customFormat="1" ht="45" x14ac:dyDescent="0.25">
      <c r="A37" s="1138"/>
      <c r="B37" s="1127" t="s">
        <v>2396</v>
      </c>
      <c r="C37" s="1133" t="s">
        <v>2397</v>
      </c>
      <c r="D37" s="1136" t="s">
        <v>2400</v>
      </c>
      <c r="E37" s="1137">
        <v>70.793999999999997</v>
      </c>
    </row>
    <row r="38" spans="1:5" s="1135" customFormat="1" ht="45" x14ac:dyDescent="0.25">
      <c r="A38" s="1138"/>
      <c r="B38" s="1127" t="s">
        <v>2396</v>
      </c>
      <c r="C38" s="1133" t="s">
        <v>2397</v>
      </c>
      <c r="D38" s="1136" t="s">
        <v>2401</v>
      </c>
      <c r="E38" s="1137">
        <v>46.55</v>
      </c>
    </row>
    <row r="39" spans="1:5" s="1135" customFormat="1" ht="45" x14ac:dyDescent="0.25">
      <c r="A39" s="1138"/>
      <c r="B39" s="1127" t="s">
        <v>2396</v>
      </c>
      <c r="C39" s="1133" t="s">
        <v>2397</v>
      </c>
      <c r="D39" s="1136" t="s">
        <v>2133</v>
      </c>
      <c r="E39" s="1137">
        <v>13.337999999999999</v>
      </c>
    </row>
    <row r="40" spans="1:5" s="1135" customFormat="1" ht="45" x14ac:dyDescent="0.25">
      <c r="A40" s="1138"/>
      <c r="B40" s="1127" t="s">
        <v>2396</v>
      </c>
      <c r="C40" s="1133" t="s">
        <v>2397</v>
      </c>
      <c r="D40" s="1136" t="s">
        <v>2134</v>
      </c>
      <c r="E40" s="1137">
        <v>30.475999999999999</v>
      </c>
    </row>
    <row r="41" spans="1:5" s="1135" customFormat="1" ht="45" x14ac:dyDescent="0.25">
      <c r="A41" s="1138"/>
      <c r="B41" s="1127" t="s">
        <v>2396</v>
      </c>
      <c r="C41" s="1133" t="s">
        <v>2397</v>
      </c>
      <c r="D41" s="1136" t="s">
        <v>2402</v>
      </c>
      <c r="E41" s="1137">
        <v>3.42</v>
      </c>
    </row>
    <row r="42" spans="1:5" s="1135" customFormat="1" ht="45" x14ac:dyDescent="0.25">
      <c r="A42" s="1138"/>
      <c r="B42" s="1127" t="s">
        <v>2396</v>
      </c>
      <c r="C42" s="1133" t="s">
        <v>2397</v>
      </c>
      <c r="D42" s="1136" t="s">
        <v>2390</v>
      </c>
      <c r="E42" s="1137">
        <v>9.1959999999999997</v>
      </c>
    </row>
    <row r="43" spans="1:5" s="1135" customFormat="1" ht="45" x14ac:dyDescent="0.25">
      <c r="A43" s="1138"/>
      <c r="B43" s="1127" t="s">
        <v>2396</v>
      </c>
      <c r="C43" s="1133" t="s">
        <v>2397</v>
      </c>
      <c r="D43" s="1136" t="s">
        <v>2395</v>
      </c>
      <c r="E43" s="1137">
        <v>37.923999999999999</v>
      </c>
    </row>
    <row r="44" spans="1:5" s="1135" customFormat="1" ht="45" x14ac:dyDescent="0.25">
      <c r="A44" s="1138"/>
      <c r="B44" s="1127" t="s">
        <v>2396</v>
      </c>
      <c r="C44" s="1133" t="s">
        <v>2397</v>
      </c>
      <c r="D44" s="1136" t="s">
        <v>2135</v>
      </c>
      <c r="E44" s="1137">
        <v>32.603999999999999</v>
      </c>
    </row>
    <row r="45" spans="1:5" s="1135" customFormat="1" ht="31.5" x14ac:dyDescent="0.25">
      <c r="A45" s="1138"/>
      <c r="B45" s="1139" t="s">
        <v>2403</v>
      </c>
      <c r="C45" s="1133" t="s">
        <v>2404</v>
      </c>
      <c r="D45" s="1136" t="s">
        <v>2394</v>
      </c>
      <c r="E45" s="1137">
        <v>197.085194</v>
      </c>
    </row>
    <row r="46" spans="1:5" s="1135" customFormat="1" ht="31.5" x14ac:dyDescent="0.25">
      <c r="A46" s="1138"/>
      <c r="B46" s="1139" t="s">
        <v>2405</v>
      </c>
      <c r="C46" s="1133" t="s">
        <v>2404</v>
      </c>
      <c r="D46" s="1136" t="s">
        <v>2394</v>
      </c>
      <c r="E46" s="1137">
        <v>144.42769999999999</v>
      </c>
    </row>
    <row r="47" spans="1:5" s="1135" customFormat="1" ht="31.5" x14ac:dyDescent="0.25">
      <c r="A47" s="1138"/>
      <c r="B47" s="1139" t="s">
        <v>2406</v>
      </c>
      <c r="C47" s="1133" t="s">
        <v>2404</v>
      </c>
      <c r="D47" s="1136" t="s">
        <v>2394</v>
      </c>
      <c r="E47" s="1137">
        <v>56.918500000000002</v>
      </c>
    </row>
    <row r="48" spans="1:5" s="1135" customFormat="1" ht="31.5" x14ac:dyDescent="0.25">
      <c r="A48" s="1138"/>
      <c r="B48" s="1092" t="s">
        <v>2407</v>
      </c>
      <c r="C48" s="1133" t="s">
        <v>2404</v>
      </c>
      <c r="D48" s="1136" t="s">
        <v>1822</v>
      </c>
      <c r="E48" s="1137">
        <v>35.480606000000002</v>
      </c>
    </row>
    <row r="49" spans="1:8" s="1135" customFormat="1" ht="15.75" x14ac:dyDescent="0.25">
      <c r="A49" s="1140"/>
      <c r="B49" s="1141"/>
      <c r="C49" s="1142"/>
      <c r="D49" s="1142"/>
      <c r="E49" s="1143"/>
    </row>
    <row r="50" spans="1:8" s="1126" customFormat="1" ht="15.75" x14ac:dyDescent="0.2">
      <c r="A50" s="1144" t="s">
        <v>1317</v>
      </c>
      <c r="B50" s="1145" t="s">
        <v>2408</v>
      </c>
      <c r="C50" s="1145"/>
      <c r="D50" s="1145"/>
      <c r="E50" s="1146">
        <f>E9-E10</f>
        <v>1758.9885009999994</v>
      </c>
    </row>
    <row r="51" spans="1:8" s="1106" customFormat="1" ht="15.75" x14ac:dyDescent="0.25">
      <c r="A51" s="1147"/>
      <c r="B51" s="1148" t="s">
        <v>2409</v>
      </c>
      <c r="C51" s="1148"/>
      <c r="D51" s="1148"/>
      <c r="E51" s="1149">
        <v>1491.0607</v>
      </c>
    </row>
    <row r="52" spans="1:8" s="1106" customFormat="1" ht="15.75" x14ac:dyDescent="0.25">
      <c r="A52" s="1150"/>
      <c r="B52" s="1151" t="s">
        <v>2410</v>
      </c>
      <c r="C52" s="1151"/>
      <c r="D52" s="1151"/>
      <c r="E52" s="1152">
        <f>E50-E51</f>
        <v>267.92780099999936</v>
      </c>
    </row>
    <row r="53" spans="1:8" s="1106" customFormat="1" ht="18.75" x14ac:dyDescent="0.3">
      <c r="E53" s="1125"/>
      <c r="H53" s="1153"/>
    </row>
    <row r="54" spans="1:8" s="1331" customFormat="1" ht="15" x14ac:dyDescent="0.2">
      <c r="C54" s="4039" t="s">
        <v>2480</v>
      </c>
      <c r="D54" s="4039"/>
      <c r="E54" s="4039"/>
    </row>
    <row r="55" spans="1:8" s="1331" customFormat="1" ht="15.75" x14ac:dyDescent="0.2">
      <c r="C55" s="4040" t="s">
        <v>1442</v>
      </c>
      <c r="D55" s="4040"/>
      <c r="E55" s="4040"/>
    </row>
    <row r="56" spans="1:8" s="1331" customFormat="1" ht="15.75" x14ac:dyDescent="0.2">
      <c r="C56" s="4040" t="s">
        <v>807</v>
      </c>
      <c r="D56" s="4040"/>
      <c r="E56" s="4040"/>
    </row>
    <row r="57" spans="1:8" s="1331" customFormat="1" ht="15.75" x14ac:dyDescent="0.2">
      <c r="C57" s="1332"/>
      <c r="D57" s="1333"/>
      <c r="E57" s="1334"/>
    </row>
    <row r="58" spans="1:8" s="1331" customFormat="1" ht="15.75" x14ac:dyDescent="0.2">
      <c r="C58" s="1332"/>
      <c r="D58" s="1333"/>
      <c r="E58" s="1334"/>
    </row>
    <row r="59" spans="1:8" s="1331" customFormat="1" ht="15.75" x14ac:dyDescent="0.2">
      <c r="C59" s="1332"/>
      <c r="D59" s="1333"/>
      <c r="E59" s="1334"/>
    </row>
    <row r="60" spans="1:8" s="1331" customFormat="1" ht="15.75" x14ac:dyDescent="0.2">
      <c r="C60" s="1332"/>
      <c r="D60" s="1333"/>
      <c r="E60" s="1332"/>
    </row>
    <row r="61" spans="1:8" s="1331" customFormat="1" ht="15.75" x14ac:dyDescent="0.2">
      <c r="C61" s="1332"/>
      <c r="D61" s="1333"/>
      <c r="E61" s="1332"/>
    </row>
    <row r="62" spans="1:8" s="1331" customFormat="1" ht="15" x14ac:dyDescent="0.2">
      <c r="C62" s="1333"/>
      <c r="D62" s="1333"/>
      <c r="E62" s="1333"/>
    </row>
    <row r="63" spans="1:8" s="1331" customFormat="1" ht="15.75" x14ac:dyDescent="0.2">
      <c r="C63" s="4041" t="s">
        <v>808</v>
      </c>
      <c r="D63" s="4041"/>
      <c r="E63" s="4041"/>
    </row>
  </sheetData>
  <mergeCells count="5">
    <mergeCell ref="C54:E54"/>
    <mergeCell ref="C55:E55"/>
    <mergeCell ref="C56:E56"/>
    <mergeCell ref="C63:E63"/>
    <mergeCell ref="A3:E3"/>
  </mergeCells>
  <pageMargins left="0.70866141732283472" right="0.70866141732283472" top="0.74803149606299213" bottom="0.74803149606299213" header="0.31496062992125984" footer="0.31496062992125984"/>
  <pageSetup paperSize="9" scale="65"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25"/>
  <sheetViews>
    <sheetView workbookViewId="0">
      <selection activeCell="O1" sqref="O1"/>
    </sheetView>
  </sheetViews>
  <sheetFormatPr defaultColWidth="9.140625" defaultRowHeight="15" x14ac:dyDescent="0.25"/>
  <cols>
    <col min="1" max="1" width="4.42578125" style="1160" customWidth="1"/>
    <col min="2" max="2" width="29.7109375" style="1158" customWidth="1"/>
    <col min="3" max="3" width="6.42578125" style="1160" customWidth="1"/>
    <col min="4" max="4" width="11.5703125" style="1159" customWidth="1"/>
    <col min="5" max="5" width="7" style="1160" hidden="1" customWidth="1"/>
    <col min="6" max="6" width="15.85546875" style="1160" hidden="1" customWidth="1"/>
    <col min="7" max="7" width="18.42578125" style="1163" hidden="1" customWidth="1"/>
    <col min="8" max="8" width="17.42578125" style="1163" hidden="1" customWidth="1"/>
    <col min="9" max="10" width="16.5703125" style="1163" hidden="1" customWidth="1"/>
    <col min="11" max="11" width="18.5703125" style="1163" customWidth="1"/>
    <col min="12" max="12" width="7" style="1163" customWidth="1"/>
    <col min="13" max="13" width="14.7109375" style="1163" customWidth="1"/>
    <col min="14" max="14" width="10.42578125" style="1162" customWidth="1"/>
    <col min="15" max="15" width="17.7109375" style="1162" customWidth="1"/>
    <col min="16" max="16384" width="9.140625" style="1162"/>
  </cols>
  <sheetData>
    <row r="1" spans="1:15" x14ac:dyDescent="0.25">
      <c r="M1" s="4046" t="s">
        <v>2551</v>
      </c>
      <c r="N1" s="4046"/>
    </row>
    <row r="2" spans="1:15" ht="20.25" customHeight="1" x14ac:dyDescent="0.25">
      <c r="A2" s="4047" t="s">
        <v>2589</v>
      </c>
      <c r="B2" s="4047"/>
      <c r="C2" s="4047"/>
      <c r="D2" s="4047"/>
      <c r="E2" s="4047"/>
      <c r="F2" s="4047"/>
      <c r="G2" s="4047"/>
      <c r="H2" s="4047"/>
      <c r="I2" s="4047"/>
      <c r="J2" s="4047"/>
      <c r="K2" s="4047"/>
      <c r="L2" s="4047"/>
      <c r="M2" s="4047"/>
      <c r="N2" s="4047"/>
    </row>
    <row r="3" spans="1:15" x14ac:dyDescent="0.25">
      <c r="A3" s="4048" t="e">
        <f>#REF!</f>
        <v>#REF!</v>
      </c>
      <c r="B3" s="4049"/>
      <c r="C3" s="4049"/>
      <c r="D3" s="4049"/>
      <c r="E3" s="4049"/>
      <c r="F3" s="4049"/>
      <c r="G3" s="4049"/>
      <c r="H3" s="4049"/>
      <c r="I3" s="4049"/>
      <c r="J3" s="4049"/>
      <c r="K3" s="4049"/>
      <c r="L3" s="4049"/>
      <c r="M3" s="4049"/>
      <c r="N3" s="4049"/>
    </row>
    <row r="4" spans="1:15" x14ac:dyDescent="0.25">
      <c r="A4" s="1400"/>
      <c r="B4" s="1401"/>
      <c r="C4" s="1401"/>
      <c r="D4" s="1401"/>
      <c r="E4" s="1401"/>
      <c r="F4" s="1401"/>
      <c r="G4" s="1401"/>
      <c r="H4" s="1401"/>
      <c r="I4" s="1401"/>
      <c r="J4" s="1401"/>
      <c r="K4" s="1401"/>
      <c r="L4" s="1401"/>
      <c r="M4" s="1401"/>
      <c r="N4" s="1401"/>
    </row>
    <row r="5" spans="1:15" ht="30" x14ac:dyDescent="0.25">
      <c r="G5" s="1161"/>
      <c r="H5" s="1161"/>
      <c r="I5" s="1161"/>
      <c r="J5" s="1161"/>
      <c r="K5" s="1161"/>
      <c r="L5" s="1161"/>
      <c r="M5" s="1161"/>
      <c r="N5" s="1401" t="s">
        <v>2545</v>
      </c>
    </row>
    <row r="6" spans="1:15" x14ac:dyDescent="0.25">
      <c r="G6" s="1161"/>
      <c r="H6" s="1161"/>
      <c r="I6" s="1161"/>
      <c r="J6" s="1161"/>
      <c r="K6" s="1161"/>
      <c r="L6" s="1161"/>
      <c r="M6" s="1161"/>
      <c r="N6" s="1401"/>
    </row>
    <row r="7" spans="1:15" s="1403" customFormat="1" ht="42" customHeight="1" x14ac:dyDescent="0.25">
      <c r="A7" s="1189" t="s">
        <v>844</v>
      </c>
      <c r="B7" s="736" t="s">
        <v>845</v>
      </c>
      <c r="C7" s="1189" t="s">
        <v>1616</v>
      </c>
      <c r="D7" s="1188" t="s">
        <v>1617</v>
      </c>
      <c r="E7" s="1189" t="s">
        <v>1618</v>
      </c>
      <c r="F7" s="1189" t="s">
        <v>1619</v>
      </c>
      <c r="G7" s="1189" t="s">
        <v>2442</v>
      </c>
      <c r="H7" s="1190" t="s">
        <v>2443</v>
      </c>
      <c r="I7" s="1190" t="s">
        <v>2444</v>
      </c>
      <c r="J7" s="1190" t="s">
        <v>2445</v>
      </c>
      <c r="K7" s="1190" t="s">
        <v>2590</v>
      </c>
      <c r="L7" s="1190" t="s">
        <v>1725</v>
      </c>
      <c r="M7" s="1190" t="s">
        <v>2446</v>
      </c>
      <c r="N7" s="1190" t="s">
        <v>915</v>
      </c>
    </row>
    <row r="8" spans="1:15" s="1403" customFormat="1" ht="21" customHeight="1" x14ac:dyDescent="0.25">
      <c r="A8" s="1189"/>
      <c r="B8" s="736"/>
      <c r="C8" s="1189"/>
      <c r="D8" s="1188"/>
      <c r="E8" s="1189"/>
      <c r="F8" s="1189"/>
      <c r="G8" s="1189"/>
      <c r="H8" s="1190"/>
      <c r="I8" s="1190"/>
      <c r="J8" s="1190"/>
      <c r="K8" s="1190"/>
      <c r="L8" s="1190"/>
      <c r="M8" s="1440">
        <f>SUM(M9:M13)</f>
        <v>1098030000</v>
      </c>
      <c r="N8" s="1190"/>
    </row>
    <row r="9" spans="1:15" s="1195" customFormat="1" ht="25.5" x14ac:dyDescent="0.25">
      <c r="A9" s="1431">
        <v>9</v>
      </c>
      <c r="B9" s="1432" t="s">
        <v>2448</v>
      </c>
      <c r="C9" s="1433">
        <v>181</v>
      </c>
      <c r="D9" s="1434">
        <v>43871</v>
      </c>
      <c r="E9" s="1431">
        <v>432</v>
      </c>
      <c r="F9" s="1435"/>
      <c r="G9" s="1436">
        <f>SUM(H9:K9)</f>
        <v>755017000</v>
      </c>
      <c r="H9" s="1437"/>
      <c r="I9" s="1437">
        <v>99907000</v>
      </c>
      <c r="J9" s="1437">
        <v>522376000</v>
      </c>
      <c r="K9" s="1437">
        <v>132734000</v>
      </c>
      <c r="L9" s="1437"/>
      <c r="M9" s="1438">
        <f>K9-L9</f>
        <v>132734000</v>
      </c>
      <c r="N9" s="1439"/>
      <c r="O9" s="1411"/>
    </row>
    <row r="10" spans="1:15" s="1195" customFormat="1" ht="25.5" x14ac:dyDescent="0.25">
      <c r="A10" s="1172">
        <v>27</v>
      </c>
      <c r="B10" s="1198" t="s">
        <v>2449</v>
      </c>
      <c r="C10" s="1199">
        <v>619</v>
      </c>
      <c r="D10" s="1402">
        <v>43930</v>
      </c>
      <c r="E10" s="1172">
        <v>432</v>
      </c>
      <c r="F10" s="1194"/>
      <c r="G10" s="1192">
        <f>SUM(H10:K10)</f>
        <v>1121531000</v>
      </c>
      <c r="H10" s="1196"/>
      <c r="I10" s="1196">
        <v>389323000</v>
      </c>
      <c r="J10" s="1196">
        <v>444134000</v>
      </c>
      <c r="K10" s="1196">
        <v>288074000</v>
      </c>
      <c r="L10" s="1196"/>
      <c r="M10" s="1193">
        <f>K10-L10</f>
        <v>288074000</v>
      </c>
      <c r="N10" s="1173"/>
      <c r="O10" s="1411"/>
    </row>
    <row r="11" spans="1:15" s="1195" customFormat="1" ht="25.5" x14ac:dyDescent="0.25">
      <c r="A11" s="1172">
        <v>54</v>
      </c>
      <c r="B11" s="1198" t="s">
        <v>2450</v>
      </c>
      <c r="C11" s="1199">
        <v>1078</v>
      </c>
      <c r="D11" s="1402" t="s">
        <v>2451</v>
      </c>
      <c r="E11" s="1172">
        <v>432</v>
      </c>
      <c r="F11" s="1194"/>
      <c r="G11" s="1192">
        <f>SUM(H11:K11)</f>
        <v>582709000</v>
      </c>
      <c r="H11" s="1196">
        <v>110915000</v>
      </c>
      <c r="I11" s="1196"/>
      <c r="J11" s="1196">
        <v>386658000</v>
      </c>
      <c r="K11" s="1196">
        <v>85136000</v>
      </c>
      <c r="L11" s="1196"/>
      <c r="M11" s="1193">
        <f>K11-L11</f>
        <v>85136000</v>
      </c>
      <c r="N11" s="1173"/>
      <c r="O11" s="1411"/>
    </row>
    <row r="12" spans="1:15" s="1195" customFormat="1" ht="25.5" x14ac:dyDescent="0.25">
      <c r="A12" s="1172">
        <v>61</v>
      </c>
      <c r="B12" s="1198" t="s">
        <v>2449</v>
      </c>
      <c r="C12" s="1199">
        <v>1340</v>
      </c>
      <c r="D12" s="1402">
        <v>44041</v>
      </c>
      <c r="E12" s="1172">
        <v>432</v>
      </c>
      <c r="F12" s="1194"/>
      <c r="G12" s="1192">
        <f>SUM(H12:K12)</f>
        <v>527924000</v>
      </c>
      <c r="H12" s="1196">
        <v>148330000</v>
      </c>
      <c r="I12" s="1196"/>
      <c r="J12" s="1196"/>
      <c r="K12" s="1196">
        <v>379594000</v>
      </c>
      <c r="L12" s="1196"/>
      <c r="M12" s="1193">
        <f>K12-L12</f>
        <v>379594000</v>
      </c>
      <c r="N12" s="1173"/>
      <c r="O12" s="1411"/>
    </row>
    <row r="13" spans="1:15" s="1195" customFormat="1" ht="38.25" x14ac:dyDescent="0.25">
      <c r="A13" s="1172">
        <v>85</v>
      </c>
      <c r="B13" s="1198" t="s">
        <v>2452</v>
      </c>
      <c r="C13" s="1199">
        <v>1850</v>
      </c>
      <c r="D13" s="1402">
        <v>44117</v>
      </c>
      <c r="E13" s="1172">
        <v>432</v>
      </c>
      <c r="F13" s="1194"/>
      <c r="G13" s="1192">
        <f>SUM(H13:K13)</f>
        <v>212492000</v>
      </c>
      <c r="H13" s="1196"/>
      <c r="I13" s="1196"/>
      <c r="J13" s="1196"/>
      <c r="K13" s="1196">
        <v>212492000</v>
      </c>
      <c r="L13" s="1196"/>
      <c r="M13" s="1193">
        <f>K13-L13</f>
        <v>212492000</v>
      </c>
      <c r="N13" s="1173"/>
      <c r="O13" s="1411"/>
    </row>
    <row r="14" spans="1:15" s="1195" customFormat="1" ht="12.75" x14ac:dyDescent="0.25">
      <c r="A14" s="1202"/>
      <c r="B14" s="1203"/>
      <c r="C14" s="1202"/>
      <c r="D14" s="1204"/>
      <c r="E14" s="1202"/>
      <c r="F14" s="1202"/>
      <c r="G14" s="1205"/>
      <c r="H14" s="1205"/>
      <c r="I14" s="1205"/>
      <c r="J14" s="1205"/>
      <c r="K14" s="1205"/>
      <c r="L14" s="1206"/>
      <c r="M14" s="1205"/>
    </row>
    <row r="16" spans="1:15" x14ac:dyDescent="0.25">
      <c r="L16" s="4043" t="s">
        <v>2480</v>
      </c>
      <c r="M16" s="4043"/>
      <c r="N16" s="4043"/>
    </row>
    <row r="17" spans="12:14" ht="15.75" x14ac:dyDescent="0.25">
      <c r="L17" s="4044" t="s">
        <v>1442</v>
      </c>
      <c r="M17" s="4044"/>
      <c r="N17" s="4044"/>
    </row>
    <row r="18" spans="12:14" ht="15.75" x14ac:dyDescent="0.25">
      <c r="L18" s="4044" t="s">
        <v>807</v>
      </c>
      <c r="M18" s="4044"/>
      <c r="N18" s="4044"/>
    </row>
    <row r="19" spans="12:14" ht="15.75" x14ac:dyDescent="0.25">
      <c r="L19" s="1421"/>
      <c r="M19" s="1422"/>
      <c r="N19" s="1423"/>
    </row>
    <row r="20" spans="12:14" ht="15.75" x14ac:dyDescent="0.25">
      <c r="L20" s="1421"/>
      <c r="M20" s="1422"/>
      <c r="N20" s="1423"/>
    </row>
    <row r="21" spans="12:14" ht="15.75" x14ac:dyDescent="0.25">
      <c r="L21" s="1421"/>
      <c r="M21" s="1422"/>
      <c r="N21" s="1423"/>
    </row>
    <row r="22" spans="12:14" ht="15.75" x14ac:dyDescent="0.25">
      <c r="L22" s="1421"/>
      <c r="M22" s="1422"/>
      <c r="N22" s="1421"/>
    </row>
    <row r="23" spans="12:14" ht="15.75" x14ac:dyDescent="0.25">
      <c r="L23" s="1421"/>
      <c r="M23" s="1422"/>
      <c r="N23" s="1421"/>
    </row>
    <row r="24" spans="12:14" x14ac:dyDescent="0.25">
      <c r="L24" s="1422"/>
      <c r="M24" s="1422"/>
      <c r="N24" s="1422"/>
    </row>
    <row r="25" spans="12:14" ht="15.75" x14ac:dyDescent="0.25">
      <c r="L25" s="4045" t="s">
        <v>808</v>
      </c>
      <c r="M25" s="4045"/>
      <c r="N25" s="4045"/>
    </row>
  </sheetData>
  <mergeCells count="7">
    <mergeCell ref="L16:N16"/>
    <mergeCell ref="L17:N17"/>
    <mergeCell ref="L18:N18"/>
    <mergeCell ref="L25:N25"/>
    <mergeCell ref="M1:N1"/>
    <mergeCell ref="A2:N2"/>
    <mergeCell ref="A3:N3"/>
  </mergeCells>
  <pageMargins left="0.31496062992125984" right="0.31496062992125984" top="0.35433070866141736" bottom="0.35433070866141736" header="0.31496062992125984" footer="0.31496062992125984"/>
  <pageSetup paperSize="9" scale="80"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workbookViewId="0">
      <selection activeCell="N19" sqref="N19"/>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
  <sheetViews>
    <sheetView workbookViewId="0"/>
  </sheetViews>
  <sheetFormatPr defaultRowHeight="15" x14ac:dyDescent="0.2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43"/>
  <sheetViews>
    <sheetView topLeftCell="A14" workbookViewId="0">
      <selection activeCell="G26" sqref="G26"/>
    </sheetView>
  </sheetViews>
  <sheetFormatPr defaultColWidth="9.140625" defaultRowHeight="12.75" x14ac:dyDescent="0.2"/>
  <cols>
    <col min="1" max="1" width="5.42578125" style="1101" customWidth="1"/>
    <col min="2" max="2" width="42.42578125" style="1101" customWidth="1"/>
    <col min="3" max="3" width="26.140625" style="1101" customWidth="1"/>
    <col min="4" max="4" width="20.5703125" style="1164" customWidth="1"/>
    <col min="5" max="6" width="8.7109375" style="1101" hidden="1" customWidth="1"/>
    <col min="7" max="7" width="16.5703125" style="1101" customWidth="1"/>
    <col min="8" max="8" width="19.140625" style="1101" hidden="1" customWidth="1"/>
    <col min="9" max="9" width="70.85546875" style="1101" hidden="1" customWidth="1"/>
    <col min="10" max="10" width="10.7109375" style="1101" hidden="1" customWidth="1"/>
    <col min="11" max="11" width="13" style="1101" hidden="1" customWidth="1"/>
    <col min="12" max="16384" width="9.140625" style="1101"/>
  </cols>
  <sheetData>
    <row r="1" spans="1:15" ht="15.75" x14ac:dyDescent="0.2">
      <c r="E1" s="179"/>
      <c r="G1" s="301" t="s">
        <v>2411</v>
      </c>
    </row>
    <row r="2" spans="1:15" ht="15.75" x14ac:dyDescent="0.2">
      <c r="A2" s="4052" t="s">
        <v>3262</v>
      </c>
      <c r="B2" s="4052"/>
      <c r="C2" s="4052"/>
      <c r="D2" s="4052"/>
      <c r="E2" s="4052"/>
      <c r="F2" s="4052"/>
      <c r="G2" s="4052"/>
    </row>
    <row r="3" spans="1:15" ht="15.75" x14ac:dyDescent="0.2">
      <c r="A3" s="4042" t="str">
        <f>'Biêu so 01 2020'!A3:W3</f>
        <v>(Kèm theo Quyết định số         /QĐ-UBND ngày      tháng 4 năm 2026 của UBND xã Phong Quang)</v>
      </c>
      <c r="B3" s="4042"/>
      <c r="C3" s="4042"/>
      <c r="D3" s="4042"/>
      <c r="E3" s="4042"/>
      <c r="F3" s="4042"/>
      <c r="G3" s="4042"/>
    </row>
    <row r="4" spans="1:15" ht="15.75" x14ac:dyDescent="0.2">
      <c r="D4" s="1165"/>
      <c r="E4" s="1103"/>
      <c r="G4" s="1103" t="s">
        <v>147</v>
      </c>
    </row>
    <row r="5" spans="1:15" s="1106" customFormat="1" ht="42.75" x14ac:dyDescent="0.25">
      <c r="A5" s="1104" t="s">
        <v>844</v>
      </c>
      <c r="B5" s="1104" t="s">
        <v>845</v>
      </c>
      <c r="C5" s="1104" t="s">
        <v>2412</v>
      </c>
      <c r="D5" s="1166" t="s">
        <v>2978</v>
      </c>
      <c r="E5" s="1105" t="s">
        <v>2414</v>
      </c>
      <c r="F5" s="1105" t="s">
        <v>1267</v>
      </c>
      <c r="G5" s="1105" t="s">
        <v>915</v>
      </c>
      <c r="H5" s="1126"/>
      <c r="I5" s="1126"/>
      <c r="J5" s="1126"/>
      <c r="K5" s="1126"/>
      <c r="L5" s="1126"/>
      <c r="M5" s="1126"/>
      <c r="N5" s="1126"/>
      <c r="O5" s="1126"/>
    </row>
    <row r="6" spans="1:15" s="1106" customFormat="1" ht="15" x14ac:dyDescent="0.25">
      <c r="A6" s="1785">
        <v>1</v>
      </c>
      <c r="B6" s="1786" t="s">
        <v>3264</v>
      </c>
      <c r="C6" s="1787"/>
      <c r="D6" s="1788">
        <f>SUM(D7:D9)</f>
        <v>6875.19</v>
      </c>
      <c r="E6" s="1789">
        <f>SUM(E7:E8)</f>
        <v>6521.48</v>
      </c>
      <c r="F6" s="1789">
        <f>SUM(F7:F7)</f>
        <v>0</v>
      </c>
      <c r="G6" s="1789"/>
    </row>
    <row r="7" spans="1:15" s="1106" customFormat="1" ht="15" x14ac:dyDescent="0.25">
      <c r="A7" s="4050"/>
      <c r="B7" s="1790" t="s">
        <v>2415</v>
      </c>
      <c r="C7" s="4053" t="s">
        <v>3057</v>
      </c>
      <c r="D7" s="1791">
        <v>2725</v>
      </c>
      <c r="E7" s="1792">
        <f>D7</f>
        <v>2725</v>
      </c>
      <c r="F7" s="1792"/>
      <c r="G7" s="1792"/>
      <c r="H7" s="1155"/>
      <c r="I7" s="1126"/>
      <c r="J7" s="1126"/>
      <c r="K7" s="1126"/>
      <c r="L7" s="1126"/>
      <c r="M7" s="1126"/>
      <c r="N7" s="1126"/>
      <c r="O7" s="1126"/>
    </row>
    <row r="8" spans="1:15" s="1396" customFormat="1" ht="15" x14ac:dyDescent="0.25">
      <c r="A8" s="4050"/>
      <c r="B8" s="1793" t="s">
        <v>2417</v>
      </c>
      <c r="C8" s="4053"/>
      <c r="D8" s="1794">
        <v>3796.48</v>
      </c>
      <c r="E8" s="1795">
        <f>D8</f>
        <v>3796.48</v>
      </c>
      <c r="F8" s="1795"/>
      <c r="G8" s="1795"/>
      <c r="H8" s="1398">
        <v>765929507</v>
      </c>
    </row>
    <row r="9" spans="1:15" s="1396" customFormat="1" ht="30" x14ac:dyDescent="0.25">
      <c r="A9" s="1796"/>
      <c r="B9" s="1793" t="s">
        <v>2441</v>
      </c>
      <c r="C9" s="1796"/>
      <c r="D9" s="1791">
        <v>353.71</v>
      </c>
      <c r="E9" s="1795"/>
      <c r="F9" s="1795"/>
      <c r="G9" s="1885" t="s">
        <v>3085</v>
      </c>
      <c r="H9" s="1396">
        <f>H8/1000000</f>
        <v>765.92950699999994</v>
      </c>
    </row>
    <row r="10" spans="1:15" s="1106" customFormat="1" ht="15" x14ac:dyDescent="0.25">
      <c r="A10" s="1797">
        <v>2</v>
      </c>
      <c r="B10" s="1798" t="s">
        <v>3421</v>
      </c>
      <c r="C10" s="1799"/>
      <c r="D10" s="1800">
        <f>SUM(D11:D15)</f>
        <v>11255.009</v>
      </c>
      <c r="E10" s="1801">
        <f>SUM(E11:E15)</f>
        <v>9233</v>
      </c>
      <c r="F10" s="1801">
        <f>SUM(F11:F15)</f>
        <v>-404.31</v>
      </c>
      <c r="G10" s="1801"/>
    </row>
    <row r="11" spans="1:15" s="1106" customFormat="1" ht="30" x14ac:dyDescent="0.25">
      <c r="A11" s="4050"/>
      <c r="B11" s="1790" t="s">
        <v>3086</v>
      </c>
      <c r="C11" s="4053" t="s">
        <v>2974</v>
      </c>
      <c r="D11" s="1791">
        <v>5968</v>
      </c>
      <c r="E11" s="1792">
        <f>D11</f>
        <v>5968</v>
      </c>
      <c r="F11" s="1792">
        <f>E11-D11</f>
        <v>0</v>
      </c>
      <c r="G11" s="1802"/>
      <c r="H11" s="1126"/>
      <c r="I11" s="1126"/>
      <c r="J11" s="1126"/>
      <c r="K11" s="1126"/>
      <c r="L11" s="1126"/>
      <c r="M11" s="1126"/>
      <c r="N11" s="1126"/>
      <c r="O11" s="1126"/>
    </row>
    <row r="12" spans="1:15" s="1106" customFormat="1" ht="15" x14ac:dyDescent="0.25">
      <c r="A12" s="4050"/>
      <c r="B12" s="1790" t="s">
        <v>2421</v>
      </c>
      <c r="C12" s="4053"/>
      <c r="D12" s="1791">
        <v>3265</v>
      </c>
      <c r="E12" s="1792">
        <f>D12</f>
        <v>3265</v>
      </c>
      <c r="F12" s="1792">
        <f>E12-D12</f>
        <v>0</v>
      </c>
      <c r="G12" s="1792"/>
      <c r="H12" s="1125"/>
    </row>
    <row r="13" spans="1:15" s="1106" customFormat="1" ht="15" x14ac:dyDescent="0.25">
      <c r="A13" s="1803"/>
      <c r="B13" s="1790" t="s">
        <v>2422</v>
      </c>
      <c r="C13" s="1804" t="s">
        <v>2423</v>
      </c>
      <c r="D13" s="1805">
        <v>99.369</v>
      </c>
      <c r="E13" s="1792"/>
      <c r="F13" s="1792"/>
      <c r="G13" s="1792"/>
      <c r="H13" s="1125"/>
    </row>
    <row r="14" spans="1:15" s="1106" customFormat="1" ht="30" x14ac:dyDescent="0.25">
      <c r="A14" s="1803"/>
      <c r="B14" s="1790" t="s">
        <v>3082</v>
      </c>
      <c r="C14" s="1804" t="s">
        <v>3083</v>
      </c>
      <c r="D14" s="1805">
        <v>1518.33</v>
      </c>
      <c r="E14" s="1792"/>
      <c r="F14" s="1792"/>
      <c r="G14" s="1792"/>
      <c r="H14" s="1125"/>
    </row>
    <row r="15" spans="1:15" s="1396" customFormat="1" ht="15" x14ac:dyDescent="0.25">
      <c r="A15" s="1796"/>
      <c r="B15" s="1793" t="s">
        <v>2424</v>
      </c>
      <c r="C15" s="1796"/>
      <c r="D15" s="1794">
        <v>404.31</v>
      </c>
      <c r="E15" s="1795"/>
      <c r="F15" s="1795">
        <f>E15-D15</f>
        <v>-404.31</v>
      </c>
      <c r="G15" s="1806"/>
      <c r="H15" s="1784">
        <f>D9+D8</f>
        <v>4150.1899999999996</v>
      </c>
      <c r="K15" s="1877">
        <v>1518.33</v>
      </c>
    </row>
    <row r="16" spans="1:15" s="1106" customFormat="1" ht="15" x14ac:dyDescent="0.25">
      <c r="A16" s="1797">
        <v>3</v>
      </c>
      <c r="B16" s="1798" t="s">
        <v>3422</v>
      </c>
      <c r="C16" s="1799"/>
      <c r="D16" s="1800">
        <f>SUM(D17:D18)</f>
        <v>31820.09</v>
      </c>
      <c r="E16" s="1801">
        <f>SUM(E17:E17)</f>
        <v>30126</v>
      </c>
      <c r="F16" s="1801">
        <f ca="1">SUM(F16:F17)</f>
        <v>0</v>
      </c>
      <c r="G16" s="1801"/>
    </row>
    <row r="17" spans="1:15" s="1396" customFormat="1" ht="30" x14ac:dyDescent="0.25">
      <c r="A17" s="1796" t="s">
        <v>174</v>
      </c>
      <c r="B17" s="1793" t="s">
        <v>2977</v>
      </c>
      <c r="C17" s="1793" t="s">
        <v>2974</v>
      </c>
      <c r="D17" s="1794">
        <v>30126</v>
      </c>
      <c r="E17" s="1795">
        <f>D17</f>
        <v>30126</v>
      </c>
      <c r="F17" s="1795"/>
      <c r="G17" s="1795"/>
    </row>
    <row r="18" spans="1:15" s="1396" customFormat="1" ht="30" x14ac:dyDescent="0.25">
      <c r="A18" s="1796" t="s">
        <v>796</v>
      </c>
      <c r="B18" s="1793" t="s">
        <v>3058</v>
      </c>
      <c r="C18" s="1793"/>
      <c r="D18" s="1794">
        <v>1694.09</v>
      </c>
      <c r="E18" s="1795"/>
      <c r="F18" s="1795"/>
      <c r="G18" s="1795"/>
      <c r="H18" s="1404">
        <f>D26-D18</f>
        <v>3796.4799999999996</v>
      </c>
      <c r="I18" s="1399"/>
      <c r="J18" s="1399"/>
      <c r="K18" s="1399"/>
      <c r="L18" s="1399"/>
      <c r="M18" s="1399"/>
      <c r="N18" s="1399"/>
      <c r="O18" s="1399"/>
    </row>
    <row r="19" spans="1:15" s="1106" customFormat="1" ht="15" x14ac:dyDescent="0.25">
      <c r="A19" s="1803"/>
      <c r="B19" s="1790" t="s">
        <v>2428</v>
      </c>
      <c r="C19" s="1807"/>
      <c r="D19" s="1808"/>
      <c r="E19" s="1792"/>
      <c r="F19" s="1792"/>
      <c r="G19" s="1792"/>
      <c r="H19" s="1126"/>
      <c r="I19" s="1126"/>
      <c r="J19" s="1126"/>
      <c r="K19" s="1825">
        <f>'5.30'!E60</f>
        <v>5485.4607139999998</v>
      </c>
      <c r="L19" s="1126"/>
      <c r="M19" s="1126"/>
      <c r="N19" s="1126"/>
      <c r="O19" s="1126"/>
    </row>
    <row r="20" spans="1:15" s="1156" customFormat="1" ht="15" x14ac:dyDescent="0.25">
      <c r="A20" s="1797">
        <v>5</v>
      </c>
      <c r="B20" s="1809" t="s">
        <v>3423</v>
      </c>
      <c r="C20" s="1809"/>
      <c r="D20" s="1800">
        <f>D6+D10+D16+D18+D19</f>
        <v>51644.379000000001</v>
      </c>
      <c r="E20" s="1801">
        <f>E6+E10+E16</f>
        <v>45880.479999999996</v>
      </c>
      <c r="F20" s="1801">
        <f>E20-D20</f>
        <v>-5763.8990000000049</v>
      </c>
      <c r="G20" s="1801"/>
      <c r="H20" s="1394">
        <f>D9+D8+D18</f>
        <v>5844.28</v>
      </c>
      <c r="J20" s="1157"/>
      <c r="K20" s="1826">
        <f>'5.30'!E60</f>
        <v>5485.4607139999998</v>
      </c>
    </row>
    <row r="21" spans="1:15" s="1106" customFormat="1" ht="15" x14ac:dyDescent="0.25">
      <c r="A21" s="1797">
        <v>5</v>
      </c>
      <c r="B21" s="1809" t="s">
        <v>2367</v>
      </c>
      <c r="C21" s="1809"/>
      <c r="D21" s="1800">
        <f>D22+D23</f>
        <v>42520.078192000001</v>
      </c>
      <c r="E21" s="1801">
        <f>SUM(E22:E23)</f>
        <v>42520.078192000001</v>
      </c>
      <c r="F21" s="1801">
        <f>SUM(F22:F23)</f>
        <v>0</v>
      </c>
      <c r="G21" s="1801"/>
      <c r="H21" s="1125"/>
      <c r="K21" s="1397">
        <f>K20-D8</f>
        <v>1688.9807139999998</v>
      </c>
    </row>
    <row r="22" spans="1:15" s="1106" customFormat="1" ht="15" x14ac:dyDescent="0.25">
      <c r="A22" s="1803" t="s">
        <v>2429</v>
      </c>
      <c r="B22" s="1790"/>
      <c r="C22" s="1804" t="s">
        <v>2980</v>
      </c>
      <c r="D22" s="1810">
        <v>38959.11</v>
      </c>
      <c r="E22" s="1811">
        <f>D22</f>
        <v>38959.11</v>
      </c>
      <c r="F22" s="1811">
        <f>E22-D22</f>
        <v>0</v>
      </c>
      <c r="G22" s="1811"/>
    </row>
    <row r="23" spans="1:15" s="1106" customFormat="1" ht="15" x14ac:dyDescent="0.25">
      <c r="A23" s="1812" t="s">
        <v>2433</v>
      </c>
      <c r="B23" s="1790"/>
      <c r="C23" s="1807" t="s">
        <v>3081</v>
      </c>
      <c r="D23" s="1810">
        <v>3560.9681919999998</v>
      </c>
      <c r="E23" s="1811">
        <f>D23</f>
        <v>3560.9681919999998</v>
      </c>
      <c r="F23" s="1811">
        <f>E23-D23</f>
        <v>0</v>
      </c>
      <c r="G23" s="1813"/>
    </row>
    <row r="24" spans="1:15" ht="15" x14ac:dyDescent="0.2">
      <c r="A24" s="1797">
        <v>6</v>
      </c>
      <c r="B24" s="1816" t="s">
        <v>3424</v>
      </c>
      <c r="C24" s="1816"/>
      <c r="D24" s="1800">
        <f>D20-D21</f>
        <v>9124.300808</v>
      </c>
      <c r="E24" s="1801">
        <f>E20-E21</f>
        <v>3360.4018079999951</v>
      </c>
      <c r="F24" s="1801">
        <f>E24-D24</f>
        <v>-5763.8990000000049</v>
      </c>
      <c r="G24" s="1817"/>
      <c r="H24" s="1154"/>
      <c r="I24" s="1101" t="s">
        <v>2586</v>
      </c>
      <c r="J24" s="1395">
        <v>3179.3718779999999</v>
      </c>
    </row>
    <row r="25" spans="1:15" ht="30" x14ac:dyDescent="0.2">
      <c r="A25" s="4050"/>
      <c r="B25" s="1818" t="s">
        <v>2436</v>
      </c>
      <c r="C25" s="1804" t="s">
        <v>2979</v>
      </c>
      <c r="D25" s="2814">
        <f>D7+D11+D12+D17-D21+D14</f>
        <v>1082.2518079999991</v>
      </c>
      <c r="E25" s="1792">
        <f>D25</f>
        <v>1082.2518079999991</v>
      </c>
      <c r="F25" s="1792"/>
      <c r="G25" s="1819"/>
      <c r="H25" s="1154"/>
      <c r="I25" s="1101" t="s">
        <v>2587</v>
      </c>
      <c r="K25" s="1101">
        <f>'5.30'!E40</f>
        <v>1072.7178080000001</v>
      </c>
    </row>
    <row r="26" spans="1:15" ht="15" x14ac:dyDescent="0.2">
      <c r="A26" s="4050"/>
      <c r="B26" s="1818" t="s">
        <v>3084</v>
      </c>
      <c r="C26" s="1804"/>
      <c r="D26" s="2815">
        <f>D8+D18</f>
        <v>5490.57</v>
      </c>
      <c r="E26" s="1792">
        <f>D26</f>
        <v>5490.57</v>
      </c>
      <c r="F26" s="1792"/>
      <c r="G26" s="1819"/>
      <c r="K26" s="1878">
        <f>K25-D25</f>
        <v>-9.5339999999989686</v>
      </c>
    </row>
    <row r="27" spans="1:15" ht="15" x14ac:dyDescent="0.2">
      <c r="A27" s="4050"/>
      <c r="B27" s="1818" t="s">
        <v>2438</v>
      </c>
      <c r="C27" s="1804"/>
      <c r="D27" s="2815"/>
      <c r="E27" s="1792"/>
      <c r="F27" s="1792"/>
      <c r="G27" s="1819"/>
    </row>
    <row r="28" spans="1:15" ht="15" x14ac:dyDescent="0.2">
      <c r="A28" s="4050"/>
      <c r="B28" s="1818" t="s">
        <v>2439</v>
      </c>
      <c r="C28" s="1804"/>
      <c r="D28" s="2814"/>
      <c r="E28" s="1792">
        <f>E24-E25-E26-E30-E29</f>
        <v>-3979.9711900000038</v>
      </c>
      <c r="F28" s="1792">
        <f>E28-D28</f>
        <v>-3979.9711900000038</v>
      </c>
      <c r="G28" s="1819"/>
      <c r="H28" s="1154">
        <f>H31-H32</f>
        <v>2282532000</v>
      </c>
      <c r="K28" s="1101">
        <v>399.89</v>
      </c>
    </row>
    <row r="29" spans="1:15" ht="15" x14ac:dyDescent="0.2">
      <c r="A29" s="4050"/>
      <c r="B29" s="1818" t="s">
        <v>2440</v>
      </c>
      <c r="C29" s="1804"/>
      <c r="D29" s="2814">
        <v>9.5311900000000005</v>
      </c>
      <c r="E29" s="1792">
        <f>D29</f>
        <v>9.5311900000000005</v>
      </c>
      <c r="F29" s="1792"/>
      <c r="G29" s="1819"/>
      <c r="H29" s="1407">
        <v>3794740000</v>
      </c>
    </row>
    <row r="30" spans="1:15" ht="15" x14ac:dyDescent="0.2">
      <c r="A30" s="4051"/>
      <c r="B30" s="1820" t="s">
        <v>2441</v>
      </c>
      <c r="C30" s="1821"/>
      <c r="D30" s="2816">
        <f>D15+D9</f>
        <v>758.02</v>
      </c>
      <c r="E30" s="1823">
        <f>D30</f>
        <v>758.02</v>
      </c>
      <c r="F30" s="1823"/>
      <c r="G30" s="1824">
        <v>755.47675900000002</v>
      </c>
      <c r="H30" s="1407">
        <v>615370000</v>
      </c>
    </row>
    <row r="31" spans="1:15" x14ac:dyDescent="0.2">
      <c r="D31" s="1167"/>
      <c r="G31" s="2817">
        <f>D30-G30</f>
        <v>2.5432409999999663</v>
      </c>
      <c r="H31" s="1405">
        <f>H29-H30</f>
        <v>3179370000</v>
      </c>
    </row>
    <row r="32" spans="1:15" x14ac:dyDescent="0.2">
      <c r="D32" s="1167"/>
      <c r="H32" s="1405">
        <v>896838000</v>
      </c>
    </row>
    <row r="33" spans="2:8" s="1338" customFormat="1" ht="15" x14ac:dyDescent="0.2">
      <c r="C33" s="4039" t="s">
        <v>2480</v>
      </c>
      <c r="D33" s="4039"/>
      <c r="E33" s="4039"/>
      <c r="F33" s="4039"/>
      <c r="G33" s="4039"/>
      <c r="H33" s="1406">
        <f>H31-H32</f>
        <v>2282532000</v>
      </c>
    </row>
    <row r="34" spans="2:8" s="1338" customFormat="1" ht="15.75" x14ac:dyDescent="0.2">
      <c r="C34" s="4040" t="s">
        <v>1442</v>
      </c>
      <c r="D34" s="4040"/>
      <c r="E34" s="4040"/>
      <c r="F34" s="4040"/>
      <c r="G34" s="4040"/>
    </row>
    <row r="35" spans="2:8" s="1338" customFormat="1" ht="15.75" x14ac:dyDescent="0.2">
      <c r="D35" s="4040" t="s">
        <v>807</v>
      </c>
      <c r="E35" s="4040"/>
      <c r="F35" s="4040"/>
      <c r="H35" s="1338">
        <v>379474000</v>
      </c>
    </row>
    <row r="36" spans="2:8" s="1338" customFormat="1" ht="15.75" x14ac:dyDescent="0.2">
      <c r="D36" s="1332"/>
      <c r="E36" s="1333"/>
      <c r="F36" s="1334"/>
    </row>
    <row r="37" spans="2:8" s="1338" customFormat="1" ht="15.75" x14ac:dyDescent="0.2">
      <c r="B37" s="1338" t="s">
        <v>2585</v>
      </c>
      <c r="D37" s="1332"/>
      <c r="E37" s="1333"/>
      <c r="F37" s="1334"/>
    </row>
    <row r="38" spans="2:8" s="1338" customFormat="1" ht="15.75" x14ac:dyDescent="0.2">
      <c r="D38" s="1332"/>
      <c r="E38" s="1333"/>
      <c r="F38" s="1334"/>
    </row>
    <row r="39" spans="2:8" s="1338" customFormat="1" ht="15.75" x14ac:dyDescent="0.2">
      <c r="D39" s="1332"/>
      <c r="E39" s="1333"/>
      <c r="F39" s="1332"/>
    </row>
    <row r="40" spans="2:8" s="1338" customFormat="1" ht="15.75" x14ac:dyDescent="0.2">
      <c r="D40" s="1332"/>
      <c r="E40" s="1333"/>
      <c r="F40" s="1332"/>
    </row>
    <row r="41" spans="2:8" s="1338" customFormat="1" ht="15" x14ac:dyDescent="0.2">
      <c r="D41" s="1333"/>
      <c r="E41" s="1333"/>
      <c r="F41" s="1333"/>
    </row>
    <row r="42" spans="2:8" s="1338" customFormat="1" ht="15.75" x14ac:dyDescent="0.2">
      <c r="C42" s="4041" t="s">
        <v>808</v>
      </c>
      <c r="D42" s="4041"/>
      <c r="E42" s="4041"/>
      <c r="F42" s="4041"/>
      <c r="G42" s="4041"/>
    </row>
    <row r="43" spans="2:8" s="1338" customFormat="1" x14ac:dyDescent="0.2">
      <c r="D43" s="1339"/>
    </row>
  </sheetData>
  <mergeCells count="11">
    <mergeCell ref="A2:G2"/>
    <mergeCell ref="A3:G3"/>
    <mergeCell ref="A7:A8"/>
    <mergeCell ref="C7:C8"/>
    <mergeCell ref="A11:A12"/>
    <mergeCell ref="C11:C12"/>
    <mergeCell ref="A25:A30"/>
    <mergeCell ref="C33:G33"/>
    <mergeCell ref="C34:G34"/>
    <mergeCell ref="D35:F35"/>
    <mergeCell ref="C42:G42"/>
  </mergeCells>
  <pageMargins left="0.70866141732283472" right="0.70866141732283472" top="0.74803149606299213" bottom="0.74803149606299213" header="0.31496062992125984" footer="0.31496062992125984"/>
  <pageSetup paperSize="9" scale="10"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S104"/>
  <sheetViews>
    <sheetView workbookViewId="0">
      <selection activeCell="H10" sqref="H10"/>
    </sheetView>
  </sheetViews>
  <sheetFormatPr defaultRowHeight="15" x14ac:dyDescent="0.25"/>
  <cols>
    <col min="1" max="1" width="5.7109375" style="1828" customWidth="1"/>
    <col min="2" max="2" width="49.28515625" style="1828" customWidth="1"/>
    <col min="3" max="3" width="9" style="1828" customWidth="1"/>
    <col min="4" max="4" width="9.42578125" style="1828" customWidth="1"/>
    <col min="5" max="5" width="8.7109375" style="1828" customWidth="1"/>
    <col min="6" max="6" width="7.85546875" style="1828" customWidth="1"/>
    <col min="7" max="7" width="8.42578125" style="1828" customWidth="1"/>
    <col min="8" max="8" width="8" style="1828" customWidth="1"/>
    <col min="9" max="9" width="7.7109375" style="1828" customWidth="1"/>
    <col min="10" max="10" width="8.5703125" style="1828" customWidth="1"/>
    <col min="11" max="11" width="7.7109375" style="1828" customWidth="1"/>
    <col min="12" max="12" width="7.28515625" style="1828" customWidth="1"/>
    <col min="13" max="257" width="8.85546875" style="1828"/>
    <col min="258" max="258" width="5.7109375" style="1828" customWidth="1"/>
    <col min="259" max="259" width="52.7109375" style="1828" customWidth="1"/>
    <col min="260" max="260" width="9.7109375" style="1828" customWidth="1"/>
    <col min="261" max="261" width="8.42578125" style="1828" customWidth="1"/>
    <col min="262" max="262" width="7.85546875" style="1828" customWidth="1"/>
    <col min="263" max="263" width="8.42578125" style="1828" customWidth="1"/>
    <col min="264" max="264" width="8" style="1828" customWidth="1"/>
    <col min="265" max="265" width="7.42578125" style="1828" customWidth="1"/>
    <col min="266" max="266" width="8.5703125" style="1828" customWidth="1"/>
    <col min="267" max="267" width="8.42578125" style="1828" customWidth="1"/>
    <col min="268" max="268" width="7.28515625" style="1828" customWidth="1"/>
    <col min="269" max="513" width="8.85546875" style="1828"/>
    <col min="514" max="514" width="5.7109375" style="1828" customWidth="1"/>
    <col min="515" max="515" width="52.7109375" style="1828" customWidth="1"/>
    <col min="516" max="516" width="9.7109375" style="1828" customWidth="1"/>
    <col min="517" max="517" width="8.42578125" style="1828" customWidth="1"/>
    <col min="518" max="518" width="7.85546875" style="1828" customWidth="1"/>
    <col min="519" max="519" width="8.42578125" style="1828" customWidth="1"/>
    <col min="520" max="520" width="8" style="1828" customWidth="1"/>
    <col min="521" max="521" width="7.42578125" style="1828" customWidth="1"/>
    <col min="522" max="522" width="8.5703125" style="1828" customWidth="1"/>
    <col min="523" max="523" width="8.42578125" style="1828" customWidth="1"/>
    <col min="524" max="524" width="7.28515625" style="1828" customWidth="1"/>
    <col min="525" max="769" width="8.85546875" style="1828"/>
    <col min="770" max="770" width="5.7109375" style="1828" customWidth="1"/>
    <col min="771" max="771" width="52.7109375" style="1828" customWidth="1"/>
    <col min="772" max="772" width="9.7109375" style="1828" customWidth="1"/>
    <col min="773" max="773" width="8.42578125" style="1828" customWidth="1"/>
    <col min="774" max="774" width="7.85546875" style="1828" customWidth="1"/>
    <col min="775" max="775" width="8.42578125" style="1828" customWidth="1"/>
    <col min="776" max="776" width="8" style="1828" customWidth="1"/>
    <col min="777" max="777" width="7.42578125" style="1828" customWidth="1"/>
    <col min="778" max="778" width="8.5703125" style="1828" customWidth="1"/>
    <col min="779" max="779" width="8.42578125" style="1828" customWidth="1"/>
    <col min="780" max="780" width="7.28515625" style="1828" customWidth="1"/>
    <col min="781" max="1025" width="8.85546875" style="1828"/>
    <col min="1026" max="1026" width="5.7109375" style="1828" customWidth="1"/>
    <col min="1027" max="1027" width="52.7109375" style="1828" customWidth="1"/>
    <col min="1028" max="1028" width="9.7109375" style="1828" customWidth="1"/>
    <col min="1029" max="1029" width="8.42578125" style="1828" customWidth="1"/>
    <col min="1030" max="1030" width="7.85546875" style="1828" customWidth="1"/>
    <col min="1031" max="1031" width="8.42578125" style="1828" customWidth="1"/>
    <col min="1032" max="1032" width="8" style="1828" customWidth="1"/>
    <col min="1033" max="1033" width="7.42578125" style="1828" customWidth="1"/>
    <col min="1034" max="1034" width="8.5703125" style="1828" customWidth="1"/>
    <col min="1035" max="1035" width="8.42578125" style="1828" customWidth="1"/>
    <col min="1036" max="1036" width="7.28515625" style="1828" customWidth="1"/>
    <col min="1037" max="1281" width="8.85546875" style="1828"/>
    <col min="1282" max="1282" width="5.7109375" style="1828" customWidth="1"/>
    <col min="1283" max="1283" width="52.7109375" style="1828" customWidth="1"/>
    <col min="1284" max="1284" width="9.7109375" style="1828" customWidth="1"/>
    <col min="1285" max="1285" width="8.42578125" style="1828" customWidth="1"/>
    <col min="1286" max="1286" width="7.85546875" style="1828" customWidth="1"/>
    <col min="1287" max="1287" width="8.42578125" style="1828" customWidth="1"/>
    <col min="1288" max="1288" width="8" style="1828" customWidth="1"/>
    <col min="1289" max="1289" width="7.42578125" style="1828" customWidth="1"/>
    <col min="1290" max="1290" width="8.5703125" style="1828" customWidth="1"/>
    <col min="1291" max="1291" width="8.42578125" style="1828" customWidth="1"/>
    <col min="1292" max="1292" width="7.28515625" style="1828" customWidth="1"/>
    <col min="1293" max="1537" width="8.85546875" style="1828"/>
    <col min="1538" max="1538" width="5.7109375" style="1828" customWidth="1"/>
    <col min="1539" max="1539" width="52.7109375" style="1828" customWidth="1"/>
    <col min="1540" max="1540" width="9.7109375" style="1828" customWidth="1"/>
    <col min="1541" max="1541" width="8.42578125" style="1828" customWidth="1"/>
    <col min="1542" max="1542" width="7.85546875" style="1828" customWidth="1"/>
    <col min="1543" max="1543" width="8.42578125" style="1828" customWidth="1"/>
    <col min="1544" max="1544" width="8" style="1828" customWidth="1"/>
    <col min="1545" max="1545" width="7.42578125" style="1828" customWidth="1"/>
    <col min="1546" max="1546" width="8.5703125" style="1828" customWidth="1"/>
    <col min="1547" max="1547" width="8.42578125" style="1828" customWidth="1"/>
    <col min="1548" max="1548" width="7.28515625" style="1828" customWidth="1"/>
    <col min="1549" max="1793" width="8.85546875" style="1828"/>
    <col min="1794" max="1794" width="5.7109375" style="1828" customWidth="1"/>
    <col min="1795" max="1795" width="52.7109375" style="1828" customWidth="1"/>
    <col min="1796" max="1796" width="9.7109375" style="1828" customWidth="1"/>
    <col min="1797" max="1797" width="8.42578125" style="1828" customWidth="1"/>
    <col min="1798" max="1798" width="7.85546875" style="1828" customWidth="1"/>
    <col min="1799" max="1799" width="8.42578125" style="1828" customWidth="1"/>
    <col min="1800" max="1800" width="8" style="1828" customWidth="1"/>
    <col min="1801" max="1801" width="7.42578125" style="1828" customWidth="1"/>
    <col min="1802" max="1802" width="8.5703125" style="1828" customWidth="1"/>
    <col min="1803" max="1803" width="8.42578125" style="1828" customWidth="1"/>
    <col min="1804" max="1804" width="7.28515625" style="1828" customWidth="1"/>
    <col min="1805" max="2049" width="8.85546875" style="1828"/>
    <col min="2050" max="2050" width="5.7109375" style="1828" customWidth="1"/>
    <col min="2051" max="2051" width="52.7109375" style="1828" customWidth="1"/>
    <col min="2052" max="2052" width="9.7109375" style="1828" customWidth="1"/>
    <col min="2053" max="2053" width="8.42578125" style="1828" customWidth="1"/>
    <col min="2054" max="2054" width="7.85546875" style="1828" customWidth="1"/>
    <col min="2055" max="2055" width="8.42578125" style="1828" customWidth="1"/>
    <col min="2056" max="2056" width="8" style="1828" customWidth="1"/>
    <col min="2057" max="2057" width="7.42578125" style="1828" customWidth="1"/>
    <col min="2058" max="2058" width="8.5703125" style="1828" customWidth="1"/>
    <col min="2059" max="2059" width="8.42578125" style="1828" customWidth="1"/>
    <col min="2060" max="2060" width="7.28515625" style="1828" customWidth="1"/>
    <col min="2061" max="2305" width="8.85546875" style="1828"/>
    <col min="2306" max="2306" width="5.7109375" style="1828" customWidth="1"/>
    <col min="2307" max="2307" width="52.7109375" style="1828" customWidth="1"/>
    <col min="2308" max="2308" width="9.7109375" style="1828" customWidth="1"/>
    <col min="2309" max="2309" width="8.42578125" style="1828" customWidth="1"/>
    <col min="2310" max="2310" width="7.85546875" style="1828" customWidth="1"/>
    <col min="2311" max="2311" width="8.42578125" style="1828" customWidth="1"/>
    <col min="2312" max="2312" width="8" style="1828" customWidth="1"/>
    <col min="2313" max="2313" width="7.42578125" style="1828" customWidth="1"/>
    <col min="2314" max="2314" width="8.5703125" style="1828" customWidth="1"/>
    <col min="2315" max="2315" width="8.42578125" style="1828" customWidth="1"/>
    <col min="2316" max="2316" width="7.28515625" style="1828" customWidth="1"/>
    <col min="2317" max="2561" width="8.85546875" style="1828"/>
    <col min="2562" max="2562" width="5.7109375" style="1828" customWidth="1"/>
    <col min="2563" max="2563" width="52.7109375" style="1828" customWidth="1"/>
    <col min="2564" max="2564" width="9.7109375" style="1828" customWidth="1"/>
    <col min="2565" max="2565" width="8.42578125" style="1828" customWidth="1"/>
    <col min="2566" max="2566" width="7.85546875" style="1828" customWidth="1"/>
    <col min="2567" max="2567" width="8.42578125" style="1828" customWidth="1"/>
    <col min="2568" max="2568" width="8" style="1828" customWidth="1"/>
    <col min="2569" max="2569" width="7.42578125" style="1828" customWidth="1"/>
    <col min="2570" max="2570" width="8.5703125" style="1828" customWidth="1"/>
    <col min="2571" max="2571" width="8.42578125" style="1828" customWidth="1"/>
    <col min="2572" max="2572" width="7.28515625" style="1828" customWidth="1"/>
    <col min="2573" max="2817" width="8.85546875" style="1828"/>
    <col min="2818" max="2818" width="5.7109375" style="1828" customWidth="1"/>
    <col min="2819" max="2819" width="52.7109375" style="1828" customWidth="1"/>
    <col min="2820" max="2820" width="9.7109375" style="1828" customWidth="1"/>
    <col min="2821" max="2821" width="8.42578125" style="1828" customWidth="1"/>
    <col min="2822" max="2822" width="7.85546875" style="1828" customWidth="1"/>
    <col min="2823" max="2823" width="8.42578125" style="1828" customWidth="1"/>
    <col min="2824" max="2824" width="8" style="1828" customWidth="1"/>
    <col min="2825" max="2825" width="7.42578125" style="1828" customWidth="1"/>
    <col min="2826" max="2826" width="8.5703125" style="1828" customWidth="1"/>
    <col min="2827" max="2827" width="8.42578125" style="1828" customWidth="1"/>
    <col min="2828" max="2828" width="7.28515625" style="1828" customWidth="1"/>
    <col min="2829" max="3073" width="8.85546875" style="1828"/>
    <col min="3074" max="3074" width="5.7109375" style="1828" customWidth="1"/>
    <col min="3075" max="3075" width="52.7109375" style="1828" customWidth="1"/>
    <col min="3076" max="3076" width="9.7109375" style="1828" customWidth="1"/>
    <col min="3077" max="3077" width="8.42578125" style="1828" customWidth="1"/>
    <col min="3078" max="3078" width="7.85546875" style="1828" customWidth="1"/>
    <col min="3079" max="3079" width="8.42578125" style="1828" customWidth="1"/>
    <col min="3080" max="3080" width="8" style="1828" customWidth="1"/>
    <col min="3081" max="3081" width="7.42578125" style="1828" customWidth="1"/>
    <col min="3082" max="3082" width="8.5703125" style="1828" customWidth="1"/>
    <col min="3083" max="3083" width="8.42578125" style="1828" customWidth="1"/>
    <col min="3084" max="3084" width="7.28515625" style="1828" customWidth="1"/>
    <col min="3085" max="3329" width="8.85546875" style="1828"/>
    <col min="3330" max="3330" width="5.7109375" style="1828" customWidth="1"/>
    <col min="3331" max="3331" width="52.7109375" style="1828" customWidth="1"/>
    <col min="3332" max="3332" width="9.7109375" style="1828" customWidth="1"/>
    <col min="3333" max="3333" width="8.42578125" style="1828" customWidth="1"/>
    <col min="3334" max="3334" width="7.85546875" style="1828" customWidth="1"/>
    <col min="3335" max="3335" width="8.42578125" style="1828" customWidth="1"/>
    <col min="3336" max="3336" width="8" style="1828" customWidth="1"/>
    <col min="3337" max="3337" width="7.42578125" style="1828" customWidth="1"/>
    <col min="3338" max="3338" width="8.5703125" style="1828" customWidth="1"/>
    <col min="3339" max="3339" width="8.42578125" style="1828" customWidth="1"/>
    <col min="3340" max="3340" width="7.28515625" style="1828" customWidth="1"/>
    <col min="3341" max="3585" width="8.85546875" style="1828"/>
    <col min="3586" max="3586" width="5.7109375" style="1828" customWidth="1"/>
    <col min="3587" max="3587" width="52.7109375" style="1828" customWidth="1"/>
    <col min="3588" max="3588" width="9.7109375" style="1828" customWidth="1"/>
    <col min="3589" max="3589" width="8.42578125" style="1828" customWidth="1"/>
    <col min="3590" max="3590" width="7.85546875" style="1828" customWidth="1"/>
    <col min="3591" max="3591" width="8.42578125" style="1828" customWidth="1"/>
    <col min="3592" max="3592" width="8" style="1828" customWidth="1"/>
    <col min="3593" max="3593" width="7.42578125" style="1828" customWidth="1"/>
    <col min="3594" max="3594" width="8.5703125" style="1828" customWidth="1"/>
    <col min="3595" max="3595" width="8.42578125" style="1828" customWidth="1"/>
    <col min="3596" max="3596" width="7.28515625" style="1828" customWidth="1"/>
    <col min="3597" max="3841" width="8.85546875" style="1828"/>
    <col min="3842" max="3842" width="5.7109375" style="1828" customWidth="1"/>
    <col min="3843" max="3843" width="52.7109375" style="1828" customWidth="1"/>
    <col min="3844" max="3844" width="9.7109375" style="1828" customWidth="1"/>
    <col min="3845" max="3845" width="8.42578125" style="1828" customWidth="1"/>
    <col min="3846" max="3846" width="7.85546875" style="1828" customWidth="1"/>
    <col min="3847" max="3847" width="8.42578125" style="1828" customWidth="1"/>
    <col min="3848" max="3848" width="8" style="1828" customWidth="1"/>
    <col min="3849" max="3849" width="7.42578125" style="1828" customWidth="1"/>
    <col min="3850" max="3850" width="8.5703125" style="1828" customWidth="1"/>
    <col min="3851" max="3851" width="8.42578125" style="1828" customWidth="1"/>
    <col min="3852" max="3852" width="7.28515625" style="1828" customWidth="1"/>
    <col min="3853" max="4097" width="8.85546875" style="1828"/>
    <col min="4098" max="4098" width="5.7109375" style="1828" customWidth="1"/>
    <col min="4099" max="4099" width="52.7109375" style="1828" customWidth="1"/>
    <col min="4100" max="4100" width="9.7109375" style="1828" customWidth="1"/>
    <col min="4101" max="4101" width="8.42578125" style="1828" customWidth="1"/>
    <col min="4102" max="4102" width="7.85546875" style="1828" customWidth="1"/>
    <col min="4103" max="4103" width="8.42578125" style="1828" customWidth="1"/>
    <col min="4104" max="4104" width="8" style="1828" customWidth="1"/>
    <col min="4105" max="4105" width="7.42578125" style="1828" customWidth="1"/>
    <col min="4106" max="4106" width="8.5703125" style="1828" customWidth="1"/>
    <col min="4107" max="4107" width="8.42578125" style="1828" customWidth="1"/>
    <col min="4108" max="4108" width="7.28515625" style="1828" customWidth="1"/>
    <col min="4109" max="4353" width="8.85546875" style="1828"/>
    <col min="4354" max="4354" width="5.7109375" style="1828" customWidth="1"/>
    <col min="4355" max="4355" width="52.7109375" style="1828" customWidth="1"/>
    <col min="4356" max="4356" width="9.7109375" style="1828" customWidth="1"/>
    <col min="4357" max="4357" width="8.42578125" style="1828" customWidth="1"/>
    <col min="4358" max="4358" width="7.85546875" style="1828" customWidth="1"/>
    <col min="4359" max="4359" width="8.42578125" style="1828" customWidth="1"/>
    <col min="4360" max="4360" width="8" style="1828" customWidth="1"/>
    <col min="4361" max="4361" width="7.42578125" style="1828" customWidth="1"/>
    <col min="4362" max="4362" width="8.5703125" style="1828" customWidth="1"/>
    <col min="4363" max="4363" width="8.42578125" style="1828" customWidth="1"/>
    <col min="4364" max="4364" width="7.28515625" style="1828" customWidth="1"/>
    <col min="4365" max="4609" width="8.85546875" style="1828"/>
    <col min="4610" max="4610" width="5.7109375" style="1828" customWidth="1"/>
    <col min="4611" max="4611" width="52.7109375" style="1828" customWidth="1"/>
    <col min="4612" max="4612" width="9.7109375" style="1828" customWidth="1"/>
    <col min="4613" max="4613" width="8.42578125" style="1828" customWidth="1"/>
    <col min="4614" max="4614" width="7.85546875" style="1828" customWidth="1"/>
    <col min="4615" max="4615" width="8.42578125" style="1828" customWidth="1"/>
    <col min="4616" max="4616" width="8" style="1828" customWidth="1"/>
    <col min="4617" max="4617" width="7.42578125" style="1828" customWidth="1"/>
    <col min="4618" max="4618" width="8.5703125" style="1828" customWidth="1"/>
    <col min="4619" max="4619" width="8.42578125" style="1828" customWidth="1"/>
    <col min="4620" max="4620" width="7.28515625" style="1828" customWidth="1"/>
    <col min="4621" max="4865" width="8.85546875" style="1828"/>
    <col min="4866" max="4866" width="5.7109375" style="1828" customWidth="1"/>
    <col min="4867" max="4867" width="52.7109375" style="1828" customWidth="1"/>
    <col min="4868" max="4868" width="9.7109375" style="1828" customWidth="1"/>
    <col min="4869" max="4869" width="8.42578125" style="1828" customWidth="1"/>
    <col min="4870" max="4870" width="7.85546875" style="1828" customWidth="1"/>
    <col min="4871" max="4871" width="8.42578125" style="1828" customWidth="1"/>
    <col min="4872" max="4872" width="8" style="1828" customWidth="1"/>
    <col min="4873" max="4873" width="7.42578125" style="1828" customWidth="1"/>
    <col min="4874" max="4874" width="8.5703125" style="1828" customWidth="1"/>
    <col min="4875" max="4875" width="8.42578125" style="1828" customWidth="1"/>
    <col min="4876" max="4876" width="7.28515625" style="1828" customWidth="1"/>
    <col min="4877" max="5121" width="8.85546875" style="1828"/>
    <col min="5122" max="5122" width="5.7109375" style="1828" customWidth="1"/>
    <col min="5123" max="5123" width="52.7109375" style="1828" customWidth="1"/>
    <col min="5124" max="5124" width="9.7109375" style="1828" customWidth="1"/>
    <col min="5125" max="5125" width="8.42578125" style="1828" customWidth="1"/>
    <col min="5126" max="5126" width="7.85546875" style="1828" customWidth="1"/>
    <col min="5127" max="5127" width="8.42578125" style="1828" customWidth="1"/>
    <col min="5128" max="5128" width="8" style="1828" customWidth="1"/>
    <col min="5129" max="5129" width="7.42578125" style="1828" customWidth="1"/>
    <col min="5130" max="5130" width="8.5703125" style="1828" customWidth="1"/>
    <col min="5131" max="5131" width="8.42578125" style="1828" customWidth="1"/>
    <col min="5132" max="5132" width="7.28515625" style="1828" customWidth="1"/>
    <col min="5133" max="5377" width="8.85546875" style="1828"/>
    <col min="5378" max="5378" width="5.7109375" style="1828" customWidth="1"/>
    <col min="5379" max="5379" width="52.7109375" style="1828" customWidth="1"/>
    <col min="5380" max="5380" width="9.7109375" style="1828" customWidth="1"/>
    <col min="5381" max="5381" width="8.42578125" style="1828" customWidth="1"/>
    <col min="5382" max="5382" width="7.85546875" style="1828" customWidth="1"/>
    <col min="5383" max="5383" width="8.42578125" style="1828" customWidth="1"/>
    <col min="5384" max="5384" width="8" style="1828" customWidth="1"/>
    <col min="5385" max="5385" width="7.42578125" style="1828" customWidth="1"/>
    <col min="5386" max="5386" width="8.5703125" style="1828" customWidth="1"/>
    <col min="5387" max="5387" width="8.42578125" style="1828" customWidth="1"/>
    <col min="5388" max="5388" width="7.28515625" style="1828" customWidth="1"/>
    <col min="5389" max="5633" width="8.85546875" style="1828"/>
    <col min="5634" max="5634" width="5.7109375" style="1828" customWidth="1"/>
    <col min="5635" max="5635" width="52.7109375" style="1828" customWidth="1"/>
    <col min="5636" max="5636" width="9.7109375" style="1828" customWidth="1"/>
    <col min="5637" max="5637" width="8.42578125" style="1828" customWidth="1"/>
    <col min="5638" max="5638" width="7.85546875" style="1828" customWidth="1"/>
    <col min="5639" max="5639" width="8.42578125" style="1828" customWidth="1"/>
    <col min="5640" max="5640" width="8" style="1828" customWidth="1"/>
    <col min="5641" max="5641" width="7.42578125" style="1828" customWidth="1"/>
    <col min="5642" max="5642" width="8.5703125" style="1828" customWidth="1"/>
    <col min="5643" max="5643" width="8.42578125" style="1828" customWidth="1"/>
    <col min="5644" max="5644" width="7.28515625" style="1828" customWidth="1"/>
    <col min="5645" max="5889" width="8.85546875" style="1828"/>
    <col min="5890" max="5890" width="5.7109375" style="1828" customWidth="1"/>
    <col min="5891" max="5891" width="52.7109375" style="1828" customWidth="1"/>
    <col min="5892" max="5892" width="9.7109375" style="1828" customWidth="1"/>
    <col min="5893" max="5893" width="8.42578125" style="1828" customWidth="1"/>
    <col min="5894" max="5894" width="7.85546875" style="1828" customWidth="1"/>
    <col min="5895" max="5895" width="8.42578125" style="1828" customWidth="1"/>
    <col min="5896" max="5896" width="8" style="1828" customWidth="1"/>
    <col min="5897" max="5897" width="7.42578125" style="1828" customWidth="1"/>
    <col min="5898" max="5898" width="8.5703125" style="1828" customWidth="1"/>
    <col min="5899" max="5899" width="8.42578125" style="1828" customWidth="1"/>
    <col min="5900" max="5900" width="7.28515625" style="1828" customWidth="1"/>
    <col min="5901" max="6145" width="8.85546875" style="1828"/>
    <col min="6146" max="6146" width="5.7109375" style="1828" customWidth="1"/>
    <col min="6147" max="6147" width="52.7109375" style="1828" customWidth="1"/>
    <col min="6148" max="6148" width="9.7109375" style="1828" customWidth="1"/>
    <col min="6149" max="6149" width="8.42578125" style="1828" customWidth="1"/>
    <col min="6150" max="6150" width="7.85546875" style="1828" customWidth="1"/>
    <col min="6151" max="6151" width="8.42578125" style="1828" customWidth="1"/>
    <col min="6152" max="6152" width="8" style="1828" customWidth="1"/>
    <col min="6153" max="6153" width="7.42578125" style="1828" customWidth="1"/>
    <col min="6154" max="6154" width="8.5703125" style="1828" customWidth="1"/>
    <col min="6155" max="6155" width="8.42578125" style="1828" customWidth="1"/>
    <col min="6156" max="6156" width="7.28515625" style="1828" customWidth="1"/>
    <col min="6157" max="6401" width="8.85546875" style="1828"/>
    <col min="6402" max="6402" width="5.7109375" style="1828" customWidth="1"/>
    <col min="6403" max="6403" width="52.7109375" style="1828" customWidth="1"/>
    <col min="6404" max="6404" width="9.7109375" style="1828" customWidth="1"/>
    <col min="6405" max="6405" width="8.42578125" style="1828" customWidth="1"/>
    <col min="6406" max="6406" width="7.85546875" style="1828" customWidth="1"/>
    <col min="6407" max="6407" width="8.42578125" style="1828" customWidth="1"/>
    <col min="6408" max="6408" width="8" style="1828" customWidth="1"/>
    <col min="6409" max="6409" width="7.42578125" style="1828" customWidth="1"/>
    <col min="6410" max="6410" width="8.5703125" style="1828" customWidth="1"/>
    <col min="6411" max="6411" width="8.42578125" style="1828" customWidth="1"/>
    <col min="6412" max="6412" width="7.28515625" style="1828" customWidth="1"/>
    <col min="6413" max="6657" width="8.85546875" style="1828"/>
    <col min="6658" max="6658" width="5.7109375" style="1828" customWidth="1"/>
    <col min="6659" max="6659" width="52.7109375" style="1828" customWidth="1"/>
    <col min="6660" max="6660" width="9.7109375" style="1828" customWidth="1"/>
    <col min="6661" max="6661" width="8.42578125" style="1828" customWidth="1"/>
    <col min="6662" max="6662" width="7.85546875" style="1828" customWidth="1"/>
    <col min="6663" max="6663" width="8.42578125" style="1828" customWidth="1"/>
    <col min="6664" max="6664" width="8" style="1828" customWidth="1"/>
    <col min="6665" max="6665" width="7.42578125" style="1828" customWidth="1"/>
    <col min="6666" max="6666" width="8.5703125" style="1828" customWidth="1"/>
    <col min="6667" max="6667" width="8.42578125" style="1828" customWidth="1"/>
    <col min="6668" max="6668" width="7.28515625" style="1828" customWidth="1"/>
    <col min="6669" max="6913" width="8.85546875" style="1828"/>
    <col min="6914" max="6914" width="5.7109375" style="1828" customWidth="1"/>
    <col min="6915" max="6915" width="52.7109375" style="1828" customWidth="1"/>
    <col min="6916" max="6916" width="9.7109375" style="1828" customWidth="1"/>
    <col min="6917" max="6917" width="8.42578125" style="1828" customWidth="1"/>
    <col min="6918" max="6918" width="7.85546875" style="1828" customWidth="1"/>
    <col min="6919" max="6919" width="8.42578125" style="1828" customWidth="1"/>
    <col min="6920" max="6920" width="8" style="1828" customWidth="1"/>
    <col min="6921" max="6921" width="7.42578125" style="1828" customWidth="1"/>
    <col min="6922" max="6922" width="8.5703125" style="1828" customWidth="1"/>
    <col min="6923" max="6923" width="8.42578125" style="1828" customWidth="1"/>
    <col min="6924" max="6924" width="7.28515625" style="1828" customWidth="1"/>
    <col min="6925" max="7169" width="8.85546875" style="1828"/>
    <col min="7170" max="7170" width="5.7109375" style="1828" customWidth="1"/>
    <col min="7171" max="7171" width="52.7109375" style="1828" customWidth="1"/>
    <col min="7172" max="7172" width="9.7109375" style="1828" customWidth="1"/>
    <col min="7173" max="7173" width="8.42578125" style="1828" customWidth="1"/>
    <col min="7174" max="7174" width="7.85546875" style="1828" customWidth="1"/>
    <col min="7175" max="7175" width="8.42578125" style="1828" customWidth="1"/>
    <col min="7176" max="7176" width="8" style="1828" customWidth="1"/>
    <col min="7177" max="7177" width="7.42578125" style="1828" customWidth="1"/>
    <col min="7178" max="7178" width="8.5703125" style="1828" customWidth="1"/>
    <col min="7179" max="7179" width="8.42578125" style="1828" customWidth="1"/>
    <col min="7180" max="7180" width="7.28515625" style="1828" customWidth="1"/>
    <col min="7181" max="7425" width="8.85546875" style="1828"/>
    <col min="7426" max="7426" width="5.7109375" style="1828" customWidth="1"/>
    <col min="7427" max="7427" width="52.7109375" style="1828" customWidth="1"/>
    <col min="7428" max="7428" width="9.7109375" style="1828" customWidth="1"/>
    <col min="7429" max="7429" width="8.42578125" style="1828" customWidth="1"/>
    <col min="7430" max="7430" width="7.85546875" style="1828" customWidth="1"/>
    <col min="7431" max="7431" width="8.42578125" style="1828" customWidth="1"/>
    <col min="7432" max="7432" width="8" style="1828" customWidth="1"/>
    <col min="7433" max="7433" width="7.42578125" style="1828" customWidth="1"/>
    <col min="7434" max="7434" width="8.5703125" style="1828" customWidth="1"/>
    <col min="7435" max="7435" width="8.42578125" style="1828" customWidth="1"/>
    <col min="7436" max="7436" width="7.28515625" style="1828" customWidth="1"/>
    <col min="7437" max="7681" width="8.85546875" style="1828"/>
    <col min="7682" max="7682" width="5.7109375" style="1828" customWidth="1"/>
    <col min="7683" max="7683" width="52.7109375" style="1828" customWidth="1"/>
    <col min="7684" max="7684" width="9.7109375" style="1828" customWidth="1"/>
    <col min="7685" max="7685" width="8.42578125" style="1828" customWidth="1"/>
    <col min="7686" max="7686" width="7.85546875" style="1828" customWidth="1"/>
    <col min="7687" max="7687" width="8.42578125" style="1828" customWidth="1"/>
    <col min="7688" max="7688" width="8" style="1828" customWidth="1"/>
    <col min="7689" max="7689" width="7.42578125" style="1828" customWidth="1"/>
    <col min="7690" max="7690" width="8.5703125" style="1828" customWidth="1"/>
    <col min="7691" max="7691" width="8.42578125" style="1828" customWidth="1"/>
    <col min="7692" max="7692" width="7.28515625" style="1828" customWidth="1"/>
    <col min="7693" max="7937" width="8.85546875" style="1828"/>
    <col min="7938" max="7938" width="5.7109375" style="1828" customWidth="1"/>
    <col min="7939" max="7939" width="52.7109375" style="1828" customWidth="1"/>
    <col min="7940" max="7940" width="9.7109375" style="1828" customWidth="1"/>
    <col min="7941" max="7941" width="8.42578125" style="1828" customWidth="1"/>
    <col min="7942" max="7942" width="7.85546875" style="1828" customWidth="1"/>
    <col min="7943" max="7943" width="8.42578125" style="1828" customWidth="1"/>
    <col min="7944" max="7944" width="8" style="1828" customWidth="1"/>
    <col min="7945" max="7945" width="7.42578125" style="1828" customWidth="1"/>
    <col min="7946" max="7946" width="8.5703125" style="1828" customWidth="1"/>
    <col min="7947" max="7947" width="8.42578125" style="1828" customWidth="1"/>
    <col min="7948" max="7948" width="7.28515625" style="1828" customWidth="1"/>
    <col min="7949" max="8193" width="8.85546875" style="1828"/>
    <col min="8194" max="8194" width="5.7109375" style="1828" customWidth="1"/>
    <col min="8195" max="8195" width="52.7109375" style="1828" customWidth="1"/>
    <col min="8196" max="8196" width="9.7109375" style="1828" customWidth="1"/>
    <col min="8197" max="8197" width="8.42578125" style="1828" customWidth="1"/>
    <col min="8198" max="8198" width="7.85546875" style="1828" customWidth="1"/>
    <col min="8199" max="8199" width="8.42578125" style="1828" customWidth="1"/>
    <col min="8200" max="8200" width="8" style="1828" customWidth="1"/>
    <col min="8201" max="8201" width="7.42578125" style="1828" customWidth="1"/>
    <col min="8202" max="8202" width="8.5703125" style="1828" customWidth="1"/>
    <col min="8203" max="8203" width="8.42578125" style="1828" customWidth="1"/>
    <col min="8204" max="8204" width="7.28515625" style="1828" customWidth="1"/>
    <col min="8205" max="8449" width="8.85546875" style="1828"/>
    <col min="8450" max="8450" width="5.7109375" style="1828" customWidth="1"/>
    <col min="8451" max="8451" width="52.7109375" style="1828" customWidth="1"/>
    <col min="8452" max="8452" width="9.7109375" style="1828" customWidth="1"/>
    <col min="8453" max="8453" width="8.42578125" style="1828" customWidth="1"/>
    <col min="8454" max="8454" width="7.85546875" style="1828" customWidth="1"/>
    <col min="8455" max="8455" width="8.42578125" style="1828" customWidth="1"/>
    <col min="8456" max="8456" width="8" style="1828" customWidth="1"/>
    <col min="8457" max="8457" width="7.42578125" style="1828" customWidth="1"/>
    <col min="8458" max="8458" width="8.5703125" style="1828" customWidth="1"/>
    <col min="8459" max="8459" width="8.42578125" style="1828" customWidth="1"/>
    <col min="8460" max="8460" width="7.28515625" style="1828" customWidth="1"/>
    <col min="8461" max="8705" width="8.85546875" style="1828"/>
    <col min="8706" max="8706" width="5.7109375" style="1828" customWidth="1"/>
    <col min="8707" max="8707" width="52.7109375" style="1828" customWidth="1"/>
    <col min="8708" max="8708" width="9.7109375" style="1828" customWidth="1"/>
    <col min="8709" max="8709" width="8.42578125" style="1828" customWidth="1"/>
    <col min="8710" max="8710" width="7.85546875" style="1828" customWidth="1"/>
    <col min="8711" max="8711" width="8.42578125" style="1828" customWidth="1"/>
    <col min="8712" max="8712" width="8" style="1828" customWidth="1"/>
    <col min="8713" max="8713" width="7.42578125" style="1828" customWidth="1"/>
    <col min="8714" max="8714" width="8.5703125" style="1828" customWidth="1"/>
    <col min="8715" max="8715" width="8.42578125" style="1828" customWidth="1"/>
    <col min="8716" max="8716" width="7.28515625" style="1828" customWidth="1"/>
    <col min="8717" max="8961" width="8.85546875" style="1828"/>
    <col min="8962" max="8962" width="5.7109375" style="1828" customWidth="1"/>
    <col min="8963" max="8963" width="52.7109375" style="1828" customWidth="1"/>
    <col min="8964" max="8964" width="9.7109375" style="1828" customWidth="1"/>
    <col min="8965" max="8965" width="8.42578125" style="1828" customWidth="1"/>
    <col min="8966" max="8966" width="7.85546875" style="1828" customWidth="1"/>
    <col min="8967" max="8967" width="8.42578125" style="1828" customWidth="1"/>
    <col min="8968" max="8968" width="8" style="1828" customWidth="1"/>
    <col min="8969" max="8969" width="7.42578125" style="1828" customWidth="1"/>
    <col min="8970" max="8970" width="8.5703125" style="1828" customWidth="1"/>
    <col min="8971" max="8971" width="8.42578125" style="1828" customWidth="1"/>
    <col min="8972" max="8972" width="7.28515625" style="1828" customWidth="1"/>
    <col min="8973" max="9217" width="8.85546875" style="1828"/>
    <col min="9218" max="9218" width="5.7109375" style="1828" customWidth="1"/>
    <col min="9219" max="9219" width="52.7109375" style="1828" customWidth="1"/>
    <col min="9220" max="9220" width="9.7109375" style="1828" customWidth="1"/>
    <col min="9221" max="9221" width="8.42578125" style="1828" customWidth="1"/>
    <col min="9222" max="9222" width="7.85546875" style="1828" customWidth="1"/>
    <col min="9223" max="9223" width="8.42578125" style="1828" customWidth="1"/>
    <col min="9224" max="9224" width="8" style="1828" customWidth="1"/>
    <col min="9225" max="9225" width="7.42578125" style="1828" customWidth="1"/>
    <col min="9226" max="9226" width="8.5703125" style="1828" customWidth="1"/>
    <col min="9227" max="9227" width="8.42578125" style="1828" customWidth="1"/>
    <col min="9228" max="9228" width="7.28515625" style="1828" customWidth="1"/>
    <col min="9229" max="9473" width="8.85546875" style="1828"/>
    <col min="9474" max="9474" width="5.7109375" style="1828" customWidth="1"/>
    <col min="9475" max="9475" width="52.7109375" style="1828" customWidth="1"/>
    <col min="9476" max="9476" width="9.7109375" style="1828" customWidth="1"/>
    <col min="9477" max="9477" width="8.42578125" style="1828" customWidth="1"/>
    <col min="9478" max="9478" width="7.85546875" style="1828" customWidth="1"/>
    <col min="9479" max="9479" width="8.42578125" style="1828" customWidth="1"/>
    <col min="9480" max="9480" width="8" style="1828" customWidth="1"/>
    <col min="9481" max="9481" width="7.42578125" style="1828" customWidth="1"/>
    <col min="9482" max="9482" width="8.5703125" style="1828" customWidth="1"/>
    <col min="9483" max="9483" width="8.42578125" style="1828" customWidth="1"/>
    <col min="9484" max="9484" width="7.28515625" style="1828" customWidth="1"/>
    <col min="9485" max="9729" width="8.85546875" style="1828"/>
    <col min="9730" max="9730" width="5.7109375" style="1828" customWidth="1"/>
    <col min="9731" max="9731" width="52.7109375" style="1828" customWidth="1"/>
    <col min="9732" max="9732" width="9.7109375" style="1828" customWidth="1"/>
    <col min="9733" max="9733" width="8.42578125" style="1828" customWidth="1"/>
    <col min="9734" max="9734" width="7.85546875" style="1828" customWidth="1"/>
    <col min="9735" max="9735" width="8.42578125" style="1828" customWidth="1"/>
    <col min="9736" max="9736" width="8" style="1828" customWidth="1"/>
    <col min="9737" max="9737" width="7.42578125" style="1828" customWidth="1"/>
    <col min="9738" max="9738" width="8.5703125" style="1828" customWidth="1"/>
    <col min="9739" max="9739" width="8.42578125" style="1828" customWidth="1"/>
    <col min="9740" max="9740" width="7.28515625" style="1828" customWidth="1"/>
    <col min="9741" max="9985" width="8.85546875" style="1828"/>
    <col min="9986" max="9986" width="5.7109375" style="1828" customWidth="1"/>
    <col min="9987" max="9987" width="52.7109375" style="1828" customWidth="1"/>
    <col min="9988" max="9988" width="9.7109375" style="1828" customWidth="1"/>
    <col min="9989" max="9989" width="8.42578125" style="1828" customWidth="1"/>
    <col min="9990" max="9990" width="7.85546875" style="1828" customWidth="1"/>
    <col min="9991" max="9991" width="8.42578125" style="1828" customWidth="1"/>
    <col min="9992" max="9992" width="8" style="1828" customWidth="1"/>
    <col min="9993" max="9993" width="7.42578125" style="1828" customWidth="1"/>
    <col min="9994" max="9994" width="8.5703125" style="1828" customWidth="1"/>
    <col min="9995" max="9995" width="8.42578125" style="1828" customWidth="1"/>
    <col min="9996" max="9996" width="7.28515625" style="1828" customWidth="1"/>
    <col min="9997" max="10241" width="8.85546875" style="1828"/>
    <col min="10242" max="10242" width="5.7109375" style="1828" customWidth="1"/>
    <col min="10243" max="10243" width="52.7109375" style="1828" customWidth="1"/>
    <col min="10244" max="10244" width="9.7109375" style="1828" customWidth="1"/>
    <col min="10245" max="10245" width="8.42578125" style="1828" customWidth="1"/>
    <col min="10246" max="10246" width="7.85546875" style="1828" customWidth="1"/>
    <col min="10247" max="10247" width="8.42578125" style="1828" customWidth="1"/>
    <col min="10248" max="10248" width="8" style="1828" customWidth="1"/>
    <col min="10249" max="10249" width="7.42578125" style="1828" customWidth="1"/>
    <col min="10250" max="10250" width="8.5703125" style="1828" customWidth="1"/>
    <col min="10251" max="10251" width="8.42578125" style="1828" customWidth="1"/>
    <col min="10252" max="10252" width="7.28515625" style="1828" customWidth="1"/>
    <col min="10253" max="10497" width="8.85546875" style="1828"/>
    <col min="10498" max="10498" width="5.7109375" style="1828" customWidth="1"/>
    <col min="10499" max="10499" width="52.7109375" style="1828" customWidth="1"/>
    <col min="10500" max="10500" width="9.7109375" style="1828" customWidth="1"/>
    <col min="10501" max="10501" width="8.42578125" style="1828" customWidth="1"/>
    <col min="10502" max="10502" width="7.85546875" style="1828" customWidth="1"/>
    <col min="10503" max="10503" width="8.42578125" style="1828" customWidth="1"/>
    <col min="10504" max="10504" width="8" style="1828" customWidth="1"/>
    <col min="10505" max="10505" width="7.42578125" style="1828" customWidth="1"/>
    <col min="10506" max="10506" width="8.5703125" style="1828" customWidth="1"/>
    <col min="10507" max="10507" width="8.42578125" style="1828" customWidth="1"/>
    <col min="10508" max="10508" width="7.28515625" style="1828" customWidth="1"/>
    <col min="10509" max="10753" width="8.85546875" style="1828"/>
    <col min="10754" max="10754" width="5.7109375" style="1828" customWidth="1"/>
    <col min="10755" max="10755" width="52.7109375" style="1828" customWidth="1"/>
    <col min="10756" max="10756" width="9.7109375" style="1828" customWidth="1"/>
    <col min="10757" max="10757" width="8.42578125" style="1828" customWidth="1"/>
    <col min="10758" max="10758" width="7.85546875" style="1828" customWidth="1"/>
    <col min="10759" max="10759" width="8.42578125" style="1828" customWidth="1"/>
    <col min="10760" max="10760" width="8" style="1828" customWidth="1"/>
    <col min="10761" max="10761" width="7.42578125" style="1828" customWidth="1"/>
    <col min="10762" max="10762" width="8.5703125" style="1828" customWidth="1"/>
    <col min="10763" max="10763" width="8.42578125" style="1828" customWidth="1"/>
    <col min="10764" max="10764" width="7.28515625" style="1828" customWidth="1"/>
    <col min="10765" max="11009" width="8.85546875" style="1828"/>
    <col min="11010" max="11010" width="5.7109375" style="1828" customWidth="1"/>
    <col min="11011" max="11011" width="52.7109375" style="1828" customWidth="1"/>
    <col min="11012" max="11012" width="9.7109375" style="1828" customWidth="1"/>
    <col min="11013" max="11013" width="8.42578125" style="1828" customWidth="1"/>
    <col min="11014" max="11014" width="7.85546875" style="1828" customWidth="1"/>
    <col min="11015" max="11015" width="8.42578125" style="1828" customWidth="1"/>
    <col min="11016" max="11016" width="8" style="1828" customWidth="1"/>
    <col min="11017" max="11017" width="7.42578125" style="1828" customWidth="1"/>
    <col min="11018" max="11018" width="8.5703125" style="1828" customWidth="1"/>
    <col min="11019" max="11019" width="8.42578125" style="1828" customWidth="1"/>
    <col min="11020" max="11020" width="7.28515625" style="1828" customWidth="1"/>
    <col min="11021" max="11265" width="8.85546875" style="1828"/>
    <col min="11266" max="11266" width="5.7109375" style="1828" customWidth="1"/>
    <col min="11267" max="11267" width="52.7109375" style="1828" customWidth="1"/>
    <col min="11268" max="11268" width="9.7109375" style="1828" customWidth="1"/>
    <col min="11269" max="11269" width="8.42578125" style="1828" customWidth="1"/>
    <col min="11270" max="11270" width="7.85546875" style="1828" customWidth="1"/>
    <col min="11271" max="11271" width="8.42578125" style="1828" customWidth="1"/>
    <col min="11272" max="11272" width="8" style="1828" customWidth="1"/>
    <col min="11273" max="11273" width="7.42578125" style="1828" customWidth="1"/>
    <col min="11274" max="11274" width="8.5703125" style="1828" customWidth="1"/>
    <col min="11275" max="11275" width="8.42578125" style="1828" customWidth="1"/>
    <col min="11276" max="11276" width="7.28515625" style="1828" customWidth="1"/>
    <col min="11277" max="11521" width="8.85546875" style="1828"/>
    <col min="11522" max="11522" width="5.7109375" style="1828" customWidth="1"/>
    <col min="11523" max="11523" width="52.7109375" style="1828" customWidth="1"/>
    <col min="11524" max="11524" width="9.7109375" style="1828" customWidth="1"/>
    <col min="11525" max="11525" width="8.42578125" style="1828" customWidth="1"/>
    <col min="11526" max="11526" width="7.85546875" style="1828" customWidth="1"/>
    <col min="11527" max="11527" width="8.42578125" style="1828" customWidth="1"/>
    <col min="11528" max="11528" width="8" style="1828" customWidth="1"/>
    <col min="11529" max="11529" width="7.42578125" style="1828" customWidth="1"/>
    <col min="11530" max="11530" width="8.5703125" style="1828" customWidth="1"/>
    <col min="11531" max="11531" width="8.42578125" style="1828" customWidth="1"/>
    <col min="11532" max="11532" width="7.28515625" style="1828" customWidth="1"/>
    <col min="11533" max="11777" width="8.85546875" style="1828"/>
    <col min="11778" max="11778" width="5.7109375" style="1828" customWidth="1"/>
    <col min="11779" max="11779" width="52.7109375" style="1828" customWidth="1"/>
    <col min="11780" max="11780" width="9.7109375" style="1828" customWidth="1"/>
    <col min="11781" max="11781" width="8.42578125" style="1828" customWidth="1"/>
    <col min="11782" max="11782" width="7.85546875" style="1828" customWidth="1"/>
    <col min="11783" max="11783" width="8.42578125" style="1828" customWidth="1"/>
    <col min="11784" max="11784" width="8" style="1828" customWidth="1"/>
    <col min="11785" max="11785" width="7.42578125" style="1828" customWidth="1"/>
    <col min="11786" max="11786" width="8.5703125" style="1828" customWidth="1"/>
    <col min="11787" max="11787" width="8.42578125" style="1828" customWidth="1"/>
    <col min="11788" max="11788" width="7.28515625" style="1828" customWidth="1"/>
    <col min="11789" max="12033" width="8.85546875" style="1828"/>
    <col min="12034" max="12034" width="5.7109375" style="1828" customWidth="1"/>
    <col min="12035" max="12035" width="52.7109375" style="1828" customWidth="1"/>
    <col min="12036" max="12036" width="9.7109375" style="1828" customWidth="1"/>
    <col min="12037" max="12037" width="8.42578125" style="1828" customWidth="1"/>
    <col min="12038" max="12038" width="7.85546875" style="1828" customWidth="1"/>
    <col min="12039" max="12039" width="8.42578125" style="1828" customWidth="1"/>
    <col min="12040" max="12040" width="8" style="1828" customWidth="1"/>
    <col min="12041" max="12041" width="7.42578125" style="1828" customWidth="1"/>
    <col min="12042" max="12042" width="8.5703125" style="1828" customWidth="1"/>
    <col min="12043" max="12043" width="8.42578125" style="1828" customWidth="1"/>
    <col min="12044" max="12044" width="7.28515625" style="1828" customWidth="1"/>
    <col min="12045" max="12289" width="8.85546875" style="1828"/>
    <col min="12290" max="12290" width="5.7109375" style="1828" customWidth="1"/>
    <col min="12291" max="12291" width="52.7109375" style="1828" customWidth="1"/>
    <col min="12292" max="12292" width="9.7109375" style="1828" customWidth="1"/>
    <col min="12293" max="12293" width="8.42578125" style="1828" customWidth="1"/>
    <col min="12294" max="12294" width="7.85546875" style="1828" customWidth="1"/>
    <col min="12295" max="12295" width="8.42578125" style="1828" customWidth="1"/>
    <col min="12296" max="12296" width="8" style="1828" customWidth="1"/>
    <col min="12297" max="12297" width="7.42578125" style="1828" customWidth="1"/>
    <col min="12298" max="12298" width="8.5703125" style="1828" customWidth="1"/>
    <col min="12299" max="12299" width="8.42578125" style="1828" customWidth="1"/>
    <col min="12300" max="12300" width="7.28515625" style="1828" customWidth="1"/>
    <col min="12301" max="12545" width="8.85546875" style="1828"/>
    <col min="12546" max="12546" width="5.7109375" style="1828" customWidth="1"/>
    <col min="12547" max="12547" width="52.7109375" style="1828" customWidth="1"/>
    <col min="12548" max="12548" width="9.7109375" style="1828" customWidth="1"/>
    <col min="12549" max="12549" width="8.42578125" style="1828" customWidth="1"/>
    <col min="12550" max="12550" width="7.85546875" style="1828" customWidth="1"/>
    <col min="12551" max="12551" width="8.42578125" style="1828" customWidth="1"/>
    <col min="12552" max="12552" width="8" style="1828" customWidth="1"/>
    <col min="12553" max="12553" width="7.42578125" style="1828" customWidth="1"/>
    <col min="12554" max="12554" width="8.5703125" style="1828" customWidth="1"/>
    <col min="12555" max="12555" width="8.42578125" style="1828" customWidth="1"/>
    <col min="12556" max="12556" width="7.28515625" style="1828" customWidth="1"/>
    <col min="12557" max="12801" width="8.85546875" style="1828"/>
    <col min="12802" max="12802" width="5.7109375" style="1828" customWidth="1"/>
    <col min="12803" max="12803" width="52.7109375" style="1828" customWidth="1"/>
    <col min="12804" max="12804" width="9.7109375" style="1828" customWidth="1"/>
    <col min="12805" max="12805" width="8.42578125" style="1828" customWidth="1"/>
    <col min="12806" max="12806" width="7.85546875" style="1828" customWidth="1"/>
    <col min="12807" max="12807" width="8.42578125" style="1828" customWidth="1"/>
    <col min="12808" max="12808" width="8" style="1828" customWidth="1"/>
    <col min="12809" max="12809" width="7.42578125" style="1828" customWidth="1"/>
    <col min="12810" max="12810" width="8.5703125" style="1828" customWidth="1"/>
    <col min="12811" max="12811" width="8.42578125" style="1828" customWidth="1"/>
    <col min="12812" max="12812" width="7.28515625" style="1828" customWidth="1"/>
    <col min="12813" max="13057" width="8.85546875" style="1828"/>
    <col min="13058" max="13058" width="5.7109375" style="1828" customWidth="1"/>
    <col min="13059" max="13059" width="52.7109375" style="1828" customWidth="1"/>
    <col min="13060" max="13060" width="9.7109375" style="1828" customWidth="1"/>
    <col min="13061" max="13061" width="8.42578125" style="1828" customWidth="1"/>
    <col min="13062" max="13062" width="7.85546875" style="1828" customWidth="1"/>
    <col min="13063" max="13063" width="8.42578125" style="1828" customWidth="1"/>
    <col min="13064" max="13064" width="8" style="1828" customWidth="1"/>
    <col min="13065" max="13065" width="7.42578125" style="1828" customWidth="1"/>
    <col min="13066" max="13066" width="8.5703125" style="1828" customWidth="1"/>
    <col min="13067" max="13067" width="8.42578125" style="1828" customWidth="1"/>
    <col min="13068" max="13068" width="7.28515625" style="1828" customWidth="1"/>
    <col min="13069" max="13313" width="8.85546875" style="1828"/>
    <col min="13314" max="13314" width="5.7109375" style="1828" customWidth="1"/>
    <col min="13315" max="13315" width="52.7109375" style="1828" customWidth="1"/>
    <col min="13316" max="13316" width="9.7109375" style="1828" customWidth="1"/>
    <col min="13317" max="13317" width="8.42578125" style="1828" customWidth="1"/>
    <col min="13318" max="13318" width="7.85546875" style="1828" customWidth="1"/>
    <col min="13319" max="13319" width="8.42578125" style="1828" customWidth="1"/>
    <col min="13320" max="13320" width="8" style="1828" customWidth="1"/>
    <col min="13321" max="13321" width="7.42578125" style="1828" customWidth="1"/>
    <col min="13322" max="13322" width="8.5703125" style="1828" customWidth="1"/>
    <col min="13323" max="13323" width="8.42578125" style="1828" customWidth="1"/>
    <col min="13324" max="13324" width="7.28515625" style="1828" customWidth="1"/>
    <col min="13325" max="13569" width="8.85546875" style="1828"/>
    <col min="13570" max="13570" width="5.7109375" style="1828" customWidth="1"/>
    <col min="13571" max="13571" width="52.7109375" style="1828" customWidth="1"/>
    <col min="13572" max="13572" width="9.7109375" style="1828" customWidth="1"/>
    <col min="13573" max="13573" width="8.42578125" style="1828" customWidth="1"/>
    <col min="13574" max="13574" width="7.85546875" style="1828" customWidth="1"/>
    <col min="13575" max="13575" width="8.42578125" style="1828" customWidth="1"/>
    <col min="13576" max="13576" width="8" style="1828" customWidth="1"/>
    <col min="13577" max="13577" width="7.42578125" style="1828" customWidth="1"/>
    <col min="13578" max="13578" width="8.5703125" style="1828" customWidth="1"/>
    <col min="13579" max="13579" width="8.42578125" style="1828" customWidth="1"/>
    <col min="13580" max="13580" width="7.28515625" style="1828" customWidth="1"/>
    <col min="13581" max="13825" width="8.85546875" style="1828"/>
    <col min="13826" max="13826" width="5.7109375" style="1828" customWidth="1"/>
    <col min="13827" max="13827" width="52.7109375" style="1828" customWidth="1"/>
    <col min="13828" max="13828" width="9.7109375" style="1828" customWidth="1"/>
    <col min="13829" max="13829" width="8.42578125" style="1828" customWidth="1"/>
    <col min="13830" max="13830" width="7.85546875" style="1828" customWidth="1"/>
    <col min="13831" max="13831" width="8.42578125" style="1828" customWidth="1"/>
    <col min="13832" max="13832" width="8" style="1828" customWidth="1"/>
    <col min="13833" max="13833" width="7.42578125" style="1828" customWidth="1"/>
    <col min="13834" max="13834" width="8.5703125" style="1828" customWidth="1"/>
    <col min="13835" max="13835" width="8.42578125" style="1828" customWidth="1"/>
    <col min="13836" max="13836" width="7.28515625" style="1828" customWidth="1"/>
    <col min="13837" max="14081" width="8.85546875" style="1828"/>
    <col min="14082" max="14082" width="5.7109375" style="1828" customWidth="1"/>
    <col min="14083" max="14083" width="52.7109375" style="1828" customWidth="1"/>
    <col min="14084" max="14084" width="9.7109375" style="1828" customWidth="1"/>
    <col min="14085" max="14085" width="8.42578125" style="1828" customWidth="1"/>
    <col min="14086" max="14086" width="7.85546875" style="1828" customWidth="1"/>
    <col min="14087" max="14087" width="8.42578125" style="1828" customWidth="1"/>
    <col min="14088" max="14088" width="8" style="1828" customWidth="1"/>
    <col min="14089" max="14089" width="7.42578125" style="1828" customWidth="1"/>
    <col min="14090" max="14090" width="8.5703125" style="1828" customWidth="1"/>
    <col min="14091" max="14091" width="8.42578125" style="1828" customWidth="1"/>
    <col min="14092" max="14092" width="7.28515625" style="1828" customWidth="1"/>
    <col min="14093" max="14337" width="8.85546875" style="1828"/>
    <col min="14338" max="14338" width="5.7109375" style="1828" customWidth="1"/>
    <col min="14339" max="14339" width="52.7109375" style="1828" customWidth="1"/>
    <col min="14340" max="14340" width="9.7109375" style="1828" customWidth="1"/>
    <col min="14341" max="14341" width="8.42578125" style="1828" customWidth="1"/>
    <col min="14342" max="14342" width="7.85546875" style="1828" customWidth="1"/>
    <col min="14343" max="14343" width="8.42578125" style="1828" customWidth="1"/>
    <col min="14344" max="14344" width="8" style="1828" customWidth="1"/>
    <col min="14345" max="14345" width="7.42578125" style="1828" customWidth="1"/>
    <col min="14346" max="14346" width="8.5703125" style="1828" customWidth="1"/>
    <col min="14347" max="14347" width="8.42578125" style="1828" customWidth="1"/>
    <col min="14348" max="14348" width="7.28515625" style="1828" customWidth="1"/>
    <col min="14349" max="14593" width="8.85546875" style="1828"/>
    <col min="14594" max="14594" width="5.7109375" style="1828" customWidth="1"/>
    <col min="14595" max="14595" width="52.7109375" style="1828" customWidth="1"/>
    <col min="14596" max="14596" width="9.7109375" style="1828" customWidth="1"/>
    <col min="14597" max="14597" width="8.42578125" style="1828" customWidth="1"/>
    <col min="14598" max="14598" width="7.85546875" style="1828" customWidth="1"/>
    <col min="14599" max="14599" width="8.42578125" style="1828" customWidth="1"/>
    <col min="14600" max="14600" width="8" style="1828" customWidth="1"/>
    <col min="14601" max="14601" width="7.42578125" style="1828" customWidth="1"/>
    <col min="14602" max="14602" width="8.5703125" style="1828" customWidth="1"/>
    <col min="14603" max="14603" width="8.42578125" style="1828" customWidth="1"/>
    <col min="14604" max="14604" width="7.28515625" style="1828" customWidth="1"/>
    <col min="14605" max="14849" width="8.85546875" style="1828"/>
    <col min="14850" max="14850" width="5.7109375" style="1828" customWidth="1"/>
    <col min="14851" max="14851" width="52.7109375" style="1828" customWidth="1"/>
    <col min="14852" max="14852" width="9.7109375" style="1828" customWidth="1"/>
    <col min="14853" max="14853" width="8.42578125" style="1828" customWidth="1"/>
    <col min="14854" max="14854" width="7.85546875" style="1828" customWidth="1"/>
    <col min="14855" max="14855" width="8.42578125" style="1828" customWidth="1"/>
    <col min="14856" max="14856" width="8" style="1828" customWidth="1"/>
    <col min="14857" max="14857" width="7.42578125" style="1828" customWidth="1"/>
    <col min="14858" max="14858" width="8.5703125" style="1828" customWidth="1"/>
    <col min="14859" max="14859" width="8.42578125" style="1828" customWidth="1"/>
    <col min="14860" max="14860" width="7.28515625" style="1828" customWidth="1"/>
    <col min="14861" max="15105" width="8.85546875" style="1828"/>
    <col min="15106" max="15106" width="5.7109375" style="1828" customWidth="1"/>
    <col min="15107" max="15107" width="52.7109375" style="1828" customWidth="1"/>
    <col min="15108" max="15108" width="9.7109375" style="1828" customWidth="1"/>
    <col min="15109" max="15109" width="8.42578125" style="1828" customWidth="1"/>
    <col min="15110" max="15110" width="7.85546875" style="1828" customWidth="1"/>
    <col min="15111" max="15111" width="8.42578125" style="1828" customWidth="1"/>
    <col min="15112" max="15112" width="8" style="1828" customWidth="1"/>
    <col min="15113" max="15113" width="7.42578125" style="1828" customWidth="1"/>
    <col min="15114" max="15114" width="8.5703125" style="1828" customWidth="1"/>
    <col min="15115" max="15115" width="8.42578125" style="1828" customWidth="1"/>
    <col min="15116" max="15116" width="7.28515625" style="1828" customWidth="1"/>
    <col min="15117" max="15361" width="8.85546875" style="1828"/>
    <col min="15362" max="15362" width="5.7109375" style="1828" customWidth="1"/>
    <col min="15363" max="15363" width="52.7109375" style="1828" customWidth="1"/>
    <col min="15364" max="15364" width="9.7109375" style="1828" customWidth="1"/>
    <col min="15365" max="15365" width="8.42578125" style="1828" customWidth="1"/>
    <col min="15366" max="15366" width="7.85546875" style="1828" customWidth="1"/>
    <col min="15367" max="15367" width="8.42578125" style="1828" customWidth="1"/>
    <col min="15368" max="15368" width="8" style="1828" customWidth="1"/>
    <col min="15369" max="15369" width="7.42578125" style="1828" customWidth="1"/>
    <col min="15370" max="15370" width="8.5703125" style="1828" customWidth="1"/>
    <col min="15371" max="15371" width="8.42578125" style="1828" customWidth="1"/>
    <col min="15372" max="15372" width="7.28515625" style="1828" customWidth="1"/>
    <col min="15373" max="15617" width="8.85546875" style="1828"/>
    <col min="15618" max="15618" width="5.7109375" style="1828" customWidth="1"/>
    <col min="15619" max="15619" width="52.7109375" style="1828" customWidth="1"/>
    <col min="15620" max="15620" width="9.7109375" style="1828" customWidth="1"/>
    <col min="15621" max="15621" width="8.42578125" style="1828" customWidth="1"/>
    <col min="15622" max="15622" width="7.85546875" style="1828" customWidth="1"/>
    <col min="15623" max="15623" width="8.42578125" style="1828" customWidth="1"/>
    <col min="15624" max="15624" width="8" style="1828" customWidth="1"/>
    <col min="15625" max="15625" width="7.42578125" style="1828" customWidth="1"/>
    <col min="15626" max="15626" width="8.5703125" style="1828" customWidth="1"/>
    <col min="15627" max="15627" width="8.42578125" style="1828" customWidth="1"/>
    <col min="15628" max="15628" width="7.28515625" style="1828" customWidth="1"/>
    <col min="15629" max="15873" width="8.85546875" style="1828"/>
    <col min="15874" max="15874" width="5.7109375" style="1828" customWidth="1"/>
    <col min="15875" max="15875" width="52.7109375" style="1828" customWidth="1"/>
    <col min="15876" max="15876" width="9.7109375" style="1828" customWidth="1"/>
    <col min="15877" max="15877" width="8.42578125" style="1828" customWidth="1"/>
    <col min="15878" max="15878" width="7.85546875" style="1828" customWidth="1"/>
    <col min="15879" max="15879" width="8.42578125" style="1828" customWidth="1"/>
    <col min="15880" max="15880" width="8" style="1828" customWidth="1"/>
    <col min="15881" max="15881" width="7.42578125" style="1828" customWidth="1"/>
    <col min="15882" max="15882" width="8.5703125" style="1828" customWidth="1"/>
    <col min="15883" max="15883" width="8.42578125" style="1828" customWidth="1"/>
    <col min="15884" max="15884" width="7.28515625" style="1828" customWidth="1"/>
    <col min="15885" max="16129" width="8.85546875" style="1828"/>
    <col min="16130" max="16130" width="5.7109375" style="1828" customWidth="1"/>
    <col min="16131" max="16131" width="52.7109375" style="1828" customWidth="1"/>
    <col min="16132" max="16132" width="9.7109375" style="1828" customWidth="1"/>
    <col min="16133" max="16133" width="8.42578125" style="1828" customWidth="1"/>
    <col min="16134" max="16134" width="7.85546875" style="1828" customWidth="1"/>
    <col min="16135" max="16135" width="8.42578125" style="1828" customWidth="1"/>
    <col min="16136" max="16136" width="8" style="1828" customWidth="1"/>
    <col min="16137" max="16137" width="7.42578125" style="1828" customWidth="1"/>
    <col min="16138" max="16138" width="8.5703125" style="1828" customWidth="1"/>
    <col min="16139" max="16139" width="8.42578125" style="1828" customWidth="1"/>
    <col min="16140" max="16140" width="7.28515625" style="1828" customWidth="1"/>
    <col min="16141" max="16384" width="8.85546875" style="1828"/>
  </cols>
  <sheetData>
    <row r="1" spans="1:14" ht="15.75" x14ac:dyDescent="0.25">
      <c r="A1" s="4054" t="s">
        <v>3060</v>
      </c>
      <c r="B1" s="4054"/>
      <c r="C1" s="4054"/>
      <c r="D1" s="4054"/>
      <c r="E1" s="4054"/>
      <c r="F1" s="4054"/>
      <c r="G1" s="4054"/>
      <c r="H1" s="4054"/>
      <c r="I1" s="4054"/>
      <c r="J1" s="4054"/>
      <c r="K1" s="4054"/>
      <c r="L1" s="4054"/>
    </row>
    <row r="2" spans="1:14" ht="15.75" x14ac:dyDescent="0.25">
      <c r="A2" s="4055" t="s">
        <v>3485</v>
      </c>
      <c r="B2" s="4055"/>
      <c r="C2" s="4055"/>
      <c r="D2" s="4055"/>
      <c r="E2" s="4055"/>
      <c r="F2" s="4055"/>
      <c r="G2" s="4055"/>
      <c r="H2" s="4055"/>
      <c r="I2" s="4055"/>
      <c r="J2" s="4055"/>
      <c r="K2" s="4055"/>
      <c r="L2" s="4055"/>
    </row>
    <row r="3" spans="1:14" x14ac:dyDescent="0.25">
      <c r="A3" s="1829"/>
      <c r="E3" s="4056"/>
      <c r="F3" s="4056"/>
      <c r="G3" s="4056"/>
      <c r="H3" s="4056"/>
      <c r="I3" s="4056"/>
      <c r="J3" s="4057" t="s">
        <v>843</v>
      </c>
      <c r="K3" s="4057"/>
      <c r="L3" s="4057"/>
    </row>
    <row r="4" spans="1:14" ht="57" x14ac:dyDescent="0.25">
      <c r="A4" s="1830" t="s">
        <v>844</v>
      </c>
      <c r="B4" s="1830" t="s">
        <v>845</v>
      </c>
      <c r="C4" s="1830" t="s">
        <v>868</v>
      </c>
      <c r="D4" s="1830" t="s">
        <v>3061</v>
      </c>
      <c r="E4" s="1830" t="s">
        <v>2986</v>
      </c>
      <c r="F4" s="1830" t="s">
        <v>2989</v>
      </c>
      <c r="G4" s="1830" t="s">
        <v>2991</v>
      </c>
      <c r="H4" s="1830" t="s">
        <v>2286</v>
      </c>
      <c r="I4" s="1830" t="s">
        <v>2994</v>
      </c>
      <c r="J4" s="1830" t="s">
        <v>2996</v>
      </c>
      <c r="K4" s="1830" t="s">
        <v>2998</v>
      </c>
      <c r="L4" s="1830" t="s">
        <v>3000</v>
      </c>
    </row>
    <row r="5" spans="1:14" x14ac:dyDescent="0.25">
      <c r="A5" s="1831">
        <v>1</v>
      </c>
      <c r="B5" s="1832" t="s">
        <v>2755</v>
      </c>
      <c r="C5" s="1833"/>
      <c r="D5" s="1833"/>
      <c r="E5" s="1833"/>
      <c r="F5" s="1833"/>
      <c r="G5" s="1833"/>
      <c r="H5" s="1833"/>
      <c r="I5" s="1833"/>
      <c r="J5" s="1833"/>
      <c r="K5" s="1833"/>
      <c r="L5" s="1833"/>
    </row>
    <row r="6" spans="1:14" s="1838" customFormat="1" x14ac:dyDescent="0.25">
      <c r="A6" s="1834" t="s">
        <v>882</v>
      </c>
      <c r="B6" s="1835" t="s">
        <v>3062</v>
      </c>
      <c r="C6" s="1836">
        <f>SUM(D6:L6)</f>
        <v>732000</v>
      </c>
      <c r="D6" s="1837">
        <v>360000</v>
      </c>
      <c r="E6" s="1837">
        <v>155500</v>
      </c>
      <c r="F6" s="1837">
        <v>14800</v>
      </c>
      <c r="G6" s="1837">
        <v>14800</v>
      </c>
      <c r="H6" s="1837">
        <v>112800</v>
      </c>
      <c r="I6" s="1837">
        <v>18000</v>
      </c>
      <c r="J6" s="1837">
        <v>15500</v>
      </c>
      <c r="K6" s="1837">
        <v>31000</v>
      </c>
      <c r="L6" s="1837">
        <v>9600</v>
      </c>
    </row>
    <row r="7" spans="1:14" s="1838" customFormat="1" x14ac:dyDescent="0.25">
      <c r="A7" s="1834" t="s">
        <v>882</v>
      </c>
      <c r="B7" s="1835" t="s">
        <v>3063</v>
      </c>
      <c r="C7" s="1836" t="e">
        <f>SUM(D7:L7)</f>
        <v>#REF!</v>
      </c>
      <c r="D7" s="1837">
        <v>274830</v>
      </c>
      <c r="E7" s="1837">
        <v>145000</v>
      </c>
      <c r="F7" s="1837">
        <v>13720</v>
      </c>
      <c r="G7" s="1837">
        <v>13390</v>
      </c>
      <c r="H7" s="1837" t="e">
        <f>'tính tăng thu'!P8</f>
        <v>#REF!</v>
      </c>
      <c r="I7" s="1837">
        <v>16790</v>
      </c>
      <c r="J7" s="1837">
        <v>14410</v>
      </c>
      <c r="K7" s="1837">
        <v>28500</v>
      </c>
      <c r="L7" s="1837">
        <v>8610</v>
      </c>
    </row>
    <row r="8" spans="1:14" s="1838" customFormat="1" ht="30" x14ac:dyDescent="0.25">
      <c r="A8" s="1834"/>
      <c r="B8" s="1839" t="s">
        <v>3064</v>
      </c>
      <c r="C8" s="1840" t="e">
        <f>SUM(D8:L8)</f>
        <v>#REF!</v>
      </c>
      <c r="D8" s="1840">
        <v>25380</v>
      </c>
      <c r="E8" s="1840">
        <v>71100</v>
      </c>
      <c r="F8" s="1840">
        <v>1530</v>
      </c>
      <c r="G8" s="1840">
        <v>900</v>
      </c>
      <c r="H8" s="1840" t="e">
        <f>'B61-342'!#REF!</f>
        <v>#REF!</v>
      </c>
      <c r="I8" s="1840">
        <v>1980</v>
      </c>
      <c r="J8" s="1840">
        <v>540</v>
      </c>
      <c r="K8" s="1840">
        <v>7200</v>
      </c>
      <c r="L8" s="1840">
        <v>1170</v>
      </c>
    </row>
    <row r="9" spans="1:14" s="1838" customFormat="1" ht="30" x14ac:dyDescent="0.25">
      <c r="A9" s="1834" t="s">
        <v>882</v>
      </c>
      <c r="B9" s="1835" t="s">
        <v>3065</v>
      </c>
      <c r="C9" s="1841" t="e">
        <f>SUM(D9:L9)</f>
        <v>#REF!</v>
      </c>
      <c r="D9" s="1837">
        <f t="shared" ref="D9:L9" si="0">D7-D8</f>
        <v>249450</v>
      </c>
      <c r="E9" s="1837">
        <f t="shared" si="0"/>
        <v>73900</v>
      </c>
      <c r="F9" s="1837">
        <f t="shared" si="0"/>
        <v>12190</v>
      </c>
      <c r="G9" s="1837">
        <f t="shared" si="0"/>
        <v>12490</v>
      </c>
      <c r="H9" s="1837" t="e">
        <f t="shared" si="0"/>
        <v>#REF!</v>
      </c>
      <c r="I9" s="1837">
        <f t="shared" si="0"/>
        <v>14810</v>
      </c>
      <c r="J9" s="1837">
        <f t="shared" si="0"/>
        <v>13870</v>
      </c>
      <c r="K9" s="1837">
        <f t="shared" si="0"/>
        <v>21300</v>
      </c>
      <c r="L9" s="1837">
        <f t="shared" si="0"/>
        <v>7440</v>
      </c>
      <c r="N9" s="1838" t="e">
        <f>H7-H8</f>
        <v>#REF!</v>
      </c>
    </row>
    <row r="10" spans="1:14" s="1838" customFormat="1" x14ac:dyDescent="0.25">
      <c r="A10" s="1842">
        <v>2</v>
      </c>
      <c r="B10" s="1843" t="s">
        <v>1097</v>
      </c>
      <c r="C10" s="1844"/>
      <c r="D10" s="1844"/>
      <c r="E10" s="1844"/>
      <c r="F10" s="1844"/>
      <c r="G10" s="1844"/>
      <c r="H10" s="1844"/>
      <c r="I10" s="1844"/>
      <c r="J10" s="1844"/>
      <c r="K10" s="1844"/>
      <c r="L10" s="1844"/>
    </row>
    <row r="11" spans="1:14" x14ac:dyDescent="0.25">
      <c r="A11" s="1845" t="s">
        <v>882</v>
      </c>
      <c r="B11" s="1846" t="s">
        <v>3066</v>
      </c>
      <c r="C11" s="1847">
        <f>SUM(D11:L11)</f>
        <v>600000</v>
      </c>
      <c r="D11" s="1847">
        <v>291100</v>
      </c>
      <c r="E11" s="1848">
        <v>111500</v>
      </c>
      <c r="F11" s="1848">
        <v>15800</v>
      </c>
      <c r="G11" s="1848">
        <v>18450</v>
      </c>
      <c r="H11" s="1848">
        <v>98150</v>
      </c>
      <c r="I11" s="1848">
        <v>18300</v>
      </c>
      <c r="J11" s="1848">
        <v>12380</v>
      </c>
      <c r="K11" s="1848">
        <v>26500</v>
      </c>
      <c r="L11" s="1848">
        <v>7820</v>
      </c>
    </row>
    <row r="12" spans="1:14" x14ac:dyDescent="0.25">
      <c r="A12" s="1845" t="s">
        <v>882</v>
      </c>
      <c r="B12" s="1846" t="str">
        <f>B7</f>
        <v>Phần thu ngân sách địa phương được hưởng</v>
      </c>
      <c r="C12" s="1847">
        <f>SUM(D12:L12)</f>
        <v>535330</v>
      </c>
      <c r="D12" s="1847">
        <v>236943</v>
      </c>
      <c r="E12" s="1848">
        <v>107311</v>
      </c>
      <c r="F12" s="1848">
        <v>14915</v>
      </c>
      <c r="G12" s="1848">
        <v>16648</v>
      </c>
      <c r="H12" s="1848">
        <v>97092</v>
      </c>
      <c r="I12" s="1848">
        <v>17518</v>
      </c>
      <c r="J12" s="1848">
        <v>11911</v>
      </c>
      <c r="K12" s="1848">
        <v>25532</v>
      </c>
      <c r="L12" s="1848">
        <v>7460</v>
      </c>
    </row>
    <row r="13" spans="1:14" s="1838" customFormat="1" ht="30" x14ac:dyDescent="0.25">
      <c r="A13" s="1834"/>
      <c r="B13" s="1839" t="s">
        <v>3064</v>
      </c>
      <c r="C13" s="1840">
        <f>SUM(D13:L13)</f>
        <v>69000</v>
      </c>
      <c r="D13" s="1840">
        <v>19500</v>
      </c>
      <c r="E13" s="1849">
        <v>32400</v>
      </c>
      <c r="F13" s="1849">
        <v>900</v>
      </c>
      <c r="G13" s="1849">
        <v>1890</v>
      </c>
      <c r="H13" s="1849">
        <v>4500</v>
      </c>
      <c r="I13" s="1849">
        <v>3780</v>
      </c>
      <c r="J13" s="1849">
        <v>900</v>
      </c>
      <c r="K13" s="1849">
        <v>3780</v>
      </c>
      <c r="L13" s="1849">
        <v>1350</v>
      </c>
    </row>
    <row r="14" spans="1:14" s="1838" customFormat="1" ht="30" x14ac:dyDescent="0.25">
      <c r="A14" s="1834" t="s">
        <v>882</v>
      </c>
      <c r="B14" s="1835" t="str">
        <f>B9</f>
        <v>Phần thu ngân sách huyện, thành phố làm cơ sở tính nguồn thực hiện cải cách tiền lương</v>
      </c>
      <c r="C14" s="1847">
        <f>SUM(D14:L14)</f>
        <v>466330</v>
      </c>
      <c r="D14" s="1837">
        <f>D12-D13</f>
        <v>217443</v>
      </c>
      <c r="E14" s="1837">
        <f t="shared" ref="E14:L14" si="1">E12-E13</f>
        <v>74911</v>
      </c>
      <c r="F14" s="1837">
        <f t="shared" si="1"/>
        <v>14015</v>
      </c>
      <c r="G14" s="1837">
        <f t="shared" si="1"/>
        <v>14758</v>
      </c>
      <c r="H14" s="1837">
        <f>H12-H13</f>
        <v>92592</v>
      </c>
      <c r="I14" s="1837">
        <f t="shared" si="1"/>
        <v>13738</v>
      </c>
      <c r="J14" s="1837">
        <f t="shared" si="1"/>
        <v>11011</v>
      </c>
      <c r="K14" s="1837">
        <f t="shared" si="1"/>
        <v>21752</v>
      </c>
      <c r="L14" s="1837">
        <f t="shared" si="1"/>
        <v>6110</v>
      </c>
    </row>
    <row r="15" spans="1:14" s="1838" customFormat="1" ht="28.5" x14ac:dyDescent="0.25">
      <c r="A15" s="1850">
        <v>3</v>
      </c>
      <c r="B15" s="1843" t="s">
        <v>3067</v>
      </c>
      <c r="C15" s="1841" t="e">
        <f>SUM(D15:L15)</f>
        <v>#REF!</v>
      </c>
      <c r="D15" s="1841">
        <f>D9-D14</f>
        <v>32007</v>
      </c>
      <c r="E15" s="1836"/>
      <c r="F15" s="1836"/>
      <c r="G15" s="1836"/>
      <c r="H15" s="1841" t="e">
        <f>H9-H14</f>
        <v>#REF!</v>
      </c>
      <c r="I15" s="1841">
        <f>I9-I14</f>
        <v>1072</v>
      </c>
      <c r="J15" s="1841">
        <f>J9-J14</f>
        <v>2859</v>
      </c>
      <c r="K15" s="1836"/>
      <c r="L15" s="1841">
        <f>L9-L14</f>
        <v>1330</v>
      </c>
    </row>
    <row r="16" spans="1:14" s="1838" customFormat="1" x14ac:dyDescent="0.25">
      <c r="A16" s="1851"/>
      <c r="B16" s="1852" t="s">
        <v>908</v>
      </c>
      <c r="C16" s="1837"/>
      <c r="D16" s="1837"/>
      <c r="E16" s="1844"/>
      <c r="F16" s="1844"/>
      <c r="G16" s="1844"/>
      <c r="H16" s="1844"/>
      <c r="I16" s="1844"/>
      <c r="J16" s="1844"/>
      <c r="K16" s="1844"/>
      <c r="L16" s="1844"/>
    </row>
    <row r="17" spans="1:14" x14ac:dyDescent="0.25">
      <c r="A17" s="1853" t="s">
        <v>3068</v>
      </c>
      <c r="B17" s="1854" t="s">
        <v>3069</v>
      </c>
      <c r="C17" s="1847" t="e">
        <f>SUM(D17:L17)</f>
        <v>#REF!</v>
      </c>
      <c r="D17" s="1847">
        <f>D15/2</f>
        <v>16003.5</v>
      </c>
      <c r="E17" s="1847"/>
      <c r="F17" s="1847"/>
      <c r="G17" s="1847"/>
      <c r="H17" s="1847" t="e">
        <f>H15/2</f>
        <v>#REF!</v>
      </c>
      <c r="I17" s="1847">
        <f>I15/2</f>
        <v>536</v>
      </c>
      <c r="J17" s="1847">
        <f>J15/2</f>
        <v>1429.5</v>
      </c>
      <c r="K17" s="1847"/>
      <c r="L17" s="1847">
        <f>L15/2</f>
        <v>665</v>
      </c>
      <c r="N17" s="1828" t="e">
        <f>'B61-342'!#REF!+'B61-342'!H12</f>
        <v>#REF!</v>
      </c>
    </row>
    <row r="18" spans="1:14" s="1838" customFormat="1" x14ac:dyDescent="0.25">
      <c r="A18" s="1855" t="s">
        <v>3068</v>
      </c>
      <c r="B18" s="1856" t="s">
        <v>3070</v>
      </c>
      <c r="C18" s="1857" t="e">
        <f>SUM(D18:L18)</f>
        <v>#REF!</v>
      </c>
      <c r="D18" s="1858">
        <v>16003</v>
      </c>
      <c r="E18" s="1859"/>
      <c r="F18" s="1859"/>
      <c r="G18" s="1859"/>
      <c r="H18" s="1858" t="e">
        <f>H17</f>
        <v>#REF!</v>
      </c>
      <c r="I18" s="1858">
        <f>I17</f>
        <v>536</v>
      </c>
      <c r="J18" s="1858">
        <v>1429</v>
      </c>
      <c r="K18" s="1858"/>
      <c r="L18" s="1858">
        <f>L17</f>
        <v>665</v>
      </c>
    </row>
    <row r="19" spans="1:14" s="1838" customFormat="1" x14ac:dyDescent="0.25">
      <c r="E19" s="1838">
        <v>15431</v>
      </c>
      <c r="F19" s="1838">
        <v>3475</v>
      </c>
      <c r="G19" s="1838">
        <v>3453</v>
      </c>
      <c r="H19" s="1838">
        <v>13024</v>
      </c>
    </row>
    <row r="20" spans="1:14" s="1838" customFormat="1" x14ac:dyDescent="0.25">
      <c r="A20" s="1838">
        <v>2</v>
      </c>
      <c r="B20" s="1838" t="s">
        <v>1097</v>
      </c>
    </row>
    <row r="21" spans="1:14" s="1838" customFormat="1" x14ac:dyDescent="0.25">
      <c r="A21" s="1838" t="s">
        <v>882</v>
      </c>
      <c r="B21" s="1838" t="s">
        <v>3066</v>
      </c>
      <c r="C21" s="1838">
        <v>600000</v>
      </c>
      <c r="D21" s="1838">
        <v>291100</v>
      </c>
      <c r="E21" s="1838">
        <v>111500</v>
      </c>
      <c r="F21" s="1838">
        <v>15800</v>
      </c>
      <c r="H21" s="1838">
        <v>98150</v>
      </c>
      <c r="I21" s="1838">
        <v>18300</v>
      </c>
      <c r="J21" s="1838">
        <v>12380</v>
      </c>
      <c r="K21" s="1838">
        <v>26500</v>
      </c>
      <c r="L21" s="1838">
        <v>7820</v>
      </c>
    </row>
    <row r="22" spans="1:14" s="1838" customFormat="1" x14ac:dyDescent="0.25">
      <c r="A22" s="1838" t="s">
        <v>882</v>
      </c>
      <c r="B22" s="1838" t="s">
        <v>3071</v>
      </c>
      <c r="C22" s="1838">
        <v>535330</v>
      </c>
      <c r="D22" s="1838">
        <v>236943</v>
      </c>
      <c r="E22" s="1838">
        <v>107311</v>
      </c>
      <c r="F22" s="1838">
        <v>14915</v>
      </c>
      <c r="H22" s="1838">
        <v>97092</v>
      </c>
      <c r="I22" s="1838">
        <v>17518</v>
      </c>
      <c r="J22" s="1838">
        <v>11911</v>
      </c>
      <c r="K22" s="1838">
        <v>25532</v>
      </c>
      <c r="L22" s="1838">
        <v>7460</v>
      </c>
    </row>
    <row r="23" spans="1:14" s="1838" customFormat="1" x14ac:dyDescent="0.25">
      <c r="B23" s="1838" t="s">
        <v>3064</v>
      </c>
      <c r="C23" s="1838">
        <v>69000</v>
      </c>
      <c r="D23" s="1838">
        <v>19500</v>
      </c>
      <c r="E23" s="1838">
        <v>32400</v>
      </c>
      <c r="F23" s="1838">
        <v>900</v>
      </c>
      <c r="H23" s="1838">
        <v>4500</v>
      </c>
      <c r="I23" s="1838">
        <v>3780</v>
      </c>
      <c r="J23" s="1838">
        <v>900</v>
      </c>
      <c r="K23" s="1838">
        <v>3780</v>
      </c>
      <c r="L23" s="1838">
        <v>1350</v>
      </c>
    </row>
    <row r="24" spans="1:14" s="1838" customFormat="1" x14ac:dyDescent="0.25">
      <c r="A24" s="1838" t="s">
        <v>882</v>
      </c>
      <c r="B24" s="1838" t="s">
        <v>3072</v>
      </c>
      <c r="C24" s="1838">
        <v>466330</v>
      </c>
      <c r="D24" s="1838">
        <v>217443</v>
      </c>
      <c r="E24" s="1838">
        <v>74911</v>
      </c>
      <c r="F24" s="1838">
        <v>14015</v>
      </c>
      <c r="H24" s="1838">
        <v>92592</v>
      </c>
      <c r="I24" s="1838">
        <v>13738</v>
      </c>
      <c r="J24" s="1838">
        <v>11011</v>
      </c>
      <c r="K24" s="1838">
        <v>21752</v>
      </c>
      <c r="L24" s="1838">
        <v>6110</v>
      </c>
    </row>
    <row r="25" spans="1:14" s="1860" customFormat="1" x14ac:dyDescent="0.25">
      <c r="E25" s="1860">
        <f>E9-E24</f>
        <v>-1011</v>
      </c>
      <c r="F25" s="1860">
        <f>F9-F24</f>
        <v>-1825</v>
      </c>
      <c r="H25" s="1860" t="e">
        <f>H9-H24</f>
        <v>#REF!</v>
      </c>
      <c r="I25" s="1860">
        <f>I9-I24</f>
        <v>1072</v>
      </c>
      <c r="J25" s="1860">
        <f>J9-J24</f>
        <v>2859</v>
      </c>
      <c r="K25" s="1860">
        <f>K9-K24</f>
        <v>-452</v>
      </c>
      <c r="L25" s="1860">
        <f>L9-L24</f>
        <v>1330</v>
      </c>
    </row>
    <row r="26" spans="1:14" s="1838" customFormat="1" x14ac:dyDescent="0.25"/>
    <row r="27" spans="1:14" s="1838" customFormat="1" x14ac:dyDescent="0.25"/>
    <row r="28" spans="1:14" s="1838" customFormat="1" x14ac:dyDescent="0.25"/>
    <row r="29" spans="1:14" s="1838" customFormat="1" x14ac:dyDescent="0.25"/>
    <row r="30" spans="1:14" s="1838" customFormat="1" x14ac:dyDescent="0.25"/>
    <row r="31" spans="1:14" s="1838" customFormat="1" x14ac:dyDescent="0.25"/>
    <row r="32" spans="1:14" s="1838" customFormat="1" x14ac:dyDescent="0.25">
      <c r="D32" s="1861"/>
      <c r="E32" s="1861">
        <v>-5061</v>
      </c>
      <c r="F32" s="1861">
        <v>-2135</v>
      </c>
      <c r="G32" s="1861"/>
    </row>
    <row r="33" spans="3:12" s="1838" customFormat="1" x14ac:dyDescent="0.25">
      <c r="C33" s="1838">
        <f>SUM(D33:L33)</f>
        <v>5238</v>
      </c>
      <c r="D33" s="1862"/>
      <c r="E33" s="1862">
        <f>E25-E32</f>
        <v>4050</v>
      </c>
      <c r="F33" s="1862">
        <f t="shared" ref="F33:L33" si="2">F25-F32</f>
        <v>310</v>
      </c>
      <c r="G33" s="1862"/>
      <c r="H33" s="1862"/>
      <c r="I33" s="1862"/>
      <c r="J33" s="1862"/>
      <c r="K33" s="1862">
        <f t="shared" si="2"/>
        <v>-452</v>
      </c>
      <c r="L33" s="1862">
        <f t="shared" si="2"/>
        <v>1330</v>
      </c>
    </row>
    <row r="34" spans="3:12" s="1838" customFormat="1" x14ac:dyDescent="0.25"/>
    <row r="35" spans="3:12" s="1838" customFormat="1" x14ac:dyDescent="0.25"/>
    <row r="36" spans="3:12" s="1838" customFormat="1" x14ac:dyDescent="0.25"/>
    <row r="37" spans="3:12" s="1838" customFormat="1" x14ac:dyDescent="0.25">
      <c r="E37" s="1838" t="s">
        <v>3073</v>
      </c>
    </row>
    <row r="38" spans="3:12" s="1838" customFormat="1" x14ac:dyDescent="0.25">
      <c r="E38" s="1838">
        <v>583178</v>
      </c>
    </row>
    <row r="39" spans="3:12" s="1838" customFormat="1" x14ac:dyDescent="0.25">
      <c r="E39" s="1838">
        <v>65000</v>
      </c>
    </row>
    <row r="40" spans="3:12" s="1838" customFormat="1" x14ac:dyDescent="0.25">
      <c r="E40" s="1838">
        <f>E38-E39</f>
        <v>518178</v>
      </c>
    </row>
    <row r="41" spans="3:12" s="1838" customFormat="1" x14ac:dyDescent="0.25">
      <c r="E41" s="1838" t="s">
        <v>3074</v>
      </c>
    </row>
    <row r="42" spans="3:12" s="1838" customFormat="1" x14ac:dyDescent="0.25">
      <c r="E42" s="1838">
        <v>521330</v>
      </c>
    </row>
    <row r="43" spans="3:12" s="1838" customFormat="1" x14ac:dyDescent="0.25">
      <c r="E43" s="1838">
        <v>55000</v>
      </c>
    </row>
    <row r="44" spans="3:12" s="1838" customFormat="1" x14ac:dyDescent="0.25">
      <c r="E44" s="1838">
        <f>E42-E43</f>
        <v>466330</v>
      </c>
    </row>
    <row r="45" spans="3:12" s="1838" customFormat="1" x14ac:dyDescent="0.25">
      <c r="E45" s="1838">
        <f>E40-E44</f>
        <v>51848</v>
      </c>
    </row>
    <row r="46" spans="3:12" s="1838" customFormat="1" x14ac:dyDescent="0.25">
      <c r="E46" s="1860">
        <f>E45*50%</f>
        <v>25924</v>
      </c>
    </row>
    <row r="47" spans="3:12" s="1838" customFormat="1" x14ac:dyDescent="0.25">
      <c r="E47" s="1838">
        <f>E15+E19</f>
        <v>15431</v>
      </c>
      <c r="F47" s="1838">
        <f>F15+F19</f>
        <v>3475</v>
      </c>
      <c r="G47" s="1838">
        <f>G19+G15</f>
        <v>3453</v>
      </c>
      <c r="H47" s="1838" t="e">
        <f>H19-H18</f>
        <v>#REF!</v>
      </c>
      <c r="I47" s="1838">
        <v>430</v>
      </c>
      <c r="J47" s="1838">
        <v>1100</v>
      </c>
    </row>
    <row r="48" spans="3:12" s="1838" customFormat="1" x14ac:dyDescent="0.25">
      <c r="J48" s="1838">
        <f>J18-J47</f>
        <v>329</v>
      </c>
    </row>
    <row r="49" spans="15:19" s="1838" customFormat="1" x14ac:dyDescent="0.25"/>
    <row r="50" spans="15:19" s="1838" customFormat="1" x14ac:dyDescent="0.25"/>
    <row r="51" spans="15:19" s="1838" customFormat="1" x14ac:dyDescent="0.25"/>
    <row r="52" spans="15:19" s="1838" customFormat="1" x14ac:dyDescent="0.25"/>
    <row r="53" spans="15:19" s="1838" customFormat="1" x14ac:dyDescent="0.25"/>
    <row r="54" spans="15:19" s="1838" customFormat="1" x14ac:dyDescent="0.25"/>
    <row r="55" spans="15:19" s="1838" customFormat="1" x14ac:dyDescent="0.25">
      <c r="O55" s="4058" t="s">
        <v>2286</v>
      </c>
      <c r="P55" s="4058"/>
      <c r="Q55" s="4058"/>
      <c r="R55" s="4058"/>
      <c r="S55" s="4058"/>
    </row>
    <row r="56" spans="15:19" s="1838" customFormat="1" ht="60" x14ac:dyDescent="0.25">
      <c r="O56" s="1863" t="s">
        <v>3075</v>
      </c>
      <c r="P56" s="1863" t="s">
        <v>3076</v>
      </c>
      <c r="Q56" s="1864" t="s">
        <v>3077</v>
      </c>
      <c r="R56" s="1864" t="s">
        <v>3078</v>
      </c>
      <c r="S56" s="1838" t="s">
        <v>3079</v>
      </c>
    </row>
    <row r="57" spans="15:19" s="1838" customFormat="1" x14ac:dyDescent="0.25"/>
    <row r="58" spans="15:19" s="1838" customFormat="1" x14ac:dyDescent="0.25">
      <c r="O58" s="1860">
        <f>-11458</f>
        <v>-11458</v>
      </c>
      <c r="P58" s="1838">
        <f>25700+1566</f>
        <v>27266</v>
      </c>
      <c r="Q58" s="1838">
        <v>13024</v>
      </c>
      <c r="R58" s="1838">
        <f>P58-Q58</f>
        <v>14242</v>
      </c>
      <c r="S58" s="1838">
        <f>R58+O58</f>
        <v>2784</v>
      </c>
    </row>
    <row r="59" spans="15:19" s="1838" customFormat="1" x14ac:dyDescent="0.25">
      <c r="R59" s="1838">
        <v>13379</v>
      </c>
    </row>
    <row r="60" spans="15:19" s="1838" customFormat="1" x14ac:dyDescent="0.25">
      <c r="R60" s="1838">
        <f>R58-R59</f>
        <v>863</v>
      </c>
    </row>
    <row r="61" spans="15:19" s="1838" customFormat="1" x14ac:dyDescent="0.25"/>
    <row r="62" spans="15:19" s="1838" customFormat="1" x14ac:dyDescent="0.25"/>
    <row r="63" spans="15:19" s="1838" customFormat="1" x14ac:dyDescent="0.25"/>
    <row r="64" spans="15:19" s="1838" customFormat="1" x14ac:dyDescent="0.25"/>
    <row r="65" s="1838" customFormat="1" x14ac:dyDescent="0.25"/>
    <row r="66" s="1838" customFormat="1" x14ac:dyDescent="0.25"/>
    <row r="67" s="1838" customFormat="1" x14ac:dyDescent="0.25"/>
    <row r="68" s="1838" customFormat="1" x14ac:dyDescent="0.25"/>
    <row r="69" s="1838" customFormat="1" x14ac:dyDescent="0.25"/>
    <row r="70" s="1838" customFormat="1" x14ac:dyDescent="0.25"/>
    <row r="71" s="1838" customFormat="1" x14ac:dyDescent="0.25"/>
    <row r="72" s="1838" customFormat="1" x14ac:dyDescent="0.25"/>
    <row r="73" s="1838" customFormat="1" x14ac:dyDescent="0.25"/>
    <row r="74" s="1838" customFormat="1" x14ac:dyDescent="0.25"/>
    <row r="75" s="1838" customFormat="1" x14ac:dyDescent="0.25"/>
    <row r="76" s="1838" customFormat="1" x14ac:dyDescent="0.25"/>
    <row r="77" s="1838" customFormat="1" x14ac:dyDescent="0.25"/>
    <row r="78" s="1838" customFormat="1" x14ac:dyDescent="0.25"/>
    <row r="79" s="1838" customFormat="1" x14ac:dyDescent="0.25"/>
    <row r="80" s="1838" customFormat="1" x14ac:dyDescent="0.25"/>
    <row r="81" s="1838" customFormat="1" x14ac:dyDescent="0.25"/>
    <row r="82" s="1838" customFormat="1" x14ac:dyDescent="0.25"/>
    <row r="83" s="1838" customFormat="1" x14ac:dyDescent="0.25"/>
    <row r="84" s="1838" customFormat="1" x14ac:dyDescent="0.25"/>
    <row r="85" s="1838" customFormat="1" x14ac:dyDescent="0.25"/>
    <row r="86" s="1838" customFormat="1" x14ac:dyDescent="0.25"/>
    <row r="87" s="1838" customFormat="1" x14ac:dyDescent="0.25"/>
    <row r="88" s="1838" customFormat="1" x14ac:dyDescent="0.25"/>
    <row r="89" s="1838" customFormat="1" x14ac:dyDescent="0.25"/>
    <row r="90" s="1838" customFormat="1" x14ac:dyDescent="0.25"/>
    <row r="91" s="1838" customFormat="1" x14ac:dyDescent="0.25"/>
    <row r="92" s="1838" customFormat="1" x14ac:dyDescent="0.25"/>
    <row r="93" s="1838" customFormat="1" x14ac:dyDescent="0.25"/>
    <row r="94" s="1838" customFormat="1" x14ac:dyDescent="0.25"/>
    <row r="95" s="1838" customFormat="1" x14ac:dyDescent="0.25"/>
    <row r="96" s="1838" customFormat="1" x14ac:dyDescent="0.25"/>
    <row r="97" s="1838" customFormat="1" x14ac:dyDescent="0.25"/>
    <row r="98" s="1838" customFormat="1" x14ac:dyDescent="0.25"/>
    <row r="99" s="1838" customFormat="1" x14ac:dyDescent="0.25"/>
    <row r="100" s="1838" customFormat="1" x14ac:dyDescent="0.25"/>
    <row r="101" s="1838" customFormat="1" x14ac:dyDescent="0.25"/>
    <row r="102" s="1838" customFormat="1" x14ac:dyDescent="0.25"/>
    <row r="103" s="1838" customFormat="1" x14ac:dyDescent="0.25"/>
    <row r="104" s="1838" customFormat="1" x14ac:dyDescent="0.25"/>
  </sheetData>
  <mergeCells count="5">
    <mergeCell ref="A1:L1"/>
    <mergeCell ref="A2:L2"/>
    <mergeCell ref="E3:I3"/>
    <mergeCell ref="J3:L3"/>
    <mergeCell ref="O55:S5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S104"/>
  <sheetViews>
    <sheetView workbookViewId="0">
      <selection activeCell="H17" sqref="H17"/>
    </sheetView>
  </sheetViews>
  <sheetFormatPr defaultRowHeight="15" x14ac:dyDescent="0.25"/>
  <cols>
    <col min="1" max="1" width="5.7109375" style="1828" customWidth="1"/>
    <col min="2" max="2" width="49.28515625" style="1828" customWidth="1"/>
    <col min="3" max="3" width="9" style="1828" customWidth="1"/>
    <col min="4" max="4" width="9.42578125" style="1828" customWidth="1"/>
    <col min="5" max="5" width="8.7109375" style="1828" customWidth="1"/>
    <col min="6" max="6" width="7.85546875" style="1828" customWidth="1"/>
    <col min="7" max="7" width="8.42578125" style="1828" customWidth="1"/>
    <col min="8" max="8" width="8" style="1828" customWidth="1"/>
    <col min="9" max="9" width="7.7109375" style="1828" customWidth="1"/>
    <col min="10" max="10" width="8.5703125" style="1828" customWidth="1"/>
    <col min="11" max="11" width="7.7109375" style="1828" customWidth="1"/>
    <col min="12" max="12" width="7.28515625" style="1828" customWidth="1"/>
    <col min="13" max="257" width="8.85546875" style="1828"/>
    <col min="258" max="258" width="5.7109375" style="1828" customWidth="1"/>
    <col min="259" max="259" width="52.7109375" style="1828" customWidth="1"/>
    <col min="260" max="260" width="9.7109375" style="1828" customWidth="1"/>
    <col min="261" max="261" width="8.42578125" style="1828" customWidth="1"/>
    <col min="262" max="262" width="7.85546875" style="1828" customWidth="1"/>
    <col min="263" max="263" width="8.42578125" style="1828" customWidth="1"/>
    <col min="264" max="264" width="8" style="1828" customWidth="1"/>
    <col min="265" max="265" width="7.42578125" style="1828" customWidth="1"/>
    <col min="266" max="266" width="8.5703125" style="1828" customWidth="1"/>
    <col min="267" max="267" width="8.42578125" style="1828" customWidth="1"/>
    <col min="268" max="268" width="7.28515625" style="1828" customWidth="1"/>
    <col min="269" max="513" width="8.85546875" style="1828"/>
    <col min="514" max="514" width="5.7109375" style="1828" customWidth="1"/>
    <col min="515" max="515" width="52.7109375" style="1828" customWidth="1"/>
    <col min="516" max="516" width="9.7109375" style="1828" customWidth="1"/>
    <col min="517" max="517" width="8.42578125" style="1828" customWidth="1"/>
    <col min="518" max="518" width="7.85546875" style="1828" customWidth="1"/>
    <col min="519" max="519" width="8.42578125" style="1828" customWidth="1"/>
    <col min="520" max="520" width="8" style="1828" customWidth="1"/>
    <col min="521" max="521" width="7.42578125" style="1828" customWidth="1"/>
    <col min="522" max="522" width="8.5703125" style="1828" customWidth="1"/>
    <col min="523" max="523" width="8.42578125" style="1828" customWidth="1"/>
    <col min="524" max="524" width="7.28515625" style="1828" customWidth="1"/>
    <col min="525" max="769" width="8.85546875" style="1828"/>
    <col min="770" max="770" width="5.7109375" style="1828" customWidth="1"/>
    <col min="771" max="771" width="52.7109375" style="1828" customWidth="1"/>
    <col min="772" max="772" width="9.7109375" style="1828" customWidth="1"/>
    <col min="773" max="773" width="8.42578125" style="1828" customWidth="1"/>
    <col min="774" max="774" width="7.85546875" style="1828" customWidth="1"/>
    <col min="775" max="775" width="8.42578125" style="1828" customWidth="1"/>
    <col min="776" max="776" width="8" style="1828" customWidth="1"/>
    <col min="777" max="777" width="7.42578125" style="1828" customWidth="1"/>
    <col min="778" max="778" width="8.5703125" style="1828" customWidth="1"/>
    <col min="779" max="779" width="8.42578125" style="1828" customWidth="1"/>
    <col min="780" max="780" width="7.28515625" style="1828" customWidth="1"/>
    <col min="781" max="1025" width="8.85546875" style="1828"/>
    <col min="1026" max="1026" width="5.7109375" style="1828" customWidth="1"/>
    <col min="1027" max="1027" width="52.7109375" style="1828" customWidth="1"/>
    <col min="1028" max="1028" width="9.7109375" style="1828" customWidth="1"/>
    <col min="1029" max="1029" width="8.42578125" style="1828" customWidth="1"/>
    <col min="1030" max="1030" width="7.85546875" style="1828" customWidth="1"/>
    <col min="1031" max="1031" width="8.42578125" style="1828" customWidth="1"/>
    <col min="1032" max="1032" width="8" style="1828" customWidth="1"/>
    <col min="1033" max="1033" width="7.42578125" style="1828" customWidth="1"/>
    <col min="1034" max="1034" width="8.5703125" style="1828" customWidth="1"/>
    <col min="1035" max="1035" width="8.42578125" style="1828" customWidth="1"/>
    <col min="1036" max="1036" width="7.28515625" style="1828" customWidth="1"/>
    <col min="1037" max="1281" width="8.85546875" style="1828"/>
    <col min="1282" max="1282" width="5.7109375" style="1828" customWidth="1"/>
    <col min="1283" max="1283" width="52.7109375" style="1828" customWidth="1"/>
    <col min="1284" max="1284" width="9.7109375" style="1828" customWidth="1"/>
    <col min="1285" max="1285" width="8.42578125" style="1828" customWidth="1"/>
    <col min="1286" max="1286" width="7.85546875" style="1828" customWidth="1"/>
    <col min="1287" max="1287" width="8.42578125" style="1828" customWidth="1"/>
    <col min="1288" max="1288" width="8" style="1828" customWidth="1"/>
    <col min="1289" max="1289" width="7.42578125" style="1828" customWidth="1"/>
    <col min="1290" max="1290" width="8.5703125" style="1828" customWidth="1"/>
    <col min="1291" max="1291" width="8.42578125" style="1828" customWidth="1"/>
    <col min="1292" max="1292" width="7.28515625" style="1828" customWidth="1"/>
    <col min="1293" max="1537" width="8.85546875" style="1828"/>
    <col min="1538" max="1538" width="5.7109375" style="1828" customWidth="1"/>
    <col min="1539" max="1539" width="52.7109375" style="1828" customWidth="1"/>
    <col min="1540" max="1540" width="9.7109375" style="1828" customWidth="1"/>
    <col min="1541" max="1541" width="8.42578125" style="1828" customWidth="1"/>
    <col min="1542" max="1542" width="7.85546875" style="1828" customWidth="1"/>
    <col min="1543" max="1543" width="8.42578125" style="1828" customWidth="1"/>
    <col min="1544" max="1544" width="8" style="1828" customWidth="1"/>
    <col min="1545" max="1545" width="7.42578125" style="1828" customWidth="1"/>
    <col min="1546" max="1546" width="8.5703125" style="1828" customWidth="1"/>
    <col min="1547" max="1547" width="8.42578125" style="1828" customWidth="1"/>
    <col min="1548" max="1548" width="7.28515625" style="1828" customWidth="1"/>
    <col min="1549" max="1793" width="8.85546875" style="1828"/>
    <col min="1794" max="1794" width="5.7109375" style="1828" customWidth="1"/>
    <col min="1795" max="1795" width="52.7109375" style="1828" customWidth="1"/>
    <col min="1796" max="1796" width="9.7109375" style="1828" customWidth="1"/>
    <col min="1797" max="1797" width="8.42578125" style="1828" customWidth="1"/>
    <col min="1798" max="1798" width="7.85546875" style="1828" customWidth="1"/>
    <col min="1799" max="1799" width="8.42578125" style="1828" customWidth="1"/>
    <col min="1800" max="1800" width="8" style="1828" customWidth="1"/>
    <col min="1801" max="1801" width="7.42578125" style="1828" customWidth="1"/>
    <col min="1802" max="1802" width="8.5703125" style="1828" customWidth="1"/>
    <col min="1803" max="1803" width="8.42578125" style="1828" customWidth="1"/>
    <col min="1804" max="1804" width="7.28515625" style="1828" customWidth="1"/>
    <col min="1805" max="2049" width="8.85546875" style="1828"/>
    <col min="2050" max="2050" width="5.7109375" style="1828" customWidth="1"/>
    <col min="2051" max="2051" width="52.7109375" style="1828" customWidth="1"/>
    <col min="2052" max="2052" width="9.7109375" style="1828" customWidth="1"/>
    <col min="2053" max="2053" width="8.42578125" style="1828" customWidth="1"/>
    <col min="2054" max="2054" width="7.85546875" style="1828" customWidth="1"/>
    <col min="2055" max="2055" width="8.42578125" style="1828" customWidth="1"/>
    <col min="2056" max="2056" width="8" style="1828" customWidth="1"/>
    <col min="2057" max="2057" width="7.42578125" style="1828" customWidth="1"/>
    <col min="2058" max="2058" width="8.5703125" style="1828" customWidth="1"/>
    <col min="2059" max="2059" width="8.42578125" style="1828" customWidth="1"/>
    <col min="2060" max="2060" width="7.28515625" style="1828" customWidth="1"/>
    <col min="2061" max="2305" width="8.85546875" style="1828"/>
    <col min="2306" max="2306" width="5.7109375" style="1828" customWidth="1"/>
    <col min="2307" max="2307" width="52.7109375" style="1828" customWidth="1"/>
    <col min="2308" max="2308" width="9.7109375" style="1828" customWidth="1"/>
    <col min="2309" max="2309" width="8.42578125" style="1828" customWidth="1"/>
    <col min="2310" max="2310" width="7.85546875" style="1828" customWidth="1"/>
    <col min="2311" max="2311" width="8.42578125" style="1828" customWidth="1"/>
    <col min="2312" max="2312" width="8" style="1828" customWidth="1"/>
    <col min="2313" max="2313" width="7.42578125" style="1828" customWidth="1"/>
    <col min="2314" max="2314" width="8.5703125" style="1828" customWidth="1"/>
    <col min="2315" max="2315" width="8.42578125" style="1828" customWidth="1"/>
    <col min="2316" max="2316" width="7.28515625" style="1828" customWidth="1"/>
    <col min="2317" max="2561" width="8.85546875" style="1828"/>
    <col min="2562" max="2562" width="5.7109375" style="1828" customWidth="1"/>
    <col min="2563" max="2563" width="52.7109375" style="1828" customWidth="1"/>
    <col min="2564" max="2564" width="9.7109375" style="1828" customWidth="1"/>
    <col min="2565" max="2565" width="8.42578125" style="1828" customWidth="1"/>
    <col min="2566" max="2566" width="7.85546875" style="1828" customWidth="1"/>
    <col min="2567" max="2567" width="8.42578125" style="1828" customWidth="1"/>
    <col min="2568" max="2568" width="8" style="1828" customWidth="1"/>
    <col min="2569" max="2569" width="7.42578125" style="1828" customWidth="1"/>
    <col min="2570" max="2570" width="8.5703125" style="1828" customWidth="1"/>
    <col min="2571" max="2571" width="8.42578125" style="1828" customWidth="1"/>
    <col min="2572" max="2572" width="7.28515625" style="1828" customWidth="1"/>
    <col min="2573" max="2817" width="8.85546875" style="1828"/>
    <col min="2818" max="2818" width="5.7109375" style="1828" customWidth="1"/>
    <col min="2819" max="2819" width="52.7109375" style="1828" customWidth="1"/>
    <col min="2820" max="2820" width="9.7109375" style="1828" customWidth="1"/>
    <col min="2821" max="2821" width="8.42578125" style="1828" customWidth="1"/>
    <col min="2822" max="2822" width="7.85546875" style="1828" customWidth="1"/>
    <col min="2823" max="2823" width="8.42578125" style="1828" customWidth="1"/>
    <col min="2824" max="2824" width="8" style="1828" customWidth="1"/>
    <col min="2825" max="2825" width="7.42578125" style="1828" customWidth="1"/>
    <col min="2826" max="2826" width="8.5703125" style="1828" customWidth="1"/>
    <col min="2827" max="2827" width="8.42578125" style="1828" customWidth="1"/>
    <col min="2828" max="2828" width="7.28515625" style="1828" customWidth="1"/>
    <col min="2829" max="3073" width="8.85546875" style="1828"/>
    <col min="3074" max="3074" width="5.7109375" style="1828" customWidth="1"/>
    <col min="3075" max="3075" width="52.7109375" style="1828" customWidth="1"/>
    <col min="3076" max="3076" width="9.7109375" style="1828" customWidth="1"/>
    <col min="3077" max="3077" width="8.42578125" style="1828" customWidth="1"/>
    <col min="3078" max="3078" width="7.85546875" style="1828" customWidth="1"/>
    <col min="3079" max="3079" width="8.42578125" style="1828" customWidth="1"/>
    <col min="3080" max="3080" width="8" style="1828" customWidth="1"/>
    <col min="3081" max="3081" width="7.42578125" style="1828" customWidth="1"/>
    <col min="3082" max="3082" width="8.5703125" style="1828" customWidth="1"/>
    <col min="3083" max="3083" width="8.42578125" style="1828" customWidth="1"/>
    <col min="3084" max="3084" width="7.28515625" style="1828" customWidth="1"/>
    <col min="3085" max="3329" width="8.85546875" style="1828"/>
    <col min="3330" max="3330" width="5.7109375" style="1828" customWidth="1"/>
    <col min="3331" max="3331" width="52.7109375" style="1828" customWidth="1"/>
    <col min="3332" max="3332" width="9.7109375" style="1828" customWidth="1"/>
    <col min="3333" max="3333" width="8.42578125" style="1828" customWidth="1"/>
    <col min="3334" max="3334" width="7.85546875" style="1828" customWidth="1"/>
    <col min="3335" max="3335" width="8.42578125" style="1828" customWidth="1"/>
    <col min="3336" max="3336" width="8" style="1828" customWidth="1"/>
    <col min="3337" max="3337" width="7.42578125" style="1828" customWidth="1"/>
    <col min="3338" max="3338" width="8.5703125" style="1828" customWidth="1"/>
    <col min="3339" max="3339" width="8.42578125" style="1828" customWidth="1"/>
    <col min="3340" max="3340" width="7.28515625" style="1828" customWidth="1"/>
    <col min="3341" max="3585" width="8.85546875" style="1828"/>
    <col min="3586" max="3586" width="5.7109375" style="1828" customWidth="1"/>
    <col min="3587" max="3587" width="52.7109375" style="1828" customWidth="1"/>
    <col min="3588" max="3588" width="9.7109375" style="1828" customWidth="1"/>
    <col min="3589" max="3589" width="8.42578125" style="1828" customWidth="1"/>
    <col min="3590" max="3590" width="7.85546875" style="1828" customWidth="1"/>
    <col min="3591" max="3591" width="8.42578125" style="1828" customWidth="1"/>
    <col min="3592" max="3592" width="8" style="1828" customWidth="1"/>
    <col min="3593" max="3593" width="7.42578125" style="1828" customWidth="1"/>
    <col min="3594" max="3594" width="8.5703125" style="1828" customWidth="1"/>
    <col min="3595" max="3595" width="8.42578125" style="1828" customWidth="1"/>
    <col min="3596" max="3596" width="7.28515625" style="1828" customWidth="1"/>
    <col min="3597" max="3841" width="8.85546875" style="1828"/>
    <col min="3842" max="3842" width="5.7109375" style="1828" customWidth="1"/>
    <col min="3843" max="3843" width="52.7109375" style="1828" customWidth="1"/>
    <col min="3844" max="3844" width="9.7109375" style="1828" customWidth="1"/>
    <col min="3845" max="3845" width="8.42578125" style="1828" customWidth="1"/>
    <col min="3846" max="3846" width="7.85546875" style="1828" customWidth="1"/>
    <col min="3847" max="3847" width="8.42578125" style="1828" customWidth="1"/>
    <col min="3848" max="3848" width="8" style="1828" customWidth="1"/>
    <col min="3849" max="3849" width="7.42578125" style="1828" customWidth="1"/>
    <col min="3850" max="3850" width="8.5703125" style="1828" customWidth="1"/>
    <col min="3851" max="3851" width="8.42578125" style="1828" customWidth="1"/>
    <col min="3852" max="3852" width="7.28515625" style="1828" customWidth="1"/>
    <col min="3853" max="4097" width="8.85546875" style="1828"/>
    <col min="4098" max="4098" width="5.7109375" style="1828" customWidth="1"/>
    <col min="4099" max="4099" width="52.7109375" style="1828" customWidth="1"/>
    <col min="4100" max="4100" width="9.7109375" style="1828" customWidth="1"/>
    <col min="4101" max="4101" width="8.42578125" style="1828" customWidth="1"/>
    <col min="4102" max="4102" width="7.85546875" style="1828" customWidth="1"/>
    <col min="4103" max="4103" width="8.42578125" style="1828" customWidth="1"/>
    <col min="4104" max="4104" width="8" style="1828" customWidth="1"/>
    <col min="4105" max="4105" width="7.42578125" style="1828" customWidth="1"/>
    <col min="4106" max="4106" width="8.5703125" style="1828" customWidth="1"/>
    <col min="4107" max="4107" width="8.42578125" style="1828" customWidth="1"/>
    <col min="4108" max="4108" width="7.28515625" style="1828" customWidth="1"/>
    <col min="4109" max="4353" width="8.85546875" style="1828"/>
    <col min="4354" max="4354" width="5.7109375" style="1828" customWidth="1"/>
    <col min="4355" max="4355" width="52.7109375" style="1828" customWidth="1"/>
    <col min="4356" max="4356" width="9.7109375" style="1828" customWidth="1"/>
    <col min="4357" max="4357" width="8.42578125" style="1828" customWidth="1"/>
    <col min="4358" max="4358" width="7.85546875" style="1828" customWidth="1"/>
    <col min="4359" max="4359" width="8.42578125" style="1828" customWidth="1"/>
    <col min="4360" max="4360" width="8" style="1828" customWidth="1"/>
    <col min="4361" max="4361" width="7.42578125" style="1828" customWidth="1"/>
    <col min="4362" max="4362" width="8.5703125" style="1828" customWidth="1"/>
    <col min="4363" max="4363" width="8.42578125" style="1828" customWidth="1"/>
    <col min="4364" max="4364" width="7.28515625" style="1828" customWidth="1"/>
    <col min="4365" max="4609" width="8.85546875" style="1828"/>
    <col min="4610" max="4610" width="5.7109375" style="1828" customWidth="1"/>
    <col min="4611" max="4611" width="52.7109375" style="1828" customWidth="1"/>
    <col min="4612" max="4612" width="9.7109375" style="1828" customWidth="1"/>
    <col min="4613" max="4613" width="8.42578125" style="1828" customWidth="1"/>
    <col min="4614" max="4614" width="7.85546875" style="1828" customWidth="1"/>
    <col min="4615" max="4615" width="8.42578125" style="1828" customWidth="1"/>
    <col min="4616" max="4616" width="8" style="1828" customWidth="1"/>
    <col min="4617" max="4617" width="7.42578125" style="1828" customWidth="1"/>
    <col min="4618" max="4618" width="8.5703125" style="1828" customWidth="1"/>
    <col min="4619" max="4619" width="8.42578125" style="1828" customWidth="1"/>
    <col min="4620" max="4620" width="7.28515625" style="1828" customWidth="1"/>
    <col min="4621" max="4865" width="8.85546875" style="1828"/>
    <col min="4866" max="4866" width="5.7109375" style="1828" customWidth="1"/>
    <col min="4867" max="4867" width="52.7109375" style="1828" customWidth="1"/>
    <col min="4868" max="4868" width="9.7109375" style="1828" customWidth="1"/>
    <col min="4869" max="4869" width="8.42578125" style="1828" customWidth="1"/>
    <col min="4870" max="4870" width="7.85546875" style="1828" customWidth="1"/>
    <col min="4871" max="4871" width="8.42578125" style="1828" customWidth="1"/>
    <col min="4872" max="4872" width="8" style="1828" customWidth="1"/>
    <col min="4873" max="4873" width="7.42578125" style="1828" customWidth="1"/>
    <col min="4874" max="4874" width="8.5703125" style="1828" customWidth="1"/>
    <col min="4875" max="4875" width="8.42578125" style="1828" customWidth="1"/>
    <col min="4876" max="4876" width="7.28515625" style="1828" customWidth="1"/>
    <col min="4877" max="5121" width="8.85546875" style="1828"/>
    <col min="5122" max="5122" width="5.7109375" style="1828" customWidth="1"/>
    <col min="5123" max="5123" width="52.7109375" style="1828" customWidth="1"/>
    <col min="5124" max="5124" width="9.7109375" style="1828" customWidth="1"/>
    <col min="5125" max="5125" width="8.42578125" style="1828" customWidth="1"/>
    <col min="5126" max="5126" width="7.85546875" style="1828" customWidth="1"/>
    <col min="5127" max="5127" width="8.42578125" style="1828" customWidth="1"/>
    <col min="5128" max="5128" width="8" style="1828" customWidth="1"/>
    <col min="5129" max="5129" width="7.42578125" style="1828" customWidth="1"/>
    <col min="5130" max="5130" width="8.5703125" style="1828" customWidth="1"/>
    <col min="5131" max="5131" width="8.42578125" style="1828" customWidth="1"/>
    <col min="5132" max="5132" width="7.28515625" style="1828" customWidth="1"/>
    <col min="5133" max="5377" width="8.85546875" style="1828"/>
    <col min="5378" max="5378" width="5.7109375" style="1828" customWidth="1"/>
    <col min="5379" max="5379" width="52.7109375" style="1828" customWidth="1"/>
    <col min="5380" max="5380" width="9.7109375" style="1828" customWidth="1"/>
    <col min="5381" max="5381" width="8.42578125" style="1828" customWidth="1"/>
    <col min="5382" max="5382" width="7.85546875" style="1828" customWidth="1"/>
    <col min="5383" max="5383" width="8.42578125" style="1828" customWidth="1"/>
    <col min="5384" max="5384" width="8" style="1828" customWidth="1"/>
    <col min="5385" max="5385" width="7.42578125" style="1828" customWidth="1"/>
    <col min="5386" max="5386" width="8.5703125" style="1828" customWidth="1"/>
    <col min="5387" max="5387" width="8.42578125" style="1828" customWidth="1"/>
    <col min="5388" max="5388" width="7.28515625" style="1828" customWidth="1"/>
    <col min="5389" max="5633" width="8.85546875" style="1828"/>
    <col min="5634" max="5634" width="5.7109375" style="1828" customWidth="1"/>
    <col min="5635" max="5635" width="52.7109375" style="1828" customWidth="1"/>
    <col min="5636" max="5636" width="9.7109375" style="1828" customWidth="1"/>
    <col min="5637" max="5637" width="8.42578125" style="1828" customWidth="1"/>
    <col min="5638" max="5638" width="7.85546875" style="1828" customWidth="1"/>
    <col min="5639" max="5639" width="8.42578125" style="1828" customWidth="1"/>
    <col min="5640" max="5640" width="8" style="1828" customWidth="1"/>
    <col min="5641" max="5641" width="7.42578125" style="1828" customWidth="1"/>
    <col min="5642" max="5642" width="8.5703125" style="1828" customWidth="1"/>
    <col min="5643" max="5643" width="8.42578125" style="1828" customWidth="1"/>
    <col min="5644" max="5644" width="7.28515625" style="1828" customWidth="1"/>
    <col min="5645" max="5889" width="8.85546875" style="1828"/>
    <col min="5890" max="5890" width="5.7109375" style="1828" customWidth="1"/>
    <col min="5891" max="5891" width="52.7109375" style="1828" customWidth="1"/>
    <col min="5892" max="5892" width="9.7109375" style="1828" customWidth="1"/>
    <col min="5893" max="5893" width="8.42578125" style="1828" customWidth="1"/>
    <col min="5894" max="5894" width="7.85546875" style="1828" customWidth="1"/>
    <col min="5895" max="5895" width="8.42578125" style="1828" customWidth="1"/>
    <col min="5896" max="5896" width="8" style="1828" customWidth="1"/>
    <col min="5897" max="5897" width="7.42578125" style="1828" customWidth="1"/>
    <col min="5898" max="5898" width="8.5703125" style="1828" customWidth="1"/>
    <col min="5899" max="5899" width="8.42578125" style="1828" customWidth="1"/>
    <col min="5900" max="5900" width="7.28515625" style="1828" customWidth="1"/>
    <col min="5901" max="6145" width="8.85546875" style="1828"/>
    <col min="6146" max="6146" width="5.7109375" style="1828" customWidth="1"/>
    <col min="6147" max="6147" width="52.7109375" style="1828" customWidth="1"/>
    <col min="6148" max="6148" width="9.7109375" style="1828" customWidth="1"/>
    <col min="6149" max="6149" width="8.42578125" style="1828" customWidth="1"/>
    <col min="6150" max="6150" width="7.85546875" style="1828" customWidth="1"/>
    <col min="6151" max="6151" width="8.42578125" style="1828" customWidth="1"/>
    <col min="6152" max="6152" width="8" style="1828" customWidth="1"/>
    <col min="6153" max="6153" width="7.42578125" style="1828" customWidth="1"/>
    <col min="6154" max="6154" width="8.5703125" style="1828" customWidth="1"/>
    <col min="6155" max="6155" width="8.42578125" style="1828" customWidth="1"/>
    <col min="6156" max="6156" width="7.28515625" style="1828" customWidth="1"/>
    <col min="6157" max="6401" width="8.85546875" style="1828"/>
    <col min="6402" max="6402" width="5.7109375" style="1828" customWidth="1"/>
    <col min="6403" max="6403" width="52.7109375" style="1828" customWidth="1"/>
    <col min="6404" max="6404" width="9.7109375" style="1828" customWidth="1"/>
    <col min="6405" max="6405" width="8.42578125" style="1828" customWidth="1"/>
    <col min="6406" max="6406" width="7.85546875" style="1828" customWidth="1"/>
    <col min="6407" max="6407" width="8.42578125" style="1828" customWidth="1"/>
    <col min="6408" max="6408" width="8" style="1828" customWidth="1"/>
    <col min="6409" max="6409" width="7.42578125" style="1828" customWidth="1"/>
    <col min="6410" max="6410" width="8.5703125" style="1828" customWidth="1"/>
    <col min="6411" max="6411" width="8.42578125" style="1828" customWidth="1"/>
    <col min="6412" max="6412" width="7.28515625" style="1828" customWidth="1"/>
    <col min="6413" max="6657" width="8.85546875" style="1828"/>
    <col min="6658" max="6658" width="5.7109375" style="1828" customWidth="1"/>
    <col min="6659" max="6659" width="52.7109375" style="1828" customWidth="1"/>
    <col min="6660" max="6660" width="9.7109375" style="1828" customWidth="1"/>
    <col min="6661" max="6661" width="8.42578125" style="1828" customWidth="1"/>
    <col min="6662" max="6662" width="7.85546875" style="1828" customWidth="1"/>
    <col min="6663" max="6663" width="8.42578125" style="1828" customWidth="1"/>
    <col min="6664" max="6664" width="8" style="1828" customWidth="1"/>
    <col min="6665" max="6665" width="7.42578125" style="1828" customWidth="1"/>
    <col min="6666" max="6666" width="8.5703125" style="1828" customWidth="1"/>
    <col min="6667" max="6667" width="8.42578125" style="1828" customWidth="1"/>
    <col min="6668" max="6668" width="7.28515625" style="1828" customWidth="1"/>
    <col min="6669" max="6913" width="8.85546875" style="1828"/>
    <col min="6914" max="6914" width="5.7109375" style="1828" customWidth="1"/>
    <col min="6915" max="6915" width="52.7109375" style="1828" customWidth="1"/>
    <col min="6916" max="6916" width="9.7109375" style="1828" customWidth="1"/>
    <col min="6917" max="6917" width="8.42578125" style="1828" customWidth="1"/>
    <col min="6918" max="6918" width="7.85546875" style="1828" customWidth="1"/>
    <col min="6919" max="6919" width="8.42578125" style="1828" customWidth="1"/>
    <col min="6920" max="6920" width="8" style="1828" customWidth="1"/>
    <col min="6921" max="6921" width="7.42578125" style="1828" customWidth="1"/>
    <col min="6922" max="6922" width="8.5703125" style="1828" customWidth="1"/>
    <col min="6923" max="6923" width="8.42578125" style="1828" customWidth="1"/>
    <col min="6924" max="6924" width="7.28515625" style="1828" customWidth="1"/>
    <col min="6925" max="7169" width="8.85546875" style="1828"/>
    <col min="7170" max="7170" width="5.7109375" style="1828" customWidth="1"/>
    <col min="7171" max="7171" width="52.7109375" style="1828" customWidth="1"/>
    <col min="7172" max="7172" width="9.7109375" style="1828" customWidth="1"/>
    <col min="7173" max="7173" width="8.42578125" style="1828" customWidth="1"/>
    <col min="7174" max="7174" width="7.85546875" style="1828" customWidth="1"/>
    <col min="7175" max="7175" width="8.42578125" style="1828" customWidth="1"/>
    <col min="7176" max="7176" width="8" style="1828" customWidth="1"/>
    <col min="7177" max="7177" width="7.42578125" style="1828" customWidth="1"/>
    <col min="7178" max="7178" width="8.5703125" style="1828" customWidth="1"/>
    <col min="7179" max="7179" width="8.42578125" style="1828" customWidth="1"/>
    <col min="7180" max="7180" width="7.28515625" style="1828" customWidth="1"/>
    <col min="7181" max="7425" width="8.85546875" style="1828"/>
    <col min="7426" max="7426" width="5.7109375" style="1828" customWidth="1"/>
    <col min="7427" max="7427" width="52.7109375" style="1828" customWidth="1"/>
    <col min="7428" max="7428" width="9.7109375" style="1828" customWidth="1"/>
    <col min="7429" max="7429" width="8.42578125" style="1828" customWidth="1"/>
    <col min="7430" max="7430" width="7.85546875" style="1828" customWidth="1"/>
    <col min="7431" max="7431" width="8.42578125" style="1828" customWidth="1"/>
    <col min="7432" max="7432" width="8" style="1828" customWidth="1"/>
    <col min="7433" max="7433" width="7.42578125" style="1828" customWidth="1"/>
    <col min="7434" max="7434" width="8.5703125" style="1828" customWidth="1"/>
    <col min="7435" max="7435" width="8.42578125" style="1828" customWidth="1"/>
    <col min="7436" max="7436" width="7.28515625" style="1828" customWidth="1"/>
    <col min="7437" max="7681" width="8.85546875" style="1828"/>
    <col min="7682" max="7682" width="5.7109375" style="1828" customWidth="1"/>
    <col min="7683" max="7683" width="52.7109375" style="1828" customWidth="1"/>
    <col min="7684" max="7684" width="9.7109375" style="1828" customWidth="1"/>
    <col min="7685" max="7685" width="8.42578125" style="1828" customWidth="1"/>
    <col min="7686" max="7686" width="7.85546875" style="1828" customWidth="1"/>
    <col min="7687" max="7687" width="8.42578125" style="1828" customWidth="1"/>
    <col min="7688" max="7688" width="8" style="1828" customWidth="1"/>
    <col min="7689" max="7689" width="7.42578125" style="1828" customWidth="1"/>
    <col min="7690" max="7690" width="8.5703125" style="1828" customWidth="1"/>
    <col min="7691" max="7691" width="8.42578125" style="1828" customWidth="1"/>
    <col min="7692" max="7692" width="7.28515625" style="1828" customWidth="1"/>
    <col min="7693" max="7937" width="8.85546875" style="1828"/>
    <col min="7938" max="7938" width="5.7109375" style="1828" customWidth="1"/>
    <col min="7939" max="7939" width="52.7109375" style="1828" customWidth="1"/>
    <col min="7940" max="7940" width="9.7109375" style="1828" customWidth="1"/>
    <col min="7941" max="7941" width="8.42578125" style="1828" customWidth="1"/>
    <col min="7942" max="7942" width="7.85546875" style="1828" customWidth="1"/>
    <col min="7943" max="7943" width="8.42578125" style="1828" customWidth="1"/>
    <col min="7944" max="7944" width="8" style="1828" customWidth="1"/>
    <col min="7945" max="7945" width="7.42578125" style="1828" customWidth="1"/>
    <col min="7946" max="7946" width="8.5703125" style="1828" customWidth="1"/>
    <col min="7947" max="7947" width="8.42578125" style="1828" customWidth="1"/>
    <col min="7948" max="7948" width="7.28515625" style="1828" customWidth="1"/>
    <col min="7949" max="8193" width="8.85546875" style="1828"/>
    <col min="8194" max="8194" width="5.7109375" style="1828" customWidth="1"/>
    <col min="8195" max="8195" width="52.7109375" style="1828" customWidth="1"/>
    <col min="8196" max="8196" width="9.7109375" style="1828" customWidth="1"/>
    <col min="8197" max="8197" width="8.42578125" style="1828" customWidth="1"/>
    <col min="8198" max="8198" width="7.85546875" style="1828" customWidth="1"/>
    <col min="8199" max="8199" width="8.42578125" style="1828" customWidth="1"/>
    <col min="8200" max="8200" width="8" style="1828" customWidth="1"/>
    <col min="8201" max="8201" width="7.42578125" style="1828" customWidth="1"/>
    <col min="8202" max="8202" width="8.5703125" style="1828" customWidth="1"/>
    <col min="8203" max="8203" width="8.42578125" style="1828" customWidth="1"/>
    <col min="8204" max="8204" width="7.28515625" style="1828" customWidth="1"/>
    <col min="8205" max="8449" width="8.85546875" style="1828"/>
    <col min="8450" max="8450" width="5.7109375" style="1828" customWidth="1"/>
    <col min="8451" max="8451" width="52.7109375" style="1828" customWidth="1"/>
    <col min="8452" max="8452" width="9.7109375" style="1828" customWidth="1"/>
    <col min="8453" max="8453" width="8.42578125" style="1828" customWidth="1"/>
    <col min="8454" max="8454" width="7.85546875" style="1828" customWidth="1"/>
    <col min="8455" max="8455" width="8.42578125" style="1828" customWidth="1"/>
    <col min="8456" max="8456" width="8" style="1828" customWidth="1"/>
    <col min="8457" max="8457" width="7.42578125" style="1828" customWidth="1"/>
    <col min="8458" max="8458" width="8.5703125" style="1828" customWidth="1"/>
    <col min="8459" max="8459" width="8.42578125" style="1828" customWidth="1"/>
    <col min="8460" max="8460" width="7.28515625" style="1828" customWidth="1"/>
    <col min="8461" max="8705" width="8.85546875" style="1828"/>
    <col min="8706" max="8706" width="5.7109375" style="1828" customWidth="1"/>
    <col min="8707" max="8707" width="52.7109375" style="1828" customWidth="1"/>
    <col min="8708" max="8708" width="9.7109375" style="1828" customWidth="1"/>
    <col min="8709" max="8709" width="8.42578125" style="1828" customWidth="1"/>
    <col min="8710" max="8710" width="7.85546875" style="1828" customWidth="1"/>
    <col min="8711" max="8711" width="8.42578125" style="1828" customWidth="1"/>
    <col min="8712" max="8712" width="8" style="1828" customWidth="1"/>
    <col min="8713" max="8713" width="7.42578125" style="1828" customWidth="1"/>
    <col min="8714" max="8714" width="8.5703125" style="1828" customWidth="1"/>
    <col min="8715" max="8715" width="8.42578125" style="1828" customWidth="1"/>
    <col min="8716" max="8716" width="7.28515625" style="1828" customWidth="1"/>
    <col min="8717" max="8961" width="8.85546875" style="1828"/>
    <col min="8962" max="8962" width="5.7109375" style="1828" customWidth="1"/>
    <col min="8963" max="8963" width="52.7109375" style="1828" customWidth="1"/>
    <col min="8964" max="8964" width="9.7109375" style="1828" customWidth="1"/>
    <col min="8965" max="8965" width="8.42578125" style="1828" customWidth="1"/>
    <col min="8966" max="8966" width="7.85546875" style="1828" customWidth="1"/>
    <col min="8967" max="8967" width="8.42578125" style="1828" customWidth="1"/>
    <col min="8968" max="8968" width="8" style="1828" customWidth="1"/>
    <col min="8969" max="8969" width="7.42578125" style="1828" customWidth="1"/>
    <col min="8970" max="8970" width="8.5703125" style="1828" customWidth="1"/>
    <col min="8971" max="8971" width="8.42578125" style="1828" customWidth="1"/>
    <col min="8972" max="8972" width="7.28515625" style="1828" customWidth="1"/>
    <col min="8973" max="9217" width="8.85546875" style="1828"/>
    <col min="9218" max="9218" width="5.7109375" style="1828" customWidth="1"/>
    <col min="9219" max="9219" width="52.7109375" style="1828" customWidth="1"/>
    <col min="9220" max="9220" width="9.7109375" style="1828" customWidth="1"/>
    <col min="9221" max="9221" width="8.42578125" style="1828" customWidth="1"/>
    <col min="9222" max="9222" width="7.85546875" style="1828" customWidth="1"/>
    <col min="9223" max="9223" width="8.42578125" style="1828" customWidth="1"/>
    <col min="9224" max="9224" width="8" style="1828" customWidth="1"/>
    <col min="9225" max="9225" width="7.42578125" style="1828" customWidth="1"/>
    <col min="9226" max="9226" width="8.5703125" style="1828" customWidth="1"/>
    <col min="9227" max="9227" width="8.42578125" style="1828" customWidth="1"/>
    <col min="9228" max="9228" width="7.28515625" style="1828" customWidth="1"/>
    <col min="9229" max="9473" width="8.85546875" style="1828"/>
    <col min="9474" max="9474" width="5.7109375" style="1828" customWidth="1"/>
    <col min="9475" max="9475" width="52.7109375" style="1828" customWidth="1"/>
    <col min="9476" max="9476" width="9.7109375" style="1828" customWidth="1"/>
    <col min="9477" max="9477" width="8.42578125" style="1828" customWidth="1"/>
    <col min="9478" max="9478" width="7.85546875" style="1828" customWidth="1"/>
    <col min="9479" max="9479" width="8.42578125" style="1828" customWidth="1"/>
    <col min="9480" max="9480" width="8" style="1828" customWidth="1"/>
    <col min="9481" max="9481" width="7.42578125" style="1828" customWidth="1"/>
    <col min="9482" max="9482" width="8.5703125" style="1828" customWidth="1"/>
    <col min="9483" max="9483" width="8.42578125" style="1828" customWidth="1"/>
    <col min="9484" max="9484" width="7.28515625" style="1828" customWidth="1"/>
    <col min="9485" max="9729" width="8.85546875" style="1828"/>
    <col min="9730" max="9730" width="5.7109375" style="1828" customWidth="1"/>
    <col min="9731" max="9731" width="52.7109375" style="1828" customWidth="1"/>
    <col min="9732" max="9732" width="9.7109375" style="1828" customWidth="1"/>
    <col min="9733" max="9733" width="8.42578125" style="1828" customWidth="1"/>
    <col min="9734" max="9734" width="7.85546875" style="1828" customWidth="1"/>
    <col min="9735" max="9735" width="8.42578125" style="1828" customWidth="1"/>
    <col min="9736" max="9736" width="8" style="1828" customWidth="1"/>
    <col min="9737" max="9737" width="7.42578125" style="1828" customWidth="1"/>
    <col min="9738" max="9738" width="8.5703125" style="1828" customWidth="1"/>
    <col min="9739" max="9739" width="8.42578125" style="1828" customWidth="1"/>
    <col min="9740" max="9740" width="7.28515625" style="1828" customWidth="1"/>
    <col min="9741" max="9985" width="8.85546875" style="1828"/>
    <col min="9986" max="9986" width="5.7109375" style="1828" customWidth="1"/>
    <col min="9987" max="9987" width="52.7109375" style="1828" customWidth="1"/>
    <col min="9988" max="9988" width="9.7109375" style="1828" customWidth="1"/>
    <col min="9989" max="9989" width="8.42578125" style="1828" customWidth="1"/>
    <col min="9990" max="9990" width="7.85546875" style="1828" customWidth="1"/>
    <col min="9991" max="9991" width="8.42578125" style="1828" customWidth="1"/>
    <col min="9992" max="9992" width="8" style="1828" customWidth="1"/>
    <col min="9993" max="9993" width="7.42578125" style="1828" customWidth="1"/>
    <col min="9994" max="9994" width="8.5703125" style="1828" customWidth="1"/>
    <col min="9995" max="9995" width="8.42578125" style="1828" customWidth="1"/>
    <col min="9996" max="9996" width="7.28515625" style="1828" customWidth="1"/>
    <col min="9997" max="10241" width="8.85546875" style="1828"/>
    <col min="10242" max="10242" width="5.7109375" style="1828" customWidth="1"/>
    <col min="10243" max="10243" width="52.7109375" style="1828" customWidth="1"/>
    <col min="10244" max="10244" width="9.7109375" style="1828" customWidth="1"/>
    <col min="10245" max="10245" width="8.42578125" style="1828" customWidth="1"/>
    <col min="10246" max="10246" width="7.85546875" style="1828" customWidth="1"/>
    <col min="10247" max="10247" width="8.42578125" style="1828" customWidth="1"/>
    <col min="10248" max="10248" width="8" style="1828" customWidth="1"/>
    <col min="10249" max="10249" width="7.42578125" style="1828" customWidth="1"/>
    <col min="10250" max="10250" width="8.5703125" style="1828" customWidth="1"/>
    <col min="10251" max="10251" width="8.42578125" style="1828" customWidth="1"/>
    <col min="10252" max="10252" width="7.28515625" style="1828" customWidth="1"/>
    <col min="10253" max="10497" width="8.85546875" style="1828"/>
    <col min="10498" max="10498" width="5.7109375" style="1828" customWidth="1"/>
    <col min="10499" max="10499" width="52.7109375" style="1828" customWidth="1"/>
    <col min="10500" max="10500" width="9.7109375" style="1828" customWidth="1"/>
    <col min="10501" max="10501" width="8.42578125" style="1828" customWidth="1"/>
    <col min="10502" max="10502" width="7.85546875" style="1828" customWidth="1"/>
    <col min="10503" max="10503" width="8.42578125" style="1828" customWidth="1"/>
    <col min="10504" max="10504" width="8" style="1828" customWidth="1"/>
    <col min="10505" max="10505" width="7.42578125" style="1828" customWidth="1"/>
    <col min="10506" max="10506" width="8.5703125" style="1828" customWidth="1"/>
    <col min="10507" max="10507" width="8.42578125" style="1828" customWidth="1"/>
    <col min="10508" max="10508" width="7.28515625" style="1828" customWidth="1"/>
    <col min="10509" max="10753" width="8.85546875" style="1828"/>
    <col min="10754" max="10754" width="5.7109375" style="1828" customWidth="1"/>
    <col min="10755" max="10755" width="52.7109375" style="1828" customWidth="1"/>
    <col min="10756" max="10756" width="9.7109375" style="1828" customWidth="1"/>
    <col min="10757" max="10757" width="8.42578125" style="1828" customWidth="1"/>
    <col min="10758" max="10758" width="7.85546875" style="1828" customWidth="1"/>
    <col min="10759" max="10759" width="8.42578125" style="1828" customWidth="1"/>
    <col min="10760" max="10760" width="8" style="1828" customWidth="1"/>
    <col min="10761" max="10761" width="7.42578125" style="1828" customWidth="1"/>
    <col min="10762" max="10762" width="8.5703125" style="1828" customWidth="1"/>
    <col min="10763" max="10763" width="8.42578125" style="1828" customWidth="1"/>
    <col min="10764" max="10764" width="7.28515625" style="1828" customWidth="1"/>
    <col min="10765" max="11009" width="8.85546875" style="1828"/>
    <col min="11010" max="11010" width="5.7109375" style="1828" customWidth="1"/>
    <col min="11011" max="11011" width="52.7109375" style="1828" customWidth="1"/>
    <col min="11012" max="11012" width="9.7109375" style="1828" customWidth="1"/>
    <col min="11013" max="11013" width="8.42578125" style="1828" customWidth="1"/>
    <col min="11014" max="11014" width="7.85546875" style="1828" customWidth="1"/>
    <col min="11015" max="11015" width="8.42578125" style="1828" customWidth="1"/>
    <col min="11016" max="11016" width="8" style="1828" customWidth="1"/>
    <col min="11017" max="11017" width="7.42578125" style="1828" customWidth="1"/>
    <col min="11018" max="11018" width="8.5703125" style="1828" customWidth="1"/>
    <col min="11019" max="11019" width="8.42578125" style="1828" customWidth="1"/>
    <col min="11020" max="11020" width="7.28515625" style="1828" customWidth="1"/>
    <col min="11021" max="11265" width="8.85546875" style="1828"/>
    <col min="11266" max="11266" width="5.7109375" style="1828" customWidth="1"/>
    <col min="11267" max="11267" width="52.7109375" style="1828" customWidth="1"/>
    <col min="11268" max="11268" width="9.7109375" style="1828" customWidth="1"/>
    <col min="11269" max="11269" width="8.42578125" style="1828" customWidth="1"/>
    <col min="11270" max="11270" width="7.85546875" style="1828" customWidth="1"/>
    <col min="11271" max="11271" width="8.42578125" style="1828" customWidth="1"/>
    <col min="11272" max="11272" width="8" style="1828" customWidth="1"/>
    <col min="11273" max="11273" width="7.42578125" style="1828" customWidth="1"/>
    <col min="11274" max="11274" width="8.5703125" style="1828" customWidth="1"/>
    <col min="11275" max="11275" width="8.42578125" style="1828" customWidth="1"/>
    <col min="11276" max="11276" width="7.28515625" style="1828" customWidth="1"/>
    <col min="11277" max="11521" width="8.85546875" style="1828"/>
    <col min="11522" max="11522" width="5.7109375" style="1828" customWidth="1"/>
    <col min="11523" max="11523" width="52.7109375" style="1828" customWidth="1"/>
    <col min="11524" max="11524" width="9.7109375" style="1828" customWidth="1"/>
    <col min="11525" max="11525" width="8.42578125" style="1828" customWidth="1"/>
    <col min="11526" max="11526" width="7.85546875" style="1828" customWidth="1"/>
    <col min="11527" max="11527" width="8.42578125" style="1828" customWidth="1"/>
    <col min="11528" max="11528" width="8" style="1828" customWidth="1"/>
    <col min="11529" max="11529" width="7.42578125" style="1828" customWidth="1"/>
    <col min="11530" max="11530" width="8.5703125" style="1828" customWidth="1"/>
    <col min="11531" max="11531" width="8.42578125" style="1828" customWidth="1"/>
    <col min="11532" max="11532" width="7.28515625" style="1828" customWidth="1"/>
    <col min="11533" max="11777" width="8.85546875" style="1828"/>
    <col min="11778" max="11778" width="5.7109375" style="1828" customWidth="1"/>
    <col min="11779" max="11779" width="52.7109375" style="1828" customWidth="1"/>
    <col min="11780" max="11780" width="9.7109375" style="1828" customWidth="1"/>
    <col min="11781" max="11781" width="8.42578125" style="1828" customWidth="1"/>
    <col min="11782" max="11782" width="7.85546875" style="1828" customWidth="1"/>
    <col min="11783" max="11783" width="8.42578125" style="1828" customWidth="1"/>
    <col min="11784" max="11784" width="8" style="1828" customWidth="1"/>
    <col min="11785" max="11785" width="7.42578125" style="1828" customWidth="1"/>
    <col min="11786" max="11786" width="8.5703125" style="1828" customWidth="1"/>
    <col min="11787" max="11787" width="8.42578125" style="1828" customWidth="1"/>
    <col min="11788" max="11788" width="7.28515625" style="1828" customWidth="1"/>
    <col min="11789" max="12033" width="8.85546875" style="1828"/>
    <col min="12034" max="12034" width="5.7109375" style="1828" customWidth="1"/>
    <col min="12035" max="12035" width="52.7109375" style="1828" customWidth="1"/>
    <col min="12036" max="12036" width="9.7109375" style="1828" customWidth="1"/>
    <col min="12037" max="12037" width="8.42578125" style="1828" customWidth="1"/>
    <col min="12038" max="12038" width="7.85546875" style="1828" customWidth="1"/>
    <col min="12039" max="12039" width="8.42578125" style="1828" customWidth="1"/>
    <col min="12040" max="12040" width="8" style="1828" customWidth="1"/>
    <col min="12041" max="12041" width="7.42578125" style="1828" customWidth="1"/>
    <col min="12042" max="12042" width="8.5703125" style="1828" customWidth="1"/>
    <col min="12043" max="12043" width="8.42578125" style="1828" customWidth="1"/>
    <col min="12044" max="12044" width="7.28515625" style="1828" customWidth="1"/>
    <col min="12045" max="12289" width="8.85546875" style="1828"/>
    <col min="12290" max="12290" width="5.7109375" style="1828" customWidth="1"/>
    <col min="12291" max="12291" width="52.7109375" style="1828" customWidth="1"/>
    <col min="12292" max="12292" width="9.7109375" style="1828" customWidth="1"/>
    <col min="12293" max="12293" width="8.42578125" style="1828" customWidth="1"/>
    <col min="12294" max="12294" width="7.85546875" style="1828" customWidth="1"/>
    <col min="12295" max="12295" width="8.42578125" style="1828" customWidth="1"/>
    <col min="12296" max="12296" width="8" style="1828" customWidth="1"/>
    <col min="12297" max="12297" width="7.42578125" style="1828" customWidth="1"/>
    <col min="12298" max="12298" width="8.5703125" style="1828" customWidth="1"/>
    <col min="12299" max="12299" width="8.42578125" style="1828" customWidth="1"/>
    <col min="12300" max="12300" width="7.28515625" style="1828" customWidth="1"/>
    <col min="12301" max="12545" width="8.85546875" style="1828"/>
    <col min="12546" max="12546" width="5.7109375" style="1828" customWidth="1"/>
    <col min="12547" max="12547" width="52.7109375" style="1828" customWidth="1"/>
    <col min="12548" max="12548" width="9.7109375" style="1828" customWidth="1"/>
    <col min="12549" max="12549" width="8.42578125" style="1828" customWidth="1"/>
    <col min="12550" max="12550" width="7.85546875" style="1828" customWidth="1"/>
    <col min="12551" max="12551" width="8.42578125" style="1828" customWidth="1"/>
    <col min="12552" max="12552" width="8" style="1828" customWidth="1"/>
    <col min="12553" max="12553" width="7.42578125" style="1828" customWidth="1"/>
    <col min="12554" max="12554" width="8.5703125" style="1828" customWidth="1"/>
    <col min="12555" max="12555" width="8.42578125" style="1828" customWidth="1"/>
    <col min="12556" max="12556" width="7.28515625" style="1828" customWidth="1"/>
    <col min="12557" max="12801" width="8.85546875" style="1828"/>
    <col min="12802" max="12802" width="5.7109375" style="1828" customWidth="1"/>
    <col min="12803" max="12803" width="52.7109375" style="1828" customWidth="1"/>
    <col min="12804" max="12804" width="9.7109375" style="1828" customWidth="1"/>
    <col min="12805" max="12805" width="8.42578125" style="1828" customWidth="1"/>
    <col min="12806" max="12806" width="7.85546875" style="1828" customWidth="1"/>
    <col min="12807" max="12807" width="8.42578125" style="1828" customWidth="1"/>
    <col min="12808" max="12808" width="8" style="1828" customWidth="1"/>
    <col min="12809" max="12809" width="7.42578125" style="1828" customWidth="1"/>
    <col min="12810" max="12810" width="8.5703125" style="1828" customWidth="1"/>
    <col min="12811" max="12811" width="8.42578125" style="1828" customWidth="1"/>
    <col min="12812" max="12812" width="7.28515625" style="1828" customWidth="1"/>
    <col min="12813" max="13057" width="8.85546875" style="1828"/>
    <col min="13058" max="13058" width="5.7109375" style="1828" customWidth="1"/>
    <col min="13059" max="13059" width="52.7109375" style="1828" customWidth="1"/>
    <col min="13060" max="13060" width="9.7109375" style="1828" customWidth="1"/>
    <col min="13061" max="13061" width="8.42578125" style="1828" customWidth="1"/>
    <col min="13062" max="13062" width="7.85546875" style="1828" customWidth="1"/>
    <col min="13063" max="13063" width="8.42578125" style="1828" customWidth="1"/>
    <col min="13064" max="13064" width="8" style="1828" customWidth="1"/>
    <col min="13065" max="13065" width="7.42578125" style="1828" customWidth="1"/>
    <col min="13066" max="13066" width="8.5703125" style="1828" customWidth="1"/>
    <col min="13067" max="13067" width="8.42578125" style="1828" customWidth="1"/>
    <col min="13068" max="13068" width="7.28515625" style="1828" customWidth="1"/>
    <col min="13069" max="13313" width="8.85546875" style="1828"/>
    <col min="13314" max="13314" width="5.7109375" style="1828" customWidth="1"/>
    <col min="13315" max="13315" width="52.7109375" style="1828" customWidth="1"/>
    <col min="13316" max="13316" width="9.7109375" style="1828" customWidth="1"/>
    <col min="13317" max="13317" width="8.42578125" style="1828" customWidth="1"/>
    <col min="13318" max="13318" width="7.85546875" style="1828" customWidth="1"/>
    <col min="13319" max="13319" width="8.42578125" style="1828" customWidth="1"/>
    <col min="13320" max="13320" width="8" style="1828" customWidth="1"/>
    <col min="13321" max="13321" width="7.42578125" style="1828" customWidth="1"/>
    <col min="13322" max="13322" width="8.5703125" style="1828" customWidth="1"/>
    <col min="13323" max="13323" width="8.42578125" style="1828" customWidth="1"/>
    <col min="13324" max="13324" width="7.28515625" style="1828" customWidth="1"/>
    <col min="13325" max="13569" width="8.85546875" style="1828"/>
    <col min="13570" max="13570" width="5.7109375" style="1828" customWidth="1"/>
    <col min="13571" max="13571" width="52.7109375" style="1828" customWidth="1"/>
    <col min="13572" max="13572" width="9.7109375" style="1828" customWidth="1"/>
    <col min="13573" max="13573" width="8.42578125" style="1828" customWidth="1"/>
    <col min="13574" max="13574" width="7.85546875" style="1828" customWidth="1"/>
    <col min="13575" max="13575" width="8.42578125" style="1828" customWidth="1"/>
    <col min="13576" max="13576" width="8" style="1828" customWidth="1"/>
    <col min="13577" max="13577" width="7.42578125" style="1828" customWidth="1"/>
    <col min="13578" max="13578" width="8.5703125" style="1828" customWidth="1"/>
    <col min="13579" max="13579" width="8.42578125" style="1828" customWidth="1"/>
    <col min="13580" max="13580" width="7.28515625" style="1828" customWidth="1"/>
    <col min="13581" max="13825" width="8.85546875" style="1828"/>
    <col min="13826" max="13826" width="5.7109375" style="1828" customWidth="1"/>
    <col min="13827" max="13827" width="52.7109375" style="1828" customWidth="1"/>
    <col min="13828" max="13828" width="9.7109375" style="1828" customWidth="1"/>
    <col min="13829" max="13829" width="8.42578125" style="1828" customWidth="1"/>
    <col min="13830" max="13830" width="7.85546875" style="1828" customWidth="1"/>
    <col min="13831" max="13831" width="8.42578125" style="1828" customWidth="1"/>
    <col min="13832" max="13832" width="8" style="1828" customWidth="1"/>
    <col min="13833" max="13833" width="7.42578125" style="1828" customWidth="1"/>
    <col min="13834" max="13834" width="8.5703125" style="1828" customWidth="1"/>
    <col min="13835" max="13835" width="8.42578125" style="1828" customWidth="1"/>
    <col min="13836" max="13836" width="7.28515625" style="1828" customWidth="1"/>
    <col min="13837" max="14081" width="8.85546875" style="1828"/>
    <col min="14082" max="14082" width="5.7109375" style="1828" customWidth="1"/>
    <col min="14083" max="14083" width="52.7109375" style="1828" customWidth="1"/>
    <col min="14084" max="14084" width="9.7109375" style="1828" customWidth="1"/>
    <col min="14085" max="14085" width="8.42578125" style="1828" customWidth="1"/>
    <col min="14086" max="14086" width="7.85546875" style="1828" customWidth="1"/>
    <col min="14087" max="14087" width="8.42578125" style="1828" customWidth="1"/>
    <col min="14088" max="14088" width="8" style="1828" customWidth="1"/>
    <col min="14089" max="14089" width="7.42578125" style="1828" customWidth="1"/>
    <col min="14090" max="14090" width="8.5703125" style="1828" customWidth="1"/>
    <col min="14091" max="14091" width="8.42578125" style="1828" customWidth="1"/>
    <col min="14092" max="14092" width="7.28515625" style="1828" customWidth="1"/>
    <col min="14093" max="14337" width="8.85546875" style="1828"/>
    <col min="14338" max="14338" width="5.7109375" style="1828" customWidth="1"/>
    <col min="14339" max="14339" width="52.7109375" style="1828" customWidth="1"/>
    <col min="14340" max="14340" width="9.7109375" style="1828" customWidth="1"/>
    <col min="14341" max="14341" width="8.42578125" style="1828" customWidth="1"/>
    <col min="14342" max="14342" width="7.85546875" style="1828" customWidth="1"/>
    <col min="14343" max="14343" width="8.42578125" style="1828" customWidth="1"/>
    <col min="14344" max="14344" width="8" style="1828" customWidth="1"/>
    <col min="14345" max="14345" width="7.42578125" style="1828" customWidth="1"/>
    <col min="14346" max="14346" width="8.5703125" style="1828" customWidth="1"/>
    <col min="14347" max="14347" width="8.42578125" style="1828" customWidth="1"/>
    <col min="14348" max="14348" width="7.28515625" style="1828" customWidth="1"/>
    <col min="14349" max="14593" width="8.85546875" style="1828"/>
    <col min="14594" max="14594" width="5.7109375" style="1828" customWidth="1"/>
    <col min="14595" max="14595" width="52.7109375" style="1828" customWidth="1"/>
    <col min="14596" max="14596" width="9.7109375" style="1828" customWidth="1"/>
    <col min="14597" max="14597" width="8.42578125" style="1828" customWidth="1"/>
    <col min="14598" max="14598" width="7.85546875" style="1828" customWidth="1"/>
    <col min="14599" max="14599" width="8.42578125" style="1828" customWidth="1"/>
    <col min="14600" max="14600" width="8" style="1828" customWidth="1"/>
    <col min="14601" max="14601" width="7.42578125" style="1828" customWidth="1"/>
    <col min="14602" max="14602" width="8.5703125" style="1828" customWidth="1"/>
    <col min="14603" max="14603" width="8.42578125" style="1828" customWidth="1"/>
    <col min="14604" max="14604" width="7.28515625" style="1828" customWidth="1"/>
    <col min="14605" max="14849" width="8.85546875" style="1828"/>
    <col min="14850" max="14850" width="5.7109375" style="1828" customWidth="1"/>
    <col min="14851" max="14851" width="52.7109375" style="1828" customWidth="1"/>
    <col min="14852" max="14852" width="9.7109375" style="1828" customWidth="1"/>
    <col min="14853" max="14853" width="8.42578125" style="1828" customWidth="1"/>
    <col min="14854" max="14854" width="7.85546875" style="1828" customWidth="1"/>
    <col min="14855" max="14855" width="8.42578125" style="1828" customWidth="1"/>
    <col min="14856" max="14856" width="8" style="1828" customWidth="1"/>
    <col min="14857" max="14857" width="7.42578125" style="1828" customWidth="1"/>
    <col min="14858" max="14858" width="8.5703125" style="1828" customWidth="1"/>
    <col min="14859" max="14859" width="8.42578125" style="1828" customWidth="1"/>
    <col min="14860" max="14860" width="7.28515625" style="1828" customWidth="1"/>
    <col min="14861" max="15105" width="8.85546875" style="1828"/>
    <col min="15106" max="15106" width="5.7109375" style="1828" customWidth="1"/>
    <col min="15107" max="15107" width="52.7109375" style="1828" customWidth="1"/>
    <col min="15108" max="15108" width="9.7109375" style="1828" customWidth="1"/>
    <col min="15109" max="15109" width="8.42578125" style="1828" customWidth="1"/>
    <col min="15110" max="15110" width="7.85546875" style="1828" customWidth="1"/>
    <col min="15111" max="15111" width="8.42578125" style="1828" customWidth="1"/>
    <col min="15112" max="15112" width="8" style="1828" customWidth="1"/>
    <col min="15113" max="15113" width="7.42578125" style="1828" customWidth="1"/>
    <col min="15114" max="15114" width="8.5703125" style="1828" customWidth="1"/>
    <col min="15115" max="15115" width="8.42578125" style="1828" customWidth="1"/>
    <col min="15116" max="15116" width="7.28515625" style="1828" customWidth="1"/>
    <col min="15117" max="15361" width="8.85546875" style="1828"/>
    <col min="15362" max="15362" width="5.7109375" style="1828" customWidth="1"/>
    <col min="15363" max="15363" width="52.7109375" style="1828" customWidth="1"/>
    <col min="15364" max="15364" width="9.7109375" style="1828" customWidth="1"/>
    <col min="15365" max="15365" width="8.42578125" style="1828" customWidth="1"/>
    <col min="15366" max="15366" width="7.85546875" style="1828" customWidth="1"/>
    <col min="15367" max="15367" width="8.42578125" style="1828" customWidth="1"/>
    <col min="15368" max="15368" width="8" style="1828" customWidth="1"/>
    <col min="15369" max="15369" width="7.42578125" style="1828" customWidth="1"/>
    <col min="15370" max="15370" width="8.5703125" style="1828" customWidth="1"/>
    <col min="15371" max="15371" width="8.42578125" style="1828" customWidth="1"/>
    <col min="15372" max="15372" width="7.28515625" style="1828" customWidth="1"/>
    <col min="15373" max="15617" width="8.85546875" style="1828"/>
    <col min="15618" max="15618" width="5.7109375" style="1828" customWidth="1"/>
    <col min="15619" max="15619" width="52.7109375" style="1828" customWidth="1"/>
    <col min="15620" max="15620" width="9.7109375" style="1828" customWidth="1"/>
    <col min="15621" max="15621" width="8.42578125" style="1828" customWidth="1"/>
    <col min="15622" max="15622" width="7.85546875" style="1828" customWidth="1"/>
    <col min="15623" max="15623" width="8.42578125" style="1828" customWidth="1"/>
    <col min="15624" max="15624" width="8" style="1828" customWidth="1"/>
    <col min="15625" max="15625" width="7.42578125" style="1828" customWidth="1"/>
    <col min="15626" max="15626" width="8.5703125" style="1828" customWidth="1"/>
    <col min="15627" max="15627" width="8.42578125" style="1828" customWidth="1"/>
    <col min="15628" max="15628" width="7.28515625" style="1828" customWidth="1"/>
    <col min="15629" max="15873" width="8.85546875" style="1828"/>
    <col min="15874" max="15874" width="5.7109375" style="1828" customWidth="1"/>
    <col min="15875" max="15875" width="52.7109375" style="1828" customWidth="1"/>
    <col min="15876" max="15876" width="9.7109375" style="1828" customWidth="1"/>
    <col min="15877" max="15877" width="8.42578125" style="1828" customWidth="1"/>
    <col min="15878" max="15878" width="7.85546875" style="1828" customWidth="1"/>
    <col min="15879" max="15879" width="8.42578125" style="1828" customWidth="1"/>
    <col min="15880" max="15880" width="8" style="1828" customWidth="1"/>
    <col min="15881" max="15881" width="7.42578125" style="1828" customWidth="1"/>
    <col min="15882" max="15882" width="8.5703125" style="1828" customWidth="1"/>
    <col min="15883" max="15883" width="8.42578125" style="1828" customWidth="1"/>
    <col min="15884" max="15884" width="7.28515625" style="1828" customWidth="1"/>
    <col min="15885" max="16129" width="8.85546875" style="1828"/>
    <col min="16130" max="16130" width="5.7109375" style="1828" customWidth="1"/>
    <col min="16131" max="16131" width="52.7109375" style="1828" customWidth="1"/>
    <col min="16132" max="16132" width="9.7109375" style="1828" customWidth="1"/>
    <col min="16133" max="16133" width="8.42578125" style="1828" customWidth="1"/>
    <col min="16134" max="16134" width="7.85546875" style="1828" customWidth="1"/>
    <col min="16135" max="16135" width="8.42578125" style="1828" customWidth="1"/>
    <col min="16136" max="16136" width="8" style="1828" customWidth="1"/>
    <col min="16137" max="16137" width="7.42578125" style="1828" customWidth="1"/>
    <col min="16138" max="16138" width="8.5703125" style="1828" customWidth="1"/>
    <col min="16139" max="16139" width="8.42578125" style="1828" customWidth="1"/>
    <col min="16140" max="16140" width="7.28515625" style="1828" customWidth="1"/>
    <col min="16141" max="16384" width="8.85546875" style="1828"/>
  </cols>
  <sheetData>
    <row r="1" spans="1:14" ht="15.75" x14ac:dyDescent="0.25">
      <c r="A1" s="4054" t="s">
        <v>3060</v>
      </c>
      <c r="B1" s="4054"/>
      <c r="C1" s="4054"/>
      <c r="D1" s="4054"/>
      <c r="E1" s="4054"/>
      <c r="F1" s="4054"/>
      <c r="G1" s="4054"/>
      <c r="H1" s="4054"/>
      <c r="I1" s="4054"/>
      <c r="J1" s="4054"/>
      <c r="K1" s="4054"/>
      <c r="L1" s="4054"/>
    </row>
    <row r="2" spans="1:14" ht="15.75" x14ac:dyDescent="0.25">
      <c r="A2" s="4055" t="s">
        <v>3485</v>
      </c>
      <c r="B2" s="4055"/>
      <c r="C2" s="4055"/>
      <c r="D2" s="4055"/>
      <c r="E2" s="4055"/>
      <c r="F2" s="4055"/>
      <c r="G2" s="4055"/>
      <c r="H2" s="4055"/>
      <c r="I2" s="4055"/>
      <c r="J2" s="4055"/>
      <c r="K2" s="4055"/>
      <c r="L2" s="4055"/>
    </row>
    <row r="3" spans="1:14" x14ac:dyDescent="0.25">
      <c r="A3" s="1829"/>
      <c r="E3" s="4056"/>
      <c r="F3" s="4056"/>
      <c r="G3" s="4056"/>
      <c r="H3" s="4056"/>
      <c r="I3" s="4056"/>
      <c r="J3" s="4057" t="s">
        <v>843</v>
      </c>
      <c r="K3" s="4057"/>
      <c r="L3" s="4057"/>
    </row>
    <row r="4" spans="1:14" ht="57" x14ac:dyDescent="0.25">
      <c r="A4" s="1830" t="s">
        <v>844</v>
      </c>
      <c r="B4" s="1830" t="s">
        <v>845</v>
      </c>
      <c r="C4" s="1830" t="s">
        <v>868</v>
      </c>
      <c r="D4" s="1830" t="s">
        <v>3061</v>
      </c>
      <c r="E4" s="1830" t="s">
        <v>2986</v>
      </c>
      <c r="F4" s="1830" t="s">
        <v>2989</v>
      </c>
      <c r="G4" s="1830" t="s">
        <v>2991</v>
      </c>
      <c r="H4" s="1830" t="s">
        <v>2286</v>
      </c>
      <c r="I4" s="1830" t="s">
        <v>2994</v>
      </c>
      <c r="J4" s="1830" t="s">
        <v>2996</v>
      </c>
      <c r="K4" s="1830" t="s">
        <v>2998</v>
      </c>
      <c r="L4" s="1830" t="s">
        <v>3000</v>
      </c>
    </row>
    <row r="5" spans="1:14" x14ac:dyDescent="0.25">
      <c r="A5" s="1831">
        <v>1</v>
      </c>
      <c r="B5" s="1832" t="s">
        <v>2755</v>
      </c>
      <c r="C5" s="1833"/>
      <c r="D5" s="1833"/>
      <c r="E5" s="1833"/>
      <c r="F5" s="1833"/>
      <c r="G5" s="1833"/>
      <c r="H5" s="1833"/>
      <c r="I5" s="1833"/>
      <c r="J5" s="1833"/>
      <c r="K5" s="1833"/>
      <c r="L5" s="1833"/>
    </row>
    <row r="6" spans="1:14" s="1838" customFormat="1" x14ac:dyDescent="0.25">
      <c r="A6" s="1834" t="s">
        <v>882</v>
      </c>
      <c r="B6" s="1835" t="s">
        <v>3062</v>
      </c>
      <c r="C6" s="1836">
        <f>SUM(D6:L6)</f>
        <v>732000</v>
      </c>
      <c r="D6" s="1837">
        <v>360000</v>
      </c>
      <c r="E6" s="1837">
        <v>155500</v>
      </c>
      <c r="F6" s="1837">
        <v>14800</v>
      </c>
      <c r="G6" s="1837">
        <v>14800</v>
      </c>
      <c r="H6" s="1837">
        <v>112800</v>
      </c>
      <c r="I6" s="1837">
        <v>18000</v>
      </c>
      <c r="J6" s="1837">
        <v>15500</v>
      </c>
      <c r="K6" s="1837">
        <v>31000</v>
      </c>
      <c r="L6" s="1837">
        <v>9600</v>
      </c>
    </row>
    <row r="7" spans="1:14" s="1838" customFormat="1" x14ac:dyDescent="0.25">
      <c r="A7" s="1834" t="s">
        <v>882</v>
      </c>
      <c r="B7" s="1835" t="s">
        <v>3063</v>
      </c>
      <c r="C7" s="1836" t="e">
        <f>SUM(D7:L7)</f>
        <v>#REF!</v>
      </c>
      <c r="D7" s="1837">
        <v>274830</v>
      </c>
      <c r="E7" s="1837">
        <v>145000</v>
      </c>
      <c r="F7" s="1837">
        <v>13720</v>
      </c>
      <c r="G7" s="1837">
        <v>13390</v>
      </c>
      <c r="H7" s="1837" t="e">
        <f>'tính tăng thu'!P8</f>
        <v>#REF!</v>
      </c>
      <c r="I7" s="1837">
        <v>16790</v>
      </c>
      <c r="J7" s="1837">
        <v>14410</v>
      </c>
      <c r="K7" s="1837">
        <v>28500</v>
      </c>
      <c r="L7" s="1837">
        <v>8610</v>
      </c>
    </row>
    <row r="8" spans="1:14" s="1838" customFormat="1" ht="30" x14ac:dyDescent="0.25">
      <c r="A8" s="1834"/>
      <c r="B8" s="1839" t="s">
        <v>3064</v>
      </c>
      <c r="C8" s="1840" t="e">
        <f>SUM(D8:L8)</f>
        <v>#REF!</v>
      </c>
      <c r="D8" s="1840">
        <v>25380</v>
      </c>
      <c r="E8" s="1840">
        <v>71100</v>
      </c>
      <c r="F8" s="1840">
        <v>1530</v>
      </c>
      <c r="G8" s="1840">
        <v>900</v>
      </c>
      <c r="H8" s="1840" t="e">
        <f>'B61-342'!#REF!</f>
        <v>#REF!</v>
      </c>
      <c r="I8" s="1840">
        <v>1980</v>
      </c>
      <c r="J8" s="1840">
        <v>540</v>
      </c>
      <c r="K8" s="1840">
        <v>7200</v>
      </c>
      <c r="L8" s="1840">
        <v>1170</v>
      </c>
    </row>
    <row r="9" spans="1:14" s="1838" customFormat="1" ht="30" x14ac:dyDescent="0.25">
      <c r="A9" s="1834" t="s">
        <v>882</v>
      </c>
      <c r="B9" s="1835" t="s">
        <v>3065</v>
      </c>
      <c r="C9" s="1841" t="e">
        <f>SUM(D9:L9)</f>
        <v>#REF!</v>
      </c>
      <c r="D9" s="1837">
        <f t="shared" ref="D9:L9" si="0">D7-D8</f>
        <v>249450</v>
      </c>
      <c r="E9" s="1837">
        <f t="shared" si="0"/>
        <v>73900</v>
      </c>
      <c r="F9" s="1837">
        <f t="shared" si="0"/>
        <v>12190</v>
      </c>
      <c r="G9" s="1837">
        <f t="shared" si="0"/>
        <v>12490</v>
      </c>
      <c r="H9" s="1837" t="e">
        <f t="shared" si="0"/>
        <v>#REF!</v>
      </c>
      <c r="I9" s="1837">
        <f t="shared" si="0"/>
        <v>14810</v>
      </c>
      <c r="J9" s="1837">
        <f t="shared" si="0"/>
        <v>13870</v>
      </c>
      <c r="K9" s="1837">
        <f t="shared" si="0"/>
        <v>21300</v>
      </c>
      <c r="L9" s="1837">
        <f t="shared" si="0"/>
        <v>7440</v>
      </c>
      <c r="N9" s="1838" t="e">
        <f>H7-H8</f>
        <v>#REF!</v>
      </c>
    </row>
    <row r="10" spans="1:14" s="1838" customFormat="1" x14ac:dyDescent="0.25">
      <c r="A10" s="1842">
        <v>2</v>
      </c>
      <c r="B10" s="1843" t="s">
        <v>1097</v>
      </c>
      <c r="C10" s="1844"/>
      <c r="D10" s="1844"/>
      <c r="E10" s="1844"/>
      <c r="F10" s="1844"/>
      <c r="G10" s="1844"/>
      <c r="H10" s="1844"/>
      <c r="I10" s="1844"/>
      <c r="J10" s="1844"/>
      <c r="K10" s="1844"/>
      <c r="L10" s="1844"/>
    </row>
    <row r="11" spans="1:14" x14ac:dyDescent="0.25">
      <c r="A11" s="1845" t="s">
        <v>882</v>
      </c>
      <c r="B11" s="1846" t="s">
        <v>3066</v>
      </c>
      <c r="C11" s="1847">
        <f>SUM(D11:L11)</f>
        <v>600000</v>
      </c>
      <c r="D11" s="1847">
        <v>291100</v>
      </c>
      <c r="E11" s="1848">
        <v>111500</v>
      </c>
      <c r="F11" s="1848">
        <v>15800</v>
      </c>
      <c r="G11" s="1848">
        <v>18450</v>
      </c>
      <c r="H11" s="1848">
        <v>98150</v>
      </c>
      <c r="I11" s="1848">
        <v>18300</v>
      </c>
      <c r="J11" s="1848">
        <v>12380</v>
      </c>
      <c r="K11" s="1848">
        <v>26500</v>
      </c>
      <c r="L11" s="1848">
        <v>7820</v>
      </c>
    </row>
    <row r="12" spans="1:14" x14ac:dyDescent="0.25">
      <c r="A12" s="1845" t="s">
        <v>882</v>
      </c>
      <c r="B12" s="1846" t="str">
        <f>B7</f>
        <v>Phần thu ngân sách địa phương được hưởng</v>
      </c>
      <c r="C12" s="1847">
        <f>SUM(D12:L12)</f>
        <v>535330</v>
      </c>
      <c r="D12" s="1847">
        <v>236943</v>
      </c>
      <c r="E12" s="1848">
        <v>107311</v>
      </c>
      <c r="F12" s="1848">
        <v>14915</v>
      </c>
      <c r="G12" s="1848">
        <v>16648</v>
      </c>
      <c r="H12" s="1848">
        <v>97092</v>
      </c>
      <c r="I12" s="1848">
        <v>17518</v>
      </c>
      <c r="J12" s="1848">
        <v>11911</v>
      </c>
      <c r="K12" s="1848">
        <v>25532</v>
      </c>
      <c r="L12" s="1848">
        <v>7460</v>
      </c>
    </row>
    <row r="13" spans="1:14" s="1838" customFormat="1" ht="30" x14ac:dyDescent="0.25">
      <c r="A13" s="1834"/>
      <c r="B13" s="1839" t="s">
        <v>3064</v>
      </c>
      <c r="C13" s="1840">
        <f>SUM(D13:L13)</f>
        <v>69000</v>
      </c>
      <c r="D13" s="1840">
        <v>19500</v>
      </c>
      <c r="E13" s="1849">
        <v>32400</v>
      </c>
      <c r="F13" s="1849">
        <v>900</v>
      </c>
      <c r="G13" s="1849">
        <v>1890</v>
      </c>
      <c r="H13" s="1849">
        <v>4500</v>
      </c>
      <c r="I13" s="1849">
        <v>3780</v>
      </c>
      <c r="J13" s="1849">
        <v>900</v>
      </c>
      <c r="K13" s="1849">
        <v>3780</v>
      </c>
      <c r="L13" s="1849">
        <v>1350</v>
      </c>
    </row>
    <row r="14" spans="1:14" s="1838" customFormat="1" ht="30" x14ac:dyDescent="0.25">
      <c r="A14" s="1834" t="s">
        <v>882</v>
      </c>
      <c r="B14" s="1835" t="str">
        <f>B9</f>
        <v>Phần thu ngân sách huyện, thành phố làm cơ sở tính nguồn thực hiện cải cách tiền lương</v>
      </c>
      <c r="C14" s="1847">
        <f>SUM(D14:L14)</f>
        <v>466330</v>
      </c>
      <c r="D14" s="1837">
        <f>D12-D13</f>
        <v>217443</v>
      </c>
      <c r="E14" s="1837">
        <f t="shared" ref="E14:L14" si="1">E12-E13</f>
        <v>74911</v>
      </c>
      <c r="F14" s="1837">
        <f t="shared" si="1"/>
        <v>14015</v>
      </c>
      <c r="G14" s="1837">
        <f t="shared" si="1"/>
        <v>14758</v>
      </c>
      <c r="H14" s="1837">
        <f>H12-H13</f>
        <v>92592</v>
      </c>
      <c r="I14" s="1837">
        <f t="shared" si="1"/>
        <v>13738</v>
      </c>
      <c r="J14" s="1837">
        <f t="shared" si="1"/>
        <v>11011</v>
      </c>
      <c r="K14" s="1837">
        <f t="shared" si="1"/>
        <v>21752</v>
      </c>
      <c r="L14" s="1837">
        <f t="shared" si="1"/>
        <v>6110</v>
      </c>
    </row>
    <row r="15" spans="1:14" s="1838" customFormat="1" ht="28.5" x14ac:dyDescent="0.25">
      <c r="A15" s="1850">
        <v>3</v>
      </c>
      <c r="B15" s="1843" t="s">
        <v>3067</v>
      </c>
      <c r="C15" s="1841" t="e">
        <f>SUM(D15:L15)</f>
        <v>#REF!</v>
      </c>
      <c r="D15" s="1841">
        <f>D9-D14</f>
        <v>32007</v>
      </c>
      <c r="E15" s="1836"/>
      <c r="F15" s="1836"/>
      <c r="G15" s="1836"/>
      <c r="H15" s="1841" t="e">
        <f>H9-H14</f>
        <v>#REF!</v>
      </c>
      <c r="I15" s="1841">
        <f>I9-I14</f>
        <v>1072</v>
      </c>
      <c r="J15" s="1841">
        <f>J9-J14</f>
        <v>2859</v>
      </c>
      <c r="K15" s="1836"/>
      <c r="L15" s="1841">
        <f>L9-L14</f>
        <v>1330</v>
      </c>
    </row>
    <row r="16" spans="1:14" s="1838" customFormat="1" x14ac:dyDescent="0.25">
      <c r="A16" s="1851"/>
      <c r="B16" s="1852" t="s">
        <v>908</v>
      </c>
      <c r="C16" s="1837"/>
      <c r="D16" s="1837"/>
      <c r="E16" s="1844"/>
      <c r="F16" s="1844"/>
      <c r="G16" s="1844"/>
      <c r="H16" s="1844"/>
      <c r="I16" s="1844"/>
      <c r="J16" s="1844"/>
      <c r="K16" s="1844"/>
      <c r="L16" s="1844"/>
    </row>
    <row r="17" spans="1:14" x14ac:dyDescent="0.25">
      <c r="A17" s="1853" t="s">
        <v>3068</v>
      </c>
      <c r="B17" s="1854" t="s">
        <v>3069</v>
      </c>
      <c r="C17" s="1847" t="e">
        <f>SUM(D17:L17)</f>
        <v>#REF!</v>
      </c>
      <c r="D17" s="1847">
        <f>D15/2</f>
        <v>16003.5</v>
      </c>
      <c r="E17" s="1847"/>
      <c r="F17" s="1847"/>
      <c r="G17" s="1847"/>
      <c r="H17" s="1847" t="e">
        <f>H15/2</f>
        <v>#REF!</v>
      </c>
      <c r="I17" s="1847">
        <f>I15/2</f>
        <v>536</v>
      </c>
      <c r="J17" s="1847">
        <f>J15/2</f>
        <v>1429.5</v>
      </c>
      <c r="K17" s="1847"/>
      <c r="L17" s="1847">
        <f>L15/2</f>
        <v>665</v>
      </c>
      <c r="N17" s="1828" t="e">
        <f>'B61-342'!#REF!+'B61-342'!H12</f>
        <v>#REF!</v>
      </c>
    </row>
    <row r="18" spans="1:14" s="1838" customFormat="1" x14ac:dyDescent="0.25">
      <c r="A18" s="1855" t="s">
        <v>3068</v>
      </c>
      <c r="B18" s="1856" t="s">
        <v>3070</v>
      </c>
      <c r="C18" s="1857" t="e">
        <f>SUM(D18:L18)</f>
        <v>#REF!</v>
      </c>
      <c r="D18" s="1858">
        <v>16003</v>
      </c>
      <c r="E18" s="1859"/>
      <c r="F18" s="1859"/>
      <c r="G18" s="1859"/>
      <c r="H18" s="1858" t="e">
        <f>H17</f>
        <v>#REF!</v>
      </c>
      <c r="I18" s="1858">
        <f>I17</f>
        <v>536</v>
      </c>
      <c r="J18" s="1858">
        <v>1429</v>
      </c>
      <c r="K18" s="1858"/>
      <c r="L18" s="1858">
        <f>L17</f>
        <v>665</v>
      </c>
    </row>
    <row r="19" spans="1:14" s="1838" customFormat="1" x14ac:dyDescent="0.25">
      <c r="E19" s="1838">
        <v>15431</v>
      </c>
      <c r="F19" s="1838">
        <v>3475</v>
      </c>
      <c r="G19" s="1838">
        <v>3453</v>
      </c>
      <c r="H19" s="1838">
        <v>13024</v>
      </c>
    </row>
    <row r="20" spans="1:14" s="1838" customFormat="1" x14ac:dyDescent="0.25">
      <c r="A20" s="1838">
        <v>2</v>
      </c>
      <c r="B20" s="1838" t="s">
        <v>1097</v>
      </c>
    </row>
    <row r="21" spans="1:14" s="1838" customFormat="1" x14ac:dyDescent="0.25">
      <c r="A21" s="1838" t="s">
        <v>882</v>
      </c>
      <c r="B21" s="1838" t="s">
        <v>3066</v>
      </c>
      <c r="C21" s="1838">
        <v>600000</v>
      </c>
      <c r="D21" s="1838">
        <v>291100</v>
      </c>
      <c r="E21" s="1838">
        <v>111500</v>
      </c>
      <c r="F21" s="1838">
        <v>15800</v>
      </c>
      <c r="H21" s="1838">
        <v>98150</v>
      </c>
      <c r="I21" s="1838">
        <v>18300</v>
      </c>
      <c r="J21" s="1838">
        <v>12380</v>
      </c>
      <c r="K21" s="1838">
        <v>26500</v>
      </c>
      <c r="L21" s="1838">
        <v>7820</v>
      </c>
    </row>
    <row r="22" spans="1:14" s="1838" customFormat="1" x14ac:dyDescent="0.25">
      <c r="A22" s="1838" t="s">
        <v>882</v>
      </c>
      <c r="B22" s="1838" t="s">
        <v>3071</v>
      </c>
      <c r="C22" s="1838">
        <v>535330</v>
      </c>
      <c r="D22" s="1838">
        <v>236943</v>
      </c>
      <c r="E22" s="1838">
        <v>107311</v>
      </c>
      <c r="F22" s="1838">
        <v>14915</v>
      </c>
      <c r="H22" s="1838">
        <v>97092</v>
      </c>
      <c r="I22" s="1838">
        <v>17518</v>
      </c>
      <c r="J22" s="1838">
        <v>11911</v>
      </c>
      <c r="K22" s="1838">
        <v>25532</v>
      </c>
      <c r="L22" s="1838">
        <v>7460</v>
      </c>
    </row>
    <row r="23" spans="1:14" s="1838" customFormat="1" x14ac:dyDescent="0.25">
      <c r="B23" s="1838" t="s">
        <v>3064</v>
      </c>
      <c r="C23" s="1838">
        <v>69000</v>
      </c>
      <c r="D23" s="1838">
        <v>19500</v>
      </c>
      <c r="E23" s="1838">
        <v>32400</v>
      </c>
      <c r="F23" s="1838">
        <v>900</v>
      </c>
      <c r="H23" s="1838">
        <v>4500</v>
      </c>
      <c r="I23" s="1838">
        <v>3780</v>
      </c>
      <c r="J23" s="1838">
        <v>900</v>
      </c>
      <c r="K23" s="1838">
        <v>3780</v>
      </c>
      <c r="L23" s="1838">
        <v>1350</v>
      </c>
    </row>
    <row r="24" spans="1:14" s="1838" customFormat="1" x14ac:dyDescent="0.25">
      <c r="A24" s="1838" t="s">
        <v>882</v>
      </c>
      <c r="B24" s="1838" t="s">
        <v>3072</v>
      </c>
      <c r="C24" s="1838">
        <v>466330</v>
      </c>
      <c r="D24" s="1838">
        <v>217443</v>
      </c>
      <c r="E24" s="1838">
        <v>74911</v>
      </c>
      <c r="F24" s="1838">
        <v>14015</v>
      </c>
      <c r="H24" s="1838">
        <v>92592</v>
      </c>
      <c r="I24" s="1838">
        <v>13738</v>
      </c>
      <c r="J24" s="1838">
        <v>11011</v>
      </c>
      <c r="K24" s="1838">
        <v>21752</v>
      </c>
      <c r="L24" s="1838">
        <v>6110</v>
      </c>
    </row>
    <row r="25" spans="1:14" s="1860" customFormat="1" x14ac:dyDescent="0.25">
      <c r="E25" s="1860">
        <f>E9-E24</f>
        <v>-1011</v>
      </c>
      <c r="F25" s="1860">
        <f>F9-F24</f>
        <v>-1825</v>
      </c>
      <c r="H25" s="1860" t="e">
        <f>H9-H24</f>
        <v>#REF!</v>
      </c>
      <c r="I25" s="1860">
        <f>I9-I24</f>
        <v>1072</v>
      </c>
      <c r="J25" s="1860">
        <f>J9-J24</f>
        <v>2859</v>
      </c>
      <c r="K25" s="1860">
        <f>K9-K24</f>
        <v>-452</v>
      </c>
      <c r="L25" s="1860">
        <f>L9-L24</f>
        <v>1330</v>
      </c>
    </row>
    <row r="26" spans="1:14" s="1838" customFormat="1" x14ac:dyDescent="0.25"/>
    <row r="27" spans="1:14" s="1838" customFormat="1" x14ac:dyDescent="0.25"/>
    <row r="28" spans="1:14" s="1838" customFormat="1" x14ac:dyDescent="0.25"/>
    <row r="29" spans="1:14" s="1838" customFormat="1" x14ac:dyDescent="0.25"/>
    <row r="30" spans="1:14" s="1838" customFormat="1" x14ac:dyDescent="0.25"/>
    <row r="31" spans="1:14" s="1838" customFormat="1" x14ac:dyDescent="0.25"/>
    <row r="32" spans="1:14" s="1838" customFormat="1" x14ac:dyDescent="0.25">
      <c r="D32" s="1861"/>
      <c r="E32" s="1861">
        <v>-5061</v>
      </c>
      <c r="F32" s="1861">
        <v>-2135</v>
      </c>
      <c r="G32" s="1861"/>
    </row>
    <row r="33" spans="3:12" s="1838" customFormat="1" x14ac:dyDescent="0.25">
      <c r="C33" s="1838">
        <f>SUM(D33:L33)</f>
        <v>5238</v>
      </c>
      <c r="D33" s="1862"/>
      <c r="E33" s="1862">
        <f>E25-E32</f>
        <v>4050</v>
      </c>
      <c r="F33" s="1862">
        <f t="shared" ref="F33:L33" si="2">F25-F32</f>
        <v>310</v>
      </c>
      <c r="G33" s="1862"/>
      <c r="H33" s="1862"/>
      <c r="I33" s="1862"/>
      <c r="J33" s="1862"/>
      <c r="K33" s="1862">
        <f t="shared" si="2"/>
        <v>-452</v>
      </c>
      <c r="L33" s="1862">
        <f t="shared" si="2"/>
        <v>1330</v>
      </c>
    </row>
    <row r="34" spans="3:12" s="1838" customFormat="1" x14ac:dyDescent="0.25"/>
    <row r="35" spans="3:12" s="1838" customFormat="1" x14ac:dyDescent="0.25"/>
    <row r="36" spans="3:12" s="1838" customFormat="1" x14ac:dyDescent="0.25"/>
    <row r="37" spans="3:12" s="1838" customFormat="1" x14ac:dyDescent="0.25">
      <c r="E37" s="1838" t="s">
        <v>3073</v>
      </c>
    </row>
    <row r="38" spans="3:12" s="1838" customFormat="1" x14ac:dyDescent="0.25">
      <c r="E38" s="1838">
        <v>583178</v>
      </c>
    </row>
    <row r="39" spans="3:12" s="1838" customFormat="1" x14ac:dyDescent="0.25">
      <c r="E39" s="1838">
        <v>65000</v>
      </c>
    </row>
    <row r="40" spans="3:12" s="1838" customFormat="1" x14ac:dyDescent="0.25">
      <c r="E40" s="1838">
        <f>E38-E39</f>
        <v>518178</v>
      </c>
    </row>
    <row r="41" spans="3:12" s="1838" customFormat="1" x14ac:dyDescent="0.25">
      <c r="E41" s="1838" t="s">
        <v>3074</v>
      </c>
    </row>
    <row r="42" spans="3:12" s="1838" customFormat="1" x14ac:dyDescent="0.25">
      <c r="E42" s="1838">
        <v>521330</v>
      </c>
    </row>
    <row r="43" spans="3:12" s="1838" customFormat="1" x14ac:dyDescent="0.25">
      <c r="E43" s="1838">
        <v>55000</v>
      </c>
    </row>
    <row r="44" spans="3:12" s="1838" customFormat="1" x14ac:dyDescent="0.25">
      <c r="E44" s="1838">
        <f>E42-E43</f>
        <v>466330</v>
      </c>
    </row>
    <row r="45" spans="3:12" s="1838" customFormat="1" x14ac:dyDescent="0.25">
      <c r="E45" s="1838">
        <f>E40-E44</f>
        <v>51848</v>
      </c>
    </row>
    <row r="46" spans="3:12" s="1838" customFormat="1" x14ac:dyDescent="0.25">
      <c r="E46" s="1860">
        <f>E45*50%</f>
        <v>25924</v>
      </c>
    </row>
    <row r="47" spans="3:12" s="1838" customFormat="1" x14ac:dyDescent="0.25">
      <c r="E47" s="1838">
        <f>E15+E19</f>
        <v>15431</v>
      </c>
      <c r="F47" s="1838">
        <f>F15+F19</f>
        <v>3475</v>
      </c>
      <c r="G47" s="1838">
        <f>G19+G15</f>
        <v>3453</v>
      </c>
      <c r="H47" s="1838" t="e">
        <f>H19-H18</f>
        <v>#REF!</v>
      </c>
      <c r="I47" s="1838">
        <v>430</v>
      </c>
      <c r="J47" s="1838">
        <v>1100</v>
      </c>
    </row>
    <row r="48" spans="3:12" s="1838" customFormat="1" x14ac:dyDescent="0.25">
      <c r="J48" s="1838">
        <f>J18-J47</f>
        <v>329</v>
      </c>
    </row>
    <row r="49" spans="15:19" s="1838" customFormat="1" x14ac:dyDescent="0.25"/>
    <row r="50" spans="15:19" s="1838" customFormat="1" x14ac:dyDescent="0.25"/>
    <row r="51" spans="15:19" s="1838" customFormat="1" x14ac:dyDescent="0.25"/>
    <row r="52" spans="15:19" s="1838" customFormat="1" x14ac:dyDescent="0.25"/>
    <row r="53" spans="15:19" s="1838" customFormat="1" x14ac:dyDescent="0.25"/>
    <row r="54" spans="15:19" s="1838" customFormat="1" x14ac:dyDescent="0.25"/>
    <row r="55" spans="15:19" s="1838" customFormat="1" x14ac:dyDescent="0.25">
      <c r="O55" s="4058" t="s">
        <v>2286</v>
      </c>
      <c r="P55" s="4058"/>
      <c r="Q55" s="4058"/>
      <c r="R55" s="4058"/>
      <c r="S55" s="4058"/>
    </row>
    <row r="56" spans="15:19" s="1838" customFormat="1" ht="60" x14ac:dyDescent="0.25">
      <c r="O56" s="1863" t="s">
        <v>3075</v>
      </c>
      <c r="P56" s="1863" t="s">
        <v>3076</v>
      </c>
      <c r="Q56" s="1864" t="s">
        <v>3077</v>
      </c>
      <c r="R56" s="1864" t="s">
        <v>3078</v>
      </c>
      <c r="S56" s="1838" t="s">
        <v>3079</v>
      </c>
    </row>
    <row r="57" spans="15:19" s="1838" customFormat="1" x14ac:dyDescent="0.25"/>
    <row r="58" spans="15:19" s="1838" customFormat="1" x14ac:dyDescent="0.25">
      <c r="O58" s="1860">
        <f>-11458</f>
        <v>-11458</v>
      </c>
      <c r="P58" s="1838">
        <f>25700+1566</f>
        <v>27266</v>
      </c>
      <c r="Q58" s="1838">
        <v>13024</v>
      </c>
      <c r="R58" s="1838">
        <f>P58-Q58</f>
        <v>14242</v>
      </c>
      <c r="S58" s="1838">
        <f>R58+O58</f>
        <v>2784</v>
      </c>
    </row>
    <row r="59" spans="15:19" s="1838" customFormat="1" x14ac:dyDescent="0.25">
      <c r="R59" s="1838">
        <v>13379</v>
      </c>
    </row>
    <row r="60" spans="15:19" s="1838" customFormat="1" x14ac:dyDescent="0.25">
      <c r="R60" s="1838">
        <f>R58-R59</f>
        <v>863</v>
      </c>
    </row>
    <row r="61" spans="15:19" s="1838" customFormat="1" x14ac:dyDescent="0.25"/>
    <row r="62" spans="15:19" s="1838" customFormat="1" x14ac:dyDescent="0.25"/>
    <row r="63" spans="15:19" s="1838" customFormat="1" x14ac:dyDescent="0.25"/>
    <row r="64" spans="15:19" s="1838" customFormat="1" x14ac:dyDescent="0.25"/>
    <row r="65" s="1838" customFormat="1" x14ac:dyDescent="0.25"/>
    <row r="66" s="1838" customFormat="1" x14ac:dyDescent="0.25"/>
    <row r="67" s="1838" customFormat="1" x14ac:dyDescent="0.25"/>
    <row r="68" s="1838" customFormat="1" x14ac:dyDescent="0.25"/>
    <row r="69" s="1838" customFormat="1" x14ac:dyDescent="0.25"/>
    <row r="70" s="1838" customFormat="1" x14ac:dyDescent="0.25"/>
    <row r="71" s="1838" customFormat="1" x14ac:dyDescent="0.25"/>
    <row r="72" s="1838" customFormat="1" x14ac:dyDescent="0.25"/>
    <row r="73" s="1838" customFormat="1" x14ac:dyDescent="0.25"/>
    <row r="74" s="1838" customFormat="1" x14ac:dyDescent="0.25"/>
    <row r="75" s="1838" customFormat="1" x14ac:dyDescent="0.25"/>
    <row r="76" s="1838" customFormat="1" x14ac:dyDescent="0.25"/>
    <row r="77" s="1838" customFormat="1" x14ac:dyDescent="0.25"/>
    <row r="78" s="1838" customFormat="1" x14ac:dyDescent="0.25"/>
    <row r="79" s="1838" customFormat="1" x14ac:dyDescent="0.25"/>
    <row r="80" s="1838" customFormat="1" x14ac:dyDescent="0.25"/>
    <row r="81" s="1838" customFormat="1" x14ac:dyDescent="0.25"/>
    <row r="82" s="1838" customFormat="1" x14ac:dyDescent="0.25"/>
    <row r="83" s="1838" customFormat="1" x14ac:dyDescent="0.25"/>
    <row r="84" s="1838" customFormat="1" x14ac:dyDescent="0.25"/>
    <row r="85" s="1838" customFormat="1" x14ac:dyDescent="0.25"/>
    <row r="86" s="1838" customFormat="1" x14ac:dyDescent="0.25"/>
    <row r="87" s="1838" customFormat="1" x14ac:dyDescent="0.25"/>
    <row r="88" s="1838" customFormat="1" x14ac:dyDescent="0.25"/>
    <row r="89" s="1838" customFormat="1" x14ac:dyDescent="0.25"/>
    <row r="90" s="1838" customFormat="1" x14ac:dyDescent="0.25"/>
    <row r="91" s="1838" customFormat="1" x14ac:dyDescent="0.25"/>
    <row r="92" s="1838" customFormat="1" x14ac:dyDescent="0.25"/>
    <row r="93" s="1838" customFormat="1" x14ac:dyDescent="0.25"/>
    <row r="94" s="1838" customFormat="1" x14ac:dyDescent="0.25"/>
    <row r="95" s="1838" customFormat="1" x14ac:dyDescent="0.25"/>
    <row r="96" s="1838" customFormat="1" x14ac:dyDescent="0.25"/>
    <row r="97" s="1838" customFormat="1" x14ac:dyDescent="0.25"/>
    <row r="98" s="1838" customFormat="1" x14ac:dyDescent="0.25"/>
    <row r="99" s="1838" customFormat="1" x14ac:dyDescent="0.25"/>
    <row r="100" s="1838" customFormat="1" x14ac:dyDescent="0.25"/>
    <row r="101" s="1838" customFormat="1" x14ac:dyDescent="0.25"/>
    <row r="102" s="1838" customFormat="1" x14ac:dyDescent="0.25"/>
    <row r="103" s="1838" customFormat="1" x14ac:dyDescent="0.25"/>
    <row r="104" s="1838" customFormat="1" x14ac:dyDescent="0.25"/>
  </sheetData>
  <mergeCells count="5">
    <mergeCell ref="A1:L1"/>
    <mergeCell ref="A2:L2"/>
    <mergeCell ref="E3:I3"/>
    <mergeCell ref="J3:L3"/>
    <mergeCell ref="O55:S5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22"/>
  <sheetViews>
    <sheetView topLeftCell="A1048576" workbookViewId="0">
      <selection activeCell="A10" sqref="A1:XFD1048576"/>
    </sheetView>
  </sheetViews>
  <sheetFormatPr defaultColWidth="10" defaultRowHeight="12.75" zeroHeight="1" x14ac:dyDescent="0.25"/>
  <cols>
    <col min="1" max="1" width="4.7109375" style="779" customWidth="1"/>
    <col min="2" max="2" width="34.7109375" style="749" customWidth="1"/>
    <col min="3" max="3" width="10.7109375" style="747" customWidth="1"/>
    <col min="4" max="4" width="11" style="747" customWidth="1"/>
    <col min="5" max="5" width="8.7109375" style="747" customWidth="1"/>
    <col min="6" max="6" width="12.7109375" style="747" customWidth="1"/>
    <col min="7" max="7" width="10.140625" style="747" customWidth="1"/>
    <col min="8" max="8" width="11.140625" style="747" customWidth="1"/>
    <col min="9" max="9" width="14" style="747" customWidth="1"/>
    <col min="10" max="10" width="12.7109375" style="747" customWidth="1"/>
    <col min="11" max="11" width="11.85546875" style="747" customWidth="1"/>
    <col min="12" max="12" width="11" style="748" customWidth="1"/>
    <col min="13" max="13" width="33.28515625" style="749" customWidth="1"/>
    <col min="14" max="16384" width="10" style="749"/>
  </cols>
  <sheetData>
    <row r="1" spans="1:13" ht="15.75" hidden="1" x14ac:dyDescent="0.25">
      <c r="A1" s="746" t="s">
        <v>1735</v>
      </c>
      <c r="B1" s="746"/>
    </row>
    <row r="2" spans="1:13" ht="18.75" hidden="1" customHeight="1" x14ac:dyDescent="0.25">
      <c r="A2" s="3939" t="s">
        <v>1736</v>
      </c>
      <c r="B2" s="3939"/>
      <c r="C2" s="3939"/>
      <c r="D2" s="3939"/>
      <c r="E2" s="3939"/>
      <c r="F2" s="3939"/>
      <c r="G2" s="3939"/>
      <c r="H2" s="3939"/>
      <c r="I2" s="3939"/>
      <c r="J2" s="3939"/>
      <c r="K2" s="3939"/>
      <c r="L2" s="3939"/>
      <c r="M2" s="3939"/>
    </row>
    <row r="3" spans="1:13" ht="15.75" hidden="1" x14ac:dyDescent="0.25">
      <c r="A3" s="3940"/>
      <c r="B3" s="3940"/>
      <c r="C3" s="3940"/>
      <c r="D3" s="3940"/>
      <c r="E3" s="3940"/>
      <c r="F3" s="3940"/>
      <c r="G3" s="3940"/>
      <c r="H3" s="3940"/>
      <c r="I3" s="3940"/>
      <c r="J3" s="3940"/>
      <c r="K3" s="3940"/>
      <c r="L3" s="3940"/>
      <c r="M3" s="3940"/>
    </row>
    <row r="4" spans="1:13" ht="15.75" hidden="1" x14ac:dyDescent="0.25">
      <c r="A4" s="750"/>
      <c r="B4" s="750"/>
      <c r="C4" s="751"/>
      <c r="D4" s="751"/>
      <c r="E4" s="751"/>
      <c r="F4" s="751"/>
      <c r="G4" s="751"/>
      <c r="H4" s="751"/>
      <c r="I4" s="751"/>
      <c r="J4" s="751"/>
      <c r="K4" s="751"/>
      <c r="L4" s="752"/>
      <c r="M4" s="750"/>
    </row>
    <row r="5" spans="1:13" s="753" customFormat="1" ht="12" hidden="1" customHeight="1" x14ac:dyDescent="0.25">
      <c r="A5" s="3941" t="s">
        <v>844</v>
      </c>
      <c r="B5" s="3941" t="s">
        <v>845</v>
      </c>
      <c r="C5" s="3944" t="s">
        <v>193</v>
      </c>
      <c r="D5" s="3945"/>
      <c r="E5" s="3945"/>
      <c r="F5" s="3945"/>
      <c r="G5" s="3945"/>
      <c r="H5" s="3945"/>
      <c r="I5" s="3945"/>
      <c r="J5" s="3945"/>
      <c r="K5" s="3945"/>
      <c r="L5" s="3945"/>
      <c r="M5" s="3946"/>
    </row>
    <row r="6" spans="1:13" s="755" customFormat="1" ht="34.5" hidden="1" customHeight="1" x14ac:dyDescent="0.25">
      <c r="A6" s="3942"/>
      <c r="B6" s="3942"/>
      <c r="C6" s="3947" t="s">
        <v>1737</v>
      </c>
      <c r="D6" s="3948"/>
      <c r="E6" s="3948"/>
      <c r="F6" s="3949"/>
      <c r="G6" s="754"/>
      <c r="H6" s="3950" t="s">
        <v>1752</v>
      </c>
      <c r="I6" s="3950"/>
      <c r="J6" s="3951" t="s">
        <v>1738</v>
      </c>
      <c r="K6" s="3947" t="s">
        <v>907</v>
      </c>
      <c r="L6" s="3949"/>
      <c r="M6" s="3941" t="s">
        <v>1739</v>
      </c>
    </row>
    <row r="7" spans="1:13" s="755" customFormat="1" ht="81.75" hidden="1" customHeight="1" x14ac:dyDescent="0.25">
      <c r="A7" s="3943"/>
      <c r="B7" s="3943"/>
      <c r="C7" s="756" t="s">
        <v>868</v>
      </c>
      <c r="D7" s="756" t="s">
        <v>1740</v>
      </c>
      <c r="E7" s="756" t="s">
        <v>1741</v>
      </c>
      <c r="F7" s="756" t="s">
        <v>1742</v>
      </c>
      <c r="G7" s="757" t="s">
        <v>868</v>
      </c>
      <c r="H7" s="757" t="s">
        <v>1743</v>
      </c>
      <c r="I7" s="758" t="s">
        <v>1744</v>
      </c>
      <c r="J7" s="3952"/>
      <c r="K7" s="756" t="s">
        <v>1745</v>
      </c>
      <c r="L7" s="759" t="s">
        <v>1746</v>
      </c>
      <c r="M7" s="3943"/>
    </row>
    <row r="8" spans="1:13" s="762" customFormat="1" ht="21" hidden="1" customHeight="1" x14ac:dyDescent="0.25">
      <c r="A8" s="760" t="s">
        <v>847</v>
      </c>
      <c r="B8" s="760" t="s">
        <v>848</v>
      </c>
      <c r="C8" s="761">
        <v>1</v>
      </c>
      <c r="D8" s="761">
        <v>2</v>
      </c>
      <c r="E8" s="761">
        <v>3</v>
      </c>
      <c r="F8" s="761">
        <v>4</v>
      </c>
      <c r="G8" s="761"/>
      <c r="H8" s="761">
        <v>5</v>
      </c>
      <c r="I8" s="761">
        <v>6</v>
      </c>
      <c r="J8" s="761">
        <v>7</v>
      </c>
      <c r="K8" s="761">
        <v>8</v>
      </c>
      <c r="L8" s="761">
        <v>9</v>
      </c>
      <c r="M8" s="760">
        <v>10</v>
      </c>
    </row>
    <row r="9" spans="1:13" s="745" customFormat="1" ht="24.75" hidden="1" customHeight="1" x14ac:dyDescent="0.25">
      <c r="A9" s="763"/>
      <c r="B9" s="763" t="s">
        <v>886</v>
      </c>
      <c r="C9" s="764">
        <f>C10</f>
        <v>55024.019904999994</v>
      </c>
      <c r="D9" s="764">
        <f t="shared" ref="D9:L9" si="0">D10</f>
        <v>1258.4899049999999</v>
      </c>
      <c r="E9" s="764">
        <f t="shared" si="0"/>
        <v>900</v>
      </c>
      <c r="F9" s="764">
        <f t="shared" si="0"/>
        <v>52865.53</v>
      </c>
      <c r="G9" s="764">
        <f t="shared" si="0"/>
        <v>32120.475613999999</v>
      </c>
      <c r="H9" s="764">
        <f t="shared" si="0"/>
        <v>1017.336852</v>
      </c>
      <c r="I9" s="764">
        <f t="shared" si="0"/>
        <v>31103.138761999999</v>
      </c>
      <c r="J9" s="764">
        <f t="shared" si="0"/>
        <v>12661.384032</v>
      </c>
      <c r="K9" s="764">
        <f t="shared" si="0"/>
        <v>13431.7914</v>
      </c>
      <c r="L9" s="765">
        <f t="shared" si="0"/>
        <v>517.48463200000003</v>
      </c>
      <c r="M9" s="766"/>
    </row>
    <row r="10" spans="1:13" s="745" customFormat="1" ht="22.5" hidden="1" customHeight="1" x14ac:dyDescent="0.25">
      <c r="A10" s="740" t="s">
        <v>849</v>
      </c>
      <c r="B10" s="741" t="s">
        <v>1211</v>
      </c>
      <c r="C10" s="742">
        <f>C11+C14</f>
        <v>55024.019904999994</v>
      </c>
      <c r="D10" s="742">
        <f t="shared" ref="D10:L10" si="1">D11+D14</f>
        <v>1258.4899049999999</v>
      </c>
      <c r="E10" s="742">
        <f t="shared" si="1"/>
        <v>900</v>
      </c>
      <c r="F10" s="742">
        <f t="shared" si="1"/>
        <v>52865.53</v>
      </c>
      <c r="G10" s="742">
        <f t="shared" si="1"/>
        <v>32120.475613999999</v>
      </c>
      <c r="H10" s="742">
        <f t="shared" si="1"/>
        <v>1017.336852</v>
      </c>
      <c r="I10" s="742">
        <f t="shared" si="1"/>
        <v>31103.138761999999</v>
      </c>
      <c r="J10" s="742">
        <f t="shared" si="1"/>
        <v>12661.384032</v>
      </c>
      <c r="K10" s="742">
        <f t="shared" si="1"/>
        <v>13431.7914</v>
      </c>
      <c r="L10" s="743">
        <f t="shared" si="1"/>
        <v>517.48463200000003</v>
      </c>
      <c r="M10" s="744"/>
    </row>
    <row r="11" spans="1:13" s="745" customFormat="1" ht="43.5" hidden="1" customHeight="1" x14ac:dyDescent="0.25">
      <c r="A11" s="740">
        <v>1</v>
      </c>
      <c r="B11" s="767" t="s">
        <v>1747</v>
      </c>
      <c r="C11" s="742">
        <f>C12+C13</f>
        <v>15939.98</v>
      </c>
      <c r="D11" s="742">
        <f t="shared" ref="D11:L11" si="2">D12+D13</f>
        <v>299.45</v>
      </c>
      <c r="E11" s="742">
        <f t="shared" si="2"/>
        <v>0</v>
      </c>
      <c r="F11" s="742">
        <f t="shared" si="2"/>
        <v>15640.529999999999</v>
      </c>
      <c r="G11" s="742">
        <f t="shared" si="2"/>
        <v>4697.6311109999997</v>
      </c>
      <c r="H11" s="742">
        <f t="shared" si="2"/>
        <v>158.29911100000001</v>
      </c>
      <c r="I11" s="742">
        <f t="shared" si="2"/>
        <v>4539.3319999999994</v>
      </c>
      <c r="J11" s="742">
        <f t="shared" si="2"/>
        <v>141.15088899999998</v>
      </c>
      <c r="K11" s="742">
        <f t="shared" si="2"/>
        <v>1162.5070000000001</v>
      </c>
      <c r="L11" s="742">
        <f t="shared" si="2"/>
        <v>266.535889</v>
      </c>
      <c r="M11" s="744"/>
    </row>
    <row r="12" spans="1:13" s="773" customFormat="1" ht="18.75" hidden="1" customHeight="1" x14ac:dyDescent="0.25">
      <c r="A12" s="768" t="s">
        <v>851</v>
      </c>
      <c r="B12" s="769" t="s">
        <v>707</v>
      </c>
      <c r="C12" s="742">
        <f t="shared" ref="C12:C18" si="3">D12+E12+F12</f>
        <v>11338.45</v>
      </c>
      <c r="D12" s="742">
        <v>299.45</v>
      </c>
      <c r="E12" s="742"/>
      <c r="F12" s="742">
        <v>11039</v>
      </c>
      <c r="G12" s="742">
        <f t="shared" ref="G12:G22" si="4">H12+I12</f>
        <v>158.29911100000001</v>
      </c>
      <c r="H12" s="742">
        <v>158.29911100000001</v>
      </c>
      <c r="I12" s="742"/>
      <c r="J12" s="770">
        <f>D12-G12</f>
        <v>141.15088899999998</v>
      </c>
      <c r="K12" s="770">
        <f>95.507+297+583+187</f>
        <v>1162.5070000000001</v>
      </c>
      <c r="L12" s="771">
        <f>141.150889+14.421+48.766</f>
        <v>204.33788899999999</v>
      </c>
      <c r="M12" s="772"/>
    </row>
    <row r="13" spans="1:13" s="773" customFormat="1" ht="18.75" hidden="1" customHeight="1" x14ac:dyDescent="0.25">
      <c r="A13" s="768" t="s">
        <v>897</v>
      </c>
      <c r="B13" s="769" t="s">
        <v>1471</v>
      </c>
      <c r="C13" s="742">
        <f t="shared" si="3"/>
        <v>4601.53</v>
      </c>
      <c r="D13" s="742"/>
      <c r="E13" s="742"/>
      <c r="F13" s="742">
        <v>4601.53</v>
      </c>
      <c r="G13" s="742">
        <f t="shared" si="4"/>
        <v>4539.3319999999994</v>
      </c>
      <c r="H13" s="742"/>
      <c r="I13" s="742">
        <f>C13-L13</f>
        <v>4539.3319999999994</v>
      </c>
      <c r="J13" s="770"/>
      <c r="K13" s="770"/>
      <c r="L13" s="771">
        <f>2.383+39.093+0.722+20</f>
        <v>62.198000000000008</v>
      </c>
      <c r="M13" s="772"/>
    </row>
    <row r="14" spans="1:13" s="745" customFormat="1" ht="34.5" hidden="1" customHeight="1" x14ac:dyDescent="0.25">
      <c r="A14" s="740">
        <v>2</v>
      </c>
      <c r="B14" s="767" t="s">
        <v>1748</v>
      </c>
      <c r="C14" s="742">
        <f>C15+C19</f>
        <v>39084.039904999998</v>
      </c>
      <c r="D14" s="742">
        <f t="shared" ref="D14:L14" si="5">D15+D19</f>
        <v>959.03990499999998</v>
      </c>
      <c r="E14" s="742">
        <f t="shared" si="5"/>
        <v>900</v>
      </c>
      <c r="F14" s="742">
        <f t="shared" si="5"/>
        <v>37225</v>
      </c>
      <c r="G14" s="742">
        <f t="shared" si="5"/>
        <v>27422.844503</v>
      </c>
      <c r="H14" s="742">
        <f t="shared" si="5"/>
        <v>859.03774099999998</v>
      </c>
      <c r="I14" s="742">
        <f t="shared" si="5"/>
        <v>26563.806762</v>
      </c>
      <c r="J14" s="742">
        <f t="shared" si="5"/>
        <v>12520.233142999999</v>
      </c>
      <c r="K14" s="742">
        <f t="shared" si="5"/>
        <v>12269.2844</v>
      </c>
      <c r="L14" s="743">
        <f t="shared" si="5"/>
        <v>250.94874300000001</v>
      </c>
      <c r="M14" s="744"/>
    </row>
    <row r="15" spans="1:13" s="773" customFormat="1" ht="21" hidden="1" customHeight="1" x14ac:dyDescent="0.25">
      <c r="A15" s="768" t="s">
        <v>902</v>
      </c>
      <c r="B15" s="769" t="s">
        <v>707</v>
      </c>
      <c r="C15" s="742">
        <f>C16+C17+C18</f>
        <v>32969.039904999998</v>
      </c>
      <c r="D15" s="742">
        <f t="shared" ref="D15:L15" si="6">D16+D17+D18</f>
        <v>859.03990499999998</v>
      </c>
      <c r="E15" s="742">
        <f t="shared" si="6"/>
        <v>0</v>
      </c>
      <c r="F15" s="742">
        <f t="shared" si="6"/>
        <v>32110</v>
      </c>
      <c r="G15" s="742">
        <f t="shared" si="6"/>
        <v>22756.914246</v>
      </c>
      <c r="H15" s="742">
        <f t="shared" si="6"/>
        <v>859.03774099999998</v>
      </c>
      <c r="I15" s="742">
        <f t="shared" si="6"/>
        <v>21897.876505</v>
      </c>
      <c r="J15" s="742">
        <f t="shared" si="6"/>
        <v>11071.163399999999</v>
      </c>
      <c r="K15" s="742">
        <f t="shared" si="6"/>
        <v>10836.3524</v>
      </c>
      <c r="L15" s="742">
        <f t="shared" si="6"/>
        <v>234.81100000000001</v>
      </c>
      <c r="M15" s="772"/>
    </row>
    <row r="16" spans="1:13" s="773" customFormat="1" ht="21" hidden="1" customHeight="1" x14ac:dyDescent="0.25">
      <c r="A16" s="768"/>
      <c r="B16" s="774" t="s">
        <v>1612</v>
      </c>
      <c r="C16" s="742">
        <f t="shared" si="3"/>
        <v>21469.039905000001</v>
      </c>
      <c r="D16" s="742">
        <v>859.03990499999998</v>
      </c>
      <c r="E16" s="742"/>
      <c r="F16" s="742">
        <v>20610</v>
      </c>
      <c r="G16" s="742">
        <f t="shared" si="4"/>
        <v>21648.748646</v>
      </c>
      <c r="H16" s="742">
        <f>653.959741+205.078</f>
        <v>859.03774099999998</v>
      </c>
      <c r="I16" s="742">
        <f>C16-J16</f>
        <v>20789.710905</v>
      </c>
      <c r="J16" s="770">
        <f>K16+L16</f>
        <v>679.32899999999995</v>
      </c>
      <c r="K16" s="770">
        <f>269.518+175</f>
        <v>444.51799999999997</v>
      </c>
      <c r="L16" s="771">
        <f>56.811+178</f>
        <v>234.81100000000001</v>
      </c>
      <c r="M16" s="772"/>
    </row>
    <row r="17" spans="1:13" s="773" customFormat="1" ht="21.75" hidden="1" customHeight="1" x14ac:dyDescent="0.25">
      <c r="A17" s="768"/>
      <c r="B17" s="774" t="s">
        <v>1749</v>
      </c>
      <c r="C17" s="742">
        <f t="shared" si="3"/>
        <v>11500</v>
      </c>
      <c r="D17" s="742"/>
      <c r="E17" s="742"/>
      <c r="F17" s="775">
        <v>11500</v>
      </c>
      <c r="G17" s="742">
        <f>H17+I17</f>
        <v>1108.1656000000003</v>
      </c>
      <c r="H17" s="742"/>
      <c r="I17" s="742">
        <f>11500-5861.8344-4530</f>
        <v>1108.1656000000003</v>
      </c>
      <c r="J17" s="770">
        <f>C17-I17</f>
        <v>10391.8344</v>
      </c>
      <c r="K17" s="770">
        <f>J17</f>
        <v>10391.8344</v>
      </c>
      <c r="L17" s="771"/>
      <c r="M17" s="772"/>
    </row>
    <row r="18" spans="1:13" s="773" customFormat="1" ht="21.75" hidden="1" customHeight="1" x14ac:dyDescent="0.25">
      <c r="A18" s="768"/>
      <c r="B18" s="774" t="s">
        <v>1719</v>
      </c>
      <c r="C18" s="742">
        <f t="shared" si="3"/>
        <v>0</v>
      </c>
      <c r="D18" s="742"/>
      <c r="E18" s="742"/>
      <c r="F18" s="742"/>
      <c r="G18" s="742">
        <f t="shared" si="4"/>
        <v>0</v>
      </c>
      <c r="H18" s="742"/>
      <c r="I18" s="742"/>
      <c r="J18" s="770"/>
      <c r="K18" s="770"/>
      <c r="L18" s="771"/>
      <c r="M18" s="772"/>
    </row>
    <row r="19" spans="1:13" s="773" customFormat="1" ht="29.25" hidden="1" customHeight="1" x14ac:dyDescent="0.25">
      <c r="A19" s="768" t="s">
        <v>903</v>
      </c>
      <c r="B19" s="769" t="s">
        <v>1750</v>
      </c>
      <c r="C19" s="742">
        <f>C20+C21+C22</f>
        <v>6115</v>
      </c>
      <c r="D19" s="742">
        <f t="shared" ref="D19:L19" si="7">D20+D21+D22</f>
        <v>100</v>
      </c>
      <c r="E19" s="742">
        <f t="shared" si="7"/>
        <v>900</v>
      </c>
      <c r="F19" s="742">
        <f t="shared" si="7"/>
        <v>5115</v>
      </c>
      <c r="G19" s="742">
        <f t="shared" si="7"/>
        <v>4665.930257</v>
      </c>
      <c r="H19" s="742">
        <f t="shared" si="7"/>
        <v>0</v>
      </c>
      <c r="I19" s="742">
        <f t="shared" si="7"/>
        <v>4665.930257</v>
      </c>
      <c r="J19" s="742">
        <f t="shared" si="7"/>
        <v>1449.069743</v>
      </c>
      <c r="K19" s="742">
        <f t="shared" si="7"/>
        <v>1432.932</v>
      </c>
      <c r="L19" s="743">
        <f t="shared" si="7"/>
        <v>16.137743000000011</v>
      </c>
      <c r="M19" s="776"/>
    </row>
    <row r="20" spans="1:13" s="773" customFormat="1" ht="29.25" hidden="1" customHeight="1" x14ac:dyDescent="0.25">
      <c r="A20" s="768"/>
      <c r="B20" s="774" t="s">
        <v>1612</v>
      </c>
      <c r="C20" s="742">
        <f>D20+E20+F20</f>
        <v>5215</v>
      </c>
      <c r="D20" s="742">
        <v>100</v>
      </c>
      <c r="E20" s="742"/>
      <c r="F20" s="742">
        <v>5115</v>
      </c>
      <c r="G20" s="742">
        <f t="shared" si="4"/>
        <v>3778.9690000000001</v>
      </c>
      <c r="H20" s="742"/>
      <c r="I20" s="742">
        <f>C20-J20</f>
        <v>3778.9690000000001</v>
      </c>
      <c r="J20" s="775">
        <f>K20+L20</f>
        <v>1436.0309999999999</v>
      </c>
      <c r="K20" s="775">
        <f>129.932+599+704</f>
        <v>1432.932</v>
      </c>
      <c r="L20" s="777">
        <f>3.099</f>
        <v>3.0990000000000002</v>
      </c>
      <c r="M20" s="768" t="s">
        <v>1751</v>
      </c>
    </row>
    <row r="21" spans="1:13" s="773" customFormat="1" ht="29.25" hidden="1" customHeight="1" x14ac:dyDescent="0.25">
      <c r="A21" s="768"/>
      <c r="B21" s="774" t="s">
        <v>1749</v>
      </c>
      <c r="C21" s="742">
        <f>D21+E21+F21</f>
        <v>500</v>
      </c>
      <c r="D21" s="742"/>
      <c r="E21" s="742">
        <v>500</v>
      </c>
      <c r="F21" s="742"/>
      <c r="G21" s="742">
        <f t="shared" si="4"/>
        <v>493.38000699999998</v>
      </c>
      <c r="H21" s="742"/>
      <c r="I21" s="742">
        <f>500-6.619993</f>
        <v>493.38000699999998</v>
      </c>
      <c r="J21" s="775">
        <f>C21-G21</f>
        <v>6.6199930000000222</v>
      </c>
      <c r="K21" s="775"/>
      <c r="L21" s="777">
        <f>J21</f>
        <v>6.6199930000000222</v>
      </c>
      <c r="M21" s="776"/>
    </row>
    <row r="22" spans="1:13" s="773" customFormat="1" ht="29.25" hidden="1" customHeight="1" x14ac:dyDescent="0.25">
      <c r="A22" s="768"/>
      <c r="B22" s="778" t="s">
        <v>1719</v>
      </c>
      <c r="C22" s="742">
        <f>D22+E22+F22</f>
        <v>400</v>
      </c>
      <c r="D22" s="742"/>
      <c r="E22" s="742">
        <v>400</v>
      </c>
      <c r="F22" s="742"/>
      <c r="G22" s="742">
        <f t="shared" si="4"/>
        <v>393.58125000000001</v>
      </c>
      <c r="H22" s="742"/>
      <c r="I22" s="742">
        <f>267.51225+126.069</f>
        <v>393.58125000000001</v>
      </c>
      <c r="J22" s="775">
        <f>C22-G22</f>
        <v>6.4187499999999886</v>
      </c>
      <c r="K22" s="775"/>
      <c r="L22" s="777">
        <f>J22</f>
        <v>6.4187499999999886</v>
      </c>
      <c r="M22" s="776"/>
    </row>
  </sheetData>
  <mergeCells count="10">
    <mergeCell ref="A2:M2"/>
    <mergeCell ref="A3:M3"/>
    <mergeCell ref="A5:A7"/>
    <mergeCell ref="B5:B7"/>
    <mergeCell ref="C5:M5"/>
    <mergeCell ref="C6:F6"/>
    <mergeCell ref="H6:I6"/>
    <mergeCell ref="J6:J7"/>
    <mergeCell ref="K6:L6"/>
    <mergeCell ref="M6:M7"/>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S104"/>
  <sheetViews>
    <sheetView workbookViewId="0">
      <selection activeCell="H7" sqref="H7"/>
    </sheetView>
  </sheetViews>
  <sheetFormatPr defaultRowHeight="15" x14ac:dyDescent="0.25"/>
  <cols>
    <col min="1" max="1" width="5.7109375" style="1828" customWidth="1"/>
    <col min="2" max="2" width="49.28515625" style="1828" customWidth="1"/>
    <col min="3" max="3" width="9" style="1828" customWidth="1"/>
    <col min="4" max="4" width="9.42578125" style="1828" customWidth="1"/>
    <col min="5" max="5" width="8.7109375" style="1828" customWidth="1"/>
    <col min="6" max="6" width="7.85546875" style="1828" customWidth="1"/>
    <col min="7" max="7" width="8.42578125" style="1828" customWidth="1"/>
    <col min="8" max="8" width="8" style="1828" customWidth="1"/>
    <col min="9" max="9" width="7.7109375" style="1828" customWidth="1"/>
    <col min="10" max="10" width="8.5703125" style="1828" customWidth="1"/>
    <col min="11" max="11" width="7.7109375" style="1828" customWidth="1"/>
    <col min="12" max="12" width="7.28515625" style="1828" customWidth="1"/>
    <col min="13" max="257" width="8.85546875" style="1828"/>
    <col min="258" max="258" width="5.7109375" style="1828" customWidth="1"/>
    <col min="259" max="259" width="52.7109375" style="1828" customWidth="1"/>
    <col min="260" max="260" width="9.7109375" style="1828" customWidth="1"/>
    <col min="261" max="261" width="8.42578125" style="1828" customWidth="1"/>
    <col min="262" max="262" width="7.85546875" style="1828" customWidth="1"/>
    <col min="263" max="263" width="8.42578125" style="1828" customWidth="1"/>
    <col min="264" max="264" width="8" style="1828" customWidth="1"/>
    <col min="265" max="265" width="7.42578125" style="1828" customWidth="1"/>
    <col min="266" max="266" width="8.5703125" style="1828" customWidth="1"/>
    <col min="267" max="267" width="8.42578125" style="1828" customWidth="1"/>
    <col min="268" max="268" width="7.28515625" style="1828" customWidth="1"/>
    <col min="269" max="513" width="8.85546875" style="1828"/>
    <col min="514" max="514" width="5.7109375" style="1828" customWidth="1"/>
    <col min="515" max="515" width="52.7109375" style="1828" customWidth="1"/>
    <col min="516" max="516" width="9.7109375" style="1828" customWidth="1"/>
    <col min="517" max="517" width="8.42578125" style="1828" customWidth="1"/>
    <col min="518" max="518" width="7.85546875" style="1828" customWidth="1"/>
    <col min="519" max="519" width="8.42578125" style="1828" customWidth="1"/>
    <col min="520" max="520" width="8" style="1828" customWidth="1"/>
    <col min="521" max="521" width="7.42578125" style="1828" customWidth="1"/>
    <col min="522" max="522" width="8.5703125" style="1828" customWidth="1"/>
    <col min="523" max="523" width="8.42578125" style="1828" customWidth="1"/>
    <col min="524" max="524" width="7.28515625" style="1828" customWidth="1"/>
    <col min="525" max="769" width="8.85546875" style="1828"/>
    <col min="770" max="770" width="5.7109375" style="1828" customWidth="1"/>
    <col min="771" max="771" width="52.7109375" style="1828" customWidth="1"/>
    <col min="772" max="772" width="9.7109375" style="1828" customWidth="1"/>
    <col min="773" max="773" width="8.42578125" style="1828" customWidth="1"/>
    <col min="774" max="774" width="7.85546875" style="1828" customWidth="1"/>
    <col min="775" max="775" width="8.42578125" style="1828" customWidth="1"/>
    <col min="776" max="776" width="8" style="1828" customWidth="1"/>
    <col min="777" max="777" width="7.42578125" style="1828" customWidth="1"/>
    <col min="778" max="778" width="8.5703125" style="1828" customWidth="1"/>
    <col min="779" max="779" width="8.42578125" style="1828" customWidth="1"/>
    <col min="780" max="780" width="7.28515625" style="1828" customWidth="1"/>
    <col min="781" max="1025" width="8.85546875" style="1828"/>
    <col min="1026" max="1026" width="5.7109375" style="1828" customWidth="1"/>
    <col min="1027" max="1027" width="52.7109375" style="1828" customWidth="1"/>
    <col min="1028" max="1028" width="9.7109375" style="1828" customWidth="1"/>
    <col min="1029" max="1029" width="8.42578125" style="1828" customWidth="1"/>
    <col min="1030" max="1030" width="7.85546875" style="1828" customWidth="1"/>
    <col min="1031" max="1031" width="8.42578125" style="1828" customWidth="1"/>
    <col min="1032" max="1032" width="8" style="1828" customWidth="1"/>
    <col min="1033" max="1033" width="7.42578125" style="1828" customWidth="1"/>
    <col min="1034" max="1034" width="8.5703125" style="1828" customWidth="1"/>
    <col min="1035" max="1035" width="8.42578125" style="1828" customWidth="1"/>
    <col min="1036" max="1036" width="7.28515625" style="1828" customWidth="1"/>
    <col min="1037" max="1281" width="8.85546875" style="1828"/>
    <col min="1282" max="1282" width="5.7109375" style="1828" customWidth="1"/>
    <col min="1283" max="1283" width="52.7109375" style="1828" customWidth="1"/>
    <col min="1284" max="1284" width="9.7109375" style="1828" customWidth="1"/>
    <col min="1285" max="1285" width="8.42578125" style="1828" customWidth="1"/>
    <col min="1286" max="1286" width="7.85546875" style="1828" customWidth="1"/>
    <col min="1287" max="1287" width="8.42578125" style="1828" customWidth="1"/>
    <col min="1288" max="1288" width="8" style="1828" customWidth="1"/>
    <col min="1289" max="1289" width="7.42578125" style="1828" customWidth="1"/>
    <col min="1290" max="1290" width="8.5703125" style="1828" customWidth="1"/>
    <col min="1291" max="1291" width="8.42578125" style="1828" customWidth="1"/>
    <col min="1292" max="1292" width="7.28515625" style="1828" customWidth="1"/>
    <col min="1293" max="1537" width="8.85546875" style="1828"/>
    <col min="1538" max="1538" width="5.7109375" style="1828" customWidth="1"/>
    <col min="1539" max="1539" width="52.7109375" style="1828" customWidth="1"/>
    <col min="1540" max="1540" width="9.7109375" style="1828" customWidth="1"/>
    <col min="1541" max="1541" width="8.42578125" style="1828" customWidth="1"/>
    <col min="1542" max="1542" width="7.85546875" style="1828" customWidth="1"/>
    <col min="1543" max="1543" width="8.42578125" style="1828" customWidth="1"/>
    <col min="1544" max="1544" width="8" style="1828" customWidth="1"/>
    <col min="1545" max="1545" width="7.42578125" style="1828" customWidth="1"/>
    <col min="1546" max="1546" width="8.5703125" style="1828" customWidth="1"/>
    <col min="1547" max="1547" width="8.42578125" style="1828" customWidth="1"/>
    <col min="1548" max="1548" width="7.28515625" style="1828" customWidth="1"/>
    <col min="1549" max="1793" width="8.85546875" style="1828"/>
    <col min="1794" max="1794" width="5.7109375" style="1828" customWidth="1"/>
    <col min="1795" max="1795" width="52.7109375" style="1828" customWidth="1"/>
    <col min="1796" max="1796" width="9.7109375" style="1828" customWidth="1"/>
    <col min="1797" max="1797" width="8.42578125" style="1828" customWidth="1"/>
    <col min="1798" max="1798" width="7.85546875" style="1828" customWidth="1"/>
    <col min="1799" max="1799" width="8.42578125" style="1828" customWidth="1"/>
    <col min="1800" max="1800" width="8" style="1828" customWidth="1"/>
    <col min="1801" max="1801" width="7.42578125" style="1828" customWidth="1"/>
    <col min="1802" max="1802" width="8.5703125" style="1828" customWidth="1"/>
    <col min="1803" max="1803" width="8.42578125" style="1828" customWidth="1"/>
    <col min="1804" max="1804" width="7.28515625" style="1828" customWidth="1"/>
    <col min="1805" max="2049" width="8.85546875" style="1828"/>
    <col min="2050" max="2050" width="5.7109375" style="1828" customWidth="1"/>
    <col min="2051" max="2051" width="52.7109375" style="1828" customWidth="1"/>
    <col min="2052" max="2052" width="9.7109375" style="1828" customWidth="1"/>
    <col min="2053" max="2053" width="8.42578125" style="1828" customWidth="1"/>
    <col min="2054" max="2054" width="7.85546875" style="1828" customWidth="1"/>
    <col min="2055" max="2055" width="8.42578125" style="1828" customWidth="1"/>
    <col min="2056" max="2056" width="8" style="1828" customWidth="1"/>
    <col min="2057" max="2057" width="7.42578125" style="1828" customWidth="1"/>
    <col min="2058" max="2058" width="8.5703125" style="1828" customWidth="1"/>
    <col min="2059" max="2059" width="8.42578125" style="1828" customWidth="1"/>
    <col min="2060" max="2060" width="7.28515625" style="1828" customWidth="1"/>
    <col min="2061" max="2305" width="8.85546875" style="1828"/>
    <col min="2306" max="2306" width="5.7109375" style="1828" customWidth="1"/>
    <col min="2307" max="2307" width="52.7109375" style="1828" customWidth="1"/>
    <col min="2308" max="2308" width="9.7109375" style="1828" customWidth="1"/>
    <col min="2309" max="2309" width="8.42578125" style="1828" customWidth="1"/>
    <col min="2310" max="2310" width="7.85546875" style="1828" customWidth="1"/>
    <col min="2311" max="2311" width="8.42578125" style="1828" customWidth="1"/>
    <col min="2312" max="2312" width="8" style="1828" customWidth="1"/>
    <col min="2313" max="2313" width="7.42578125" style="1828" customWidth="1"/>
    <col min="2314" max="2314" width="8.5703125" style="1828" customWidth="1"/>
    <col min="2315" max="2315" width="8.42578125" style="1828" customWidth="1"/>
    <col min="2316" max="2316" width="7.28515625" style="1828" customWidth="1"/>
    <col min="2317" max="2561" width="8.85546875" style="1828"/>
    <col min="2562" max="2562" width="5.7109375" style="1828" customWidth="1"/>
    <col min="2563" max="2563" width="52.7109375" style="1828" customWidth="1"/>
    <col min="2564" max="2564" width="9.7109375" style="1828" customWidth="1"/>
    <col min="2565" max="2565" width="8.42578125" style="1828" customWidth="1"/>
    <col min="2566" max="2566" width="7.85546875" style="1828" customWidth="1"/>
    <col min="2567" max="2567" width="8.42578125" style="1828" customWidth="1"/>
    <col min="2568" max="2568" width="8" style="1828" customWidth="1"/>
    <col min="2569" max="2569" width="7.42578125" style="1828" customWidth="1"/>
    <col min="2570" max="2570" width="8.5703125" style="1828" customWidth="1"/>
    <col min="2571" max="2571" width="8.42578125" style="1828" customWidth="1"/>
    <col min="2572" max="2572" width="7.28515625" style="1828" customWidth="1"/>
    <col min="2573" max="2817" width="8.85546875" style="1828"/>
    <col min="2818" max="2818" width="5.7109375" style="1828" customWidth="1"/>
    <col min="2819" max="2819" width="52.7109375" style="1828" customWidth="1"/>
    <col min="2820" max="2820" width="9.7109375" style="1828" customWidth="1"/>
    <col min="2821" max="2821" width="8.42578125" style="1828" customWidth="1"/>
    <col min="2822" max="2822" width="7.85546875" style="1828" customWidth="1"/>
    <col min="2823" max="2823" width="8.42578125" style="1828" customWidth="1"/>
    <col min="2824" max="2824" width="8" style="1828" customWidth="1"/>
    <col min="2825" max="2825" width="7.42578125" style="1828" customWidth="1"/>
    <col min="2826" max="2826" width="8.5703125" style="1828" customWidth="1"/>
    <col min="2827" max="2827" width="8.42578125" style="1828" customWidth="1"/>
    <col min="2828" max="2828" width="7.28515625" style="1828" customWidth="1"/>
    <col min="2829" max="3073" width="8.85546875" style="1828"/>
    <col min="3074" max="3074" width="5.7109375" style="1828" customWidth="1"/>
    <col min="3075" max="3075" width="52.7109375" style="1828" customWidth="1"/>
    <col min="3076" max="3076" width="9.7109375" style="1828" customWidth="1"/>
    <col min="3077" max="3077" width="8.42578125" style="1828" customWidth="1"/>
    <col min="3078" max="3078" width="7.85546875" style="1828" customWidth="1"/>
    <col min="3079" max="3079" width="8.42578125" style="1828" customWidth="1"/>
    <col min="3080" max="3080" width="8" style="1828" customWidth="1"/>
    <col min="3081" max="3081" width="7.42578125" style="1828" customWidth="1"/>
    <col min="3082" max="3082" width="8.5703125" style="1828" customWidth="1"/>
    <col min="3083" max="3083" width="8.42578125" style="1828" customWidth="1"/>
    <col min="3084" max="3084" width="7.28515625" style="1828" customWidth="1"/>
    <col min="3085" max="3329" width="8.85546875" style="1828"/>
    <col min="3330" max="3330" width="5.7109375" style="1828" customWidth="1"/>
    <col min="3331" max="3331" width="52.7109375" style="1828" customWidth="1"/>
    <col min="3332" max="3332" width="9.7109375" style="1828" customWidth="1"/>
    <col min="3333" max="3333" width="8.42578125" style="1828" customWidth="1"/>
    <col min="3334" max="3334" width="7.85546875" style="1828" customWidth="1"/>
    <col min="3335" max="3335" width="8.42578125" style="1828" customWidth="1"/>
    <col min="3336" max="3336" width="8" style="1828" customWidth="1"/>
    <col min="3337" max="3337" width="7.42578125" style="1828" customWidth="1"/>
    <col min="3338" max="3338" width="8.5703125" style="1828" customWidth="1"/>
    <col min="3339" max="3339" width="8.42578125" style="1828" customWidth="1"/>
    <col min="3340" max="3340" width="7.28515625" style="1828" customWidth="1"/>
    <col min="3341" max="3585" width="8.85546875" style="1828"/>
    <col min="3586" max="3586" width="5.7109375" style="1828" customWidth="1"/>
    <col min="3587" max="3587" width="52.7109375" style="1828" customWidth="1"/>
    <col min="3588" max="3588" width="9.7109375" style="1828" customWidth="1"/>
    <col min="3589" max="3589" width="8.42578125" style="1828" customWidth="1"/>
    <col min="3590" max="3590" width="7.85546875" style="1828" customWidth="1"/>
    <col min="3591" max="3591" width="8.42578125" style="1828" customWidth="1"/>
    <col min="3592" max="3592" width="8" style="1828" customWidth="1"/>
    <col min="3593" max="3593" width="7.42578125" style="1828" customWidth="1"/>
    <col min="3594" max="3594" width="8.5703125" style="1828" customWidth="1"/>
    <col min="3595" max="3595" width="8.42578125" style="1828" customWidth="1"/>
    <col min="3596" max="3596" width="7.28515625" style="1828" customWidth="1"/>
    <col min="3597" max="3841" width="8.85546875" style="1828"/>
    <col min="3842" max="3842" width="5.7109375" style="1828" customWidth="1"/>
    <col min="3843" max="3843" width="52.7109375" style="1828" customWidth="1"/>
    <col min="3844" max="3844" width="9.7109375" style="1828" customWidth="1"/>
    <col min="3845" max="3845" width="8.42578125" style="1828" customWidth="1"/>
    <col min="3846" max="3846" width="7.85546875" style="1828" customWidth="1"/>
    <col min="3847" max="3847" width="8.42578125" style="1828" customWidth="1"/>
    <col min="3848" max="3848" width="8" style="1828" customWidth="1"/>
    <col min="3849" max="3849" width="7.42578125" style="1828" customWidth="1"/>
    <col min="3850" max="3850" width="8.5703125" style="1828" customWidth="1"/>
    <col min="3851" max="3851" width="8.42578125" style="1828" customWidth="1"/>
    <col min="3852" max="3852" width="7.28515625" style="1828" customWidth="1"/>
    <col min="3853" max="4097" width="8.85546875" style="1828"/>
    <col min="4098" max="4098" width="5.7109375" style="1828" customWidth="1"/>
    <col min="4099" max="4099" width="52.7109375" style="1828" customWidth="1"/>
    <col min="4100" max="4100" width="9.7109375" style="1828" customWidth="1"/>
    <col min="4101" max="4101" width="8.42578125" style="1828" customWidth="1"/>
    <col min="4102" max="4102" width="7.85546875" style="1828" customWidth="1"/>
    <col min="4103" max="4103" width="8.42578125" style="1828" customWidth="1"/>
    <col min="4104" max="4104" width="8" style="1828" customWidth="1"/>
    <col min="4105" max="4105" width="7.42578125" style="1828" customWidth="1"/>
    <col min="4106" max="4106" width="8.5703125" style="1828" customWidth="1"/>
    <col min="4107" max="4107" width="8.42578125" style="1828" customWidth="1"/>
    <col min="4108" max="4108" width="7.28515625" style="1828" customWidth="1"/>
    <col min="4109" max="4353" width="8.85546875" style="1828"/>
    <col min="4354" max="4354" width="5.7109375" style="1828" customWidth="1"/>
    <col min="4355" max="4355" width="52.7109375" style="1828" customWidth="1"/>
    <col min="4356" max="4356" width="9.7109375" style="1828" customWidth="1"/>
    <col min="4357" max="4357" width="8.42578125" style="1828" customWidth="1"/>
    <col min="4358" max="4358" width="7.85546875" style="1828" customWidth="1"/>
    <col min="4359" max="4359" width="8.42578125" style="1828" customWidth="1"/>
    <col min="4360" max="4360" width="8" style="1828" customWidth="1"/>
    <col min="4361" max="4361" width="7.42578125" style="1828" customWidth="1"/>
    <col min="4362" max="4362" width="8.5703125" style="1828" customWidth="1"/>
    <col min="4363" max="4363" width="8.42578125" style="1828" customWidth="1"/>
    <col min="4364" max="4364" width="7.28515625" style="1828" customWidth="1"/>
    <col min="4365" max="4609" width="8.85546875" style="1828"/>
    <col min="4610" max="4610" width="5.7109375" style="1828" customWidth="1"/>
    <col min="4611" max="4611" width="52.7109375" style="1828" customWidth="1"/>
    <col min="4612" max="4612" width="9.7109375" style="1828" customWidth="1"/>
    <col min="4613" max="4613" width="8.42578125" style="1828" customWidth="1"/>
    <col min="4614" max="4614" width="7.85546875" style="1828" customWidth="1"/>
    <col min="4615" max="4615" width="8.42578125" style="1828" customWidth="1"/>
    <col min="4616" max="4616" width="8" style="1828" customWidth="1"/>
    <col min="4617" max="4617" width="7.42578125" style="1828" customWidth="1"/>
    <col min="4618" max="4618" width="8.5703125" style="1828" customWidth="1"/>
    <col min="4619" max="4619" width="8.42578125" style="1828" customWidth="1"/>
    <col min="4620" max="4620" width="7.28515625" style="1828" customWidth="1"/>
    <col min="4621" max="4865" width="8.85546875" style="1828"/>
    <col min="4866" max="4866" width="5.7109375" style="1828" customWidth="1"/>
    <col min="4867" max="4867" width="52.7109375" style="1828" customWidth="1"/>
    <col min="4868" max="4868" width="9.7109375" style="1828" customWidth="1"/>
    <col min="4869" max="4869" width="8.42578125" style="1828" customWidth="1"/>
    <col min="4870" max="4870" width="7.85546875" style="1828" customWidth="1"/>
    <col min="4871" max="4871" width="8.42578125" style="1828" customWidth="1"/>
    <col min="4872" max="4872" width="8" style="1828" customWidth="1"/>
    <col min="4873" max="4873" width="7.42578125" style="1828" customWidth="1"/>
    <col min="4874" max="4874" width="8.5703125" style="1828" customWidth="1"/>
    <col min="4875" max="4875" width="8.42578125" style="1828" customWidth="1"/>
    <col min="4876" max="4876" width="7.28515625" style="1828" customWidth="1"/>
    <col min="4877" max="5121" width="8.85546875" style="1828"/>
    <col min="5122" max="5122" width="5.7109375" style="1828" customWidth="1"/>
    <col min="5123" max="5123" width="52.7109375" style="1828" customWidth="1"/>
    <col min="5124" max="5124" width="9.7109375" style="1828" customWidth="1"/>
    <col min="5125" max="5125" width="8.42578125" style="1828" customWidth="1"/>
    <col min="5126" max="5126" width="7.85546875" style="1828" customWidth="1"/>
    <col min="5127" max="5127" width="8.42578125" style="1828" customWidth="1"/>
    <col min="5128" max="5128" width="8" style="1828" customWidth="1"/>
    <col min="5129" max="5129" width="7.42578125" style="1828" customWidth="1"/>
    <col min="5130" max="5130" width="8.5703125" style="1828" customWidth="1"/>
    <col min="5131" max="5131" width="8.42578125" style="1828" customWidth="1"/>
    <col min="5132" max="5132" width="7.28515625" style="1828" customWidth="1"/>
    <col min="5133" max="5377" width="8.85546875" style="1828"/>
    <col min="5378" max="5378" width="5.7109375" style="1828" customWidth="1"/>
    <col min="5379" max="5379" width="52.7109375" style="1828" customWidth="1"/>
    <col min="5380" max="5380" width="9.7109375" style="1828" customWidth="1"/>
    <col min="5381" max="5381" width="8.42578125" style="1828" customWidth="1"/>
    <col min="5382" max="5382" width="7.85546875" style="1828" customWidth="1"/>
    <col min="5383" max="5383" width="8.42578125" style="1828" customWidth="1"/>
    <col min="5384" max="5384" width="8" style="1828" customWidth="1"/>
    <col min="5385" max="5385" width="7.42578125" style="1828" customWidth="1"/>
    <col min="5386" max="5386" width="8.5703125" style="1828" customWidth="1"/>
    <col min="5387" max="5387" width="8.42578125" style="1828" customWidth="1"/>
    <col min="5388" max="5388" width="7.28515625" style="1828" customWidth="1"/>
    <col min="5389" max="5633" width="8.85546875" style="1828"/>
    <col min="5634" max="5634" width="5.7109375" style="1828" customWidth="1"/>
    <col min="5635" max="5635" width="52.7109375" style="1828" customWidth="1"/>
    <col min="5636" max="5636" width="9.7109375" style="1828" customWidth="1"/>
    <col min="5637" max="5637" width="8.42578125" style="1828" customWidth="1"/>
    <col min="5638" max="5638" width="7.85546875" style="1828" customWidth="1"/>
    <col min="5639" max="5639" width="8.42578125" style="1828" customWidth="1"/>
    <col min="5640" max="5640" width="8" style="1828" customWidth="1"/>
    <col min="5641" max="5641" width="7.42578125" style="1828" customWidth="1"/>
    <col min="5642" max="5642" width="8.5703125" style="1828" customWidth="1"/>
    <col min="5643" max="5643" width="8.42578125" style="1828" customWidth="1"/>
    <col min="5644" max="5644" width="7.28515625" style="1828" customWidth="1"/>
    <col min="5645" max="5889" width="8.85546875" style="1828"/>
    <col min="5890" max="5890" width="5.7109375" style="1828" customWidth="1"/>
    <col min="5891" max="5891" width="52.7109375" style="1828" customWidth="1"/>
    <col min="5892" max="5892" width="9.7109375" style="1828" customWidth="1"/>
    <col min="5893" max="5893" width="8.42578125" style="1828" customWidth="1"/>
    <col min="5894" max="5894" width="7.85546875" style="1828" customWidth="1"/>
    <col min="5895" max="5895" width="8.42578125" style="1828" customWidth="1"/>
    <col min="5896" max="5896" width="8" style="1828" customWidth="1"/>
    <col min="5897" max="5897" width="7.42578125" style="1828" customWidth="1"/>
    <col min="5898" max="5898" width="8.5703125" style="1828" customWidth="1"/>
    <col min="5899" max="5899" width="8.42578125" style="1828" customWidth="1"/>
    <col min="5900" max="5900" width="7.28515625" style="1828" customWidth="1"/>
    <col min="5901" max="6145" width="8.85546875" style="1828"/>
    <col min="6146" max="6146" width="5.7109375" style="1828" customWidth="1"/>
    <col min="6147" max="6147" width="52.7109375" style="1828" customWidth="1"/>
    <col min="6148" max="6148" width="9.7109375" style="1828" customWidth="1"/>
    <col min="6149" max="6149" width="8.42578125" style="1828" customWidth="1"/>
    <col min="6150" max="6150" width="7.85546875" style="1828" customWidth="1"/>
    <col min="6151" max="6151" width="8.42578125" style="1828" customWidth="1"/>
    <col min="6152" max="6152" width="8" style="1828" customWidth="1"/>
    <col min="6153" max="6153" width="7.42578125" style="1828" customWidth="1"/>
    <col min="6154" max="6154" width="8.5703125" style="1828" customWidth="1"/>
    <col min="6155" max="6155" width="8.42578125" style="1828" customWidth="1"/>
    <col min="6156" max="6156" width="7.28515625" style="1828" customWidth="1"/>
    <col min="6157" max="6401" width="8.85546875" style="1828"/>
    <col min="6402" max="6402" width="5.7109375" style="1828" customWidth="1"/>
    <col min="6403" max="6403" width="52.7109375" style="1828" customWidth="1"/>
    <col min="6404" max="6404" width="9.7109375" style="1828" customWidth="1"/>
    <col min="6405" max="6405" width="8.42578125" style="1828" customWidth="1"/>
    <col min="6406" max="6406" width="7.85546875" style="1828" customWidth="1"/>
    <col min="6407" max="6407" width="8.42578125" style="1828" customWidth="1"/>
    <col min="6408" max="6408" width="8" style="1828" customWidth="1"/>
    <col min="6409" max="6409" width="7.42578125" style="1828" customWidth="1"/>
    <col min="6410" max="6410" width="8.5703125" style="1828" customWidth="1"/>
    <col min="6411" max="6411" width="8.42578125" style="1828" customWidth="1"/>
    <col min="6412" max="6412" width="7.28515625" style="1828" customWidth="1"/>
    <col min="6413" max="6657" width="8.85546875" style="1828"/>
    <col min="6658" max="6658" width="5.7109375" style="1828" customWidth="1"/>
    <col min="6659" max="6659" width="52.7109375" style="1828" customWidth="1"/>
    <col min="6660" max="6660" width="9.7109375" style="1828" customWidth="1"/>
    <col min="6661" max="6661" width="8.42578125" style="1828" customWidth="1"/>
    <col min="6662" max="6662" width="7.85546875" style="1828" customWidth="1"/>
    <col min="6663" max="6663" width="8.42578125" style="1828" customWidth="1"/>
    <col min="6664" max="6664" width="8" style="1828" customWidth="1"/>
    <col min="6665" max="6665" width="7.42578125" style="1828" customWidth="1"/>
    <col min="6666" max="6666" width="8.5703125" style="1828" customWidth="1"/>
    <col min="6667" max="6667" width="8.42578125" style="1828" customWidth="1"/>
    <col min="6668" max="6668" width="7.28515625" style="1828" customWidth="1"/>
    <col min="6669" max="6913" width="8.85546875" style="1828"/>
    <col min="6914" max="6914" width="5.7109375" style="1828" customWidth="1"/>
    <col min="6915" max="6915" width="52.7109375" style="1828" customWidth="1"/>
    <col min="6916" max="6916" width="9.7109375" style="1828" customWidth="1"/>
    <col min="6917" max="6917" width="8.42578125" style="1828" customWidth="1"/>
    <col min="6918" max="6918" width="7.85546875" style="1828" customWidth="1"/>
    <col min="6919" max="6919" width="8.42578125" style="1828" customWidth="1"/>
    <col min="6920" max="6920" width="8" style="1828" customWidth="1"/>
    <col min="6921" max="6921" width="7.42578125" style="1828" customWidth="1"/>
    <col min="6922" max="6922" width="8.5703125" style="1828" customWidth="1"/>
    <col min="6923" max="6923" width="8.42578125" style="1828" customWidth="1"/>
    <col min="6924" max="6924" width="7.28515625" style="1828" customWidth="1"/>
    <col min="6925" max="7169" width="8.85546875" style="1828"/>
    <col min="7170" max="7170" width="5.7109375" style="1828" customWidth="1"/>
    <col min="7171" max="7171" width="52.7109375" style="1828" customWidth="1"/>
    <col min="7172" max="7172" width="9.7109375" style="1828" customWidth="1"/>
    <col min="7173" max="7173" width="8.42578125" style="1828" customWidth="1"/>
    <col min="7174" max="7174" width="7.85546875" style="1828" customWidth="1"/>
    <col min="7175" max="7175" width="8.42578125" style="1828" customWidth="1"/>
    <col min="7176" max="7176" width="8" style="1828" customWidth="1"/>
    <col min="7177" max="7177" width="7.42578125" style="1828" customWidth="1"/>
    <col min="7178" max="7178" width="8.5703125" style="1828" customWidth="1"/>
    <col min="7179" max="7179" width="8.42578125" style="1828" customWidth="1"/>
    <col min="7180" max="7180" width="7.28515625" style="1828" customWidth="1"/>
    <col min="7181" max="7425" width="8.85546875" style="1828"/>
    <col min="7426" max="7426" width="5.7109375" style="1828" customWidth="1"/>
    <col min="7427" max="7427" width="52.7109375" style="1828" customWidth="1"/>
    <col min="7428" max="7428" width="9.7109375" style="1828" customWidth="1"/>
    <col min="7429" max="7429" width="8.42578125" style="1828" customWidth="1"/>
    <col min="7430" max="7430" width="7.85546875" style="1828" customWidth="1"/>
    <col min="7431" max="7431" width="8.42578125" style="1828" customWidth="1"/>
    <col min="7432" max="7432" width="8" style="1828" customWidth="1"/>
    <col min="7433" max="7433" width="7.42578125" style="1828" customWidth="1"/>
    <col min="7434" max="7434" width="8.5703125" style="1828" customWidth="1"/>
    <col min="7435" max="7435" width="8.42578125" style="1828" customWidth="1"/>
    <col min="7436" max="7436" width="7.28515625" style="1828" customWidth="1"/>
    <col min="7437" max="7681" width="8.85546875" style="1828"/>
    <col min="7682" max="7682" width="5.7109375" style="1828" customWidth="1"/>
    <col min="7683" max="7683" width="52.7109375" style="1828" customWidth="1"/>
    <col min="7684" max="7684" width="9.7109375" style="1828" customWidth="1"/>
    <col min="7685" max="7685" width="8.42578125" style="1828" customWidth="1"/>
    <col min="7686" max="7686" width="7.85546875" style="1828" customWidth="1"/>
    <col min="7687" max="7687" width="8.42578125" style="1828" customWidth="1"/>
    <col min="7688" max="7688" width="8" style="1828" customWidth="1"/>
    <col min="7689" max="7689" width="7.42578125" style="1828" customWidth="1"/>
    <col min="7690" max="7690" width="8.5703125" style="1828" customWidth="1"/>
    <col min="7691" max="7691" width="8.42578125" style="1828" customWidth="1"/>
    <col min="7692" max="7692" width="7.28515625" style="1828" customWidth="1"/>
    <col min="7693" max="7937" width="8.85546875" style="1828"/>
    <col min="7938" max="7938" width="5.7109375" style="1828" customWidth="1"/>
    <col min="7939" max="7939" width="52.7109375" style="1828" customWidth="1"/>
    <col min="7940" max="7940" width="9.7109375" style="1828" customWidth="1"/>
    <col min="7941" max="7941" width="8.42578125" style="1828" customWidth="1"/>
    <col min="7942" max="7942" width="7.85546875" style="1828" customWidth="1"/>
    <col min="7943" max="7943" width="8.42578125" style="1828" customWidth="1"/>
    <col min="7944" max="7944" width="8" style="1828" customWidth="1"/>
    <col min="7945" max="7945" width="7.42578125" style="1828" customWidth="1"/>
    <col min="7946" max="7946" width="8.5703125" style="1828" customWidth="1"/>
    <col min="7947" max="7947" width="8.42578125" style="1828" customWidth="1"/>
    <col min="7948" max="7948" width="7.28515625" style="1828" customWidth="1"/>
    <col min="7949" max="8193" width="8.85546875" style="1828"/>
    <col min="8194" max="8194" width="5.7109375" style="1828" customWidth="1"/>
    <col min="8195" max="8195" width="52.7109375" style="1828" customWidth="1"/>
    <col min="8196" max="8196" width="9.7109375" style="1828" customWidth="1"/>
    <col min="8197" max="8197" width="8.42578125" style="1828" customWidth="1"/>
    <col min="8198" max="8198" width="7.85546875" style="1828" customWidth="1"/>
    <col min="8199" max="8199" width="8.42578125" style="1828" customWidth="1"/>
    <col min="8200" max="8200" width="8" style="1828" customWidth="1"/>
    <col min="8201" max="8201" width="7.42578125" style="1828" customWidth="1"/>
    <col min="8202" max="8202" width="8.5703125" style="1828" customWidth="1"/>
    <col min="8203" max="8203" width="8.42578125" style="1828" customWidth="1"/>
    <col min="8204" max="8204" width="7.28515625" style="1828" customWidth="1"/>
    <col min="8205" max="8449" width="8.85546875" style="1828"/>
    <col min="8450" max="8450" width="5.7109375" style="1828" customWidth="1"/>
    <col min="8451" max="8451" width="52.7109375" style="1828" customWidth="1"/>
    <col min="8452" max="8452" width="9.7109375" style="1828" customWidth="1"/>
    <col min="8453" max="8453" width="8.42578125" style="1828" customWidth="1"/>
    <col min="8454" max="8454" width="7.85546875" style="1828" customWidth="1"/>
    <col min="8455" max="8455" width="8.42578125" style="1828" customWidth="1"/>
    <col min="8456" max="8456" width="8" style="1828" customWidth="1"/>
    <col min="8457" max="8457" width="7.42578125" style="1828" customWidth="1"/>
    <col min="8458" max="8458" width="8.5703125" style="1828" customWidth="1"/>
    <col min="8459" max="8459" width="8.42578125" style="1828" customWidth="1"/>
    <col min="8460" max="8460" width="7.28515625" style="1828" customWidth="1"/>
    <col min="8461" max="8705" width="8.85546875" style="1828"/>
    <col min="8706" max="8706" width="5.7109375" style="1828" customWidth="1"/>
    <col min="8707" max="8707" width="52.7109375" style="1828" customWidth="1"/>
    <col min="8708" max="8708" width="9.7109375" style="1828" customWidth="1"/>
    <col min="8709" max="8709" width="8.42578125" style="1828" customWidth="1"/>
    <col min="8710" max="8710" width="7.85546875" style="1828" customWidth="1"/>
    <col min="8711" max="8711" width="8.42578125" style="1828" customWidth="1"/>
    <col min="8712" max="8712" width="8" style="1828" customWidth="1"/>
    <col min="8713" max="8713" width="7.42578125" style="1828" customWidth="1"/>
    <col min="8714" max="8714" width="8.5703125" style="1828" customWidth="1"/>
    <col min="8715" max="8715" width="8.42578125" style="1828" customWidth="1"/>
    <col min="8716" max="8716" width="7.28515625" style="1828" customWidth="1"/>
    <col min="8717" max="8961" width="8.85546875" style="1828"/>
    <col min="8962" max="8962" width="5.7109375" style="1828" customWidth="1"/>
    <col min="8963" max="8963" width="52.7109375" style="1828" customWidth="1"/>
    <col min="8964" max="8964" width="9.7109375" style="1828" customWidth="1"/>
    <col min="8965" max="8965" width="8.42578125" style="1828" customWidth="1"/>
    <col min="8966" max="8966" width="7.85546875" style="1828" customWidth="1"/>
    <col min="8967" max="8967" width="8.42578125" style="1828" customWidth="1"/>
    <col min="8968" max="8968" width="8" style="1828" customWidth="1"/>
    <col min="8969" max="8969" width="7.42578125" style="1828" customWidth="1"/>
    <col min="8970" max="8970" width="8.5703125" style="1828" customWidth="1"/>
    <col min="8971" max="8971" width="8.42578125" style="1828" customWidth="1"/>
    <col min="8972" max="8972" width="7.28515625" style="1828" customWidth="1"/>
    <col min="8973" max="9217" width="8.85546875" style="1828"/>
    <col min="9218" max="9218" width="5.7109375" style="1828" customWidth="1"/>
    <col min="9219" max="9219" width="52.7109375" style="1828" customWidth="1"/>
    <col min="9220" max="9220" width="9.7109375" style="1828" customWidth="1"/>
    <col min="9221" max="9221" width="8.42578125" style="1828" customWidth="1"/>
    <col min="9222" max="9222" width="7.85546875" style="1828" customWidth="1"/>
    <col min="9223" max="9223" width="8.42578125" style="1828" customWidth="1"/>
    <col min="9224" max="9224" width="8" style="1828" customWidth="1"/>
    <col min="9225" max="9225" width="7.42578125" style="1828" customWidth="1"/>
    <col min="9226" max="9226" width="8.5703125" style="1828" customWidth="1"/>
    <col min="9227" max="9227" width="8.42578125" style="1828" customWidth="1"/>
    <col min="9228" max="9228" width="7.28515625" style="1828" customWidth="1"/>
    <col min="9229" max="9473" width="8.85546875" style="1828"/>
    <col min="9474" max="9474" width="5.7109375" style="1828" customWidth="1"/>
    <col min="9475" max="9475" width="52.7109375" style="1828" customWidth="1"/>
    <col min="9476" max="9476" width="9.7109375" style="1828" customWidth="1"/>
    <col min="9477" max="9477" width="8.42578125" style="1828" customWidth="1"/>
    <col min="9478" max="9478" width="7.85546875" style="1828" customWidth="1"/>
    <col min="9479" max="9479" width="8.42578125" style="1828" customWidth="1"/>
    <col min="9480" max="9480" width="8" style="1828" customWidth="1"/>
    <col min="9481" max="9481" width="7.42578125" style="1828" customWidth="1"/>
    <col min="9482" max="9482" width="8.5703125" style="1828" customWidth="1"/>
    <col min="9483" max="9483" width="8.42578125" style="1828" customWidth="1"/>
    <col min="9484" max="9484" width="7.28515625" style="1828" customWidth="1"/>
    <col min="9485" max="9729" width="8.85546875" style="1828"/>
    <col min="9730" max="9730" width="5.7109375" style="1828" customWidth="1"/>
    <col min="9731" max="9731" width="52.7109375" style="1828" customWidth="1"/>
    <col min="9732" max="9732" width="9.7109375" style="1828" customWidth="1"/>
    <col min="9733" max="9733" width="8.42578125" style="1828" customWidth="1"/>
    <col min="9734" max="9734" width="7.85546875" style="1828" customWidth="1"/>
    <col min="9735" max="9735" width="8.42578125" style="1828" customWidth="1"/>
    <col min="9736" max="9736" width="8" style="1828" customWidth="1"/>
    <col min="9737" max="9737" width="7.42578125" style="1828" customWidth="1"/>
    <col min="9738" max="9738" width="8.5703125" style="1828" customWidth="1"/>
    <col min="9739" max="9739" width="8.42578125" style="1828" customWidth="1"/>
    <col min="9740" max="9740" width="7.28515625" style="1828" customWidth="1"/>
    <col min="9741" max="9985" width="8.85546875" style="1828"/>
    <col min="9986" max="9986" width="5.7109375" style="1828" customWidth="1"/>
    <col min="9987" max="9987" width="52.7109375" style="1828" customWidth="1"/>
    <col min="9988" max="9988" width="9.7109375" style="1828" customWidth="1"/>
    <col min="9989" max="9989" width="8.42578125" style="1828" customWidth="1"/>
    <col min="9990" max="9990" width="7.85546875" style="1828" customWidth="1"/>
    <col min="9991" max="9991" width="8.42578125" style="1828" customWidth="1"/>
    <col min="9992" max="9992" width="8" style="1828" customWidth="1"/>
    <col min="9993" max="9993" width="7.42578125" style="1828" customWidth="1"/>
    <col min="9994" max="9994" width="8.5703125" style="1828" customWidth="1"/>
    <col min="9995" max="9995" width="8.42578125" style="1828" customWidth="1"/>
    <col min="9996" max="9996" width="7.28515625" style="1828" customWidth="1"/>
    <col min="9997" max="10241" width="8.85546875" style="1828"/>
    <col min="10242" max="10242" width="5.7109375" style="1828" customWidth="1"/>
    <col min="10243" max="10243" width="52.7109375" style="1828" customWidth="1"/>
    <col min="10244" max="10244" width="9.7109375" style="1828" customWidth="1"/>
    <col min="10245" max="10245" width="8.42578125" style="1828" customWidth="1"/>
    <col min="10246" max="10246" width="7.85546875" style="1828" customWidth="1"/>
    <col min="10247" max="10247" width="8.42578125" style="1828" customWidth="1"/>
    <col min="10248" max="10248" width="8" style="1828" customWidth="1"/>
    <col min="10249" max="10249" width="7.42578125" style="1828" customWidth="1"/>
    <col min="10250" max="10250" width="8.5703125" style="1828" customWidth="1"/>
    <col min="10251" max="10251" width="8.42578125" style="1828" customWidth="1"/>
    <col min="10252" max="10252" width="7.28515625" style="1828" customWidth="1"/>
    <col min="10253" max="10497" width="8.85546875" style="1828"/>
    <col min="10498" max="10498" width="5.7109375" style="1828" customWidth="1"/>
    <col min="10499" max="10499" width="52.7109375" style="1828" customWidth="1"/>
    <col min="10500" max="10500" width="9.7109375" style="1828" customWidth="1"/>
    <col min="10501" max="10501" width="8.42578125" style="1828" customWidth="1"/>
    <col min="10502" max="10502" width="7.85546875" style="1828" customWidth="1"/>
    <col min="10503" max="10503" width="8.42578125" style="1828" customWidth="1"/>
    <col min="10504" max="10504" width="8" style="1828" customWidth="1"/>
    <col min="10505" max="10505" width="7.42578125" style="1828" customWidth="1"/>
    <col min="10506" max="10506" width="8.5703125" style="1828" customWidth="1"/>
    <col min="10507" max="10507" width="8.42578125" style="1828" customWidth="1"/>
    <col min="10508" max="10508" width="7.28515625" style="1828" customWidth="1"/>
    <col min="10509" max="10753" width="8.85546875" style="1828"/>
    <col min="10754" max="10754" width="5.7109375" style="1828" customWidth="1"/>
    <col min="10755" max="10755" width="52.7109375" style="1828" customWidth="1"/>
    <col min="10756" max="10756" width="9.7109375" style="1828" customWidth="1"/>
    <col min="10757" max="10757" width="8.42578125" style="1828" customWidth="1"/>
    <col min="10758" max="10758" width="7.85546875" style="1828" customWidth="1"/>
    <col min="10759" max="10759" width="8.42578125" style="1828" customWidth="1"/>
    <col min="10760" max="10760" width="8" style="1828" customWidth="1"/>
    <col min="10761" max="10761" width="7.42578125" style="1828" customWidth="1"/>
    <col min="10762" max="10762" width="8.5703125" style="1828" customWidth="1"/>
    <col min="10763" max="10763" width="8.42578125" style="1828" customWidth="1"/>
    <col min="10764" max="10764" width="7.28515625" style="1828" customWidth="1"/>
    <col min="10765" max="11009" width="8.85546875" style="1828"/>
    <col min="11010" max="11010" width="5.7109375" style="1828" customWidth="1"/>
    <col min="11011" max="11011" width="52.7109375" style="1828" customWidth="1"/>
    <col min="11012" max="11012" width="9.7109375" style="1828" customWidth="1"/>
    <col min="11013" max="11013" width="8.42578125" style="1828" customWidth="1"/>
    <col min="11014" max="11014" width="7.85546875" style="1828" customWidth="1"/>
    <col min="11015" max="11015" width="8.42578125" style="1828" customWidth="1"/>
    <col min="11016" max="11016" width="8" style="1828" customWidth="1"/>
    <col min="11017" max="11017" width="7.42578125" style="1828" customWidth="1"/>
    <col min="11018" max="11018" width="8.5703125" style="1828" customWidth="1"/>
    <col min="11019" max="11019" width="8.42578125" style="1828" customWidth="1"/>
    <col min="11020" max="11020" width="7.28515625" style="1828" customWidth="1"/>
    <col min="11021" max="11265" width="8.85546875" style="1828"/>
    <col min="11266" max="11266" width="5.7109375" style="1828" customWidth="1"/>
    <col min="11267" max="11267" width="52.7109375" style="1828" customWidth="1"/>
    <col min="11268" max="11268" width="9.7109375" style="1828" customWidth="1"/>
    <col min="11269" max="11269" width="8.42578125" style="1828" customWidth="1"/>
    <col min="11270" max="11270" width="7.85546875" style="1828" customWidth="1"/>
    <col min="11271" max="11271" width="8.42578125" style="1828" customWidth="1"/>
    <col min="11272" max="11272" width="8" style="1828" customWidth="1"/>
    <col min="11273" max="11273" width="7.42578125" style="1828" customWidth="1"/>
    <col min="11274" max="11274" width="8.5703125" style="1828" customWidth="1"/>
    <col min="11275" max="11275" width="8.42578125" style="1828" customWidth="1"/>
    <col min="11276" max="11276" width="7.28515625" style="1828" customWidth="1"/>
    <col min="11277" max="11521" width="8.85546875" style="1828"/>
    <col min="11522" max="11522" width="5.7109375" style="1828" customWidth="1"/>
    <col min="11523" max="11523" width="52.7109375" style="1828" customWidth="1"/>
    <col min="11524" max="11524" width="9.7109375" style="1828" customWidth="1"/>
    <col min="11525" max="11525" width="8.42578125" style="1828" customWidth="1"/>
    <col min="11526" max="11526" width="7.85546875" style="1828" customWidth="1"/>
    <col min="11527" max="11527" width="8.42578125" style="1828" customWidth="1"/>
    <col min="11528" max="11528" width="8" style="1828" customWidth="1"/>
    <col min="11529" max="11529" width="7.42578125" style="1828" customWidth="1"/>
    <col min="11530" max="11530" width="8.5703125" style="1828" customWidth="1"/>
    <col min="11531" max="11531" width="8.42578125" style="1828" customWidth="1"/>
    <col min="11532" max="11532" width="7.28515625" style="1828" customWidth="1"/>
    <col min="11533" max="11777" width="8.85546875" style="1828"/>
    <col min="11778" max="11778" width="5.7109375" style="1828" customWidth="1"/>
    <col min="11779" max="11779" width="52.7109375" style="1828" customWidth="1"/>
    <col min="11780" max="11780" width="9.7109375" style="1828" customWidth="1"/>
    <col min="11781" max="11781" width="8.42578125" style="1828" customWidth="1"/>
    <col min="11782" max="11782" width="7.85546875" style="1828" customWidth="1"/>
    <col min="11783" max="11783" width="8.42578125" style="1828" customWidth="1"/>
    <col min="11784" max="11784" width="8" style="1828" customWidth="1"/>
    <col min="11785" max="11785" width="7.42578125" style="1828" customWidth="1"/>
    <col min="11786" max="11786" width="8.5703125" style="1828" customWidth="1"/>
    <col min="11787" max="11787" width="8.42578125" style="1828" customWidth="1"/>
    <col min="11788" max="11788" width="7.28515625" style="1828" customWidth="1"/>
    <col min="11789" max="12033" width="8.85546875" style="1828"/>
    <col min="12034" max="12034" width="5.7109375" style="1828" customWidth="1"/>
    <col min="12035" max="12035" width="52.7109375" style="1828" customWidth="1"/>
    <col min="12036" max="12036" width="9.7109375" style="1828" customWidth="1"/>
    <col min="12037" max="12037" width="8.42578125" style="1828" customWidth="1"/>
    <col min="12038" max="12038" width="7.85546875" style="1828" customWidth="1"/>
    <col min="12039" max="12039" width="8.42578125" style="1828" customWidth="1"/>
    <col min="12040" max="12040" width="8" style="1828" customWidth="1"/>
    <col min="12041" max="12041" width="7.42578125" style="1828" customWidth="1"/>
    <col min="12042" max="12042" width="8.5703125" style="1828" customWidth="1"/>
    <col min="12043" max="12043" width="8.42578125" style="1828" customWidth="1"/>
    <col min="12044" max="12044" width="7.28515625" style="1828" customWidth="1"/>
    <col min="12045" max="12289" width="8.85546875" style="1828"/>
    <col min="12290" max="12290" width="5.7109375" style="1828" customWidth="1"/>
    <col min="12291" max="12291" width="52.7109375" style="1828" customWidth="1"/>
    <col min="12292" max="12292" width="9.7109375" style="1828" customWidth="1"/>
    <col min="12293" max="12293" width="8.42578125" style="1828" customWidth="1"/>
    <col min="12294" max="12294" width="7.85546875" style="1828" customWidth="1"/>
    <col min="12295" max="12295" width="8.42578125" style="1828" customWidth="1"/>
    <col min="12296" max="12296" width="8" style="1828" customWidth="1"/>
    <col min="12297" max="12297" width="7.42578125" style="1828" customWidth="1"/>
    <col min="12298" max="12298" width="8.5703125" style="1828" customWidth="1"/>
    <col min="12299" max="12299" width="8.42578125" style="1828" customWidth="1"/>
    <col min="12300" max="12300" width="7.28515625" style="1828" customWidth="1"/>
    <col min="12301" max="12545" width="8.85546875" style="1828"/>
    <col min="12546" max="12546" width="5.7109375" style="1828" customWidth="1"/>
    <col min="12547" max="12547" width="52.7109375" style="1828" customWidth="1"/>
    <col min="12548" max="12548" width="9.7109375" style="1828" customWidth="1"/>
    <col min="12549" max="12549" width="8.42578125" style="1828" customWidth="1"/>
    <col min="12550" max="12550" width="7.85546875" style="1828" customWidth="1"/>
    <col min="12551" max="12551" width="8.42578125" style="1828" customWidth="1"/>
    <col min="12552" max="12552" width="8" style="1828" customWidth="1"/>
    <col min="12553" max="12553" width="7.42578125" style="1828" customWidth="1"/>
    <col min="12554" max="12554" width="8.5703125" style="1828" customWidth="1"/>
    <col min="12555" max="12555" width="8.42578125" style="1828" customWidth="1"/>
    <col min="12556" max="12556" width="7.28515625" style="1828" customWidth="1"/>
    <col min="12557" max="12801" width="8.85546875" style="1828"/>
    <col min="12802" max="12802" width="5.7109375" style="1828" customWidth="1"/>
    <col min="12803" max="12803" width="52.7109375" style="1828" customWidth="1"/>
    <col min="12804" max="12804" width="9.7109375" style="1828" customWidth="1"/>
    <col min="12805" max="12805" width="8.42578125" style="1828" customWidth="1"/>
    <col min="12806" max="12806" width="7.85546875" style="1828" customWidth="1"/>
    <col min="12807" max="12807" width="8.42578125" style="1828" customWidth="1"/>
    <col min="12808" max="12808" width="8" style="1828" customWidth="1"/>
    <col min="12809" max="12809" width="7.42578125" style="1828" customWidth="1"/>
    <col min="12810" max="12810" width="8.5703125" style="1828" customWidth="1"/>
    <col min="12811" max="12811" width="8.42578125" style="1828" customWidth="1"/>
    <col min="12812" max="12812" width="7.28515625" style="1828" customWidth="1"/>
    <col min="12813" max="13057" width="8.85546875" style="1828"/>
    <col min="13058" max="13058" width="5.7109375" style="1828" customWidth="1"/>
    <col min="13059" max="13059" width="52.7109375" style="1828" customWidth="1"/>
    <col min="13060" max="13060" width="9.7109375" style="1828" customWidth="1"/>
    <col min="13061" max="13061" width="8.42578125" style="1828" customWidth="1"/>
    <col min="13062" max="13062" width="7.85546875" style="1828" customWidth="1"/>
    <col min="13063" max="13063" width="8.42578125" style="1828" customWidth="1"/>
    <col min="13064" max="13064" width="8" style="1828" customWidth="1"/>
    <col min="13065" max="13065" width="7.42578125" style="1828" customWidth="1"/>
    <col min="13066" max="13066" width="8.5703125" style="1828" customWidth="1"/>
    <col min="13067" max="13067" width="8.42578125" style="1828" customWidth="1"/>
    <col min="13068" max="13068" width="7.28515625" style="1828" customWidth="1"/>
    <col min="13069" max="13313" width="8.85546875" style="1828"/>
    <col min="13314" max="13314" width="5.7109375" style="1828" customWidth="1"/>
    <col min="13315" max="13315" width="52.7109375" style="1828" customWidth="1"/>
    <col min="13316" max="13316" width="9.7109375" style="1828" customWidth="1"/>
    <col min="13317" max="13317" width="8.42578125" style="1828" customWidth="1"/>
    <col min="13318" max="13318" width="7.85546875" style="1828" customWidth="1"/>
    <col min="13319" max="13319" width="8.42578125" style="1828" customWidth="1"/>
    <col min="13320" max="13320" width="8" style="1828" customWidth="1"/>
    <col min="13321" max="13321" width="7.42578125" style="1828" customWidth="1"/>
    <col min="13322" max="13322" width="8.5703125" style="1828" customWidth="1"/>
    <col min="13323" max="13323" width="8.42578125" style="1828" customWidth="1"/>
    <col min="13324" max="13324" width="7.28515625" style="1828" customWidth="1"/>
    <col min="13325" max="13569" width="8.85546875" style="1828"/>
    <col min="13570" max="13570" width="5.7109375" style="1828" customWidth="1"/>
    <col min="13571" max="13571" width="52.7109375" style="1828" customWidth="1"/>
    <col min="13572" max="13572" width="9.7109375" style="1828" customWidth="1"/>
    <col min="13573" max="13573" width="8.42578125" style="1828" customWidth="1"/>
    <col min="13574" max="13574" width="7.85546875" style="1828" customWidth="1"/>
    <col min="13575" max="13575" width="8.42578125" style="1828" customWidth="1"/>
    <col min="13576" max="13576" width="8" style="1828" customWidth="1"/>
    <col min="13577" max="13577" width="7.42578125" style="1828" customWidth="1"/>
    <col min="13578" max="13578" width="8.5703125" style="1828" customWidth="1"/>
    <col min="13579" max="13579" width="8.42578125" style="1828" customWidth="1"/>
    <col min="13580" max="13580" width="7.28515625" style="1828" customWidth="1"/>
    <col min="13581" max="13825" width="8.85546875" style="1828"/>
    <col min="13826" max="13826" width="5.7109375" style="1828" customWidth="1"/>
    <col min="13827" max="13827" width="52.7109375" style="1828" customWidth="1"/>
    <col min="13828" max="13828" width="9.7109375" style="1828" customWidth="1"/>
    <col min="13829" max="13829" width="8.42578125" style="1828" customWidth="1"/>
    <col min="13830" max="13830" width="7.85546875" style="1828" customWidth="1"/>
    <col min="13831" max="13831" width="8.42578125" style="1828" customWidth="1"/>
    <col min="13832" max="13832" width="8" style="1828" customWidth="1"/>
    <col min="13833" max="13833" width="7.42578125" style="1828" customWidth="1"/>
    <col min="13834" max="13834" width="8.5703125" style="1828" customWidth="1"/>
    <col min="13835" max="13835" width="8.42578125" style="1828" customWidth="1"/>
    <col min="13836" max="13836" width="7.28515625" style="1828" customWidth="1"/>
    <col min="13837" max="14081" width="8.85546875" style="1828"/>
    <col min="14082" max="14082" width="5.7109375" style="1828" customWidth="1"/>
    <col min="14083" max="14083" width="52.7109375" style="1828" customWidth="1"/>
    <col min="14084" max="14084" width="9.7109375" style="1828" customWidth="1"/>
    <col min="14085" max="14085" width="8.42578125" style="1828" customWidth="1"/>
    <col min="14086" max="14086" width="7.85546875" style="1828" customWidth="1"/>
    <col min="14087" max="14087" width="8.42578125" style="1828" customWidth="1"/>
    <col min="14088" max="14088" width="8" style="1828" customWidth="1"/>
    <col min="14089" max="14089" width="7.42578125" style="1828" customWidth="1"/>
    <col min="14090" max="14090" width="8.5703125" style="1828" customWidth="1"/>
    <col min="14091" max="14091" width="8.42578125" style="1828" customWidth="1"/>
    <col min="14092" max="14092" width="7.28515625" style="1828" customWidth="1"/>
    <col min="14093" max="14337" width="8.85546875" style="1828"/>
    <col min="14338" max="14338" width="5.7109375" style="1828" customWidth="1"/>
    <col min="14339" max="14339" width="52.7109375" style="1828" customWidth="1"/>
    <col min="14340" max="14340" width="9.7109375" style="1828" customWidth="1"/>
    <col min="14341" max="14341" width="8.42578125" style="1828" customWidth="1"/>
    <col min="14342" max="14342" width="7.85546875" style="1828" customWidth="1"/>
    <col min="14343" max="14343" width="8.42578125" style="1828" customWidth="1"/>
    <col min="14344" max="14344" width="8" style="1828" customWidth="1"/>
    <col min="14345" max="14345" width="7.42578125" style="1828" customWidth="1"/>
    <col min="14346" max="14346" width="8.5703125" style="1828" customWidth="1"/>
    <col min="14347" max="14347" width="8.42578125" style="1828" customWidth="1"/>
    <col min="14348" max="14348" width="7.28515625" style="1828" customWidth="1"/>
    <col min="14349" max="14593" width="8.85546875" style="1828"/>
    <col min="14594" max="14594" width="5.7109375" style="1828" customWidth="1"/>
    <col min="14595" max="14595" width="52.7109375" style="1828" customWidth="1"/>
    <col min="14596" max="14596" width="9.7109375" style="1828" customWidth="1"/>
    <col min="14597" max="14597" width="8.42578125" style="1828" customWidth="1"/>
    <col min="14598" max="14598" width="7.85546875" style="1828" customWidth="1"/>
    <col min="14599" max="14599" width="8.42578125" style="1828" customWidth="1"/>
    <col min="14600" max="14600" width="8" style="1828" customWidth="1"/>
    <col min="14601" max="14601" width="7.42578125" style="1828" customWidth="1"/>
    <col min="14602" max="14602" width="8.5703125" style="1828" customWidth="1"/>
    <col min="14603" max="14603" width="8.42578125" style="1828" customWidth="1"/>
    <col min="14604" max="14604" width="7.28515625" style="1828" customWidth="1"/>
    <col min="14605" max="14849" width="8.85546875" style="1828"/>
    <col min="14850" max="14850" width="5.7109375" style="1828" customWidth="1"/>
    <col min="14851" max="14851" width="52.7109375" style="1828" customWidth="1"/>
    <col min="14852" max="14852" width="9.7109375" style="1828" customWidth="1"/>
    <col min="14853" max="14853" width="8.42578125" style="1828" customWidth="1"/>
    <col min="14854" max="14854" width="7.85546875" style="1828" customWidth="1"/>
    <col min="14855" max="14855" width="8.42578125" style="1828" customWidth="1"/>
    <col min="14856" max="14856" width="8" style="1828" customWidth="1"/>
    <col min="14857" max="14857" width="7.42578125" style="1828" customWidth="1"/>
    <col min="14858" max="14858" width="8.5703125" style="1828" customWidth="1"/>
    <col min="14859" max="14859" width="8.42578125" style="1828" customWidth="1"/>
    <col min="14860" max="14860" width="7.28515625" style="1828" customWidth="1"/>
    <col min="14861" max="15105" width="8.85546875" style="1828"/>
    <col min="15106" max="15106" width="5.7109375" style="1828" customWidth="1"/>
    <col min="15107" max="15107" width="52.7109375" style="1828" customWidth="1"/>
    <col min="15108" max="15108" width="9.7109375" style="1828" customWidth="1"/>
    <col min="15109" max="15109" width="8.42578125" style="1828" customWidth="1"/>
    <col min="15110" max="15110" width="7.85546875" style="1828" customWidth="1"/>
    <col min="15111" max="15111" width="8.42578125" style="1828" customWidth="1"/>
    <col min="15112" max="15112" width="8" style="1828" customWidth="1"/>
    <col min="15113" max="15113" width="7.42578125" style="1828" customWidth="1"/>
    <col min="15114" max="15114" width="8.5703125" style="1828" customWidth="1"/>
    <col min="15115" max="15115" width="8.42578125" style="1828" customWidth="1"/>
    <col min="15116" max="15116" width="7.28515625" style="1828" customWidth="1"/>
    <col min="15117" max="15361" width="8.85546875" style="1828"/>
    <col min="15362" max="15362" width="5.7109375" style="1828" customWidth="1"/>
    <col min="15363" max="15363" width="52.7109375" style="1828" customWidth="1"/>
    <col min="15364" max="15364" width="9.7109375" style="1828" customWidth="1"/>
    <col min="15365" max="15365" width="8.42578125" style="1828" customWidth="1"/>
    <col min="15366" max="15366" width="7.85546875" style="1828" customWidth="1"/>
    <col min="15367" max="15367" width="8.42578125" style="1828" customWidth="1"/>
    <col min="15368" max="15368" width="8" style="1828" customWidth="1"/>
    <col min="15369" max="15369" width="7.42578125" style="1828" customWidth="1"/>
    <col min="15370" max="15370" width="8.5703125" style="1828" customWidth="1"/>
    <col min="15371" max="15371" width="8.42578125" style="1828" customWidth="1"/>
    <col min="15372" max="15372" width="7.28515625" style="1828" customWidth="1"/>
    <col min="15373" max="15617" width="8.85546875" style="1828"/>
    <col min="15618" max="15618" width="5.7109375" style="1828" customWidth="1"/>
    <col min="15619" max="15619" width="52.7109375" style="1828" customWidth="1"/>
    <col min="15620" max="15620" width="9.7109375" style="1828" customWidth="1"/>
    <col min="15621" max="15621" width="8.42578125" style="1828" customWidth="1"/>
    <col min="15622" max="15622" width="7.85546875" style="1828" customWidth="1"/>
    <col min="15623" max="15623" width="8.42578125" style="1828" customWidth="1"/>
    <col min="15624" max="15624" width="8" style="1828" customWidth="1"/>
    <col min="15625" max="15625" width="7.42578125" style="1828" customWidth="1"/>
    <col min="15626" max="15626" width="8.5703125" style="1828" customWidth="1"/>
    <col min="15627" max="15627" width="8.42578125" style="1828" customWidth="1"/>
    <col min="15628" max="15628" width="7.28515625" style="1828" customWidth="1"/>
    <col min="15629" max="15873" width="8.85546875" style="1828"/>
    <col min="15874" max="15874" width="5.7109375" style="1828" customWidth="1"/>
    <col min="15875" max="15875" width="52.7109375" style="1828" customWidth="1"/>
    <col min="15876" max="15876" width="9.7109375" style="1828" customWidth="1"/>
    <col min="15877" max="15877" width="8.42578125" style="1828" customWidth="1"/>
    <col min="15878" max="15878" width="7.85546875" style="1828" customWidth="1"/>
    <col min="15879" max="15879" width="8.42578125" style="1828" customWidth="1"/>
    <col min="15880" max="15880" width="8" style="1828" customWidth="1"/>
    <col min="15881" max="15881" width="7.42578125" style="1828" customWidth="1"/>
    <col min="15882" max="15882" width="8.5703125" style="1828" customWidth="1"/>
    <col min="15883" max="15883" width="8.42578125" style="1828" customWidth="1"/>
    <col min="15884" max="15884" width="7.28515625" style="1828" customWidth="1"/>
    <col min="15885" max="16129" width="8.85546875" style="1828"/>
    <col min="16130" max="16130" width="5.7109375" style="1828" customWidth="1"/>
    <col min="16131" max="16131" width="52.7109375" style="1828" customWidth="1"/>
    <col min="16132" max="16132" width="9.7109375" style="1828" customWidth="1"/>
    <col min="16133" max="16133" width="8.42578125" style="1828" customWidth="1"/>
    <col min="16134" max="16134" width="7.85546875" style="1828" customWidth="1"/>
    <col min="16135" max="16135" width="8.42578125" style="1828" customWidth="1"/>
    <col min="16136" max="16136" width="8" style="1828" customWidth="1"/>
    <col min="16137" max="16137" width="7.42578125" style="1828" customWidth="1"/>
    <col min="16138" max="16138" width="8.5703125" style="1828" customWidth="1"/>
    <col min="16139" max="16139" width="8.42578125" style="1828" customWidth="1"/>
    <col min="16140" max="16140" width="7.28515625" style="1828" customWidth="1"/>
    <col min="16141" max="16384" width="8.85546875" style="1828"/>
  </cols>
  <sheetData>
    <row r="1" spans="1:12" ht="43.15" customHeight="1" x14ac:dyDescent="0.25">
      <c r="A1" s="4054" t="s">
        <v>3060</v>
      </c>
      <c r="B1" s="4054"/>
      <c r="C1" s="4054"/>
      <c r="D1" s="4054"/>
      <c r="E1" s="4054"/>
      <c r="F1" s="4054"/>
      <c r="G1" s="4054"/>
      <c r="H1" s="4054"/>
      <c r="I1" s="4054"/>
      <c r="J1" s="4054"/>
      <c r="K1" s="4054"/>
      <c r="L1" s="4054"/>
    </row>
    <row r="2" spans="1:12" ht="15.75" x14ac:dyDescent="0.25">
      <c r="A2" s="4055" t="s">
        <v>3485</v>
      </c>
      <c r="B2" s="4055"/>
      <c r="C2" s="4055"/>
      <c r="D2" s="4055"/>
      <c r="E2" s="4055"/>
      <c r="F2" s="4055"/>
      <c r="G2" s="4055"/>
      <c r="H2" s="4055"/>
      <c r="I2" s="4055"/>
      <c r="J2" s="4055"/>
      <c r="K2" s="4055"/>
      <c r="L2" s="4055"/>
    </row>
    <row r="3" spans="1:12" x14ac:dyDescent="0.25">
      <c r="A3" s="1829"/>
      <c r="E3" s="4056"/>
      <c r="F3" s="4056"/>
      <c r="G3" s="4056"/>
      <c r="H3" s="4056"/>
      <c r="I3" s="4056"/>
      <c r="J3" s="4057" t="s">
        <v>843</v>
      </c>
      <c r="K3" s="4057"/>
      <c r="L3" s="4057"/>
    </row>
    <row r="4" spans="1:12" ht="57" x14ac:dyDescent="0.25">
      <c r="A4" s="1830" t="s">
        <v>844</v>
      </c>
      <c r="B4" s="1830" t="s">
        <v>845</v>
      </c>
      <c r="C4" s="1830" t="s">
        <v>868</v>
      </c>
      <c r="D4" s="1830" t="s">
        <v>3061</v>
      </c>
      <c r="E4" s="1830" t="s">
        <v>2986</v>
      </c>
      <c r="F4" s="1830" t="s">
        <v>2989</v>
      </c>
      <c r="G4" s="1830" t="s">
        <v>2991</v>
      </c>
      <c r="H4" s="1830" t="s">
        <v>2286</v>
      </c>
      <c r="I4" s="1830" t="s">
        <v>2994</v>
      </c>
      <c r="J4" s="1830" t="s">
        <v>2996</v>
      </c>
      <c r="K4" s="1830" t="s">
        <v>2998</v>
      </c>
      <c r="L4" s="1830" t="s">
        <v>3000</v>
      </c>
    </row>
    <row r="5" spans="1:12" x14ac:dyDescent="0.25">
      <c r="A5" s="1831">
        <v>1</v>
      </c>
      <c r="B5" s="1832" t="s">
        <v>2755</v>
      </c>
      <c r="C5" s="1833"/>
      <c r="D5" s="1833"/>
      <c r="E5" s="1833"/>
      <c r="F5" s="1833"/>
      <c r="G5" s="1833"/>
      <c r="H5" s="1833"/>
      <c r="I5" s="1833"/>
      <c r="J5" s="1833"/>
      <c r="K5" s="1833"/>
      <c r="L5" s="1833"/>
    </row>
    <row r="6" spans="1:12" s="1838" customFormat="1" x14ac:dyDescent="0.25">
      <c r="A6" s="1834" t="s">
        <v>882</v>
      </c>
      <c r="B6" s="1835" t="s">
        <v>3062</v>
      </c>
      <c r="C6" s="1836">
        <f>SUM(D6:L6)</f>
        <v>732000</v>
      </c>
      <c r="D6" s="1837">
        <v>360000</v>
      </c>
      <c r="E6" s="1837">
        <v>155500</v>
      </c>
      <c r="F6" s="1837">
        <v>14800</v>
      </c>
      <c r="G6" s="1837">
        <v>14800</v>
      </c>
      <c r="H6" s="1837">
        <v>112800</v>
      </c>
      <c r="I6" s="1837">
        <v>18000</v>
      </c>
      <c r="J6" s="1837">
        <v>15500</v>
      </c>
      <c r="K6" s="1837">
        <v>31000</v>
      </c>
      <c r="L6" s="1837">
        <v>9600</v>
      </c>
    </row>
    <row r="7" spans="1:12" s="1838" customFormat="1" x14ac:dyDescent="0.25">
      <c r="A7" s="1834" t="s">
        <v>882</v>
      </c>
      <c r="B7" s="1835" t="s">
        <v>3063</v>
      </c>
      <c r="C7" s="1836">
        <f>SUM(D7:L7)</f>
        <v>625600</v>
      </c>
      <c r="D7" s="1837">
        <v>274830</v>
      </c>
      <c r="E7" s="1837">
        <v>145000</v>
      </c>
      <c r="F7" s="1837">
        <v>13720</v>
      </c>
      <c r="G7" s="1837">
        <v>13390</v>
      </c>
      <c r="H7" s="1837">
        <v>110350</v>
      </c>
      <c r="I7" s="1837">
        <v>16790</v>
      </c>
      <c r="J7" s="1837">
        <v>14410</v>
      </c>
      <c r="K7" s="1837">
        <v>28500</v>
      </c>
      <c r="L7" s="1837">
        <v>8610</v>
      </c>
    </row>
    <row r="8" spans="1:12" s="1838" customFormat="1" ht="30" x14ac:dyDescent="0.25">
      <c r="A8" s="1834"/>
      <c r="B8" s="1839" t="s">
        <v>3064</v>
      </c>
      <c r="C8" s="1840">
        <f>SUM(D8:L8)</f>
        <v>118800</v>
      </c>
      <c r="D8" s="1840">
        <v>25380</v>
      </c>
      <c r="E8" s="1840">
        <v>71100</v>
      </c>
      <c r="F8" s="1840">
        <v>1530</v>
      </c>
      <c r="G8" s="1840">
        <v>900</v>
      </c>
      <c r="H8" s="1840">
        <v>9000</v>
      </c>
      <c r="I8" s="1840">
        <v>1980</v>
      </c>
      <c r="J8" s="1840">
        <v>540</v>
      </c>
      <c r="K8" s="1840">
        <v>7200</v>
      </c>
      <c r="L8" s="1840">
        <v>1170</v>
      </c>
    </row>
    <row r="9" spans="1:12" s="1838" customFormat="1" ht="30" x14ac:dyDescent="0.25">
      <c r="A9" s="1834" t="s">
        <v>882</v>
      </c>
      <c r="B9" s="1835" t="s">
        <v>3065</v>
      </c>
      <c r="C9" s="1841">
        <f>SUM(D9:L9)</f>
        <v>506800</v>
      </c>
      <c r="D9" s="1837">
        <f t="shared" ref="D9:L9" si="0">D7-D8</f>
        <v>249450</v>
      </c>
      <c r="E9" s="1837">
        <f t="shared" si="0"/>
        <v>73900</v>
      </c>
      <c r="F9" s="1837">
        <f t="shared" si="0"/>
        <v>12190</v>
      </c>
      <c r="G9" s="1837">
        <f t="shared" si="0"/>
        <v>12490</v>
      </c>
      <c r="H9" s="1837">
        <f>H7-H8</f>
        <v>101350</v>
      </c>
      <c r="I9" s="1837">
        <f t="shared" si="0"/>
        <v>14810</v>
      </c>
      <c r="J9" s="1837">
        <f t="shared" si="0"/>
        <v>13870</v>
      </c>
      <c r="K9" s="1837">
        <f t="shared" si="0"/>
        <v>21300</v>
      </c>
      <c r="L9" s="1837">
        <f t="shared" si="0"/>
        <v>7440</v>
      </c>
    </row>
    <row r="10" spans="1:12" s="1838" customFormat="1" x14ac:dyDescent="0.25">
      <c r="A10" s="1842">
        <v>2</v>
      </c>
      <c r="B10" s="1843" t="s">
        <v>1097</v>
      </c>
      <c r="C10" s="1844"/>
      <c r="D10" s="1844"/>
      <c r="E10" s="1844"/>
      <c r="F10" s="1844"/>
      <c r="G10" s="1844"/>
      <c r="H10" s="1844"/>
      <c r="I10" s="1844"/>
      <c r="J10" s="1844"/>
      <c r="K10" s="1844"/>
      <c r="L10" s="1844"/>
    </row>
    <row r="11" spans="1:12" x14ac:dyDescent="0.25">
      <c r="A11" s="1845" t="s">
        <v>882</v>
      </c>
      <c r="B11" s="1846" t="s">
        <v>3066</v>
      </c>
      <c r="C11" s="1847">
        <f>SUM(D11:L11)</f>
        <v>600000</v>
      </c>
      <c r="D11" s="1847">
        <v>291100</v>
      </c>
      <c r="E11" s="1848">
        <v>111500</v>
      </c>
      <c r="F11" s="1848">
        <v>15800</v>
      </c>
      <c r="G11" s="1848">
        <v>18450</v>
      </c>
      <c r="H11" s="1848">
        <v>98150</v>
      </c>
      <c r="I11" s="1848">
        <v>18300</v>
      </c>
      <c r="J11" s="1848">
        <v>12380</v>
      </c>
      <c r="K11" s="1848">
        <v>26500</v>
      </c>
      <c r="L11" s="1848">
        <v>7820</v>
      </c>
    </row>
    <row r="12" spans="1:12" x14ac:dyDescent="0.25">
      <c r="A12" s="1845" t="s">
        <v>882</v>
      </c>
      <c r="B12" s="1846" t="str">
        <f>B7</f>
        <v>Phần thu ngân sách địa phương được hưởng</v>
      </c>
      <c r="C12" s="1847">
        <f>SUM(D12:L12)</f>
        <v>535330</v>
      </c>
      <c r="D12" s="1847">
        <v>236943</v>
      </c>
      <c r="E12" s="1848">
        <v>107311</v>
      </c>
      <c r="F12" s="1848">
        <v>14915</v>
      </c>
      <c r="G12" s="1848">
        <v>16648</v>
      </c>
      <c r="H12" s="1848">
        <v>97092</v>
      </c>
      <c r="I12" s="1848">
        <v>17518</v>
      </c>
      <c r="J12" s="1848">
        <v>11911</v>
      </c>
      <c r="K12" s="1848">
        <v>25532</v>
      </c>
      <c r="L12" s="1848">
        <v>7460</v>
      </c>
    </row>
    <row r="13" spans="1:12" s="1838" customFormat="1" ht="30" x14ac:dyDescent="0.25">
      <c r="A13" s="1834"/>
      <c r="B13" s="1839" t="s">
        <v>3064</v>
      </c>
      <c r="C13" s="1840">
        <f>SUM(D13:L13)</f>
        <v>69000</v>
      </c>
      <c r="D13" s="1840">
        <v>19500</v>
      </c>
      <c r="E13" s="1849">
        <v>32400</v>
      </c>
      <c r="F13" s="1849">
        <v>900</v>
      </c>
      <c r="G13" s="1849">
        <v>1890</v>
      </c>
      <c r="H13" s="1849">
        <v>4500</v>
      </c>
      <c r="I13" s="1849">
        <v>3780</v>
      </c>
      <c r="J13" s="1849">
        <v>900</v>
      </c>
      <c r="K13" s="1849">
        <v>3780</v>
      </c>
      <c r="L13" s="1849">
        <v>1350</v>
      </c>
    </row>
    <row r="14" spans="1:12" s="1838" customFormat="1" ht="30" x14ac:dyDescent="0.25">
      <c r="A14" s="1834" t="s">
        <v>882</v>
      </c>
      <c r="B14" s="1835" t="str">
        <f>B9</f>
        <v>Phần thu ngân sách huyện, thành phố làm cơ sở tính nguồn thực hiện cải cách tiền lương</v>
      </c>
      <c r="C14" s="1847">
        <f>SUM(D14:L14)</f>
        <v>466330</v>
      </c>
      <c r="D14" s="1837">
        <f>D12-D13</f>
        <v>217443</v>
      </c>
      <c r="E14" s="1837">
        <f t="shared" ref="E14:L14" si="1">E12-E13</f>
        <v>74911</v>
      </c>
      <c r="F14" s="1837">
        <f t="shared" si="1"/>
        <v>14015</v>
      </c>
      <c r="G14" s="1837">
        <f t="shared" si="1"/>
        <v>14758</v>
      </c>
      <c r="H14" s="1837">
        <f t="shared" si="1"/>
        <v>92592</v>
      </c>
      <c r="I14" s="1837">
        <f t="shared" si="1"/>
        <v>13738</v>
      </c>
      <c r="J14" s="1837">
        <f t="shared" si="1"/>
        <v>11011</v>
      </c>
      <c r="K14" s="1837">
        <f t="shared" si="1"/>
        <v>21752</v>
      </c>
      <c r="L14" s="1837">
        <f t="shared" si="1"/>
        <v>6110</v>
      </c>
    </row>
    <row r="15" spans="1:12" s="1838" customFormat="1" ht="28.5" x14ac:dyDescent="0.25">
      <c r="A15" s="1850">
        <v>3</v>
      </c>
      <c r="B15" s="1843" t="s">
        <v>3067</v>
      </c>
      <c r="C15" s="1841">
        <f>SUM(D15:L15)</f>
        <v>46026</v>
      </c>
      <c r="D15" s="1841">
        <f>D9-D14</f>
        <v>32007</v>
      </c>
      <c r="E15" s="1836"/>
      <c r="F15" s="1836"/>
      <c r="G15" s="1836"/>
      <c r="H15" s="1841">
        <f>H9-H14</f>
        <v>8758</v>
      </c>
      <c r="I15" s="1841">
        <f>I9-I14</f>
        <v>1072</v>
      </c>
      <c r="J15" s="1841">
        <f>J9-J14</f>
        <v>2859</v>
      </c>
      <c r="K15" s="1836"/>
      <c r="L15" s="1841">
        <f>L9-L14</f>
        <v>1330</v>
      </c>
    </row>
    <row r="16" spans="1:12" s="1838" customFormat="1" x14ac:dyDescent="0.25">
      <c r="A16" s="1851"/>
      <c r="B16" s="1852" t="s">
        <v>908</v>
      </c>
      <c r="C16" s="1837"/>
      <c r="D16" s="1837"/>
      <c r="E16" s="1844"/>
      <c r="F16" s="1844"/>
      <c r="G16" s="1844"/>
      <c r="H16" s="1844"/>
      <c r="I16" s="1844"/>
      <c r="J16" s="1844"/>
      <c r="K16" s="1844"/>
      <c r="L16" s="1844"/>
    </row>
    <row r="17" spans="1:12" x14ac:dyDescent="0.25">
      <c r="A17" s="1853" t="s">
        <v>3068</v>
      </c>
      <c r="B17" s="1854" t="s">
        <v>3069</v>
      </c>
      <c r="C17" s="1847">
        <f>SUM(D17:L17)</f>
        <v>23013</v>
      </c>
      <c r="D17" s="1847">
        <f>D15/2</f>
        <v>16003.5</v>
      </c>
      <c r="E17" s="1847"/>
      <c r="F17" s="1847"/>
      <c r="G17" s="1847"/>
      <c r="H17" s="1847">
        <f>H15/2</f>
        <v>4379</v>
      </c>
      <c r="I17" s="1847">
        <f>I15/2</f>
        <v>536</v>
      </c>
      <c r="J17" s="1847">
        <f>J15/2</f>
        <v>1429.5</v>
      </c>
      <c r="K17" s="1847"/>
      <c r="L17" s="1847">
        <f>L15/2</f>
        <v>665</v>
      </c>
    </row>
    <row r="18" spans="1:12" s="1838" customFormat="1" x14ac:dyDescent="0.25">
      <c r="A18" s="1855" t="s">
        <v>3068</v>
      </c>
      <c r="B18" s="1856" t="s">
        <v>3070</v>
      </c>
      <c r="C18" s="1857">
        <f>SUM(D18:L18)</f>
        <v>23012</v>
      </c>
      <c r="D18" s="1858">
        <v>16003</v>
      </c>
      <c r="E18" s="1859"/>
      <c r="F18" s="1859"/>
      <c r="G18" s="1859"/>
      <c r="H18" s="1858">
        <f>H17</f>
        <v>4379</v>
      </c>
      <c r="I18" s="1858">
        <f>I17</f>
        <v>536</v>
      </c>
      <c r="J18" s="1858">
        <v>1429</v>
      </c>
      <c r="K18" s="1858"/>
      <c r="L18" s="1858">
        <f>L17</f>
        <v>665</v>
      </c>
    </row>
    <row r="19" spans="1:12" s="1838" customFormat="1" x14ac:dyDescent="0.25">
      <c r="E19" s="1838">
        <v>15431</v>
      </c>
      <c r="F19" s="1838">
        <v>3475</v>
      </c>
      <c r="G19" s="1838">
        <v>3453</v>
      </c>
      <c r="H19" s="1838">
        <v>13024</v>
      </c>
    </row>
    <row r="20" spans="1:12" s="1838" customFormat="1" x14ac:dyDescent="0.25">
      <c r="A20" s="1838">
        <v>2</v>
      </c>
      <c r="B20" s="1838" t="s">
        <v>1097</v>
      </c>
    </row>
    <row r="21" spans="1:12" s="1838" customFormat="1" x14ac:dyDescent="0.25">
      <c r="A21" s="1838" t="s">
        <v>882</v>
      </c>
      <c r="B21" s="1838" t="s">
        <v>3066</v>
      </c>
      <c r="C21" s="1838">
        <v>600000</v>
      </c>
      <c r="D21" s="1838">
        <v>291100</v>
      </c>
      <c r="E21" s="1838">
        <v>111500</v>
      </c>
      <c r="F21" s="1838">
        <v>15800</v>
      </c>
      <c r="H21" s="1838">
        <v>98150</v>
      </c>
      <c r="I21" s="1838">
        <v>18300</v>
      </c>
      <c r="J21" s="1838">
        <v>12380</v>
      </c>
      <c r="K21" s="1838">
        <v>26500</v>
      </c>
      <c r="L21" s="1838">
        <v>7820</v>
      </c>
    </row>
    <row r="22" spans="1:12" s="1838" customFormat="1" x14ac:dyDescent="0.25">
      <c r="A22" s="1838" t="s">
        <v>882</v>
      </c>
      <c r="B22" s="1838" t="s">
        <v>3071</v>
      </c>
      <c r="C22" s="1838">
        <v>535330</v>
      </c>
      <c r="D22" s="1838">
        <v>236943</v>
      </c>
      <c r="E22" s="1838">
        <v>107311</v>
      </c>
      <c r="F22" s="1838">
        <v>14915</v>
      </c>
      <c r="H22" s="1838">
        <v>97092</v>
      </c>
      <c r="I22" s="1838">
        <v>17518</v>
      </c>
      <c r="J22" s="1838">
        <v>11911</v>
      </c>
      <c r="K22" s="1838">
        <v>25532</v>
      </c>
      <c r="L22" s="1838">
        <v>7460</v>
      </c>
    </row>
    <row r="23" spans="1:12" s="1838" customFormat="1" x14ac:dyDescent="0.25">
      <c r="B23" s="1838" t="s">
        <v>3064</v>
      </c>
      <c r="C23" s="1838">
        <v>69000</v>
      </c>
      <c r="D23" s="1838">
        <v>19500</v>
      </c>
      <c r="E23" s="1838">
        <v>32400</v>
      </c>
      <c r="F23" s="1838">
        <v>900</v>
      </c>
      <c r="H23" s="1838">
        <v>4500</v>
      </c>
      <c r="I23" s="1838">
        <v>3780</v>
      </c>
      <c r="J23" s="1838">
        <v>900</v>
      </c>
      <c r="K23" s="1838">
        <v>3780</v>
      </c>
      <c r="L23" s="1838">
        <v>1350</v>
      </c>
    </row>
    <row r="24" spans="1:12" s="1838" customFormat="1" x14ac:dyDescent="0.25">
      <c r="A24" s="1838" t="s">
        <v>882</v>
      </c>
      <c r="B24" s="1838" t="s">
        <v>3072</v>
      </c>
      <c r="C24" s="1838">
        <v>466330</v>
      </c>
      <c r="D24" s="1838">
        <v>217443</v>
      </c>
      <c r="E24" s="1838">
        <v>74911</v>
      </c>
      <c r="F24" s="1838">
        <v>14015</v>
      </c>
      <c r="H24" s="1838">
        <v>92592</v>
      </c>
      <c r="I24" s="1838">
        <v>13738</v>
      </c>
      <c r="J24" s="1838">
        <v>11011</v>
      </c>
      <c r="K24" s="1838">
        <v>21752</v>
      </c>
      <c r="L24" s="1838">
        <v>6110</v>
      </c>
    </row>
    <row r="25" spans="1:12" s="1860" customFormat="1" x14ac:dyDescent="0.25">
      <c r="E25" s="1860">
        <f>E9-E24</f>
        <v>-1011</v>
      </c>
      <c r="F25" s="1860">
        <f>F9-F24</f>
        <v>-1825</v>
      </c>
      <c r="H25" s="1860">
        <f>H9-H24</f>
        <v>8758</v>
      </c>
      <c r="I25" s="1860">
        <f>I9-I24</f>
        <v>1072</v>
      </c>
      <c r="J25" s="1860">
        <f>J9-J24</f>
        <v>2859</v>
      </c>
      <c r="K25" s="1860">
        <f>K9-K24</f>
        <v>-452</v>
      </c>
      <c r="L25" s="1860">
        <f>L9-L24</f>
        <v>1330</v>
      </c>
    </row>
    <row r="26" spans="1:12" s="1838" customFormat="1" x14ac:dyDescent="0.25"/>
    <row r="27" spans="1:12" s="1838" customFormat="1" x14ac:dyDescent="0.25"/>
    <row r="28" spans="1:12" s="1838" customFormat="1" x14ac:dyDescent="0.25"/>
    <row r="29" spans="1:12" s="1838" customFormat="1" x14ac:dyDescent="0.25"/>
    <row r="30" spans="1:12" s="1838" customFormat="1" x14ac:dyDescent="0.25"/>
    <row r="31" spans="1:12" s="1838" customFormat="1" x14ac:dyDescent="0.25"/>
    <row r="32" spans="1:12" s="1838" customFormat="1" x14ac:dyDescent="0.25">
      <c r="D32" s="1861"/>
      <c r="E32" s="1861">
        <v>-5061</v>
      </c>
      <c r="F32" s="1861">
        <v>-2135</v>
      </c>
      <c r="G32" s="1861"/>
    </row>
    <row r="33" spans="3:12" s="1838" customFormat="1" x14ac:dyDescent="0.25">
      <c r="C33" s="1838">
        <f>SUM(D33:L33)</f>
        <v>5238</v>
      </c>
      <c r="D33" s="1862"/>
      <c r="E33" s="1862">
        <f>E25-E32</f>
        <v>4050</v>
      </c>
      <c r="F33" s="1862">
        <f t="shared" ref="F33:L33" si="2">F25-F32</f>
        <v>310</v>
      </c>
      <c r="G33" s="1862"/>
      <c r="H33" s="1862"/>
      <c r="I33" s="1862"/>
      <c r="J33" s="1862"/>
      <c r="K33" s="1862">
        <f t="shared" si="2"/>
        <v>-452</v>
      </c>
      <c r="L33" s="1862">
        <f t="shared" si="2"/>
        <v>1330</v>
      </c>
    </row>
    <row r="34" spans="3:12" s="1838" customFormat="1" x14ac:dyDescent="0.25"/>
    <row r="35" spans="3:12" s="1838" customFormat="1" x14ac:dyDescent="0.25"/>
    <row r="36" spans="3:12" s="1838" customFormat="1" x14ac:dyDescent="0.25"/>
    <row r="37" spans="3:12" s="1838" customFormat="1" x14ac:dyDescent="0.25">
      <c r="E37" s="1838" t="s">
        <v>3073</v>
      </c>
    </row>
    <row r="38" spans="3:12" s="1838" customFormat="1" x14ac:dyDescent="0.25">
      <c r="E38" s="1838">
        <v>583178</v>
      </c>
    </row>
    <row r="39" spans="3:12" s="1838" customFormat="1" x14ac:dyDescent="0.25">
      <c r="E39" s="1838">
        <v>65000</v>
      </c>
    </row>
    <row r="40" spans="3:12" s="1838" customFormat="1" x14ac:dyDescent="0.25">
      <c r="E40" s="1838">
        <f>E38-E39</f>
        <v>518178</v>
      </c>
    </row>
    <row r="41" spans="3:12" s="1838" customFormat="1" x14ac:dyDescent="0.25">
      <c r="E41" s="1838" t="s">
        <v>3074</v>
      </c>
    </row>
    <row r="42" spans="3:12" s="1838" customFormat="1" x14ac:dyDescent="0.25">
      <c r="E42" s="1838">
        <v>521330</v>
      </c>
    </row>
    <row r="43" spans="3:12" s="1838" customFormat="1" x14ac:dyDescent="0.25">
      <c r="E43" s="1838">
        <v>55000</v>
      </c>
    </row>
    <row r="44" spans="3:12" s="1838" customFormat="1" x14ac:dyDescent="0.25">
      <c r="E44" s="1838">
        <f>E42-E43</f>
        <v>466330</v>
      </c>
    </row>
    <row r="45" spans="3:12" s="1838" customFormat="1" x14ac:dyDescent="0.25">
      <c r="E45" s="1838">
        <f>E40-E44</f>
        <v>51848</v>
      </c>
    </row>
    <row r="46" spans="3:12" s="1838" customFormat="1" x14ac:dyDescent="0.25">
      <c r="E46" s="1860">
        <f>E45*50%</f>
        <v>25924</v>
      </c>
    </row>
    <row r="47" spans="3:12" s="1838" customFormat="1" x14ac:dyDescent="0.25">
      <c r="E47" s="1838">
        <f>E15+E19</f>
        <v>15431</v>
      </c>
      <c r="F47" s="1838">
        <f>F15+F19</f>
        <v>3475</v>
      </c>
      <c r="G47" s="1838">
        <f>G19+G15</f>
        <v>3453</v>
      </c>
      <c r="H47" s="1838">
        <f>H19-H18</f>
        <v>8645</v>
      </c>
      <c r="I47" s="1838">
        <v>430</v>
      </c>
      <c r="J47" s="1838">
        <v>1100</v>
      </c>
    </row>
    <row r="48" spans="3:12" s="1838" customFormat="1" x14ac:dyDescent="0.25">
      <c r="J48" s="1838">
        <f>J18-J47</f>
        <v>329</v>
      </c>
    </row>
    <row r="49" spans="15:19" s="1838" customFormat="1" x14ac:dyDescent="0.25"/>
    <row r="50" spans="15:19" s="1838" customFormat="1" x14ac:dyDescent="0.25"/>
    <row r="51" spans="15:19" s="1838" customFormat="1" x14ac:dyDescent="0.25"/>
    <row r="52" spans="15:19" s="1838" customFormat="1" x14ac:dyDescent="0.25"/>
    <row r="53" spans="15:19" s="1838" customFormat="1" x14ac:dyDescent="0.25"/>
    <row r="54" spans="15:19" s="1838" customFormat="1" x14ac:dyDescent="0.25"/>
    <row r="55" spans="15:19" s="1838" customFormat="1" x14ac:dyDescent="0.25">
      <c r="O55" s="4058" t="s">
        <v>2286</v>
      </c>
      <c r="P55" s="4058"/>
      <c r="Q55" s="4058"/>
      <c r="R55" s="4058"/>
      <c r="S55" s="4058"/>
    </row>
    <row r="56" spans="15:19" s="1838" customFormat="1" ht="60" x14ac:dyDescent="0.25">
      <c r="O56" s="1863" t="s">
        <v>3075</v>
      </c>
      <c r="P56" s="1863" t="s">
        <v>3076</v>
      </c>
      <c r="Q56" s="1864" t="s">
        <v>3077</v>
      </c>
      <c r="R56" s="1864" t="s">
        <v>3078</v>
      </c>
      <c r="S56" s="1838" t="s">
        <v>3079</v>
      </c>
    </row>
    <row r="57" spans="15:19" s="1838" customFormat="1" x14ac:dyDescent="0.25"/>
    <row r="58" spans="15:19" s="1838" customFormat="1" x14ac:dyDescent="0.25">
      <c r="O58" s="1860">
        <f>-11458</f>
        <v>-11458</v>
      </c>
      <c r="P58" s="1838">
        <f>25700+1566</f>
        <v>27266</v>
      </c>
      <c r="Q58" s="1838">
        <v>13024</v>
      </c>
      <c r="R58" s="1838">
        <f>P58-Q58</f>
        <v>14242</v>
      </c>
      <c r="S58" s="1838">
        <f>R58+O58</f>
        <v>2784</v>
      </c>
    </row>
    <row r="59" spans="15:19" s="1838" customFormat="1" x14ac:dyDescent="0.25">
      <c r="R59" s="1838">
        <v>13379</v>
      </c>
    </row>
    <row r="60" spans="15:19" s="1838" customFormat="1" x14ac:dyDescent="0.25">
      <c r="R60" s="1838">
        <f>R58-R59</f>
        <v>863</v>
      </c>
    </row>
    <row r="61" spans="15:19" s="1838" customFormat="1" x14ac:dyDescent="0.25"/>
    <row r="62" spans="15:19" s="1838" customFormat="1" x14ac:dyDescent="0.25"/>
    <row r="63" spans="15:19" s="1838" customFormat="1" x14ac:dyDescent="0.25"/>
    <row r="64" spans="15:19" s="1838" customFormat="1" x14ac:dyDescent="0.25"/>
    <row r="65" s="1838" customFormat="1" x14ac:dyDescent="0.25"/>
    <row r="66" s="1838" customFormat="1" x14ac:dyDescent="0.25"/>
    <row r="67" s="1838" customFormat="1" x14ac:dyDescent="0.25"/>
    <row r="68" s="1838" customFormat="1" x14ac:dyDescent="0.25"/>
    <row r="69" s="1838" customFormat="1" x14ac:dyDescent="0.25"/>
    <row r="70" s="1838" customFormat="1" x14ac:dyDescent="0.25"/>
    <row r="71" s="1838" customFormat="1" x14ac:dyDescent="0.25"/>
    <row r="72" s="1838" customFormat="1" x14ac:dyDescent="0.25"/>
    <row r="73" s="1838" customFormat="1" x14ac:dyDescent="0.25"/>
    <row r="74" s="1838" customFormat="1" x14ac:dyDescent="0.25"/>
    <row r="75" s="1838" customFormat="1" x14ac:dyDescent="0.25"/>
    <row r="76" s="1838" customFormat="1" x14ac:dyDescent="0.25"/>
    <row r="77" s="1838" customFormat="1" x14ac:dyDescent="0.25"/>
    <row r="78" s="1838" customFormat="1" x14ac:dyDescent="0.25"/>
    <row r="79" s="1838" customFormat="1" x14ac:dyDescent="0.25"/>
    <row r="80" s="1838" customFormat="1" x14ac:dyDescent="0.25"/>
    <row r="81" s="1838" customFormat="1" x14ac:dyDescent="0.25"/>
    <row r="82" s="1838" customFormat="1" x14ac:dyDescent="0.25"/>
    <row r="83" s="1838" customFormat="1" x14ac:dyDescent="0.25"/>
    <row r="84" s="1838" customFormat="1" x14ac:dyDescent="0.25"/>
    <row r="85" s="1838" customFormat="1" x14ac:dyDescent="0.25"/>
    <row r="86" s="1838" customFormat="1" x14ac:dyDescent="0.25"/>
    <row r="87" s="1838" customFormat="1" x14ac:dyDescent="0.25"/>
    <row r="88" s="1838" customFormat="1" x14ac:dyDescent="0.25"/>
    <row r="89" s="1838" customFormat="1" x14ac:dyDescent="0.25"/>
    <row r="90" s="1838" customFormat="1" x14ac:dyDescent="0.25"/>
    <row r="91" s="1838" customFormat="1" x14ac:dyDescent="0.25"/>
    <row r="92" s="1838" customFormat="1" x14ac:dyDescent="0.25"/>
    <row r="93" s="1838" customFormat="1" x14ac:dyDescent="0.25"/>
    <row r="94" s="1838" customFormat="1" x14ac:dyDescent="0.25"/>
    <row r="95" s="1838" customFormat="1" x14ac:dyDescent="0.25"/>
    <row r="96" s="1838" customFormat="1" x14ac:dyDescent="0.25"/>
    <row r="97" s="1838" customFormat="1" x14ac:dyDescent="0.25"/>
    <row r="98" s="1838" customFormat="1" x14ac:dyDescent="0.25"/>
    <row r="99" s="1838" customFormat="1" x14ac:dyDescent="0.25"/>
    <row r="100" s="1838" customFormat="1" x14ac:dyDescent="0.25"/>
    <row r="101" s="1838" customFormat="1" x14ac:dyDescent="0.25"/>
    <row r="102" s="1838" customFormat="1" x14ac:dyDescent="0.25"/>
    <row r="103" s="1838" customFormat="1" x14ac:dyDescent="0.25"/>
    <row r="104" s="1838" customFormat="1" x14ac:dyDescent="0.25"/>
  </sheetData>
  <mergeCells count="5">
    <mergeCell ref="A1:L1"/>
    <mergeCell ref="A2:L2"/>
    <mergeCell ref="E3:I3"/>
    <mergeCell ref="J3:L3"/>
    <mergeCell ref="O55:S5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46"/>
  <sheetViews>
    <sheetView workbookViewId="0">
      <selection activeCell="D11" sqref="D11"/>
    </sheetView>
  </sheetViews>
  <sheetFormatPr defaultColWidth="9.140625" defaultRowHeight="12.75" x14ac:dyDescent="0.2"/>
  <cols>
    <col min="1" max="1" width="5.42578125" style="1101" customWidth="1"/>
    <col min="2" max="2" width="51" style="1101" customWidth="1"/>
    <col min="3" max="3" width="31.140625" style="1101" customWidth="1"/>
    <col min="4" max="4" width="20.5703125" style="1164" customWidth="1"/>
    <col min="5" max="6" width="8.7109375" style="1101" hidden="1" customWidth="1"/>
    <col min="7" max="7" width="35.85546875" style="1101" customWidth="1"/>
    <col min="8" max="8" width="19.140625" style="1101" customWidth="1"/>
    <col min="9" max="9" width="70.85546875" style="1101" customWidth="1"/>
    <col min="10" max="10" width="10.7109375" style="1101" customWidth="1"/>
    <col min="11" max="11" width="13" style="1101" customWidth="1"/>
    <col min="12" max="16384" width="9.140625" style="1101"/>
  </cols>
  <sheetData>
    <row r="1" spans="1:15" ht="15.75" x14ac:dyDescent="0.2">
      <c r="E1" s="179"/>
      <c r="G1" s="301" t="s">
        <v>2411</v>
      </c>
    </row>
    <row r="2" spans="1:15" ht="21.6" customHeight="1" x14ac:dyDescent="0.2">
      <c r="A2" s="4052" t="s">
        <v>2973</v>
      </c>
      <c r="B2" s="4052"/>
      <c r="C2" s="4052"/>
      <c r="D2" s="4052"/>
      <c r="E2" s="4052"/>
      <c r="F2" s="4052"/>
      <c r="G2" s="4052"/>
    </row>
    <row r="3" spans="1:15" ht="27" customHeight="1" x14ac:dyDescent="0.2">
      <c r="A3" s="4042" t="str">
        <f>'Biêu so 01 2020'!A3:W3</f>
        <v>(Kèm theo Quyết định số         /QĐ-UBND ngày      tháng 4 năm 2026 của UBND xã Phong Quang)</v>
      </c>
      <c r="B3" s="4042"/>
      <c r="C3" s="4042"/>
      <c r="D3" s="4042"/>
      <c r="E3" s="4042"/>
      <c r="F3" s="4042"/>
      <c r="G3" s="4042"/>
    </row>
    <row r="4" spans="1:15" ht="15.75" x14ac:dyDescent="0.2">
      <c r="D4" s="1165"/>
      <c r="E4" s="1103"/>
      <c r="G4" s="1103" t="s">
        <v>147</v>
      </c>
    </row>
    <row r="5" spans="1:15" s="1106" customFormat="1" ht="42.75" x14ac:dyDescent="0.25">
      <c r="A5" s="1104" t="s">
        <v>844</v>
      </c>
      <c r="B5" s="1104" t="s">
        <v>845</v>
      </c>
      <c r="C5" s="1104" t="s">
        <v>2412</v>
      </c>
      <c r="D5" s="1166" t="s">
        <v>2413</v>
      </c>
      <c r="E5" s="1105" t="s">
        <v>2414</v>
      </c>
      <c r="F5" s="1105" t="s">
        <v>1267</v>
      </c>
      <c r="G5" s="1105" t="s">
        <v>915</v>
      </c>
      <c r="H5" s="1126"/>
      <c r="I5" s="1126"/>
      <c r="J5" s="1126"/>
      <c r="K5" s="1126"/>
      <c r="L5" s="1126"/>
      <c r="M5" s="1126"/>
      <c r="N5" s="1126"/>
      <c r="O5" s="1126"/>
    </row>
    <row r="6" spans="1:15" s="1106" customFormat="1" ht="15" x14ac:dyDescent="0.25">
      <c r="A6" s="1867">
        <v>1</v>
      </c>
      <c r="B6" s="1868" t="s">
        <v>2972</v>
      </c>
      <c r="C6" s="1869"/>
      <c r="D6" s="1870">
        <f>SUM(D7:D9)</f>
        <v>8569.2811899999997</v>
      </c>
      <c r="E6" s="1871">
        <f>SUM(E7:E7)</f>
        <v>2725</v>
      </c>
      <c r="F6" s="1871">
        <f>SUM(F7:F7)</f>
        <v>0</v>
      </c>
      <c r="G6" s="1871"/>
    </row>
    <row r="7" spans="1:15" s="1396" customFormat="1" ht="30" x14ac:dyDescent="0.25">
      <c r="A7" s="1872"/>
      <c r="B7" s="1873" t="s">
        <v>2415</v>
      </c>
      <c r="C7" s="1872" t="s">
        <v>2416</v>
      </c>
      <c r="D7" s="1874">
        <f>'CCTL 2021chuẩn'!D7</f>
        <v>2725</v>
      </c>
      <c r="E7" s="1875">
        <f>D7</f>
        <v>2725</v>
      </c>
      <c r="F7" s="1875"/>
      <c r="G7" s="1875"/>
      <c r="H7" s="1726"/>
      <c r="I7" s="1399"/>
      <c r="J7" s="1399"/>
      <c r="K7" s="1399"/>
      <c r="L7" s="1399"/>
      <c r="M7" s="1399"/>
      <c r="N7" s="1399"/>
      <c r="O7" s="1399"/>
    </row>
    <row r="8" spans="1:15" s="1396" customFormat="1" ht="15" x14ac:dyDescent="0.25">
      <c r="A8" s="1796"/>
      <c r="B8" s="1793" t="s">
        <v>2418</v>
      </c>
      <c r="C8" s="1796"/>
      <c r="D8" s="1794">
        <f>'CCTL 2021chuẩn'!D26</f>
        <v>5490.57</v>
      </c>
      <c r="E8" s="1795"/>
      <c r="F8" s="1795"/>
      <c r="G8" s="1795"/>
    </row>
    <row r="9" spans="1:15" s="1396" customFormat="1" ht="15" x14ac:dyDescent="0.25">
      <c r="A9" s="1796"/>
      <c r="B9" s="1793" t="s">
        <v>2419</v>
      </c>
      <c r="C9" s="1796"/>
      <c r="D9" s="1794">
        <f>344.18+'CCTL 2021chuẩn'!D29</f>
        <v>353.71118999999999</v>
      </c>
      <c r="E9" s="1795"/>
      <c r="F9" s="1795"/>
      <c r="G9" s="1795"/>
      <c r="H9" s="1727"/>
    </row>
    <row r="10" spans="1:15" s="1106" customFormat="1" ht="15" x14ac:dyDescent="0.25">
      <c r="A10" s="1797">
        <v>2</v>
      </c>
      <c r="B10" s="1798" t="s">
        <v>3056</v>
      </c>
      <c r="C10" s="1799"/>
      <c r="D10" s="1800">
        <f>SUM(D11:D14)</f>
        <v>9697.9642199999998</v>
      </c>
      <c r="E10" s="1801">
        <f>SUM(E11:E14)</f>
        <v>9233</v>
      </c>
      <c r="F10" s="1801">
        <f>SUM(F11:F14)</f>
        <v>-344.18437999999998</v>
      </c>
      <c r="G10" s="1801"/>
    </row>
    <row r="11" spans="1:15" s="1106" customFormat="1" ht="15" x14ac:dyDescent="0.25">
      <c r="A11" s="4050"/>
      <c r="B11" s="1790" t="s">
        <v>2420</v>
      </c>
      <c r="C11" s="4053" t="s">
        <v>2974</v>
      </c>
      <c r="D11" s="1791">
        <v>5968</v>
      </c>
      <c r="E11" s="1792">
        <f>D11</f>
        <v>5968</v>
      </c>
      <c r="F11" s="1792">
        <f>E11-D11</f>
        <v>0</v>
      </c>
      <c r="G11" s="1802"/>
      <c r="H11" s="1126"/>
      <c r="I11" s="1126"/>
      <c r="J11" s="1126"/>
      <c r="K11" s="1126"/>
      <c r="L11" s="1126"/>
      <c r="M11" s="1126"/>
      <c r="N11" s="1126"/>
      <c r="O11" s="1126"/>
    </row>
    <row r="12" spans="1:15" s="1106" customFormat="1" ht="15" x14ac:dyDescent="0.25">
      <c r="A12" s="4050"/>
      <c r="B12" s="1790" t="s">
        <v>2421</v>
      </c>
      <c r="C12" s="4053"/>
      <c r="D12" s="1791">
        <v>3265</v>
      </c>
      <c r="E12" s="1792">
        <f>D12</f>
        <v>3265</v>
      </c>
      <c r="F12" s="1792">
        <f>E12-D12</f>
        <v>0</v>
      </c>
      <c r="G12" s="1792"/>
      <c r="H12" s="1125">
        <f>'5.30'!D60</f>
        <v>5485.4607139999998</v>
      </c>
    </row>
    <row r="13" spans="1:15" s="1106" customFormat="1" ht="15" x14ac:dyDescent="0.25">
      <c r="A13" s="1803"/>
      <c r="B13" s="1790" t="s">
        <v>2422</v>
      </c>
      <c r="C13" s="1804" t="s">
        <v>2975</v>
      </c>
      <c r="D13" s="1865">
        <v>120.77983999999999</v>
      </c>
      <c r="E13" s="1792"/>
      <c r="F13" s="1792"/>
      <c r="G13" s="1792"/>
      <c r="H13" s="1125"/>
    </row>
    <row r="14" spans="1:15" s="1106" customFormat="1" ht="15" x14ac:dyDescent="0.25">
      <c r="A14" s="1803"/>
      <c r="B14" s="1790" t="s">
        <v>2424</v>
      </c>
      <c r="C14" s="1804"/>
      <c r="D14" s="1791">
        <v>344.18437999999998</v>
      </c>
      <c r="E14" s="1792"/>
      <c r="F14" s="1792">
        <f>E14-D14</f>
        <v>-344.18437999999998</v>
      </c>
      <c r="G14" s="1866"/>
      <c r="H14" s="1397"/>
    </row>
    <row r="15" spans="1:15" s="1106" customFormat="1" ht="15" x14ac:dyDescent="0.25">
      <c r="A15" s="1797">
        <v>3</v>
      </c>
      <c r="B15" s="1798" t="s">
        <v>2425</v>
      </c>
      <c r="C15" s="1799"/>
      <c r="D15" s="1800">
        <f>SUM(D16:D20)</f>
        <v>30828</v>
      </c>
      <c r="E15" s="1801">
        <f>SUM(E16:E20)</f>
        <v>30828</v>
      </c>
      <c r="F15" s="1801">
        <f ca="1">SUM(F15:F20)</f>
        <v>0</v>
      </c>
      <c r="G15" s="1801"/>
    </row>
    <row r="16" spans="1:15" s="1106" customFormat="1" ht="30" x14ac:dyDescent="0.25">
      <c r="A16" s="1803" t="s">
        <v>174</v>
      </c>
      <c r="B16" s="1790"/>
      <c r="C16" s="1807" t="s">
        <v>2974</v>
      </c>
      <c r="D16" s="1791">
        <v>30828</v>
      </c>
      <c r="E16" s="1792">
        <f>D16</f>
        <v>30828</v>
      </c>
      <c r="F16" s="1792"/>
      <c r="G16" s="1792"/>
    </row>
    <row r="17" spans="1:15" s="1106" customFormat="1" ht="15" x14ac:dyDescent="0.25">
      <c r="A17" s="1803" t="s">
        <v>796</v>
      </c>
      <c r="B17" s="1790"/>
      <c r="C17" s="1807" t="s">
        <v>2426</v>
      </c>
      <c r="D17" s="1791"/>
      <c r="E17" s="1792">
        <f>D17</f>
        <v>0</v>
      </c>
      <c r="F17" s="1792"/>
      <c r="G17" s="1792"/>
    </row>
    <row r="18" spans="1:15" s="1106" customFormat="1" ht="15" x14ac:dyDescent="0.25">
      <c r="A18" s="1803" t="s">
        <v>1493</v>
      </c>
      <c r="B18" s="1790"/>
      <c r="C18" s="1807" t="s">
        <v>2426</v>
      </c>
      <c r="D18" s="1791"/>
      <c r="E18" s="1792">
        <f>D18</f>
        <v>0</v>
      </c>
      <c r="F18" s="1792"/>
      <c r="G18" s="1792"/>
    </row>
    <row r="19" spans="1:15" s="1106" customFormat="1" ht="15" x14ac:dyDescent="0.25">
      <c r="A19" s="1803" t="s">
        <v>1492</v>
      </c>
      <c r="B19" s="1790"/>
      <c r="C19" s="1807" t="s">
        <v>2426</v>
      </c>
      <c r="D19" s="1791"/>
      <c r="E19" s="1792">
        <f>D19</f>
        <v>0</v>
      </c>
      <c r="F19" s="1792"/>
      <c r="G19" s="1792"/>
      <c r="H19" s="1126"/>
      <c r="I19" s="1126"/>
      <c r="J19" s="1155"/>
      <c r="K19" s="1126"/>
      <c r="L19" s="1126"/>
      <c r="M19" s="1126"/>
      <c r="N19" s="1126"/>
      <c r="O19" s="1126"/>
    </row>
    <row r="20" spans="1:15" s="1106" customFormat="1" ht="15" x14ac:dyDescent="0.25">
      <c r="A20" s="1803" t="s">
        <v>1494</v>
      </c>
      <c r="B20" s="1790"/>
      <c r="C20" s="1807" t="s">
        <v>2426</v>
      </c>
      <c r="D20" s="1791"/>
      <c r="E20" s="1792">
        <f>D20</f>
        <v>0</v>
      </c>
      <c r="F20" s="1792"/>
      <c r="G20" s="1792"/>
      <c r="H20" s="1126"/>
      <c r="I20" s="1126"/>
      <c r="J20" s="1126"/>
      <c r="K20" s="1126"/>
      <c r="L20" s="1126"/>
      <c r="M20" s="1126"/>
      <c r="N20" s="1126"/>
      <c r="O20" s="1126"/>
    </row>
    <row r="21" spans="1:15" s="1396" customFormat="1" ht="15" x14ac:dyDescent="0.25">
      <c r="A21" s="1796">
        <v>4</v>
      </c>
      <c r="B21" s="1793" t="s">
        <v>2427</v>
      </c>
      <c r="C21" s="1793"/>
      <c r="D21" s="1794">
        <v>3179.3718779999999</v>
      </c>
      <c r="E21" s="1795"/>
      <c r="F21" s="1795"/>
      <c r="G21" s="1795"/>
      <c r="H21" s="1404"/>
      <c r="I21" s="1399"/>
      <c r="J21" s="1399"/>
      <c r="K21" s="1399"/>
      <c r="L21" s="1399"/>
      <c r="M21" s="1399"/>
      <c r="N21" s="1399"/>
      <c r="O21" s="1399"/>
    </row>
    <row r="22" spans="1:15" s="1106" customFormat="1" ht="15" x14ac:dyDescent="0.25">
      <c r="A22" s="1803"/>
      <c r="B22" s="1790" t="s">
        <v>2428</v>
      </c>
      <c r="C22" s="1807"/>
      <c r="D22" s="1808">
        <v>1004.3261670000001</v>
      </c>
      <c r="E22" s="1792"/>
      <c r="F22" s="1792"/>
      <c r="G22" s="1792"/>
      <c r="H22" s="1126"/>
      <c r="I22" s="1126"/>
      <c r="J22" s="1126"/>
      <c r="K22" s="1126"/>
      <c r="L22" s="1126"/>
      <c r="M22" s="1126"/>
      <c r="N22" s="1126"/>
      <c r="O22" s="1126"/>
    </row>
    <row r="23" spans="1:15" s="1156" customFormat="1" ht="15" x14ac:dyDescent="0.25">
      <c r="A23" s="1797">
        <v>5</v>
      </c>
      <c r="B23" s="1809" t="s">
        <v>2976</v>
      </c>
      <c r="C23" s="1809"/>
      <c r="D23" s="1800">
        <f>D6+D10+D15+D21+D22</f>
        <v>53278.943455000001</v>
      </c>
      <c r="E23" s="1801">
        <f>E6+E10+E15</f>
        <v>42786</v>
      </c>
      <c r="F23" s="1801">
        <f>E23-D23</f>
        <v>-10492.943455000001</v>
      </c>
      <c r="G23" s="1801"/>
      <c r="H23" s="1394"/>
      <c r="J23" s="1157"/>
    </row>
    <row r="24" spans="1:15" s="1106" customFormat="1" ht="15" x14ac:dyDescent="0.25">
      <c r="A24" s="1797">
        <v>5</v>
      </c>
      <c r="B24" s="1809" t="s">
        <v>2367</v>
      </c>
      <c r="C24" s="1809"/>
      <c r="D24" s="1800">
        <f>D25</f>
        <v>40061</v>
      </c>
      <c r="E24" s="1801">
        <f>SUM(E25:E27)</f>
        <v>40061</v>
      </c>
      <c r="F24" s="1801">
        <f>SUM(F25:F27)</f>
        <v>0</v>
      </c>
      <c r="G24" s="1801"/>
      <c r="H24" s="1125"/>
    </row>
    <row r="25" spans="1:15" s="1106" customFormat="1" ht="15" x14ac:dyDescent="0.25">
      <c r="A25" s="1803" t="s">
        <v>2429</v>
      </c>
      <c r="B25" s="1790"/>
      <c r="C25" s="1807" t="s">
        <v>3080</v>
      </c>
      <c r="D25" s="1810">
        <v>40061</v>
      </c>
      <c r="E25" s="1811">
        <f>D25</f>
        <v>40061</v>
      </c>
      <c r="F25" s="1811">
        <f>E25-D25</f>
        <v>0</v>
      </c>
      <c r="G25" s="1811"/>
    </row>
    <row r="26" spans="1:15" s="1106" customFormat="1" ht="15" x14ac:dyDescent="0.25">
      <c r="A26" s="1812" t="s">
        <v>2433</v>
      </c>
      <c r="B26" s="1790"/>
      <c r="C26" s="1807"/>
      <c r="D26" s="1810"/>
      <c r="E26" s="1811">
        <f>D26</f>
        <v>0</v>
      </c>
      <c r="F26" s="1811">
        <f>E26-D26</f>
        <v>0</v>
      </c>
      <c r="G26" s="1813"/>
    </row>
    <row r="27" spans="1:15" ht="15" x14ac:dyDescent="0.2">
      <c r="A27" s="1812" t="s">
        <v>2434</v>
      </c>
      <c r="B27" s="1790"/>
      <c r="C27" s="1807"/>
      <c r="D27" s="1814"/>
      <c r="E27" s="1811">
        <f>D27</f>
        <v>0</v>
      </c>
      <c r="F27" s="1813"/>
      <c r="G27" s="1815"/>
    </row>
    <row r="28" spans="1:15" ht="15" x14ac:dyDescent="0.2">
      <c r="A28" s="1797">
        <v>6</v>
      </c>
      <c r="B28" s="1816" t="s">
        <v>2435</v>
      </c>
      <c r="C28" s="1816"/>
      <c r="D28" s="1800">
        <f>D23-D24</f>
        <v>13217.943455000001</v>
      </c>
      <c r="E28" s="1801">
        <f>E23-E24</f>
        <v>2725</v>
      </c>
      <c r="F28" s="1801">
        <f>E28-D28</f>
        <v>-10492.943455000001</v>
      </c>
      <c r="G28" s="1817"/>
      <c r="H28" s="1154"/>
      <c r="J28" s="1395"/>
    </row>
    <row r="29" spans="1:15" ht="30" x14ac:dyDescent="0.2">
      <c r="A29" s="4050"/>
      <c r="B29" s="1818" t="s">
        <v>2436</v>
      </c>
      <c r="C29" s="1804" t="s">
        <v>2437</v>
      </c>
      <c r="D29" s="1791"/>
      <c r="E29" s="1792">
        <f>D29</f>
        <v>0</v>
      </c>
      <c r="F29" s="1792"/>
      <c r="G29" s="1819"/>
      <c r="H29" s="1154"/>
    </row>
    <row r="30" spans="1:15" ht="15" x14ac:dyDescent="0.2">
      <c r="A30" s="4050"/>
      <c r="B30" s="1818" t="s">
        <v>2438</v>
      </c>
      <c r="C30" s="1804"/>
      <c r="D30" s="1794"/>
      <c r="E30" s="1792">
        <f>D30</f>
        <v>0</v>
      </c>
      <c r="F30" s="1792"/>
      <c r="G30" s="1819"/>
    </row>
    <row r="31" spans="1:15" ht="15" x14ac:dyDescent="0.2">
      <c r="A31" s="4050"/>
      <c r="B31" s="1818" t="s">
        <v>2439</v>
      </c>
      <c r="C31" s="1804"/>
      <c r="D31" s="1791"/>
      <c r="E31" s="1792">
        <f>E28-E29-E30-E33-E32</f>
        <v>2371.2844299999997</v>
      </c>
      <c r="F31" s="1792">
        <f>E31-D31</f>
        <v>2371.2844299999997</v>
      </c>
      <c r="G31" s="1819"/>
      <c r="H31" s="1154"/>
    </row>
    <row r="32" spans="1:15" ht="15" x14ac:dyDescent="0.2">
      <c r="A32" s="4050"/>
      <c r="B32" s="1818" t="s">
        <v>2440</v>
      </c>
      <c r="C32" s="1804"/>
      <c r="D32" s="1791">
        <v>9.5311900000000005</v>
      </c>
      <c r="E32" s="1792">
        <f>D32</f>
        <v>9.5311900000000005</v>
      </c>
      <c r="F32" s="1792"/>
      <c r="G32" s="1819"/>
      <c r="H32" s="1407"/>
    </row>
    <row r="33" spans="1:8" ht="15" x14ac:dyDescent="0.2">
      <c r="A33" s="4051"/>
      <c r="B33" s="1820" t="s">
        <v>2441</v>
      </c>
      <c r="C33" s="1821"/>
      <c r="D33" s="1822">
        <v>344.18437999999998</v>
      </c>
      <c r="E33" s="1823">
        <f>D33</f>
        <v>344.18437999999998</v>
      </c>
      <c r="F33" s="1823"/>
      <c r="G33" s="1824"/>
      <c r="H33" s="1407"/>
    </row>
    <row r="34" spans="1:8" x14ac:dyDescent="0.2">
      <c r="D34" s="1167"/>
      <c r="H34" s="1405"/>
    </row>
    <row r="35" spans="1:8" x14ac:dyDescent="0.2">
      <c r="D35" s="1167"/>
      <c r="H35" s="1405"/>
    </row>
    <row r="36" spans="1:8" s="1338" customFormat="1" ht="15" x14ac:dyDescent="0.2">
      <c r="C36" s="4039" t="s">
        <v>2480</v>
      </c>
      <c r="D36" s="4039"/>
      <c r="E36" s="4039"/>
      <c r="F36" s="4039"/>
      <c r="G36" s="4039"/>
      <c r="H36" s="1406"/>
    </row>
    <row r="37" spans="1:8" s="1338" customFormat="1" ht="15.75" x14ac:dyDescent="0.2">
      <c r="C37" s="4040" t="s">
        <v>1442</v>
      </c>
      <c r="D37" s="4040"/>
      <c r="E37" s="4040"/>
      <c r="F37" s="4040"/>
      <c r="G37" s="4040"/>
    </row>
    <row r="38" spans="1:8" s="1338" customFormat="1" ht="15.75" x14ac:dyDescent="0.2">
      <c r="D38" s="4040" t="s">
        <v>807</v>
      </c>
      <c r="E38" s="4040"/>
      <c r="F38" s="4040"/>
      <c r="H38" s="1338">
        <v>379474000</v>
      </c>
    </row>
    <row r="39" spans="1:8" s="1338" customFormat="1" ht="15.75" x14ac:dyDescent="0.2">
      <c r="D39" s="1332"/>
      <c r="E39" s="1333"/>
      <c r="F39" s="1334"/>
    </row>
    <row r="40" spans="1:8" s="1338" customFormat="1" ht="15.75" x14ac:dyDescent="0.2">
      <c r="B40" s="1338" t="s">
        <v>2585</v>
      </c>
      <c r="D40" s="1332"/>
      <c r="E40" s="1333"/>
      <c r="F40" s="1334"/>
    </row>
    <row r="41" spans="1:8" s="1338" customFormat="1" ht="15.75" x14ac:dyDescent="0.2">
      <c r="D41" s="1332"/>
      <c r="E41" s="1333"/>
      <c r="F41" s="1334"/>
    </row>
    <row r="42" spans="1:8" s="1338" customFormat="1" ht="15.75" x14ac:dyDescent="0.2">
      <c r="D42" s="1332"/>
      <c r="E42" s="1333"/>
      <c r="F42" s="1332"/>
    </row>
    <row r="43" spans="1:8" s="1338" customFormat="1" ht="15.75" x14ac:dyDescent="0.2">
      <c r="D43" s="1332"/>
      <c r="E43" s="1333"/>
      <c r="F43" s="1332"/>
    </row>
    <row r="44" spans="1:8" s="1338" customFormat="1" ht="15" x14ac:dyDescent="0.2">
      <c r="D44" s="1333"/>
      <c r="E44" s="1333"/>
      <c r="F44" s="1333"/>
    </row>
    <row r="45" spans="1:8" s="1338" customFormat="1" ht="15.75" x14ac:dyDescent="0.2">
      <c r="C45" s="4041" t="s">
        <v>808</v>
      </c>
      <c r="D45" s="4041"/>
      <c r="E45" s="4041"/>
      <c r="F45" s="4041"/>
      <c r="G45" s="4041"/>
    </row>
    <row r="46" spans="1:8" s="1338" customFormat="1" x14ac:dyDescent="0.2">
      <c r="D46" s="1339"/>
    </row>
  </sheetData>
  <mergeCells count="9">
    <mergeCell ref="C45:G45"/>
    <mergeCell ref="A11:A12"/>
    <mergeCell ref="C11:C12"/>
    <mergeCell ref="A29:A33"/>
    <mergeCell ref="A2:G2"/>
    <mergeCell ref="D38:F38"/>
    <mergeCell ref="A3:G3"/>
    <mergeCell ref="C37:G37"/>
    <mergeCell ref="C36:G36"/>
  </mergeCells>
  <pageMargins left="0.70866141732283472" right="0.70866141732283472" top="0.74803149606299213" bottom="0.74803149606299213" header="0.31496062992125984" footer="0.31496062992125984"/>
  <pageSetup paperSize="9" scale="8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L50"/>
  <sheetViews>
    <sheetView workbookViewId="0">
      <pane xSplit="2" ySplit="2" topLeftCell="C3" activePane="bottomRight" state="frozen"/>
      <selection pane="topRight" activeCell="C1" sqref="C1"/>
      <selection pane="bottomLeft" activeCell="A3" sqref="A3"/>
      <selection pane="bottomRight" activeCell="B23" sqref="B23:B26"/>
    </sheetView>
  </sheetViews>
  <sheetFormatPr defaultColWidth="8.85546875" defaultRowHeight="12.75" x14ac:dyDescent="0.2"/>
  <cols>
    <col min="1" max="1" width="4.28515625" style="615" customWidth="1"/>
    <col min="2" max="2" width="56.42578125" style="615" customWidth="1"/>
    <col min="3" max="3" width="9.85546875" style="720" customWidth="1"/>
    <col min="4" max="4" width="15.5703125" style="720" customWidth="1"/>
    <col min="5" max="5" width="10.7109375" style="720" customWidth="1"/>
    <col min="6" max="6" width="12.7109375" style="720" customWidth="1"/>
    <col min="7" max="7" width="9.28515625" style="720" customWidth="1"/>
    <col min="8" max="8" width="15.7109375" style="720" customWidth="1"/>
    <col min="9" max="9" width="10" style="720" customWidth="1"/>
    <col min="10" max="10" width="15.7109375" style="720" customWidth="1"/>
    <col min="11" max="11" width="11.28515625" style="720" bestFit="1" customWidth="1"/>
    <col min="12" max="16384" width="8.85546875" style="615"/>
  </cols>
  <sheetData>
    <row r="1" spans="1:12" x14ac:dyDescent="0.2">
      <c r="A1" s="4059" t="s">
        <v>844</v>
      </c>
      <c r="B1" s="4059" t="s">
        <v>845</v>
      </c>
      <c r="C1" s="4061" t="s">
        <v>2755</v>
      </c>
      <c r="D1" s="4062"/>
      <c r="E1" s="4063"/>
      <c r="F1" s="4061" t="s">
        <v>2599</v>
      </c>
      <c r="G1" s="4062"/>
      <c r="H1" s="4063"/>
      <c r="I1" s="4061" t="s">
        <v>2758</v>
      </c>
      <c r="J1" s="4062"/>
      <c r="K1" s="4063"/>
      <c r="L1" s="1653"/>
    </row>
    <row r="2" spans="1:12" s="587" customFormat="1" x14ac:dyDescent="0.2">
      <c r="A2" s="4060"/>
      <c r="B2" s="4060"/>
      <c r="C2" s="1685" t="s">
        <v>1580</v>
      </c>
      <c r="D2" s="1685" t="s">
        <v>2726</v>
      </c>
      <c r="E2" s="1685" t="s">
        <v>1712</v>
      </c>
      <c r="F2" s="1685" t="s">
        <v>1580</v>
      </c>
      <c r="G2" s="1184" t="s">
        <v>2726</v>
      </c>
      <c r="H2" s="1184" t="s">
        <v>1712</v>
      </c>
      <c r="I2" s="1184" t="s">
        <v>1580</v>
      </c>
      <c r="J2" s="1184" t="s">
        <v>2726</v>
      </c>
      <c r="K2" s="1184" t="s">
        <v>1712</v>
      </c>
    </row>
    <row r="3" spans="1:12" s="587" customFormat="1" x14ac:dyDescent="0.2">
      <c r="A3" s="1654" t="s">
        <v>849</v>
      </c>
      <c r="B3" s="1654" t="s">
        <v>457</v>
      </c>
      <c r="C3" s="1684"/>
      <c r="D3" s="1684"/>
      <c r="E3" s="1684"/>
      <c r="F3" s="1684"/>
      <c r="G3" s="1684"/>
      <c r="H3" s="1684"/>
      <c r="I3" s="1684"/>
      <c r="J3" s="1684"/>
      <c r="K3" s="1684"/>
    </row>
    <row r="4" spans="1:12" s="587" customFormat="1" x14ac:dyDescent="0.2">
      <c r="A4" s="1670" t="s">
        <v>866</v>
      </c>
      <c r="B4" s="594" t="s">
        <v>2730</v>
      </c>
      <c r="C4" s="1664"/>
      <c r="D4" s="1664"/>
      <c r="E4" s="1664"/>
      <c r="F4" s="1664"/>
      <c r="G4" s="1664"/>
      <c r="H4" s="1664"/>
      <c r="I4" s="1664"/>
      <c r="J4" s="1664"/>
      <c r="K4" s="1664"/>
    </row>
    <row r="5" spans="1:12" s="587" customFormat="1" x14ac:dyDescent="0.2">
      <c r="A5" s="1670" t="s">
        <v>1317</v>
      </c>
      <c r="B5" s="594" t="s">
        <v>707</v>
      </c>
      <c r="C5" s="1664">
        <f t="shared" ref="C5:H5" si="0">C6+C9</f>
        <v>2281.9611580000001</v>
      </c>
      <c r="D5" s="1664">
        <f t="shared" si="0"/>
        <v>0</v>
      </c>
      <c r="E5" s="1664">
        <f t="shared" si="0"/>
        <v>2281.9611580000001</v>
      </c>
      <c r="F5" s="1664">
        <f t="shared" si="0"/>
        <v>2263.8791209999999</v>
      </c>
      <c r="G5" s="1664">
        <f t="shared" si="0"/>
        <v>0</v>
      </c>
      <c r="H5" s="1664">
        <f t="shared" si="0"/>
        <v>2263.8791209999999</v>
      </c>
      <c r="I5" s="1664"/>
      <c r="J5" s="1664"/>
      <c r="K5" s="1664"/>
    </row>
    <row r="6" spans="1:12" s="1705" customFormat="1" x14ac:dyDescent="0.2">
      <c r="A6" s="1702">
        <v>1</v>
      </c>
      <c r="B6" s="1703" t="s">
        <v>654</v>
      </c>
      <c r="C6" s="1704">
        <f t="shared" ref="C6:H6" si="1">C7+C8</f>
        <v>1557.3117549999999</v>
      </c>
      <c r="D6" s="1704">
        <f t="shared" si="1"/>
        <v>0</v>
      </c>
      <c r="E6" s="1704">
        <f t="shared" si="1"/>
        <v>1557.3117549999999</v>
      </c>
      <c r="F6" s="1704">
        <f t="shared" si="1"/>
        <v>1544.5026210000001</v>
      </c>
      <c r="G6" s="1704">
        <f t="shared" si="1"/>
        <v>0</v>
      </c>
      <c r="H6" s="1704">
        <f t="shared" si="1"/>
        <v>1544.5026210000001</v>
      </c>
      <c r="I6" s="1704"/>
      <c r="J6" s="1704"/>
      <c r="K6" s="1704"/>
    </row>
    <row r="7" spans="1:12" s="587" customFormat="1" x14ac:dyDescent="0.2">
      <c r="A7" s="1670" t="s">
        <v>851</v>
      </c>
      <c r="B7" s="1533" t="s">
        <v>2762</v>
      </c>
      <c r="C7" s="734">
        <f>D7+E7</f>
        <v>1300</v>
      </c>
      <c r="D7" s="734"/>
      <c r="E7" s="734">
        <v>1300</v>
      </c>
      <c r="F7" s="1657">
        <f>G7+H7</f>
        <v>1300</v>
      </c>
      <c r="G7" s="734"/>
      <c r="H7" s="734">
        <v>1300</v>
      </c>
      <c r="I7" s="734"/>
      <c r="J7" s="1655"/>
      <c r="K7" s="1655"/>
    </row>
    <row r="8" spans="1:12" s="587" customFormat="1" x14ac:dyDescent="0.2">
      <c r="A8" s="1670" t="s">
        <v>897</v>
      </c>
      <c r="B8" s="594" t="s">
        <v>2763</v>
      </c>
      <c r="C8" s="734">
        <f>D8+E8</f>
        <v>257.31175500000001</v>
      </c>
      <c r="D8" s="1664"/>
      <c r="E8" s="1664">
        <v>257.31175500000001</v>
      </c>
      <c r="F8" s="1657">
        <f>G8+H8</f>
        <v>244.502621</v>
      </c>
      <c r="G8" s="1664"/>
      <c r="H8" s="1664">
        <v>244.502621</v>
      </c>
      <c r="I8" s="1664"/>
      <c r="J8" s="1664"/>
      <c r="K8" s="1664"/>
    </row>
    <row r="9" spans="1:12" s="587" customFormat="1" x14ac:dyDescent="0.2">
      <c r="A9" s="1670">
        <v>2</v>
      </c>
      <c r="B9" s="594" t="s">
        <v>652</v>
      </c>
      <c r="C9" s="1664">
        <f>C10</f>
        <v>724.64940300000001</v>
      </c>
      <c r="D9" s="1664">
        <f t="shared" ref="D9:H10" si="2">D10</f>
        <v>0</v>
      </c>
      <c r="E9" s="1664">
        <f t="shared" si="2"/>
        <v>724.64940300000001</v>
      </c>
      <c r="F9" s="1664">
        <f t="shared" si="2"/>
        <v>719.37649999999996</v>
      </c>
      <c r="G9" s="1664">
        <f t="shared" si="2"/>
        <v>0</v>
      </c>
      <c r="H9" s="1664">
        <f t="shared" si="2"/>
        <v>719.37649999999996</v>
      </c>
      <c r="I9" s="1664"/>
      <c r="J9" s="1667"/>
      <c r="K9" s="1667"/>
    </row>
    <row r="10" spans="1:12" s="587" customFormat="1" x14ac:dyDescent="0.2">
      <c r="A10" s="1670" t="s">
        <v>902</v>
      </c>
      <c r="B10" s="595" t="s">
        <v>707</v>
      </c>
      <c r="C10" s="734">
        <f>C11</f>
        <v>724.64940300000001</v>
      </c>
      <c r="D10" s="734">
        <f t="shared" si="2"/>
        <v>0</v>
      </c>
      <c r="E10" s="734">
        <f t="shared" si="2"/>
        <v>724.64940300000001</v>
      </c>
      <c r="F10" s="734">
        <f t="shared" si="2"/>
        <v>719.37649999999996</v>
      </c>
      <c r="G10" s="734">
        <f t="shared" si="2"/>
        <v>0</v>
      </c>
      <c r="H10" s="734">
        <f t="shared" si="2"/>
        <v>719.37649999999996</v>
      </c>
      <c r="I10" s="1664"/>
      <c r="J10" s="1664"/>
      <c r="K10" s="1664"/>
      <c r="L10" s="1664"/>
    </row>
    <row r="11" spans="1:12" x14ac:dyDescent="0.2">
      <c r="A11" s="1533" t="s">
        <v>903</v>
      </c>
      <c r="B11" s="595" t="s">
        <v>2764</v>
      </c>
      <c r="C11" s="734">
        <f t="shared" ref="C11:C21" si="3">D11+E11</f>
        <v>724.64940300000001</v>
      </c>
      <c r="D11" s="734"/>
      <c r="E11" s="734">
        <v>724.64940300000001</v>
      </c>
      <c r="F11" s="1657">
        <f t="shared" ref="F11:F21" si="4">G11+H11</f>
        <v>719.37649999999996</v>
      </c>
      <c r="G11" s="734"/>
      <c r="H11" s="734">
        <v>719.37649999999996</v>
      </c>
      <c r="I11" s="734"/>
      <c r="J11" s="1655"/>
      <c r="K11" s="1655"/>
    </row>
    <row r="12" spans="1:12" s="587" customFormat="1" x14ac:dyDescent="0.2">
      <c r="A12" s="1670" t="s">
        <v>1317</v>
      </c>
      <c r="B12" s="1670" t="s">
        <v>1471</v>
      </c>
      <c r="C12" s="1664">
        <f t="shared" ref="C12:H12" si="5">C13+C14+C15+C23</f>
        <v>5460.5588110000008</v>
      </c>
      <c r="D12" s="1664">
        <f t="shared" si="5"/>
        <v>1167.8024</v>
      </c>
      <c r="E12" s="1664">
        <f t="shared" si="5"/>
        <v>4292.7564110000003</v>
      </c>
      <c r="F12" s="1664">
        <f t="shared" si="5"/>
        <v>5431.1043360000003</v>
      </c>
      <c r="G12" s="1664">
        <f t="shared" si="5"/>
        <v>1167.8024</v>
      </c>
      <c r="H12" s="1664">
        <f t="shared" si="5"/>
        <v>4263.3019359999998</v>
      </c>
      <c r="I12" s="1664"/>
      <c r="J12" s="1667"/>
      <c r="K12" s="1667"/>
    </row>
    <row r="13" spans="1:12" ht="18.600000000000001" customHeight="1" x14ac:dyDescent="0.2">
      <c r="A13" s="1533">
        <v>1</v>
      </c>
      <c r="B13" s="1533" t="s">
        <v>654</v>
      </c>
      <c r="C13" s="734">
        <f t="shared" si="3"/>
        <v>3271.8535109999998</v>
      </c>
      <c r="D13" s="734"/>
      <c r="E13" s="734">
        <f>3296.853511-25</f>
        <v>3271.8535109999998</v>
      </c>
      <c r="F13" s="734">
        <f t="shared" si="4"/>
        <v>3245.6682110000002</v>
      </c>
      <c r="G13" s="734"/>
      <c r="H13" s="734">
        <f>3270.668211-25</f>
        <v>3245.6682110000002</v>
      </c>
      <c r="I13" s="734"/>
      <c r="J13" s="1655"/>
      <c r="K13" s="1655"/>
    </row>
    <row r="14" spans="1:12" ht="18.600000000000001" customHeight="1" x14ac:dyDescent="0.2">
      <c r="A14" s="1533">
        <v>2</v>
      </c>
      <c r="B14" s="1533" t="s">
        <v>652</v>
      </c>
      <c r="C14" s="734">
        <f t="shared" si="3"/>
        <v>502.90290000000005</v>
      </c>
      <c r="D14" s="734"/>
      <c r="E14" s="734">
        <f>537.9029-35</f>
        <v>502.90290000000005</v>
      </c>
      <c r="F14" s="1657">
        <f t="shared" si="4"/>
        <v>502.90290000000005</v>
      </c>
      <c r="G14" s="734"/>
      <c r="H14" s="734">
        <f>537.9029-35</f>
        <v>502.90290000000005</v>
      </c>
      <c r="I14" s="734"/>
      <c r="J14" s="1655"/>
      <c r="K14" s="1655"/>
    </row>
    <row r="15" spans="1:12" s="587" customFormat="1" ht="18.600000000000001" customHeight="1" x14ac:dyDescent="0.2">
      <c r="A15" s="1670"/>
      <c r="B15" s="1670" t="s">
        <v>2903</v>
      </c>
      <c r="C15" s="1664">
        <f t="shared" ref="C15:H15" si="6">SUM(C16:C21)</f>
        <v>648</v>
      </c>
      <c r="D15" s="1664">
        <f t="shared" si="6"/>
        <v>130</v>
      </c>
      <c r="E15" s="1664">
        <f t="shared" si="6"/>
        <v>518</v>
      </c>
      <c r="F15" s="1664">
        <f t="shared" si="6"/>
        <v>644.73082499999998</v>
      </c>
      <c r="G15" s="1664">
        <f t="shared" si="6"/>
        <v>130</v>
      </c>
      <c r="H15" s="1664">
        <f t="shared" si="6"/>
        <v>514.73082499999998</v>
      </c>
      <c r="I15" s="1664"/>
      <c r="J15" s="1667"/>
      <c r="K15" s="1667"/>
    </row>
    <row r="16" spans="1:12" x14ac:dyDescent="0.2">
      <c r="A16" s="1533">
        <v>1</v>
      </c>
      <c r="B16" s="1533" t="s">
        <v>645</v>
      </c>
      <c r="C16" s="734">
        <f t="shared" si="3"/>
        <v>248</v>
      </c>
      <c r="D16" s="734"/>
      <c r="E16" s="734">
        <v>248</v>
      </c>
      <c r="F16" s="734">
        <f t="shared" si="4"/>
        <v>245.59899999999999</v>
      </c>
      <c r="G16" s="734"/>
      <c r="H16" s="734">
        <v>245.59899999999999</v>
      </c>
      <c r="I16" s="734"/>
      <c r="J16" s="734"/>
      <c r="K16" s="734"/>
    </row>
    <row r="17" spans="1:11" x14ac:dyDescent="0.2">
      <c r="A17" s="1533">
        <v>2</v>
      </c>
      <c r="B17" s="1533" t="s">
        <v>655</v>
      </c>
      <c r="C17" s="734">
        <f t="shared" si="3"/>
        <v>200</v>
      </c>
      <c r="D17" s="734"/>
      <c r="E17" s="734">
        <v>200</v>
      </c>
      <c r="F17" s="734">
        <f t="shared" si="4"/>
        <v>199.13182499999999</v>
      </c>
      <c r="G17" s="734"/>
      <c r="H17" s="734">
        <v>199.13182499999999</v>
      </c>
      <c r="I17" s="734"/>
      <c r="J17" s="1655"/>
      <c r="K17" s="1655"/>
    </row>
    <row r="18" spans="1:11" x14ac:dyDescent="0.2">
      <c r="A18" s="1533">
        <v>3</v>
      </c>
      <c r="B18" s="1533" t="s">
        <v>654</v>
      </c>
      <c r="C18" s="734">
        <f t="shared" si="3"/>
        <v>25</v>
      </c>
      <c r="D18" s="734"/>
      <c r="E18" s="734">
        <v>25</v>
      </c>
      <c r="F18" s="734">
        <f t="shared" si="4"/>
        <v>25</v>
      </c>
      <c r="G18" s="734"/>
      <c r="H18" s="734">
        <v>25</v>
      </c>
      <c r="I18" s="734"/>
      <c r="J18" s="1655"/>
      <c r="K18" s="1655"/>
    </row>
    <row r="19" spans="1:11" x14ac:dyDescent="0.2">
      <c r="A19" s="1533">
        <v>4</v>
      </c>
      <c r="B19" s="1533" t="s">
        <v>652</v>
      </c>
      <c r="C19" s="734">
        <f t="shared" si="3"/>
        <v>35</v>
      </c>
      <c r="D19" s="734"/>
      <c r="E19" s="734">
        <v>35</v>
      </c>
      <c r="F19" s="734">
        <f t="shared" si="4"/>
        <v>35</v>
      </c>
      <c r="G19" s="734"/>
      <c r="H19" s="734">
        <v>35</v>
      </c>
      <c r="I19" s="734"/>
      <c r="J19" s="1655"/>
      <c r="K19" s="1655"/>
    </row>
    <row r="20" spans="1:11" x14ac:dyDescent="0.2">
      <c r="A20" s="1533">
        <v>5</v>
      </c>
      <c r="B20" s="595" t="s">
        <v>650</v>
      </c>
      <c r="C20" s="734">
        <f t="shared" si="3"/>
        <v>10</v>
      </c>
      <c r="D20" s="734"/>
      <c r="E20" s="734">
        <v>10</v>
      </c>
      <c r="F20" s="734">
        <f t="shared" si="4"/>
        <v>10</v>
      </c>
      <c r="G20" s="734"/>
      <c r="H20" s="734">
        <v>10</v>
      </c>
      <c r="I20" s="734"/>
      <c r="J20" s="1655"/>
      <c r="K20" s="1655"/>
    </row>
    <row r="21" spans="1:11" x14ac:dyDescent="0.2">
      <c r="A21" s="1533">
        <v>6</v>
      </c>
      <c r="B21" s="1533" t="s">
        <v>2904</v>
      </c>
      <c r="C21" s="734">
        <f t="shared" si="3"/>
        <v>130</v>
      </c>
      <c r="D21" s="734">
        <v>130</v>
      </c>
      <c r="E21" s="734"/>
      <c r="F21" s="734">
        <f t="shared" si="4"/>
        <v>130</v>
      </c>
      <c r="G21" s="734">
        <v>130</v>
      </c>
      <c r="H21" s="734"/>
      <c r="I21" s="734"/>
      <c r="J21" s="734"/>
      <c r="K21" s="734"/>
    </row>
    <row r="22" spans="1:11" x14ac:dyDescent="0.2">
      <c r="A22" s="1533"/>
      <c r="B22" s="1533" t="s">
        <v>2905</v>
      </c>
      <c r="C22" s="734"/>
      <c r="D22" s="734"/>
      <c r="E22" s="734"/>
      <c r="F22" s="1657"/>
      <c r="G22" s="734"/>
      <c r="H22" s="734"/>
      <c r="I22" s="734"/>
      <c r="J22" s="1655"/>
      <c r="K22" s="1655"/>
    </row>
    <row r="23" spans="1:11" s="587" customFormat="1" x14ac:dyDescent="0.2">
      <c r="A23" s="1670"/>
      <c r="B23" s="1670" t="s">
        <v>2906</v>
      </c>
      <c r="C23" s="1664">
        <f>D23+E23</f>
        <v>1037.8024</v>
      </c>
      <c r="D23" s="1664">
        <v>1037.8024</v>
      </c>
      <c r="E23" s="1664"/>
      <c r="F23" s="1664">
        <f>G23</f>
        <v>1037.8024</v>
      </c>
      <c r="G23" s="1664">
        <v>1037.8024</v>
      </c>
      <c r="H23" s="1664"/>
      <c r="I23" s="1664"/>
      <c r="J23" s="1664"/>
      <c r="K23" s="1664"/>
    </row>
    <row r="24" spans="1:11" x14ac:dyDescent="0.2">
      <c r="A24" s="1533"/>
      <c r="B24" s="1533"/>
      <c r="C24" s="734"/>
      <c r="D24" s="734"/>
      <c r="E24" s="734"/>
      <c r="F24" s="1657"/>
      <c r="G24" s="734"/>
      <c r="H24" s="734"/>
      <c r="I24" s="734"/>
      <c r="J24" s="1655"/>
      <c r="K24" s="1655"/>
    </row>
    <row r="25" spans="1:11" s="587" customFormat="1" ht="13.5" x14ac:dyDescent="0.25">
      <c r="A25" s="1670"/>
      <c r="B25" s="1670"/>
      <c r="C25" s="1664"/>
      <c r="D25" s="1664"/>
      <c r="E25" s="1664"/>
      <c r="F25" s="1671"/>
      <c r="G25" s="1664"/>
      <c r="H25" s="1664"/>
      <c r="I25" s="1664"/>
      <c r="J25" s="1667"/>
      <c r="K25" s="1667"/>
    </row>
    <row r="26" spans="1:11" x14ac:dyDescent="0.2">
      <c r="A26" s="1533"/>
      <c r="B26" s="1533"/>
      <c r="C26" s="734"/>
      <c r="D26" s="734"/>
      <c r="E26" s="734"/>
      <c r="F26" s="1657"/>
      <c r="G26" s="734"/>
      <c r="H26" s="734"/>
      <c r="I26" s="734"/>
      <c r="J26" s="1655"/>
      <c r="K26" s="1655"/>
    </row>
    <row r="27" spans="1:11" x14ac:dyDescent="0.2">
      <c r="A27" s="1533"/>
      <c r="B27" s="1533"/>
      <c r="C27" s="734"/>
      <c r="D27" s="734"/>
      <c r="E27" s="734"/>
      <c r="F27" s="1657"/>
      <c r="G27" s="734"/>
      <c r="H27" s="734"/>
      <c r="I27" s="734"/>
      <c r="J27" s="734"/>
      <c r="K27" s="1672"/>
    </row>
    <row r="28" spans="1:11" x14ac:dyDescent="0.2">
      <c r="A28" s="1533"/>
      <c r="B28" s="1533"/>
      <c r="C28" s="734"/>
      <c r="D28" s="734"/>
      <c r="E28" s="734"/>
      <c r="F28" s="1827">
        <f>F16+F17</f>
        <v>444.73082499999998</v>
      </c>
      <c r="G28" s="734"/>
      <c r="H28" s="734"/>
      <c r="I28" s="734"/>
      <c r="J28" s="734"/>
      <c r="K28" s="1672"/>
    </row>
    <row r="29" spans="1:11" x14ac:dyDescent="0.2">
      <c r="A29" s="1673"/>
      <c r="B29" s="1673"/>
      <c r="C29" s="1674"/>
      <c r="D29" s="1674"/>
      <c r="E29" s="1674"/>
      <c r="F29" s="1674"/>
      <c r="G29" s="1674"/>
      <c r="H29" s="1674"/>
      <c r="I29" s="1674"/>
      <c r="J29" s="1674"/>
      <c r="K29" s="1675"/>
    </row>
    <row r="30" spans="1:11" x14ac:dyDescent="0.2">
      <c r="K30" s="1676"/>
    </row>
    <row r="34" spans="1:12" ht="15" x14ac:dyDescent="0.25">
      <c r="D34" s="1534">
        <v>537902900</v>
      </c>
      <c r="E34" s="1534" t="s">
        <v>2907</v>
      </c>
    </row>
    <row r="35" spans="1:12" ht="15" x14ac:dyDescent="0.25">
      <c r="D35" s="1534">
        <v>3270668211</v>
      </c>
      <c r="E35" s="1534" t="s">
        <v>2908</v>
      </c>
    </row>
    <row r="36" spans="1:12" s="720" customFormat="1" ht="15" x14ac:dyDescent="0.25">
      <c r="A36" s="615"/>
      <c r="B36" s="615"/>
      <c r="D36" s="1534">
        <v>1037802400</v>
      </c>
      <c r="E36" s="1169" t="s">
        <v>2909</v>
      </c>
      <c r="L36" s="615"/>
    </row>
    <row r="37" spans="1:12" s="720" customFormat="1" ht="15" x14ac:dyDescent="0.25">
      <c r="A37" s="615"/>
      <c r="B37" s="615"/>
      <c r="D37" s="1534">
        <v>10000000</v>
      </c>
      <c r="E37" s="1169" t="s">
        <v>2910</v>
      </c>
      <c r="L37" s="615"/>
    </row>
    <row r="38" spans="1:12" s="720" customFormat="1" ht="15" x14ac:dyDescent="0.25">
      <c r="A38" s="615"/>
      <c r="B38" s="615"/>
      <c r="D38" s="1534">
        <v>199131825</v>
      </c>
      <c r="E38" s="1169" t="s">
        <v>2911</v>
      </c>
      <c r="L38" s="615"/>
    </row>
    <row r="39" spans="1:12" s="720" customFormat="1" ht="15" x14ac:dyDescent="0.25">
      <c r="A39" s="615"/>
      <c r="B39" s="615"/>
      <c r="D39" s="1534">
        <v>245599000</v>
      </c>
      <c r="E39" s="1169" t="s">
        <v>2912</v>
      </c>
      <c r="L39" s="615"/>
    </row>
    <row r="40" spans="1:12" s="720" customFormat="1" ht="15" x14ac:dyDescent="0.25">
      <c r="A40" s="615"/>
      <c r="B40" s="615"/>
      <c r="D40" s="1534">
        <v>130000000</v>
      </c>
      <c r="E40" s="1169"/>
      <c r="L40" s="615"/>
    </row>
    <row r="41" spans="1:12" s="720" customFormat="1" ht="15" x14ac:dyDescent="0.25">
      <c r="A41" s="615"/>
      <c r="B41" s="615"/>
      <c r="D41" s="1701">
        <v>5431104336</v>
      </c>
      <c r="E41" s="1169" t="s">
        <v>2913</v>
      </c>
      <c r="L41" s="615"/>
    </row>
    <row r="42" spans="1:12" s="720" customFormat="1" x14ac:dyDescent="0.2">
      <c r="A42" s="615"/>
      <c r="B42" s="615"/>
      <c r="D42" s="720">
        <v>6493190186</v>
      </c>
      <c r="E42" s="720" t="s">
        <v>2914</v>
      </c>
      <c r="L42" s="615"/>
    </row>
    <row r="43" spans="1:12" x14ac:dyDescent="0.2">
      <c r="D43" s="720">
        <v>1300000000</v>
      </c>
    </row>
    <row r="44" spans="1:12" x14ac:dyDescent="0.2">
      <c r="D44" s="720">
        <v>244502621</v>
      </c>
    </row>
    <row r="45" spans="1:12" x14ac:dyDescent="0.2">
      <c r="D45" s="720">
        <v>719376500</v>
      </c>
    </row>
    <row r="46" spans="1:12" x14ac:dyDescent="0.2">
      <c r="D46" s="720" t="e">
        <f>'B53'!#REF!*1000000</f>
        <v>#REF!</v>
      </c>
      <c r="E46" s="720">
        <v>8</v>
      </c>
    </row>
    <row r="47" spans="1:12" x14ac:dyDescent="0.2">
      <c r="D47" s="720">
        <f>SUM(D41:D45)</f>
        <v>14188173643</v>
      </c>
    </row>
    <row r="48" spans="1:12" x14ac:dyDescent="0.2">
      <c r="D48" s="720" t="e">
        <f>'B53'!#REF!*1000000</f>
        <v>#REF!</v>
      </c>
    </row>
    <row r="49" spans="4:4" x14ac:dyDescent="0.2">
      <c r="D49" s="720" t="e">
        <f>SUM(D47:D48)</f>
        <v>#REF!</v>
      </c>
    </row>
    <row r="50" spans="4:4" x14ac:dyDescent="0.2">
      <c r="D50" s="720" t="e">
        <f>'B53'!#REF!*1000000</f>
        <v>#REF!</v>
      </c>
    </row>
  </sheetData>
  <mergeCells count="5">
    <mergeCell ref="A1:A2"/>
    <mergeCell ref="B1:B2"/>
    <mergeCell ref="C1:E1"/>
    <mergeCell ref="F1:H1"/>
    <mergeCell ref="I1:K1"/>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AB61"/>
  <sheetViews>
    <sheetView topLeftCell="G16" workbookViewId="0">
      <selection activeCell="X31" sqref="X31"/>
    </sheetView>
  </sheetViews>
  <sheetFormatPr defaultRowHeight="11.25" x14ac:dyDescent="0.25"/>
  <cols>
    <col min="1" max="1" width="5.5703125" style="1257" customWidth="1"/>
    <col min="2" max="2" width="25" style="1257" customWidth="1"/>
    <col min="3" max="3" width="12.28515625" style="1257" customWidth="1"/>
    <col min="4" max="4" width="12.28515625" style="1257" bestFit="1" customWidth="1"/>
    <col min="5" max="5" width="12.140625" style="1257" bestFit="1" customWidth="1"/>
    <col min="6" max="6" width="11" style="1257" bestFit="1" customWidth="1"/>
    <col min="7" max="7" width="6.5703125" style="1257" customWidth="1"/>
    <col min="8" max="9" width="13.140625" style="1257" bestFit="1" customWidth="1"/>
    <col min="10" max="10" width="12.28515625" style="1257" bestFit="1" customWidth="1"/>
    <col min="11" max="12" width="13.140625" style="1257" bestFit="1" customWidth="1"/>
    <col min="13" max="13" width="12.28515625" style="1257" bestFit="1" customWidth="1"/>
    <col min="14" max="14" width="13.140625" style="1257" bestFit="1" customWidth="1"/>
    <col min="15" max="15" width="11.140625" style="1257" customWidth="1"/>
    <col min="16" max="16" width="12.7109375" style="1257" customWidth="1"/>
    <col min="17" max="17" width="8.140625" style="1257" customWidth="1"/>
    <col min="18" max="18" width="12.7109375" style="1257" customWidth="1"/>
    <col min="19" max="19" width="11.42578125" style="1257" customWidth="1"/>
    <col min="20" max="20" width="11" style="1257" customWidth="1"/>
    <col min="21" max="21" width="12.5703125" style="1257" customWidth="1"/>
    <col min="22" max="23" width="12.7109375" style="1257" customWidth="1"/>
    <col min="24" max="24" width="12" style="1257" customWidth="1"/>
    <col min="25" max="25" width="11" style="1257" customWidth="1"/>
    <col min="26" max="26" width="12.42578125" style="1257" customWidth="1"/>
    <col min="27" max="27" width="6.5703125" style="1257" customWidth="1"/>
    <col min="28" max="28" width="29.28515625" style="1284" customWidth="1"/>
    <col min="29" max="243" width="8.85546875" style="1257"/>
    <col min="244" max="244" width="5.5703125" style="1257" customWidth="1"/>
    <col min="245" max="245" width="29" style="1257" customWidth="1"/>
    <col min="246" max="260" width="9.7109375" style="1257" customWidth="1"/>
    <col min="261" max="263" width="8.28515625" style="1257" customWidth="1"/>
    <col min="264" max="499" width="8.85546875" style="1257"/>
    <col min="500" max="500" width="5.5703125" style="1257" customWidth="1"/>
    <col min="501" max="501" width="29" style="1257" customWidth="1"/>
    <col min="502" max="516" width="9.7109375" style="1257" customWidth="1"/>
    <col min="517" max="519" width="8.28515625" style="1257" customWidth="1"/>
    <col min="520" max="755" width="8.85546875" style="1257"/>
    <col min="756" max="756" width="5.5703125" style="1257" customWidth="1"/>
    <col min="757" max="757" width="29" style="1257" customWidth="1"/>
    <col min="758" max="772" width="9.7109375" style="1257" customWidth="1"/>
    <col min="773" max="775" width="8.28515625" style="1257" customWidth="1"/>
    <col min="776" max="1011" width="8.85546875" style="1257"/>
    <col min="1012" max="1012" width="5.5703125" style="1257" customWidth="1"/>
    <col min="1013" max="1013" width="29" style="1257" customWidth="1"/>
    <col min="1014" max="1028" width="9.7109375" style="1257" customWidth="1"/>
    <col min="1029" max="1031" width="8.28515625" style="1257" customWidth="1"/>
    <col min="1032" max="1267" width="8.85546875" style="1257"/>
    <col min="1268" max="1268" width="5.5703125" style="1257" customWidth="1"/>
    <col min="1269" max="1269" width="29" style="1257" customWidth="1"/>
    <col min="1270" max="1284" width="9.7109375" style="1257" customWidth="1"/>
    <col min="1285" max="1287" width="8.28515625" style="1257" customWidth="1"/>
    <col min="1288" max="1523" width="8.85546875" style="1257"/>
    <col min="1524" max="1524" width="5.5703125" style="1257" customWidth="1"/>
    <col min="1525" max="1525" width="29" style="1257" customWidth="1"/>
    <col min="1526" max="1540" width="9.7109375" style="1257" customWidth="1"/>
    <col min="1541" max="1543" width="8.28515625" style="1257" customWidth="1"/>
    <col min="1544" max="1779" width="8.85546875" style="1257"/>
    <col min="1780" max="1780" width="5.5703125" style="1257" customWidth="1"/>
    <col min="1781" max="1781" width="29" style="1257" customWidth="1"/>
    <col min="1782" max="1796" width="9.7109375" style="1257" customWidth="1"/>
    <col min="1797" max="1799" width="8.28515625" style="1257" customWidth="1"/>
    <col min="1800" max="2035" width="8.85546875" style="1257"/>
    <col min="2036" max="2036" width="5.5703125" style="1257" customWidth="1"/>
    <col min="2037" max="2037" width="29" style="1257" customWidth="1"/>
    <col min="2038" max="2052" width="9.7109375" style="1257" customWidth="1"/>
    <col min="2053" max="2055" width="8.28515625" style="1257" customWidth="1"/>
    <col min="2056" max="2291" width="8.85546875" style="1257"/>
    <col min="2292" max="2292" width="5.5703125" style="1257" customWidth="1"/>
    <col min="2293" max="2293" width="29" style="1257" customWidth="1"/>
    <col min="2294" max="2308" width="9.7109375" style="1257" customWidth="1"/>
    <col min="2309" max="2311" width="8.28515625" style="1257" customWidth="1"/>
    <col min="2312" max="2547" width="8.85546875" style="1257"/>
    <col min="2548" max="2548" width="5.5703125" style="1257" customWidth="1"/>
    <col min="2549" max="2549" width="29" style="1257" customWidth="1"/>
    <col min="2550" max="2564" width="9.7109375" style="1257" customWidth="1"/>
    <col min="2565" max="2567" width="8.28515625" style="1257" customWidth="1"/>
    <col min="2568" max="2803" width="8.85546875" style="1257"/>
    <col min="2804" max="2804" width="5.5703125" style="1257" customWidth="1"/>
    <col min="2805" max="2805" width="29" style="1257" customWidth="1"/>
    <col min="2806" max="2820" width="9.7109375" style="1257" customWidth="1"/>
    <col min="2821" max="2823" width="8.28515625" style="1257" customWidth="1"/>
    <col min="2824" max="3059" width="8.85546875" style="1257"/>
    <col min="3060" max="3060" width="5.5703125" style="1257" customWidth="1"/>
    <col min="3061" max="3061" width="29" style="1257" customWidth="1"/>
    <col min="3062" max="3076" width="9.7109375" style="1257" customWidth="1"/>
    <col min="3077" max="3079" width="8.28515625" style="1257" customWidth="1"/>
    <col min="3080" max="3315" width="8.85546875" style="1257"/>
    <col min="3316" max="3316" width="5.5703125" style="1257" customWidth="1"/>
    <col min="3317" max="3317" width="29" style="1257" customWidth="1"/>
    <col min="3318" max="3332" width="9.7109375" style="1257" customWidth="1"/>
    <col min="3333" max="3335" width="8.28515625" style="1257" customWidth="1"/>
    <col min="3336" max="3571" width="8.85546875" style="1257"/>
    <col min="3572" max="3572" width="5.5703125" style="1257" customWidth="1"/>
    <col min="3573" max="3573" width="29" style="1257" customWidth="1"/>
    <col min="3574" max="3588" width="9.7109375" style="1257" customWidth="1"/>
    <col min="3589" max="3591" width="8.28515625" style="1257" customWidth="1"/>
    <col min="3592" max="3827" width="8.85546875" style="1257"/>
    <col min="3828" max="3828" width="5.5703125" style="1257" customWidth="1"/>
    <col min="3829" max="3829" width="29" style="1257" customWidth="1"/>
    <col min="3830" max="3844" width="9.7109375" style="1257" customWidth="1"/>
    <col min="3845" max="3847" width="8.28515625" style="1257" customWidth="1"/>
    <col min="3848" max="4083" width="8.85546875" style="1257"/>
    <col min="4084" max="4084" width="5.5703125" style="1257" customWidth="1"/>
    <col min="4085" max="4085" width="29" style="1257" customWidth="1"/>
    <col min="4086" max="4100" width="9.7109375" style="1257" customWidth="1"/>
    <col min="4101" max="4103" width="8.28515625" style="1257" customWidth="1"/>
    <col min="4104" max="4339" width="8.85546875" style="1257"/>
    <col min="4340" max="4340" width="5.5703125" style="1257" customWidth="1"/>
    <col min="4341" max="4341" width="29" style="1257" customWidth="1"/>
    <col min="4342" max="4356" width="9.7109375" style="1257" customWidth="1"/>
    <col min="4357" max="4359" width="8.28515625" style="1257" customWidth="1"/>
    <col min="4360" max="4595" width="8.85546875" style="1257"/>
    <col min="4596" max="4596" width="5.5703125" style="1257" customWidth="1"/>
    <col min="4597" max="4597" width="29" style="1257" customWidth="1"/>
    <col min="4598" max="4612" width="9.7109375" style="1257" customWidth="1"/>
    <col min="4613" max="4615" width="8.28515625" style="1257" customWidth="1"/>
    <col min="4616" max="4851" width="8.85546875" style="1257"/>
    <col min="4852" max="4852" width="5.5703125" style="1257" customWidth="1"/>
    <col min="4853" max="4853" width="29" style="1257" customWidth="1"/>
    <col min="4854" max="4868" width="9.7109375" style="1257" customWidth="1"/>
    <col min="4869" max="4871" width="8.28515625" style="1257" customWidth="1"/>
    <col min="4872" max="5107" width="8.85546875" style="1257"/>
    <col min="5108" max="5108" width="5.5703125" style="1257" customWidth="1"/>
    <col min="5109" max="5109" width="29" style="1257" customWidth="1"/>
    <col min="5110" max="5124" width="9.7109375" style="1257" customWidth="1"/>
    <col min="5125" max="5127" width="8.28515625" style="1257" customWidth="1"/>
    <col min="5128" max="5363" width="8.85546875" style="1257"/>
    <col min="5364" max="5364" width="5.5703125" style="1257" customWidth="1"/>
    <col min="5365" max="5365" width="29" style="1257" customWidth="1"/>
    <col min="5366" max="5380" width="9.7109375" style="1257" customWidth="1"/>
    <col min="5381" max="5383" width="8.28515625" style="1257" customWidth="1"/>
    <col min="5384" max="5619" width="8.85546875" style="1257"/>
    <col min="5620" max="5620" width="5.5703125" style="1257" customWidth="1"/>
    <col min="5621" max="5621" width="29" style="1257" customWidth="1"/>
    <col min="5622" max="5636" width="9.7109375" style="1257" customWidth="1"/>
    <col min="5637" max="5639" width="8.28515625" style="1257" customWidth="1"/>
    <col min="5640" max="5875" width="8.85546875" style="1257"/>
    <col min="5876" max="5876" width="5.5703125" style="1257" customWidth="1"/>
    <col min="5877" max="5877" width="29" style="1257" customWidth="1"/>
    <col min="5878" max="5892" width="9.7109375" style="1257" customWidth="1"/>
    <col min="5893" max="5895" width="8.28515625" style="1257" customWidth="1"/>
    <col min="5896" max="6131" width="8.85546875" style="1257"/>
    <col min="6132" max="6132" width="5.5703125" style="1257" customWidth="1"/>
    <col min="6133" max="6133" width="29" style="1257" customWidth="1"/>
    <col min="6134" max="6148" width="9.7109375" style="1257" customWidth="1"/>
    <col min="6149" max="6151" width="8.28515625" style="1257" customWidth="1"/>
    <col min="6152" max="6387" width="8.85546875" style="1257"/>
    <col min="6388" max="6388" width="5.5703125" style="1257" customWidth="1"/>
    <col min="6389" max="6389" width="29" style="1257" customWidth="1"/>
    <col min="6390" max="6404" width="9.7109375" style="1257" customWidth="1"/>
    <col min="6405" max="6407" width="8.28515625" style="1257" customWidth="1"/>
    <col min="6408" max="6643" width="8.85546875" style="1257"/>
    <col min="6644" max="6644" width="5.5703125" style="1257" customWidth="1"/>
    <col min="6645" max="6645" width="29" style="1257" customWidth="1"/>
    <col min="6646" max="6660" width="9.7109375" style="1257" customWidth="1"/>
    <col min="6661" max="6663" width="8.28515625" style="1257" customWidth="1"/>
    <col min="6664" max="6899" width="8.85546875" style="1257"/>
    <col min="6900" max="6900" width="5.5703125" style="1257" customWidth="1"/>
    <col min="6901" max="6901" width="29" style="1257" customWidth="1"/>
    <col min="6902" max="6916" width="9.7109375" style="1257" customWidth="1"/>
    <col min="6917" max="6919" width="8.28515625" style="1257" customWidth="1"/>
    <col min="6920" max="7155" width="8.85546875" style="1257"/>
    <col min="7156" max="7156" width="5.5703125" style="1257" customWidth="1"/>
    <col min="7157" max="7157" width="29" style="1257" customWidth="1"/>
    <col min="7158" max="7172" width="9.7109375" style="1257" customWidth="1"/>
    <col min="7173" max="7175" width="8.28515625" style="1257" customWidth="1"/>
    <col min="7176" max="7411" width="8.85546875" style="1257"/>
    <col min="7412" max="7412" width="5.5703125" style="1257" customWidth="1"/>
    <col min="7413" max="7413" width="29" style="1257" customWidth="1"/>
    <col min="7414" max="7428" width="9.7109375" style="1257" customWidth="1"/>
    <col min="7429" max="7431" width="8.28515625" style="1257" customWidth="1"/>
    <col min="7432" max="7667" width="8.85546875" style="1257"/>
    <col min="7668" max="7668" width="5.5703125" style="1257" customWidth="1"/>
    <col min="7669" max="7669" width="29" style="1257" customWidth="1"/>
    <col min="7670" max="7684" width="9.7109375" style="1257" customWidth="1"/>
    <col min="7685" max="7687" width="8.28515625" style="1257" customWidth="1"/>
    <col min="7688" max="7923" width="8.85546875" style="1257"/>
    <col min="7924" max="7924" width="5.5703125" style="1257" customWidth="1"/>
    <col min="7925" max="7925" width="29" style="1257" customWidth="1"/>
    <col min="7926" max="7940" width="9.7109375" style="1257" customWidth="1"/>
    <col min="7941" max="7943" width="8.28515625" style="1257" customWidth="1"/>
    <col min="7944" max="8179" width="8.85546875" style="1257"/>
    <col min="8180" max="8180" width="5.5703125" style="1257" customWidth="1"/>
    <col min="8181" max="8181" width="29" style="1257" customWidth="1"/>
    <col min="8182" max="8196" width="9.7109375" style="1257" customWidth="1"/>
    <col min="8197" max="8199" width="8.28515625" style="1257" customWidth="1"/>
    <col min="8200" max="8435" width="8.85546875" style="1257"/>
    <col min="8436" max="8436" width="5.5703125" style="1257" customWidth="1"/>
    <col min="8437" max="8437" width="29" style="1257" customWidth="1"/>
    <col min="8438" max="8452" width="9.7109375" style="1257" customWidth="1"/>
    <col min="8453" max="8455" width="8.28515625" style="1257" customWidth="1"/>
    <col min="8456" max="8691" width="8.85546875" style="1257"/>
    <col min="8692" max="8692" width="5.5703125" style="1257" customWidth="1"/>
    <col min="8693" max="8693" width="29" style="1257" customWidth="1"/>
    <col min="8694" max="8708" width="9.7109375" style="1257" customWidth="1"/>
    <col min="8709" max="8711" width="8.28515625" style="1257" customWidth="1"/>
    <col min="8712" max="8947" width="8.85546875" style="1257"/>
    <col min="8948" max="8948" width="5.5703125" style="1257" customWidth="1"/>
    <col min="8949" max="8949" width="29" style="1257" customWidth="1"/>
    <col min="8950" max="8964" width="9.7109375" style="1257" customWidth="1"/>
    <col min="8965" max="8967" width="8.28515625" style="1257" customWidth="1"/>
    <col min="8968" max="9203" width="8.85546875" style="1257"/>
    <col min="9204" max="9204" width="5.5703125" style="1257" customWidth="1"/>
    <col min="9205" max="9205" width="29" style="1257" customWidth="1"/>
    <col min="9206" max="9220" width="9.7109375" style="1257" customWidth="1"/>
    <col min="9221" max="9223" width="8.28515625" style="1257" customWidth="1"/>
    <col min="9224" max="9459" width="8.85546875" style="1257"/>
    <col min="9460" max="9460" width="5.5703125" style="1257" customWidth="1"/>
    <col min="9461" max="9461" width="29" style="1257" customWidth="1"/>
    <col min="9462" max="9476" width="9.7109375" style="1257" customWidth="1"/>
    <col min="9477" max="9479" width="8.28515625" style="1257" customWidth="1"/>
    <col min="9480" max="9715" width="8.85546875" style="1257"/>
    <col min="9716" max="9716" width="5.5703125" style="1257" customWidth="1"/>
    <col min="9717" max="9717" width="29" style="1257" customWidth="1"/>
    <col min="9718" max="9732" width="9.7109375" style="1257" customWidth="1"/>
    <col min="9733" max="9735" width="8.28515625" style="1257" customWidth="1"/>
    <col min="9736" max="9971" width="8.85546875" style="1257"/>
    <col min="9972" max="9972" width="5.5703125" style="1257" customWidth="1"/>
    <col min="9973" max="9973" width="29" style="1257" customWidth="1"/>
    <col min="9974" max="9988" width="9.7109375" style="1257" customWidth="1"/>
    <col min="9989" max="9991" width="8.28515625" style="1257" customWidth="1"/>
    <col min="9992" max="10227" width="8.85546875" style="1257"/>
    <col min="10228" max="10228" width="5.5703125" style="1257" customWidth="1"/>
    <col min="10229" max="10229" width="29" style="1257" customWidth="1"/>
    <col min="10230" max="10244" width="9.7109375" style="1257" customWidth="1"/>
    <col min="10245" max="10247" width="8.28515625" style="1257" customWidth="1"/>
    <col min="10248" max="10483" width="8.85546875" style="1257"/>
    <col min="10484" max="10484" width="5.5703125" style="1257" customWidth="1"/>
    <col min="10485" max="10485" width="29" style="1257" customWidth="1"/>
    <col min="10486" max="10500" width="9.7109375" style="1257" customWidth="1"/>
    <col min="10501" max="10503" width="8.28515625" style="1257" customWidth="1"/>
    <col min="10504" max="10739" width="8.85546875" style="1257"/>
    <col min="10740" max="10740" width="5.5703125" style="1257" customWidth="1"/>
    <col min="10741" max="10741" width="29" style="1257" customWidth="1"/>
    <col min="10742" max="10756" width="9.7109375" style="1257" customWidth="1"/>
    <col min="10757" max="10759" width="8.28515625" style="1257" customWidth="1"/>
    <col min="10760" max="10995" width="8.85546875" style="1257"/>
    <col min="10996" max="10996" width="5.5703125" style="1257" customWidth="1"/>
    <col min="10997" max="10997" width="29" style="1257" customWidth="1"/>
    <col min="10998" max="11012" width="9.7109375" style="1257" customWidth="1"/>
    <col min="11013" max="11015" width="8.28515625" style="1257" customWidth="1"/>
    <col min="11016" max="11251" width="8.85546875" style="1257"/>
    <col min="11252" max="11252" width="5.5703125" style="1257" customWidth="1"/>
    <col min="11253" max="11253" width="29" style="1257" customWidth="1"/>
    <col min="11254" max="11268" width="9.7109375" style="1257" customWidth="1"/>
    <col min="11269" max="11271" width="8.28515625" style="1257" customWidth="1"/>
    <col min="11272" max="11507" width="8.85546875" style="1257"/>
    <col min="11508" max="11508" width="5.5703125" style="1257" customWidth="1"/>
    <col min="11509" max="11509" width="29" style="1257" customWidth="1"/>
    <col min="11510" max="11524" width="9.7109375" style="1257" customWidth="1"/>
    <col min="11525" max="11527" width="8.28515625" style="1257" customWidth="1"/>
    <col min="11528" max="11763" width="8.85546875" style="1257"/>
    <col min="11764" max="11764" width="5.5703125" style="1257" customWidth="1"/>
    <col min="11765" max="11765" width="29" style="1257" customWidth="1"/>
    <col min="11766" max="11780" width="9.7109375" style="1257" customWidth="1"/>
    <col min="11781" max="11783" width="8.28515625" style="1257" customWidth="1"/>
    <col min="11784" max="12019" width="8.85546875" style="1257"/>
    <col min="12020" max="12020" width="5.5703125" style="1257" customWidth="1"/>
    <col min="12021" max="12021" width="29" style="1257" customWidth="1"/>
    <col min="12022" max="12036" width="9.7109375" style="1257" customWidth="1"/>
    <col min="12037" max="12039" width="8.28515625" style="1257" customWidth="1"/>
    <col min="12040" max="12275" width="8.85546875" style="1257"/>
    <col min="12276" max="12276" width="5.5703125" style="1257" customWidth="1"/>
    <col min="12277" max="12277" width="29" style="1257" customWidth="1"/>
    <col min="12278" max="12292" width="9.7109375" style="1257" customWidth="1"/>
    <col min="12293" max="12295" width="8.28515625" style="1257" customWidth="1"/>
    <col min="12296" max="12531" width="8.85546875" style="1257"/>
    <col min="12532" max="12532" width="5.5703125" style="1257" customWidth="1"/>
    <col min="12533" max="12533" width="29" style="1257" customWidth="1"/>
    <col min="12534" max="12548" width="9.7109375" style="1257" customWidth="1"/>
    <col min="12549" max="12551" width="8.28515625" style="1257" customWidth="1"/>
    <col min="12552" max="12787" width="8.85546875" style="1257"/>
    <col min="12788" max="12788" width="5.5703125" style="1257" customWidth="1"/>
    <col min="12789" max="12789" width="29" style="1257" customWidth="1"/>
    <col min="12790" max="12804" width="9.7109375" style="1257" customWidth="1"/>
    <col min="12805" max="12807" width="8.28515625" style="1257" customWidth="1"/>
    <col min="12808" max="13043" width="8.85546875" style="1257"/>
    <col min="13044" max="13044" width="5.5703125" style="1257" customWidth="1"/>
    <col min="13045" max="13045" width="29" style="1257" customWidth="1"/>
    <col min="13046" max="13060" width="9.7109375" style="1257" customWidth="1"/>
    <col min="13061" max="13063" width="8.28515625" style="1257" customWidth="1"/>
    <col min="13064" max="13299" width="8.85546875" style="1257"/>
    <col min="13300" max="13300" width="5.5703125" style="1257" customWidth="1"/>
    <col min="13301" max="13301" width="29" style="1257" customWidth="1"/>
    <col min="13302" max="13316" width="9.7109375" style="1257" customWidth="1"/>
    <col min="13317" max="13319" width="8.28515625" style="1257" customWidth="1"/>
    <col min="13320" max="13555" width="8.85546875" style="1257"/>
    <col min="13556" max="13556" width="5.5703125" style="1257" customWidth="1"/>
    <col min="13557" max="13557" width="29" style="1257" customWidth="1"/>
    <col min="13558" max="13572" width="9.7109375" style="1257" customWidth="1"/>
    <col min="13573" max="13575" width="8.28515625" style="1257" customWidth="1"/>
    <col min="13576" max="13811" width="8.85546875" style="1257"/>
    <col min="13812" max="13812" width="5.5703125" style="1257" customWidth="1"/>
    <col min="13813" max="13813" width="29" style="1257" customWidth="1"/>
    <col min="13814" max="13828" width="9.7109375" style="1257" customWidth="1"/>
    <col min="13829" max="13831" width="8.28515625" style="1257" customWidth="1"/>
    <col min="13832" max="14067" width="8.85546875" style="1257"/>
    <col min="14068" max="14068" width="5.5703125" style="1257" customWidth="1"/>
    <col min="14069" max="14069" width="29" style="1257" customWidth="1"/>
    <col min="14070" max="14084" width="9.7109375" style="1257" customWidth="1"/>
    <col min="14085" max="14087" width="8.28515625" style="1257" customWidth="1"/>
    <col min="14088" max="14323" width="8.85546875" style="1257"/>
    <col min="14324" max="14324" width="5.5703125" style="1257" customWidth="1"/>
    <col min="14325" max="14325" width="29" style="1257" customWidth="1"/>
    <col min="14326" max="14340" width="9.7109375" style="1257" customWidth="1"/>
    <col min="14341" max="14343" width="8.28515625" style="1257" customWidth="1"/>
    <col min="14344" max="14579" width="8.85546875" style="1257"/>
    <col min="14580" max="14580" width="5.5703125" style="1257" customWidth="1"/>
    <col min="14581" max="14581" width="29" style="1257" customWidth="1"/>
    <col min="14582" max="14596" width="9.7109375" style="1257" customWidth="1"/>
    <col min="14597" max="14599" width="8.28515625" style="1257" customWidth="1"/>
    <col min="14600" max="14835" width="8.85546875" style="1257"/>
    <col min="14836" max="14836" width="5.5703125" style="1257" customWidth="1"/>
    <col min="14837" max="14837" width="29" style="1257" customWidth="1"/>
    <col min="14838" max="14852" width="9.7109375" style="1257" customWidth="1"/>
    <col min="14853" max="14855" width="8.28515625" style="1257" customWidth="1"/>
    <col min="14856" max="15091" width="8.85546875" style="1257"/>
    <col min="15092" max="15092" width="5.5703125" style="1257" customWidth="1"/>
    <col min="15093" max="15093" width="29" style="1257" customWidth="1"/>
    <col min="15094" max="15108" width="9.7109375" style="1257" customWidth="1"/>
    <col min="15109" max="15111" width="8.28515625" style="1257" customWidth="1"/>
    <col min="15112" max="15347" width="8.85546875" style="1257"/>
    <col min="15348" max="15348" width="5.5703125" style="1257" customWidth="1"/>
    <col min="15349" max="15349" width="29" style="1257" customWidth="1"/>
    <col min="15350" max="15364" width="9.7109375" style="1257" customWidth="1"/>
    <col min="15365" max="15367" width="8.28515625" style="1257" customWidth="1"/>
    <col min="15368" max="15603" width="8.85546875" style="1257"/>
    <col min="15604" max="15604" width="5.5703125" style="1257" customWidth="1"/>
    <col min="15605" max="15605" width="29" style="1257" customWidth="1"/>
    <col min="15606" max="15620" width="9.7109375" style="1257" customWidth="1"/>
    <col min="15621" max="15623" width="8.28515625" style="1257" customWidth="1"/>
    <col min="15624" max="15859" width="8.85546875" style="1257"/>
    <col min="15860" max="15860" width="5.5703125" style="1257" customWidth="1"/>
    <col min="15861" max="15861" width="29" style="1257" customWidth="1"/>
    <col min="15862" max="15876" width="9.7109375" style="1257" customWidth="1"/>
    <col min="15877" max="15879" width="8.28515625" style="1257" customWidth="1"/>
    <col min="15880" max="16115" width="8.85546875" style="1257"/>
    <col min="16116" max="16116" width="5.5703125" style="1257" customWidth="1"/>
    <col min="16117" max="16117" width="29" style="1257" customWidth="1"/>
    <col min="16118" max="16132" width="9.7109375" style="1257" customWidth="1"/>
    <col min="16133" max="16135" width="8.28515625" style="1257" customWidth="1"/>
    <col min="16136" max="16384" width="8.85546875" style="1257"/>
  </cols>
  <sheetData>
    <row r="1" spans="1:28" ht="15.75" x14ac:dyDescent="0.25">
      <c r="A1" s="4072"/>
      <c r="B1" s="4072"/>
      <c r="C1" s="4072"/>
      <c r="D1" s="1255"/>
      <c r="E1" s="1255"/>
      <c r="F1" s="1255"/>
      <c r="G1" s="1255"/>
      <c r="H1" s="1255"/>
      <c r="I1" s="1255"/>
      <c r="J1" s="1255"/>
      <c r="K1" s="1255"/>
      <c r="L1" s="1255"/>
      <c r="M1" s="1255"/>
      <c r="N1" s="1255"/>
      <c r="O1" s="1255"/>
      <c r="P1" s="1255"/>
      <c r="Q1" s="1255"/>
      <c r="R1" s="1255"/>
      <c r="S1" s="4067"/>
      <c r="T1" s="4067"/>
      <c r="U1" s="4067"/>
      <c r="V1" s="4073" t="s">
        <v>2549</v>
      </c>
      <c r="W1" s="4073"/>
      <c r="X1" s="4073"/>
      <c r="Y1" s="4073"/>
      <c r="Z1" s="4073"/>
      <c r="AA1" s="4073"/>
      <c r="AB1" s="1256"/>
    </row>
    <row r="2" spans="1:28" ht="15.75" x14ac:dyDescent="0.25">
      <c r="A2" s="3998" t="s">
        <v>2637</v>
      </c>
      <c r="B2" s="3998"/>
      <c r="C2" s="3998"/>
      <c r="D2" s="3998"/>
      <c r="E2" s="3998"/>
      <c r="F2" s="3998"/>
      <c r="G2" s="3998"/>
      <c r="H2" s="3998"/>
      <c r="I2" s="3998"/>
      <c r="J2" s="3998"/>
      <c r="K2" s="3998"/>
      <c r="L2" s="3998"/>
      <c r="M2" s="3998"/>
      <c r="N2" s="3998"/>
      <c r="O2" s="3998"/>
      <c r="P2" s="3998"/>
      <c r="Q2" s="3998"/>
      <c r="R2" s="3998"/>
      <c r="S2" s="3998"/>
      <c r="T2" s="3998"/>
      <c r="U2" s="3998"/>
      <c r="V2" s="3998"/>
      <c r="W2" s="3998"/>
      <c r="X2" s="3998"/>
      <c r="Y2" s="3998"/>
      <c r="Z2" s="3998"/>
      <c r="AA2" s="3998"/>
      <c r="AB2" s="1256"/>
    </row>
    <row r="3" spans="1:28" ht="15.75" x14ac:dyDescent="0.25">
      <c r="A3" s="3997" t="s">
        <v>3486</v>
      </c>
      <c r="B3" s="3997"/>
      <c r="C3" s="3997"/>
      <c r="D3" s="3997"/>
      <c r="E3" s="3997"/>
      <c r="F3" s="3997"/>
      <c r="G3" s="3997"/>
      <c r="H3" s="3997"/>
      <c r="I3" s="3997"/>
      <c r="J3" s="3997"/>
      <c r="K3" s="3997"/>
      <c r="L3" s="3997"/>
      <c r="M3" s="3997"/>
      <c r="N3" s="3997"/>
      <c r="O3" s="3997"/>
      <c r="P3" s="3997"/>
      <c r="Q3" s="3997"/>
      <c r="R3" s="3997"/>
      <c r="S3" s="3997"/>
      <c r="T3" s="3997"/>
      <c r="U3" s="3997"/>
      <c r="V3" s="3997"/>
      <c r="W3" s="3997"/>
      <c r="X3" s="3997"/>
      <c r="Y3" s="3997"/>
      <c r="Z3" s="3997"/>
      <c r="AA3" s="3997"/>
      <c r="AB3" s="1256"/>
    </row>
    <row r="4" spans="1:28" x14ac:dyDescent="0.25">
      <c r="A4" s="1285"/>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56"/>
    </row>
    <row r="5" spans="1:28" x14ac:dyDescent="0.25">
      <c r="A5" s="1255"/>
      <c r="B5" s="1255"/>
      <c r="C5" s="1255"/>
      <c r="D5" s="1255"/>
      <c r="E5" s="1449"/>
      <c r="F5" s="1255"/>
      <c r="G5" s="1255"/>
      <c r="H5" s="1256"/>
      <c r="I5" s="1255"/>
      <c r="J5" s="1255"/>
      <c r="K5" s="1255"/>
      <c r="L5" s="1255"/>
      <c r="M5" s="1255"/>
      <c r="N5" s="1255"/>
      <c r="O5" s="1255"/>
      <c r="P5" s="1255"/>
      <c r="Q5" s="1255"/>
      <c r="R5" s="1255"/>
      <c r="T5" s="1258"/>
      <c r="U5" s="1258"/>
      <c r="V5" s="1258"/>
      <c r="W5" s="4071" t="s">
        <v>147</v>
      </c>
      <c r="X5" s="4071"/>
      <c r="Y5" s="4071"/>
      <c r="Z5" s="4071"/>
      <c r="AA5" s="4071"/>
      <c r="AB5" s="1256"/>
    </row>
    <row r="6" spans="1:28" s="1260" customFormat="1" ht="21" customHeight="1" x14ac:dyDescent="0.25">
      <c r="A6" s="4064" t="s">
        <v>1579</v>
      </c>
      <c r="B6" s="4064" t="s">
        <v>193</v>
      </c>
      <c r="C6" s="4064" t="s">
        <v>2271</v>
      </c>
      <c r="D6" s="4064"/>
      <c r="E6" s="4064"/>
      <c r="F6" s="4064"/>
      <c r="G6" s="4064"/>
      <c r="H6" s="4064" t="s">
        <v>2272</v>
      </c>
      <c r="I6" s="4064"/>
      <c r="J6" s="4064"/>
      <c r="K6" s="4064" t="s">
        <v>2273</v>
      </c>
      <c r="L6" s="4064"/>
      <c r="M6" s="4064"/>
      <c r="N6" s="4070" t="s">
        <v>2274</v>
      </c>
      <c r="O6" s="4070"/>
      <c r="P6" s="4070"/>
      <c r="Q6" s="4070"/>
      <c r="R6" s="4070"/>
      <c r="S6" s="4064" t="s">
        <v>2275</v>
      </c>
      <c r="T6" s="4064"/>
      <c r="U6" s="4064"/>
      <c r="V6" s="4064" t="s">
        <v>2276</v>
      </c>
      <c r="W6" s="4064"/>
      <c r="X6" s="4064"/>
      <c r="Y6" s="4064"/>
      <c r="Z6" s="4064"/>
      <c r="AA6" s="4064"/>
      <c r="AB6" s="1259"/>
    </row>
    <row r="7" spans="1:28" s="1260" customFormat="1" ht="23.45" customHeight="1" x14ac:dyDescent="0.25">
      <c r="A7" s="4064"/>
      <c r="B7" s="4064"/>
      <c r="C7" s="4064" t="s">
        <v>1114</v>
      </c>
      <c r="D7" s="4064" t="s">
        <v>707</v>
      </c>
      <c r="E7" s="4064"/>
      <c r="F7" s="4064" t="s">
        <v>1471</v>
      </c>
      <c r="G7" s="4064"/>
      <c r="H7" s="4064" t="s">
        <v>1114</v>
      </c>
      <c r="I7" s="4064" t="s">
        <v>707</v>
      </c>
      <c r="J7" s="4064" t="s">
        <v>1471</v>
      </c>
      <c r="K7" s="4064" t="s">
        <v>1114</v>
      </c>
      <c r="L7" s="4064" t="s">
        <v>707</v>
      </c>
      <c r="M7" s="4064" t="s">
        <v>1471</v>
      </c>
      <c r="N7" s="4064" t="s">
        <v>1114</v>
      </c>
      <c r="O7" s="4064" t="s">
        <v>707</v>
      </c>
      <c r="P7" s="4064"/>
      <c r="Q7" s="4064" t="s">
        <v>1471</v>
      </c>
      <c r="R7" s="4064"/>
      <c r="S7" s="4064" t="s">
        <v>1114</v>
      </c>
      <c r="T7" s="4064" t="s">
        <v>707</v>
      </c>
      <c r="U7" s="4064" t="s">
        <v>1471</v>
      </c>
      <c r="V7" s="4064" t="s">
        <v>1114</v>
      </c>
      <c r="W7" s="4064" t="s">
        <v>707</v>
      </c>
      <c r="X7" s="4064"/>
      <c r="Y7" s="4064"/>
      <c r="Z7" s="4064" t="s">
        <v>1471</v>
      </c>
      <c r="AA7" s="4064"/>
      <c r="AB7" s="1259"/>
    </row>
    <row r="8" spans="1:28" s="1260" customFormat="1" ht="63" x14ac:dyDescent="0.25">
      <c r="A8" s="4064"/>
      <c r="B8" s="4064"/>
      <c r="C8" s="4064"/>
      <c r="D8" s="1181" t="s">
        <v>34</v>
      </c>
      <c r="E8" s="1181" t="s">
        <v>2158</v>
      </c>
      <c r="F8" s="1181" t="s">
        <v>34</v>
      </c>
      <c r="G8" s="1181" t="s">
        <v>2158</v>
      </c>
      <c r="H8" s="4064"/>
      <c r="I8" s="4064"/>
      <c r="J8" s="4064"/>
      <c r="K8" s="4064"/>
      <c r="L8" s="4064"/>
      <c r="M8" s="4064"/>
      <c r="N8" s="4064"/>
      <c r="O8" s="1181" t="s">
        <v>2277</v>
      </c>
      <c r="P8" s="1181" t="s">
        <v>2278</v>
      </c>
      <c r="Q8" s="1181" t="s">
        <v>2277</v>
      </c>
      <c r="R8" s="1181" t="s">
        <v>2278</v>
      </c>
      <c r="S8" s="4064"/>
      <c r="T8" s="4064"/>
      <c r="U8" s="4064"/>
      <c r="V8" s="4064"/>
      <c r="W8" s="1181" t="s">
        <v>2279</v>
      </c>
      <c r="X8" s="1181" t="s">
        <v>2280</v>
      </c>
      <c r="Y8" s="1181" t="s">
        <v>2281</v>
      </c>
      <c r="Z8" s="1181" t="s">
        <v>34</v>
      </c>
      <c r="AA8" s="1181" t="s">
        <v>2158</v>
      </c>
      <c r="AB8" s="1259"/>
    </row>
    <row r="9" spans="1:28" s="1260" customFormat="1" x14ac:dyDescent="0.25">
      <c r="A9" s="1261" t="s">
        <v>847</v>
      </c>
      <c r="B9" s="1261" t="s">
        <v>848</v>
      </c>
      <c r="C9" s="1261">
        <v>1</v>
      </c>
      <c r="D9" s="1261" t="s">
        <v>902</v>
      </c>
      <c r="E9" s="1261" t="s">
        <v>903</v>
      </c>
      <c r="F9" s="1261" t="s">
        <v>174</v>
      </c>
      <c r="G9" s="1261" t="s">
        <v>796</v>
      </c>
      <c r="H9" s="1261">
        <v>4</v>
      </c>
      <c r="I9" s="1261">
        <v>5</v>
      </c>
      <c r="J9" s="1261">
        <v>6</v>
      </c>
      <c r="K9" s="1261">
        <v>7</v>
      </c>
      <c r="L9" s="1261" t="s">
        <v>2282</v>
      </c>
      <c r="M9" s="1261" t="s">
        <v>2283</v>
      </c>
      <c r="N9" s="1261">
        <v>10</v>
      </c>
      <c r="O9" s="1261">
        <v>11</v>
      </c>
      <c r="P9" s="1261">
        <v>12</v>
      </c>
      <c r="Q9" s="1261">
        <v>13</v>
      </c>
      <c r="R9" s="1261">
        <v>14</v>
      </c>
      <c r="S9" s="1261">
        <v>15</v>
      </c>
      <c r="T9" s="1261">
        <v>16</v>
      </c>
      <c r="U9" s="1261">
        <v>17</v>
      </c>
      <c r="V9" s="1261">
        <v>18</v>
      </c>
      <c r="W9" s="1261">
        <v>19</v>
      </c>
      <c r="X9" s="1261">
        <v>20</v>
      </c>
      <c r="Y9" s="1261">
        <v>21</v>
      </c>
      <c r="Z9" s="1261">
        <v>22</v>
      </c>
      <c r="AA9" s="1261">
        <v>23</v>
      </c>
      <c r="AB9" s="1259"/>
    </row>
    <row r="10" spans="1:28" s="1265" customFormat="1" ht="10.5" x14ac:dyDescent="0.25">
      <c r="A10" s="1262"/>
      <c r="B10" s="1262" t="s">
        <v>1114</v>
      </c>
      <c r="C10" s="1263"/>
      <c r="D10" s="1263"/>
      <c r="E10" s="1263"/>
      <c r="F10" s="1263"/>
      <c r="G10" s="1263"/>
      <c r="H10" s="1263"/>
      <c r="I10" s="1263"/>
      <c r="J10" s="1263"/>
      <c r="K10" s="1263"/>
      <c r="L10" s="1263"/>
      <c r="M10" s="1263"/>
      <c r="N10" s="1263"/>
      <c r="O10" s="1263"/>
      <c r="P10" s="1263"/>
      <c r="Q10" s="1263"/>
      <c r="R10" s="1263"/>
      <c r="S10" s="1263"/>
      <c r="T10" s="1263"/>
      <c r="U10" s="1263"/>
      <c r="V10" s="1263"/>
      <c r="W10" s="1263"/>
      <c r="X10" s="1263"/>
      <c r="Y10" s="1263"/>
      <c r="Z10" s="1263"/>
      <c r="AA10" s="1263"/>
      <c r="AB10" s="1264"/>
    </row>
    <row r="11" spans="1:28" s="1265" customFormat="1" ht="10.5" x14ac:dyDescent="0.25">
      <c r="A11" s="1266">
        <v>1</v>
      </c>
      <c r="B11" s="1267" t="s">
        <v>2284</v>
      </c>
      <c r="C11" s="1268"/>
      <c r="D11" s="1269"/>
      <c r="E11" s="1269"/>
      <c r="F11" s="1269"/>
      <c r="G11" s="1269"/>
      <c r="H11" s="1268"/>
      <c r="I11" s="1269"/>
      <c r="J11" s="1269"/>
      <c r="K11" s="1268"/>
      <c r="L11" s="1268"/>
      <c r="M11" s="1268"/>
      <c r="N11" s="1268"/>
      <c r="O11" s="1269"/>
      <c r="P11" s="1269"/>
      <c r="Q11" s="1269"/>
      <c r="R11" s="1269"/>
      <c r="S11" s="1268"/>
      <c r="T11" s="1269"/>
      <c r="U11" s="1269"/>
      <c r="V11" s="1268"/>
      <c r="W11" s="1268"/>
      <c r="X11" s="1268"/>
      <c r="Y11" s="1268"/>
      <c r="Z11" s="1268"/>
      <c r="AA11" s="1268"/>
      <c r="AB11" s="1264"/>
    </row>
    <row r="12" spans="1:28" s="1265" customFormat="1" ht="45" x14ac:dyDescent="0.25">
      <c r="A12" s="1270" t="s">
        <v>851</v>
      </c>
      <c r="B12" s="1271" t="s">
        <v>2285</v>
      </c>
      <c r="C12" s="1269">
        <f>SUM(D12:G12)</f>
        <v>0</v>
      </c>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4"/>
    </row>
    <row r="13" spans="1:28" s="1276" customFormat="1" x14ac:dyDescent="0.25">
      <c r="A13" s="1272" t="s">
        <v>882</v>
      </c>
      <c r="B13" s="1273" t="s">
        <v>341</v>
      </c>
      <c r="C13" s="1269">
        <f>SUM(D13:G13)</f>
        <v>0</v>
      </c>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5"/>
    </row>
    <row r="14" spans="1:28" s="1276" customFormat="1" x14ac:dyDescent="0.25">
      <c r="A14" s="1272" t="s">
        <v>882</v>
      </c>
      <c r="B14" s="1273" t="s">
        <v>546</v>
      </c>
      <c r="C14" s="1269">
        <f>SUM(D14:G14)</f>
        <v>0</v>
      </c>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5"/>
    </row>
    <row r="15" spans="1:28" s="1276" customFormat="1" x14ac:dyDescent="0.25">
      <c r="A15" s="1272" t="s">
        <v>882</v>
      </c>
      <c r="B15" s="1273" t="s">
        <v>129</v>
      </c>
      <c r="C15" s="1269">
        <f>SUM(D15:G15)</f>
        <v>0</v>
      </c>
      <c r="D15" s="1274"/>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B15" s="1275"/>
    </row>
    <row r="16" spans="1:28" s="1276" customFormat="1" x14ac:dyDescent="0.25">
      <c r="A16" s="1272"/>
      <c r="B16" s="1267" t="s">
        <v>1114</v>
      </c>
      <c r="C16" s="1269">
        <f>SUM(C17:C19)</f>
        <v>2207.9119489999998</v>
      </c>
      <c r="D16" s="1269">
        <f t="shared" ref="D16:AA16" si="0">SUM(D17:D19)</f>
        <v>2093.957582</v>
      </c>
      <c r="E16" s="1269">
        <f t="shared" si="0"/>
        <v>113.954367</v>
      </c>
      <c r="F16" s="1269">
        <f t="shared" si="0"/>
        <v>0</v>
      </c>
      <c r="G16" s="1269">
        <f t="shared" si="0"/>
        <v>0</v>
      </c>
      <c r="H16" s="1269">
        <f t="shared" si="0"/>
        <v>0</v>
      </c>
      <c r="I16" s="1269">
        <f t="shared" si="0"/>
        <v>0</v>
      </c>
      <c r="J16" s="1269">
        <f t="shared" si="0"/>
        <v>0</v>
      </c>
      <c r="K16" s="1269">
        <f t="shared" si="0"/>
        <v>2207.9119489999998</v>
      </c>
      <c r="L16" s="1269">
        <f t="shared" si="0"/>
        <v>2207.9119489999998</v>
      </c>
      <c r="M16" s="1269">
        <f t="shared" si="0"/>
        <v>0</v>
      </c>
      <c r="N16" s="1269">
        <f t="shared" si="0"/>
        <v>109.670345</v>
      </c>
      <c r="O16" s="1269">
        <f t="shared" si="0"/>
        <v>109.670345</v>
      </c>
      <c r="P16" s="1269">
        <f t="shared" si="0"/>
        <v>0</v>
      </c>
      <c r="Q16" s="1269">
        <f t="shared" si="0"/>
        <v>0</v>
      </c>
      <c r="R16" s="1269">
        <f t="shared" si="0"/>
        <v>0</v>
      </c>
      <c r="S16" s="1269">
        <f t="shared" si="0"/>
        <v>2093.9580000000001</v>
      </c>
      <c r="T16" s="1269">
        <f t="shared" si="0"/>
        <v>2093.9580000000001</v>
      </c>
      <c r="U16" s="1269">
        <f t="shared" si="0"/>
        <v>0</v>
      </c>
      <c r="V16" s="1269">
        <f t="shared" si="0"/>
        <v>4.2836039999997411</v>
      </c>
      <c r="W16" s="1269">
        <f t="shared" si="0"/>
        <v>4.2836039999997411</v>
      </c>
      <c r="X16" s="1269">
        <f t="shared" si="0"/>
        <v>0</v>
      </c>
      <c r="Y16" s="1269">
        <f t="shared" si="0"/>
        <v>0</v>
      </c>
      <c r="Z16" s="1269">
        <f t="shared" si="0"/>
        <v>0</v>
      </c>
      <c r="AA16" s="1269">
        <f t="shared" si="0"/>
        <v>0</v>
      </c>
      <c r="AB16" s="1275"/>
    </row>
    <row r="17" spans="1:28" s="1276" customFormat="1" x14ac:dyDescent="0.25">
      <c r="A17" s="1272" t="s">
        <v>882</v>
      </c>
      <c r="B17" s="1273" t="s">
        <v>341</v>
      </c>
      <c r="C17" s="1269">
        <f>C22+C26+C30+C34+C38</f>
        <v>2207.9119489999998</v>
      </c>
      <c r="D17" s="1269">
        <f t="shared" ref="D17:AA17" si="1">D22+D26+D30+D34+D38</f>
        <v>2093.957582</v>
      </c>
      <c r="E17" s="1269">
        <f t="shared" si="1"/>
        <v>113.954367</v>
      </c>
      <c r="F17" s="1269">
        <f t="shared" si="1"/>
        <v>0</v>
      </c>
      <c r="G17" s="1269">
        <f t="shared" si="1"/>
        <v>0</v>
      </c>
      <c r="H17" s="1269">
        <f t="shared" si="1"/>
        <v>0</v>
      </c>
      <c r="I17" s="1269">
        <f t="shared" si="1"/>
        <v>0</v>
      </c>
      <c r="J17" s="1269">
        <f t="shared" si="1"/>
        <v>0</v>
      </c>
      <c r="K17" s="1269">
        <f t="shared" si="1"/>
        <v>2207.9119489999998</v>
      </c>
      <c r="L17" s="1269">
        <f t="shared" si="1"/>
        <v>2207.9119489999998</v>
      </c>
      <c r="M17" s="1269">
        <f t="shared" si="1"/>
        <v>0</v>
      </c>
      <c r="N17" s="1269">
        <f>N22+N26+N30+N34+N38</f>
        <v>109.670345</v>
      </c>
      <c r="O17" s="1269">
        <f t="shared" si="1"/>
        <v>109.670345</v>
      </c>
      <c r="P17" s="1269">
        <f t="shared" si="1"/>
        <v>0</v>
      </c>
      <c r="Q17" s="1269">
        <f t="shared" si="1"/>
        <v>0</v>
      </c>
      <c r="R17" s="1269">
        <f>R22+R26+R30+R34+R38</f>
        <v>0</v>
      </c>
      <c r="S17" s="1269">
        <f t="shared" si="1"/>
        <v>2093.9580000000001</v>
      </c>
      <c r="T17" s="1269">
        <f t="shared" si="1"/>
        <v>2093.9580000000001</v>
      </c>
      <c r="U17" s="1269">
        <f t="shared" si="1"/>
        <v>0</v>
      </c>
      <c r="V17" s="1277">
        <f t="shared" ref="V17:V22" si="2">SUM(W17:AA17)</f>
        <v>4.2836039999997411</v>
      </c>
      <c r="W17" s="1269">
        <f t="shared" si="1"/>
        <v>4.2836039999997411</v>
      </c>
      <c r="X17" s="1269">
        <f t="shared" si="1"/>
        <v>0</v>
      </c>
      <c r="Y17" s="1269">
        <f t="shared" si="1"/>
        <v>0</v>
      </c>
      <c r="Z17" s="1269">
        <f t="shared" si="1"/>
        <v>0</v>
      </c>
      <c r="AA17" s="1269">
        <f t="shared" si="1"/>
        <v>0</v>
      </c>
      <c r="AB17" s="1275"/>
    </row>
    <row r="18" spans="1:28" s="1276" customFormat="1" x14ac:dyDescent="0.25">
      <c r="A18" s="1272" t="s">
        <v>882</v>
      </c>
      <c r="B18" s="1273" t="s">
        <v>546</v>
      </c>
      <c r="C18" s="1269">
        <f>C23+C27+C31</f>
        <v>0</v>
      </c>
      <c r="D18" s="1269">
        <f t="shared" ref="D18:AA19" si="3">D23+D27+D31</f>
        <v>0</v>
      </c>
      <c r="E18" s="1269">
        <f t="shared" si="3"/>
        <v>0</v>
      </c>
      <c r="F18" s="1269">
        <f t="shared" si="3"/>
        <v>0</v>
      </c>
      <c r="G18" s="1269">
        <f t="shared" si="3"/>
        <v>0</v>
      </c>
      <c r="H18" s="1269">
        <f t="shared" si="3"/>
        <v>0</v>
      </c>
      <c r="I18" s="1269">
        <f t="shared" si="3"/>
        <v>0</v>
      </c>
      <c r="J18" s="1269">
        <f t="shared" si="3"/>
        <v>0</v>
      </c>
      <c r="K18" s="1269">
        <f t="shared" si="3"/>
        <v>0</v>
      </c>
      <c r="L18" s="1269">
        <f t="shared" si="3"/>
        <v>0</v>
      </c>
      <c r="M18" s="1269">
        <f t="shared" si="3"/>
        <v>0</v>
      </c>
      <c r="N18" s="1269">
        <f t="shared" si="3"/>
        <v>0</v>
      </c>
      <c r="O18" s="1269">
        <f t="shared" si="3"/>
        <v>0</v>
      </c>
      <c r="P18" s="1269">
        <f t="shared" si="3"/>
        <v>0</v>
      </c>
      <c r="Q18" s="1269">
        <f t="shared" si="3"/>
        <v>0</v>
      </c>
      <c r="R18" s="1269">
        <f t="shared" si="3"/>
        <v>0</v>
      </c>
      <c r="S18" s="1269">
        <f t="shared" si="3"/>
        <v>0</v>
      </c>
      <c r="T18" s="1269">
        <f t="shared" si="3"/>
        <v>0</v>
      </c>
      <c r="U18" s="1269">
        <f t="shared" si="3"/>
        <v>0</v>
      </c>
      <c r="V18" s="1278">
        <f t="shared" si="2"/>
        <v>0</v>
      </c>
      <c r="W18" s="1269">
        <f t="shared" si="3"/>
        <v>0</v>
      </c>
      <c r="X18" s="1269">
        <f t="shared" si="3"/>
        <v>0</v>
      </c>
      <c r="Y18" s="1269">
        <f t="shared" si="3"/>
        <v>0</v>
      </c>
      <c r="Z18" s="1269">
        <f t="shared" si="3"/>
        <v>0</v>
      </c>
      <c r="AA18" s="1269">
        <f t="shared" si="3"/>
        <v>0</v>
      </c>
      <c r="AB18" s="1275"/>
    </row>
    <row r="19" spans="1:28" s="1276" customFormat="1" x14ac:dyDescent="0.25">
      <c r="A19" s="1272" t="s">
        <v>882</v>
      </c>
      <c r="B19" s="1273" t="s">
        <v>129</v>
      </c>
      <c r="C19" s="1269">
        <f>C24+C28+C32</f>
        <v>0</v>
      </c>
      <c r="D19" s="1269">
        <f t="shared" si="3"/>
        <v>0</v>
      </c>
      <c r="E19" s="1269">
        <f t="shared" si="3"/>
        <v>0</v>
      </c>
      <c r="F19" s="1269">
        <f t="shared" si="3"/>
        <v>0</v>
      </c>
      <c r="G19" s="1269">
        <f t="shared" si="3"/>
        <v>0</v>
      </c>
      <c r="H19" s="1269">
        <f t="shared" si="3"/>
        <v>0</v>
      </c>
      <c r="I19" s="1269">
        <f t="shared" si="3"/>
        <v>0</v>
      </c>
      <c r="J19" s="1269">
        <f t="shared" si="3"/>
        <v>0</v>
      </c>
      <c r="K19" s="1269">
        <f t="shared" si="3"/>
        <v>0</v>
      </c>
      <c r="L19" s="1269">
        <f t="shared" si="3"/>
        <v>0</v>
      </c>
      <c r="M19" s="1269">
        <f t="shared" si="3"/>
        <v>0</v>
      </c>
      <c r="N19" s="1269">
        <f t="shared" si="3"/>
        <v>0</v>
      </c>
      <c r="O19" s="1269">
        <f t="shared" si="3"/>
        <v>0</v>
      </c>
      <c r="P19" s="1269">
        <f t="shared" si="3"/>
        <v>0</v>
      </c>
      <c r="Q19" s="1269">
        <f t="shared" si="3"/>
        <v>0</v>
      </c>
      <c r="R19" s="1269">
        <f t="shared" si="3"/>
        <v>0</v>
      </c>
      <c r="S19" s="1269">
        <f t="shared" si="3"/>
        <v>0</v>
      </c>
      <c r="T19" s="1269">
        <f t="shared" si="3"/>
        <v>0</v>
      </c>
      <c r="U19" s="1269">
        <f t="shared" si="3"/>
        <v>0</v>
      </c>
      <c r="V19" s="1278">
        <f t="shared" si="2"/>
        <v>0</v>
      </c>
      <c r="W19" s="1269">
        <f t="shared" si="3"/>
        <v>0</v>
      </c>
      <c r="X19" s="1269">
        <f t="shared" si="3"/>
        <v>0</v>
      </c>
      <c r="Y19" s="1269">
        <f t="shared" si="3"/>
        <v>0</v>
      </c>
      <c r="Z19" s="1269">
        <f t="shared" si="3"/>
        <v>0</v>
      </c>
      <c r="AA19" s="1269">
        <f t="shared" si="3"/>
        <v>0</v>
      </c>
      <c r="AB19" s="1275"/>
    </row>
    <row r="20" spans="1:28" s="1265" customFormat="1" x14ac:dyDescent="0.25">
      <c r="A20" s="1266">
        <v>2</v>
      </c>
      <c r="B20" s="1267" t="s">
        <v>2286</v>
      </c>
      <c r="C20" s="1269">
        <f>C21+C25+C29+C33+C37</f>
        <v>2207.9119489999998</v>
      </c>
      <c r="D20" s="1269">
        <f t="shared" ref="D20:AA20" si="4">D21+D25+D29+D33+D37</f>
        <v>2093.957582</v>
      </c>
      <c r="E20" s="1269">
        <f t="shared" si="4"/>
        <v>113.954367</v>
      </c>
      <c r="F20" s="1269">
        <f t="shared" si="4"/>
        <v>0</v>
      </c>
      <c r="G20" s="1269">
        <f t="shared" si="4"/>
        <v>0</v>
      </c>
      <c r="H20" s="1269">
        <f t="shared" si="4"/>
        <v>0</v>
      </c>
      <c r="I20" s="1269">
        <f t="shared" si="4"/>
        <v>0</v>
      </c>
      <c r="J20" s="1269">
        <f t="shared" si="4"/>
        <v>0</v>
      </c>
      <c r="K20" s="1269">
        <f t="shared" si="4"/>
        <v>2207.9119489999998</v>
      </c>
      <c r="L20" s="1269">
        <f t="shared" si="4"/>
        <v>2207.9119489999998</v>
      </c>
      <c r="M20" s="1269">
        <f t="shared" si="4"/>
        <v>0</v>
      </c>
      <c r="N20" s="1269">
        <f t="shared" si="4"/>
        <v>109.670345</v>
      </c>
      <c r="O20" s="1269">
        <f t="shared" si="4"/>
        <v>109.670345</v>
      </c>
      <c r="P20" s="1269">
        <f t="shared" si="4"/>
        <v>0</v>
      </c>
      <c r="Q20" s="1269">
        <f t="shared" si="4"/>
        <v>0</v>
      </c>
      <c r="R20" s="1269">
        <f t="shared" si="4"/>
        <v>0</v>
      </c>
      <c r="S20" s="1269">
        <f t="shared" si="4"/>
        <v>2093.9580000000001</v>
      </c>
      <c r="T20" s="1269">
        <f t="shared" si="4"/>
        <v>2093.9580000000001</v>
      </c>
      <c r="U20" s="1269">
        <f t="shared" si="4"/>
        <v>0</v>
      </c>
      <c r="V20" s="1277">
        <f t="shared" si="2"/>
        <v>4.2836039999997411</v>
      </c>
      <c r="W20" s="1269">
        <f t="shared" si="4"/>
        <v>4.2836039999997411</v>
      </c>
      <c r="X20" s="1269">
        <f t="shared" si="4"/>
        <v>0</v>
      </c>
      <c r="Y20" s="1269">
        <f t="shared" si="4"/>
        <v>0</v>
      </c>
      <c r="Z20" s="1269">
        <f t="shared" si="4"/>
        <v>0</v>
      </c>
      <c r="AA20" s="1269">
        <f t="shared" si="4"/>
        <v>0</v>
      </c>
      <c r="AB20" s="1264"/>
    </row>
    <row r="21" spans="1:28" s="1265" customFormat="1" ht="31.5" x14ac:dyDescent="0.25">
      <c r="A21" s="1266" t="s">
        <v>902</v>
      </c>
      <c r="B21" s="1267" t="s">
        <v>2287</v>
      </c>
      <c r="C21" s="1269">
        <f>SUM(C22:C24)</f>
        <v>2207.9119489999998</v>
      </c>
      <c r="D21" s="1269">
        <f t="shared" ref="D21:M21" si="5">SUM(D22:D24)</f>
        <v>2093.957582</v>
      </c>
      <c r="E21" s="1269">
        <f t="shared" si="5"/>
        <v>113.954367</v>
      </c>
      <c r="F21" s="1269">
        <f t="shared" si="5"/>
        <v>0</v>
      </c>
      <c r="G21" s="1269">
        <f t="shared" si="5"/>
        <v>0</v>
      </c>
      <c r="H21" s="1269">
        <f t="shared" si="5"/>
        <v>0</v>
      </c>
      <c r="I21" s="1269">
        <f t="shared" si="5"/>
        <v>0</v>
      </c>
      <c r="J21" s="1269">
        <f t="shared" si="5"/>
        <v>0</v>
      </c>
      <c r="K21" s="1269">
        <f t="shared" si="5"/>
        <v>2207.9119489999998</v>
      </c>
      <c r="L21" s="1269">
        <f t="shared" si="5"/>
        <v>2207.9119489999998</v>
      </c>
      <c r="M21" s="1269">
        <f t="shared" si="5"/>
        <v>0</v>
      </c>
      <c r="N21" s="1269">
        <f>SUM(N22:N24)</f>
        <v>109.670345</v>
      </c>
      <c r="O21" s="1269">
        <f t="shared" ref="O21:Z21" si="6">SUM(O22:O24)</f>
        <v>109.670345</v>
      </c>
      <c r="P21" s="1269">
        <f t="shared" si="6"/>
        <v>0</v>
      </c>
      <c r="Q21" s="1269">
        <f t="shared" si="6"/>
        <v>0</v>
      </c>
      <c r="R21" s="1269">
        <f t="shared" si="6"/>
        <v>0</v>
      </c>
      <c r="S21" s="1269">
        <f t="shared" si="6"/>
        <v>2093.9580000000001</v>
      </c>
      <c r="T21" s="1269">
        <f t="shared" si="6"/>
        <v>2093.9580000000001</v>
      </c>
      <c r="U21" s="1269">
        <f t="shared" si="6"/>
        <v>0</v>
      </c>
      <c r="V21" s="1277">
        <f t="shared" si="2"/>
        <v>4.2836039999997411</v>
      </c>
      <c r="W21" s="1269">
        <f t="shared" si="6"/>
        <v>4.2836039999997411</v>
      </c>
      <c r="X21" s="1269">
        <f t="shared" si="6"/>
        <v>0</v>
      </c>
      <c r="Y21" s="1269">
        <f t="shared" si="6"/>
        <v>0</v>
      </c>
      <c r="Z21" s="1269">
        <f t="shared" si="6"/>
        <v>0</v>
      </c>
      <c r="AA21" s="1269">
        <f>SUM(AA22:AA24)*0.3</f>
        <v>0</v>
      </c>
      <c r="AB21" s="1264"/>
    </row>
    <row r="22" spans="1:28" s="1934" customFormat="1" ht="13.9" customHeight="1" x14ac:dyDescent="0.25">
      <c r="A22" s="1929" t="s">
        <v>882</v>
      </c>
      <c r="B22" s="1930" t="s">
        <v>341</v>
      </c>
      <c r="C22" s="1931">
        <f>SUM(D22:G22)</f>
        <v>2207.9119489999998</v>
      </c>
      <c r="D22" s="1931">
        <v>2093.957582</v>
      </c>
      <c r="E22" s="1931">
        <v>113.954367</v>
      </c>
      <c r="F22" s="1931"/>
      <c r="G22" s="1931"/>
      <c r="H22" s="1931">
        <f>I22+J22</f>
        <v>0</v>
      </c>
      <c r="I22" s="1931"/>
      <c r="J22" s="1931"/>
      <c r="K22" s="1931">
        <f>L22+M22</f>
        <v>2207.9119489999998</v>
      </c>
      <c r="L22" s="1931">
        <f>I22+D22+E22</f>
        <v>2207.9119489999998</v>
      </c>
      <c r="M22" s="1931">
        <f>F22+G22+J22</f>
        <v>0</v>
      </c>
      <c r="N22" s="1931">
        <f t="shared" ref="N22:N32" si="7">O22+P22+Q22+R22</f>
        <v>109.670345</v>
      </c>
      <c r="O22" s="1931">
        <v>109.670345</v>
      </c>
      <c r="P22" s="1931"/>
      <c r="Q22" s="1931"/>
      <c r="R22" s="1931"/>
      <c r="S22" s="1931">
        <f t="shared" ref="S22:S32" si="8">T22+U22</f>
        <v>2093.9580000000001</v>
      </c>
      <c r="T22" s="1931">
        <v>2093.9580000000001</v>
      </c>
      <c r="U22" s="1931"/>
      <c r="V22" s="1931">
        <f t="shared" si="2"/>
        <v>4.2836039999997411</v>
      </c>
      <c r="W22" s="1932">
        <f>D22+E22-O22-T22</f>
        <v>4.2836039999997411</v>
      </c>
      <c r="X22" s="1931">
        <f>I22-P22-Y22</f>
        <v>0</v>
      </c>
      <c r="Y22" s="1931"/>
      <c r="Z22" s="1931">
        <f>J22-R22</f>
        <v>0</v>
      </c>
      <c r="AA22" s="1931"/>
      <c r="AB22" s="1933">
        <f>E22-O22</f>
        <v>4.2840220000000073</v>
      </c>
    </row>
    <row r="23" spans="1:28" s="1276" customFormat="1" ht="13.9" customHeight="1" x14ac:dyDescent="0.25">
      <c r="A23" s="1272" t="s">
        <v>882</v>
      </c>
      <c r="B23" s="1273" t="s">
        <v>546</v>
      </c>
      <c r="C23" s="1269">
        <f>SUM(D23:G23)</f>
        <v>0</v>
      </c>
      <c r="D23" s="1274"/>
      <c r="E23" s="1274"/>
      <c r="F23" s="1274"/>
      <c r="G23" s="1274"/>
      <c r="H23" s="1269">
        <f>I23+J23</f>
        <v>0</v>
      </c>
      <c r="I23" s="1274"/>
      <c r="J23" s="1274"/>
      <c r="K23" s="1269">
        <f>L23+M23</f>
        <v>0</v>
      </c>
      <c r="L23" s="1278">
        <f t="shared" ref="L23:L38" si="9">I23+D23+E23</f>
        <v>0</v>
      </c>
      <c r="M23" s="1278">
        <f t="shared" ref="M23:M38" si="10">F23+G23+J23</f>
        <v>0</v>
      </c>
      <c r="N23" s="1269">
        <f t="shared" si="7"/>
        <v>0</v>
      </c>
      <c r="O23" s="1274"/>
      <c r="P23" s="1274"/>
      <c r="Q23" s="1274"/>
      <c r="R23" s="1274"/>
      <c r="S23" s="1269">
        <f t="shared" si="8"/>
        <v>0</v>
      </c>
      <c r="T23" s="1274"/>
      <c r="U23" s="1274"/>
      <c r="V23" s="1278">
        <f t="shared" ref="V23:V40" si="11">SUM(W23:AA23)</f>
        <v>0</v>
      </c>
      <c r="W23" s="1278">
        <f t="shared" ref="W23:W38" si="12">D23+E23-O23-T23</f>
        <v>0</v>
      </c>
      <c r="X23" s="1278">
        <f t="shared" ref="X23:X38" si="13">I23-P23-Y23</f>
        <v>0</v>
      </c>
      <c r="Y23" s="1274"/>
      <c r="Z23" s="1278">
        <f t="shared" ref="Z23:Z37" si="14">J23-R23</f>
        <v>0</v>
      </c>
      <c r="AA23" s="1274"/>
      <c r="AB23" s="1275"/>
    </row>
    <row r="24" spans="1:28" s="1276" customFormat="1" ht="13.9" customHeight="1" x14ac:dyDescent="0.25">
      <c r="A24" s="1272" t="s">
        <v>882</v>
      </c>
      <c r="B24" s="1273" t="s">
        <v>129</v>
      </c>
      <c r="C24" s="1269">
        <f>SUM(D24:G24)</f>
        <v>0</v>
      </c>
      <c r="D24" s="1274"/>
      <c r="E24" s="1274"/>
      <c r="F24" s="1274"/>
      <c r="G24" s="1274"/>
      <c r="H24" s="1269">
        <f>I24+J24</f>
        <v>0</v>
      </c>
      <c r="I24" s="1274"/>
      <c r="J24" s="1274"/>
      <c r="K24" s="1269">
        <f>L24+M24</f>
        <v>0</v>
      </c>
      <c r="L24" s="1278">
        <f t="shared" si="9"/>
        <v>0</v>
      </c>
      <c r="M24" s="1278">
        <f t="shared" si="10"/>
        <v>0</v>
      </c>
      <c r="N24" s="1269">
        <f t="shared" si="7"/>
        <v>0</v>
      </c>
      <c r="O24" s="1274"/>
      <c r="P24" s="1274"/>
      <c r="Q24" s="1274"/>
      <c r="R24" s="1274"/>
      <c r="S24" s="1269">
        <f t="shared" si="8"/>
        <v>0</v>
      </c>
      <c r="T24" s="1274"/>
      <c r="U24" s="1274"/>
      <c r="V24" s="1278">
        <f t="shared" si="11"/>
        <v>0</v>
      </c>
      <c r="W24" s="1278">
        <f t="shared" si="12"/>
        <v>0</v>
      </c>
      <c r="X24" s="1278">
        <f t="shared" si="13"/>
        <v>0</v>
      </c>
      <c r="Y24" s="1274"/>
      <c r="Z24" s="1278">
        <f t="shared" si="14"/>
        <v>0</v>
      </c>
      <c r="AA24" s="1274"/>
      <c r="AB24" s="1275"/>
    </row>
    <row r="25" spans="1:28" s="1265" customFormat="1" ht="63" x14ac:dyDescent="0.25">
      <c r="A25" s="1266" t="s">
        <v>903</v>
      </c>
      <c r="B25" s="1267" t="s">
        <v>2288</v>
      </c>
      <c r="C25" s="1269">
        <f>SUM(C26:C28)</f>
        <v>0</v>
      </c>
      <c r="D25" s="1269">
        <f t="shared" ref="D25:AA25" si="15">SUM(D26:D28)</f>
        <v>0</v>
      </c>
      <c r="E25" s="1269">
        <f t="shared" si="15"/>
        <v>0</v>
      </c>
      <c r="F25" s="1269">
        <f t="shared" si="15"/>
        <v>0</v>
      </c>
      <c r="G25" s="1269">
        <f t="shared" si="15"/>
        <v>0</v>
      </c>
      <c r="H25" s="1269">
        <f t="shared" si="15"/>
        <v>0</v>
      </c>
      <c r="I25" s="1269">
        <f t="shared" si="15"/>
        <v>0</v>
      </c>
      <c r="J25" s="1269">
        <f t="shared" si="15"/>
        <v>0</v>
      </c>
      <c r="K25" s="1269">
        <f t="shared" si="15"/>
        <v>0</v>
      </c>
      <c r="L25" s="1278">
        <f t="shared" si="9"/>
        <v>0</v>
      </c>
      <c r="M25" s="1278">
        <f t="shared" si="10"/>
        <v>0</v>
      </c>
      <c r="N25" s="1269">
        <f t="shared" si="15"/>
        <v>0</v>
      </c>
      <c r="O25" s="1269">
        <f t="shared" si="15"/>
        <v>0</v>
      </c>
      <c r="P25" s="1269">
        <f t="shared" si="15"/>
        <v>0</v>
      </c>
      <c r="Q25" s="1269">
        <f t="shared" si="15"/>
        <v>0</v>
      </c>
      <c r="R25" s="1269">
        <f t="shared" si="15"/>
        <v>0</v>
      </c>
      <c r="S25" s="1269">
        <f t="shared" si="15"/>
        <v>0</v>
      </c>
      <c r="T25" s="1269">
        <f t="shared" si="15"/>
        <v>0</v>
      </c>
      <c r="U25" s="1269">
        <f t="shared" si="15"/>
        <v>0</v>
      </c>
      <c r="V25" s="1277">
        <f t="shared" si="11"/>
        <v>0</v>
      </c>
      <c r="W25" s="1278">
        <f t="shared" si="12"/>
        <v>0</v>
      </c>
      <c r="X25" s="1278">
        <f t="shared" si="13"/>
        <v>0</v>
      </c>
      <c r="Y25" s="1269">
        <f t="shared" si="15"/>
        <v>0</v>
      </c>
      <c r="Z25" s="1278">
        <f>J25-R25</f>
        <v>0</v>
      </c>
      <c r="AA25" s="1269">
        <f t="shared" si="15"/>
        <v>0</v>
      </c>
      <c r="AB25" s="1264"/>
    </row>
    <row r="26" spans="1:28" s="1276" customFormat="1" x14ac:dyDescent="0.25">
      <c r="A26" s="1272" t="s">
        <v>882</v>
      </c>
      <c r="B26" s="1273" t="s">
        <v>341</v>
      </c>
      <c r="C26" s="1269">
        <f>SUM(D26:G26)</f>
        <v>0</v>
      </c>
      <c r="D26" s="1274"/>
      <c r="E26" s="1274"/>
      <c r="F26" s="1274"/>
      <c r="G26" s="1274"/>
      <c r="H26" s="1269">
        <f>I26+J26</f>
        <v>0</v>
      </c>
      <c r="I26" s="1274"/>
      <c r="J26" s="1274"/>
      <c r="K26" s="1269">
        <f>L26+M26</f>
        <v>0</v>
      </c>
      <c r="L26" s="1278">
        <f t="shared" si="9"/>
        <v>0</v>
      </c>
      <c r="M26" s="1278">
        <f t="shared" si="10"/>
        <v>0</v>
      </c>
      <c r="N26" s="1269">
        <f t="shared" si="7"/>
        <v>0</v>
      </c>
      <c r="O26" s="1274"/>
      <c r="P26" s="1274"/>
      <c r="Q26" s="1274"/>
      <c r="R26" s="1274"/>
      <c r="S26" s="1269">
        <f t="shared" si="8"/>
        <v>0</v>
      </c>
      <c r="T26" s="1274"/>
      <c r="U26" s="1274">
        <f>C26</f>
        <v>0</v>
      </c>
      <c r="V26" s="1278">
        <f t="shared" si="11"/>
        <v>0</v>
      </c>
      <c r="W26" s="1278">
        <f t="shared" si="12"/>
        <v>0</v>
      </c>
      <c r="X26" s="1278">
        <f t="shared" si="13"/>
        <v>0</v>
      </c>
      <c r="Y26" s="1274"/>
      <c r="Z26" s="1278">
        <f t="shared" si="14"/>
        <v>0</v>
      </c>
      <c r="AA26" s="1274"/>
      <c r="AB26" s="1275"/>
    </row>
    <row r="27" spans="1:28" s="1276" customFormat="1" x14ac:dyDescent="0.25">
      <c r="A27" s="1272" t="s">
        <v>882</v>
      </c>
      <c r="B27" s="1273" t="s">
        <v>546</v>
      </c>
      <c r="C27" s="1269">
        <f>SUM(D27:G27)</f>
        <v>0</v>
      </c>
      <c r="D27" s="1274"/>
      <c r="E27" s="1274"/>
      <c r="F27" s="1274"/>
      <c r="G27" s="1274"/>
      <c r="H27" s="1269">
        <f>I27+J27</f>
        <v>0</v>
      </c>
      <c r="I27" s="1274"/>
      <c r="J27" s="1274"/>
      <c r="K27" s="1269">
        <f>L27+M27</f>
        <v>0</v>
      </c>
      <c r="L27" s="1278">
        <f t="shared" si="9"/>
        <v>0</v>
      </c>
      <c r="M27" s="1278">
        <f t="shared" si="10"/>
        <v>0</v>
      </c>
      <c r="N27" s="1269">
        <f t="shared" si="7"/>
        <v>0</v>
      </c>
      <c r="O27" s="1274"/>
      <c r="P27" s="1274"/>
      <c r="Q27" s="1274"/>
      <c r="R27" s="1274"/>
      <c r="S27" s="1269">
        <f t="shared" si="8"/>
        <v>0</v>
      </c>
      <c r="T27" s="1274"/>
      <c r="U27" s="1274"/>
      <c r="V27" s="1278">
        <f t="shared" si="11"/>
        <v>0</v>
      </c>
      <c r="W27" s="1278">
        <f t="shared" si="12"/>
        <v>0</v>
      </c>
      <c r="X27" s="1278">
        <f t="shared" si="13"/>
        <v>0</v>
      </c>
      <c r="Y27" s="1274"/>
      <c r="Z27" s="1278">
        <f t="shared" si="14"/>
        <v>0</v>
      </c>
      <c r="AA27" s="1274"/>
      <c r="AB27" s="1275"/>
    </row>
    <row r="28" spans="1:28" s="1276" customFormat="1" x14ac:dyDescent="0.25">
      <c r="A28" s="1272" t="s">
        <v>882</v>
      </c>
      <c r="B28" s="1273" t="s">
        <v>129</v>
      </c>
      <c r="C28" s="1269">
        <f>SUM(D28:G28)</f>
        <v>0</v>
      </c>
      <c r="D28" s="1274"/>
      <c r="E28" s="1274"/>
      <c r="F28" s="1274"/>
      <c r="G28" s="1274"/>
      <c r="H28" s="1269">
        <f>I28+J28</f>
        <v>0</v>
      </c>
      <c r="I28" s="1274"/>
      <c r="J28" s="1274"/>
      <c r="K28" s="1269">
        <f>L28+M28</f>
        <v>0</v>
      </c>
      <c r="L28" s="1278">
        <f t="shared" si="9"/>
        <v>0</v>
      </c>
      <c r="M28" s="1278">
        <f t="shared" si="10"/>
        <v>0</v>
      </c>
      <c r="N28" s="1269">
        <f t="shared" si="7"/>
        <v>0</v>
      </c>
      <c r="O28" s="1274"/>
      <c r="P28" s="1274"/>
      <c r="Q28" s="1274"/>
      <c r="R28" s="1274"/>
      <c r="S28" s="1269">
        <f t="shared" si="8"/>
        <v>0</v>
      </c>
      <c r="T28" s="1274"/>
      <c r="U28" s="1274"/>
      <c r="V28" s="1278">
        <f t="shared" si="11"/>
        <v>0</v>
      </c>
      <c r="W28" s="1278">
        <f t="shared" si="12"/>
        <v>0</v>
      </c>
      <c r="X28" s="1278">
        <f t="shared" si="13"/>
        <v>0</v>
      </c>
      <c r="Y28" s="1274"/>
      <c r="Z28" s="1278">
        <f t="shared" si="14"/>
        <v>0</v>
      </c>
      <c r="AA28" s="1274"/>
      <c r="AB28" s="1275"/>
    </row>
    <row r="29" spans="1:28" s="1265" customFormat="1" ht="52.5" x14ac:dyDescent="0.15">
      <c r="A29" s="1270" t="s">
        <v>910</v>
      </c>
      <c r="B29" s="1279" t="s">
        <v>2289</v>
      </c>
      <c r="C29" s="1269">
        <f>SUM(C30:C32)</f>
        <v>0</v>
      </c>
      <c r="D29" s="1269">
        <f t="shared" ref="D29:AA29" si="16">SUM(D30:D32)</f>
        <v>0</v>
      </c>
      <c r="E29" s="1269">
        <f t="shared" si="16"/>
        <v>0</v>
      </c>
      <c r="F29" s="1269">
        <f t="shared" si="16"/>
        <v>0</v>
      </c>
      <c r="G29" s="1269">
        <f t="shared" si="16"/>
        <v>0</v>
      </c>
      <c r="H29" s="1269">
        <f t="shared" si="16"/>
        <v>0</v>
      </c>
      <c r="I29" s="1269">
        <f t="shared" si="16"/>
        <v>0</v>
      </c>
      <c r="J29" s="1269">
        <f t="shared" si="16"/>
        <v>0</v>
      </c>
      <c r="K29" s="1269">
        <f t="shared" si="16"/>
        <v>0</v>
      </c>
      <c r="L29" s="1278">
        <f t="shared" si="9"/>
        <v>0</v>
      </c>
      <c r="M29" s="1278">
        <f t="shared" si="10"/>
        <v>0</v>
      </c>
      <c r="N29" s="1269">
        <f t="shared" si="16"/>
        <v>0</v>
      </c>
      <c r="O29" s="1269">
        <f t="shared" si="16"/>
        <v>0</v>
      </c>
      <c r="P29" s="1269">
        <f t="shared" si="16"/>
        <v>0</v>
      </c>
      <c r="Q29" s="1269">
        <f t="shared" si="16"/>
        <v>0</v>
      </c>
      <c r="R29" s="1269">
        <f>SUM(R30:R32)</f>
        <v>0</v>
      </c>
      <c r="S29" s="1269">
        <f t="shared" si="16"/>
        <v>0</v>
      </c>
      <c r="T29" s="1269">
        <f>SUM(T30:T32)</f>
        <v>0</v>
      </c>
      <c r="U29" s="1269">
        <f t="shared" si="16"/>
        <v>0</v>
      </c>
      <c r="V29" s="1278">
        <f t="shared" si="11"/>
        <v>0</v>
      </c>
      <c r="W29" s="1278">
        <f t="shared" si="12"/>
        <v>0</v>
      </c>
      <c r="X29" s="1278">
        <f t="shared" si="13"/>
        <v>0</v>
      </c>
      <c r="Y29" s="1269">
        <f t="shared" si="16"/>
        <v>0</v>
      </c>
      <c r="Z29" s="1278">
        <f t="shared" si="14"/>
        <v>0</v>
      </c>
      <c r="AA29" s="1269">
        <f t="shared" si="16"/>
        <v>0</v>
      </c>
      <c r="AB29" s="1264"/>
    </row>
    <row r="30" spans="1:28" s="1276" customFormat="1" x14ac:dyDescent="0.25">
      <c r="A30" s="1272" t="s">
        <v>882</v>
      </c>
      <c r="B30" s="1273" t="s">
        <v>341</v>
      </c>
      <c r="C30" s="1269">
        <f>SUM(D30:G30)</f>
        <v>0</v>
      </c>
      <c r="D30" s="1274"/>
      <c r="E30" s="1274"/>
      <c r="F30" s="1274"/>
      <c r="G30" s="1274"/>
      <c r="H30" s="1269">
        <f>I30+J30</f>
        <v>0</v>
      </c>
      <c r="I30" s="1274"/>
      <c r="J30" s="1274"/>
      <c r="K30" s="1269">
        <f>L30+M30</f>
        <v>0</v>
      </c>
      <c r="L30" s="1278">
        <f t="shared" si="9"/>
        <v>0</v>
      </c>
      <c r="M30" s="1278">
        <f t="shared" si="10"/>
        <v>0</v>
      </c>
      <c r="N30" s="1269">
        <f t="shared" si="7"/>
        <v>0</v>
      </c>
      <c r="O30" s="1274"/>
      <c r="P30" s="1274"/>
      <c r="Q30" s="1274"/>
      <c r="R30" s="1274"/>
      <c r="S30" s="1269">
        <f t="shared" si="8"/>
        <v>0</v>
      </c>
      <c r="T30" s="1274"/>
      <c r="U30" s="1274"/>
      <c r="V30" s="1278">
        <f t="shared" si="11"/>
        <v>0</v>
      </c>
      <c r="W30" s="1278">
        <f t="shared" si="12"/>
        <v>0</v>
      </c>
      <c r="X30" s="1278">
        <f t="shared" si="13"/>
        <v>0</v>
      </c>
      <c r="Y30" s="1274"/>
      <c r="Z30" s="1278">
        <f t="shared" si="14"/>
        <v>0</v>
      </c>
      <c r="AA30" s="1274"/>
      <c r="AB30" s="1275"/>
    </row>
    <row r="31" spans="1:28" s="1276" customFormat="1" x14ac:dyDescent="0.25">
      <c r="A31" s="1272" t="s">
        <v>882</v>
      </c>
      <c r="B31" s="1273" t="s">
        <v>546</v>
      </c>
      <c r="C31" s="1269">
        <f>SUM(D31:G31)</f>
        <v>0</v>
      </c>
      <c r="D31" s="1274"/>
      <c r="E31" s="1274"/>
      <c r="F31" s="1274"/>
      <c r="G31" s="1274"/>
      <c r="H31" s="1269">
        <f>I31+J31</f>
        <v>0</v>
      </c>
      <c r="I31" s="1274"/>
      <c r="J31" s="1274"/>
      <c r="K31" s="1269">
        <f>L31+M31</f>
        <v>0</v>
      </c>
      <c r="L31" s="1278">
        <f t="shared" si="9"/>
        <v>0</v>
      </c>
      <c r="M31" s="1278">
        <f t="shared" si="10"/>
        <v>0</v>
      </c>
      <c r="N31" s="1269">
        <f t="shared" si="7"/>
        <v>0</v>
      </c>
      <c r="O31" s="1274"/>
      <c r="P31" s="1274"/>
      <c r="Q31" s="1274"/>
      <c r="R31" s="1274"/>
      <c r="S31" s="1269">
        <f t="shared" si="8"/>
        <v>0</v>
      </c>
      <c r="T31" s="1274"/>
      <c r="U31" s="1274"/>
      <c r="V31" s="1278">
        <f t="shared" si="11"/>
        <v>0</v>
      </c>
      <c r="W31" s="1278">
        <f t="shared" si="12"/>
        <v>0</v>
      </c>
      <c r="X31" s="1278">
        <f t="shared" si="13"/>
        <v>0</v>
      </c>
      <c r="Y31" s="1274"/>
      <c r="Z31" s="1278">
        <f t="shared" si="14"/>
        <v>0</v>
      </c>
      <c r="AA31" s="1274"/>
      <c r="AB31" s="1275"/>
    </row>
    <row r="32" spans="1:28" s="1276" customFormat="1" x14ac:dyDescent="0.25">
      <c r="A32" s="1272" t="s">
        <v>882</v>
      </c>
      <c r="B32" s="1273" t="s">
        <v>129</v>
      </c>
      <c r="C32" s="1269">
        <f>SUM(D32:G32)</f>
        <v>0</v>
      </c>
      <c r="D32" s="1274"/>
      <c r="E32" s="1274"/>
      <c r="F32" s="1274"/>
      <c r="G32" s="1274"/>
      <c r="H32" s="1269">
        <f>I32+J32</f>
        <v>0</v>
      </c>
      <c r="I32" s="1274"/>
      <c r="J32" s="1274"/>
      <c r="K32" s="1269">
        <f>L32+M32</f>
        <v>0</v>
      </c>
      <c r="L32" s="1278">
        <f t="shared" si="9"/>
        <v>0</v>
      </c>
      <c r="M32" s="1278">
        <f t="shared" si="10"/>
        <v>0</v>
      </c>
      <c r="N32" s="1269">
        <f t="shared" si="7"/>
        <v>0</v>
      </c>
      <c r="O32" s="1274"/>
      <c r="P32" s="1274"/>
      <c r="Q32" s="1274"/>
      <c r="R32" s="1274"/>
      <c r="S32" s="1269">
        <f t="shared" si="8"/>
        <v>0</v>
      </c>
      <c r="T32" s="1274"/>
      <c r="U32" s="1274"/>
      <c r="V32" s="1278">
        <f t="shared" si="11"/>
        <v>0</v>
      </c>
      <c r="W32" s="1278">
        <f t="shared" si="12"/>
        <v>0</v>
      </c>
      <c r="X32" s="1278">
        <f t="shared" si="13"/>
        <v>0</v>
      </c>
      <c r="Y32" s="1274"/>
      <c r="Z32" s="1278">
        <f t="shared" si="14"/>
        <v>0</v>
      </c>
      <c r="AA32" s="1274"/>
      <c r="AB32" s="1275"/>
    </row>
    <row r="33" spans="1:28" s="1276" customFormat="1" ht="21" x14ac:dyDescent="0.15">
      <c r="A33" s="1272"/>
      <c r="B33" s="1279" t="s">
        <v>2290</v>
      </c>
      <c r="C33" s="1269">
        <f>SUM(C34:C36)</f>
        <v>0</v>
      </c>
      <c r="D33" s="1269">
        <f t="shared" ref="D33:AA33" si="17">SUM(D34:D36)</f>
        <v>0</v>
      </c>
      <c r="E33" s="1269">
        <f t="shared" si="17"/>
        <v>0</v>
      </c>
      <c r="F33" s="1269">
        <f t="shared" si="17"/>
        <v>0</v>
      </c>
      <c r="G33" s="1269">
        <f t="shared" si="17"/>
        <v>0</v>
      </c>
      <c r="H33" s="1269">
        <f t="shared" si="17"/>
        <v>0</v>
      </c>
      <c r="I33" s="1269">
        <f t="shared" si="17"/>
        <v>0</v>
      </c>
      <c r="J33" s="1269">
        <f t="shared" si="17"/>
        <v>0</v>
      </c>
      <c r="K33" s="1269">
        <f t="shared" si="17"/>
        <v>0</v>
      </c>
      <c r="L33" s="1278">
        <f t="shared" si="9"/>
        <v>0</v>
      </c>
      <c r="M33" s="1278">
        <f t="shared" si="10"/>
        <v>0</v>
      </c>
      <c r="N33" s="1269">
        <f t="shared" si="17"/>
        <v>0</v>
      </c>
      <c r="O33" s="1269">
        <f t="shared" si="17"/>
        <v>0</v>
      </c>
      <c r="P33" s="1269">
        <f t="shared" si="17"/>
        <v>0</v>
      </c>
      <c r="Q33" s="1269">
        <f t="shared" si="17"/>
        <v>0</v>
      </c>
      <c r="R33" s="1269">
        <f t="shared" si="17"/>
        <v>0</v>
      </c>
      <c r="S33" s="1269">
        <f t="shared" si="17"/>
        <v>0</v>
      </c>
      <c r="T33" s="1269">
        <f t="shared" si="17"/>
        <v>0</v>
      </c>
      <c r="U33" s="1269">
        <f t="shared" si="17"/>
        <v>0</v>
      </c>
      <c r="V33" s="1278">
        <f t="shared" si="11"/>
        <v>0</v>
      </c>
      <c r="W33" s="1278">
        <f t="shared" si="12"/>
        <v>0</v>
      </c>
      <c r="X33" s="1278">
        <f t="shared" si="13"/>
        <v>0</v>
      </c>
      <c r="Y33" s="1269">
        <f t="shared" si="17"/>
        <v>0</v>
      </c>
      <c r="Z33" s="1278">
        <f t="shared" si="14"/>
        <v>0</v>
      </c>
      <c r="AA33" s="1269">
        <f t="shared" si="17"/>
        <v>0</v>
      </c>
      <c r="AB33" s="1275"/>
    </row>
    <row r="34" spans="1:28" s="1276" customFormat="1" x14ac:dyDescent="0.25">
      <c r="A34" s="1272"/>
      <c r="B34" s="1273" t="s">
        <v>341</v>
      </c>
      <c r="C34" s="1269">
        <f t="shared" ref="C34:C40" si="18">SUM(D34:G34)</f>
        <v>0</v>
      </c>
      <c r="D34" s="1274"/>
      <c r="E34" s="1274"/>
      <c r="F34" s="1274"/>
      <c r="G34" s="1274"/>
      <c r="H34" s="1269">
        <f t="shared" ref="H34:H40" si="19">I34+J34</f>
        <v>0</v>
      </c>
      <c r="I34" s="1274"/>
      <c r="J34" s="1274"/>
      <c r="K34" s="1269">
        <f t="shared" ref="K34:K40" si="20">L34+M34</f>
        <v>0</v>
      </c>
      <c r="L34" s="1278">
        <f t="shared" si="9"/>
        <v>0</v>
      </c>
      <c r="M34" s="1278">
        <f t="shared" si="10"/>
        <v>0</v>
      </c>
      <c r="N34" s="1269">
        <f t="shared" ref="N34:N40" si="21">O34+P34+Q34+R34</f>
        <v>0</v>
      </c>
      <c r="O34" s="1274"/>
      <c r="P34" s="1274"/>
      <c r="Q34" s="1274"/>
      <c r="R34" s="1274"/>
      <c r="S34" s="1269">
        <f t="shared" ref="S34:S39" si="22">T34+U34</f>
        <v>0</v>
      </c>
      <c r="T34" s="1274"/>
      <c r="U34" s="1274"/>
      <c r="V34" s="1278">
        <f t="shared" si="11"/>
        <v>0</v>
      </c>
      <c r="W34" s="1278">
        <f t="shared" si="12"/>
        <v>0</v>
      </c>
      <c r="X34" s="1278">
        <f t="shared" si="13"/>
        <v>0</v>
      </c>
      <c r="Y34" s="1274"/>
      <c r="Z34" s="1278">
        <f t="shared" si="14"/>
        <v>0</v>
      </c>
      <c r="AA34" s="1274"/>
      <c r="AB34" s="1275"/>
    </row>
    <row r="35" spans="1:28" s="1276" customFormat="1" x14ac:dyDescent="0.25">
      <c r="A35" s="1272"/>
      <c r="B35" s="1273" t="s">
        <v>546</v>
      </c>
      <c r="C35" s="1269">
        <f t="shared" si="18"/>
        <v>0</v>
      </c>
      <c r="D35" s="1274"/>
      <c r="E35" s="1274"/>
      <c r="F35" s="1274"/>
      <c r="G35" s="1274"/>
      <c r="H35" s="1269">
        <f t="shared" si="19"/>
        <v>0</v>
      </c>
      <c r="I35" s="1274"/>
      <c r="J35" s="1274"/>
      <c r="K35" s="1269">
        <f t="shared" si="20"/>
        <v>0</v>
      </c>
      <c r="L35" s="1278">
        <f t="shared" si="9"/>
        <v>0</v>
      </c>
      <c r="M35" s="1278">
        <f t="shared" si="10"/>
        <v>0</v>
      </c>
      <c r="N35" s="1269">
        <f t="shared" si="21"/>
        <v>0</v>
      </c>
      <c r="O35" s="1274"/>
      <c r="P35" s="1274"/>
      <c r="Q35" s="1274"/>
      <c r="R35" s="1274"/>
      <c r="S35" s="1269">
        <f t="shared" si="22"/>
        <v>0</v>
      </c>
      <c r="T35" s="1274"/>
      <c r="U35" s="1274"/>
      <c r="V35" s="1278">
        <f t="shared" si="11"/>
        <v>0</v>
      </c>
      <c r="W35" s="1278">
        <f t="shared" si="12"/>
        <v>0</v>
      </c>
      <c r="X35" s="1278">
        <f t="shared" si="13"/>
        <v>0</v>
      </c>
      <c r="Y35" s="1274"/>
      <c r="Z35" s="1278">
        <f t="shared" si="14"/>
        <v>0</v>
      </c>
      <c r="AA35" s="1274"/>
      <c r="AB35" s="1275"/>
    </row>
    <row r="36" spans="1:28" s="1276" customFormat="1" x14ac:dyDescent="0.25">
      <c r="A36" s="1272"/>
      <c r="B36" s="1273" t="s">
        <v>129</v>
      </c>
      <c r="C36" s="1269">
        <f t="shared" si="18"/>
        <v>0</v>
      </c>
      <c r="D36" s="1274"/>
      <c r="E36" s="1274"/>
      <c r="F36" s="1274"/>
      <c r="G36" s="1274"/>
      <c r="H36" s="1269">
        <f t="shared" si="19"/>
        <v>0</v>
      </c>
      <c r="I36" s="1274"/>
      <c r="J36" s="1274"/>
      <c r="K36" s="1269">
        <f t="shared" si="20"/>
        <v>0</v>
      </c>
      <c r="L36" s="1278">
        <f t="shared" si="9"/>
        <v>0</v>
      </c>
      <c r="M36" s="1278">
        <f t="shared" si="10"/>
        <v>0</v>
      </c>
      <c r="N36" s="1269">
        <f t="shared" si="21"/>
        <v>0</v>
      </c>
      <c r="O36" s="1274"/>
      <c r="P36" s="1274"/>
      <c r="Q36" s="1274"/>
      <c r="R36" s="1274"/>
      <c r="S36" s="1269">
        <f t="shared" si="22"/>
        <v>0</v>
      </c>
      <c r="T36" s="1274"/>
      <c r="U36" s="1274"/>
      <c r="V36" s="1278">
        <f t="shared" si="11"/>
        <v>0</v>
      </c>
      <c r="W36" s="1278">
        <f t="shared" si="12"/>
        <v>0</v>
      </c>
      <c r="X36" s="1278">
        <f t="shared" si="13"/>
        <v>0</v>
      </c>
      <c r="Y36" s="1274"/>
      <c r="Z36" s="1278">
        <f t="shared" si="14"/>
        <v>0</v>
      </c>
      <c r="AA36" s="1274"/>
      <c r="AB36" s="1275"/>
    </row>
    <row r="37" spans="1:28" s="1276" customFormat="1" ht="31.5" x14ac:dyDescent="0.15">
      <c r="A37" s="1272"/>
      <c r="B37" s="1280" t="s">
        <v>2291</v>
      </c>
      <c r="C37" s="1269">
        <f>SUM(C38:C40)</f>
        <v>0</v>
      </c>
      <c r="D37" s="1269">
        <f t="shared" ref="D37:AA37" si="23">SUM(D38:D40)</f>
        <v>0</v>
      </c>
      <c r="E37" s="1269">
        <f t="shared" si="23"/>
        <v>0</v>
      </c>
      <c r="F37" s="1269">
        <f t="shared" si="23"/>
        <v>0</v>
      </c>
      <c r="G37" s="1269">
        <f t="shared" si="23"/>
        <v>0</v>
      </c>
      <c r="H37" s="1269">
        <f t="shared" si="23"/>
        <v>0</v>
      </c>
      <c r="I37" s="1269">
        <f t="shared" si="23"/>
        <v>0</v>
      </c>
      <c r="J37" s="1269">
        <f t="shared" si="23"/>
        <v>0</v>
      </c>
      <c r="K37" s="1269">
        <f t="shared" si="23"/>
        <v>0</v>
      </c>
      <c r="L37" s="1278">
        <f t="shared" si="9"/>
        <v>0</v>
      </c>
      <c r="M37" s="1278">
        <f t="shared" si="10"/>
        <v>0</v>
      </c>
      <c r="N37" s="1269">
        <f t="shared" si="23"/>
        <v>0</v>
      </c>
      <c r="O37" s="1269">
        <f t="shared" si="23"/>
        <v>0</v>
      </c>
      <c r="P37" s="1269">
        <f t="shared" si="23"/>
        <v>0</v>
      </c>
      <c r="Q37" s="1269">
        <f t="shared" si="23"/>
        <v>0</v>
      </c>
      <c r="R37" s="1269">
        <f t="shared" si="23"/>
        <v>0</v>
      </c>
      <c r="S37" s="1269">
        <f t="shared" si="23"/>
        <v>0</v>
      </c>
      <c r="T37" s="1269">
        <f t="shared" si="23"/>
        <v>0</v>
      </c>
      <c r="U37" s="1269">
        <f t="shared" si="23"/>
        <v>0</v>
      </c>
      <c r="V37" s="1278">
        <f t="shared" si="11"/>
        <v>0</v>
      </c>
      <c r="W37" s="1278">
        <f t="shared" si="12"/>
        <v>0</v>
      </c>
      <c r="X37" s="1278">
        <f t="shared" si="13"/>
        <v>0</v>
      </c>
      <c r="Y37" s="1269">
        <f t="shared" si="23"/>
        <v>0</v>
      </c>
      <c r="Z37" s="1278">
        <f t="shared" si="14"/>
        <v>0</v>
      </c>
      <c r="AA37" s="1269">
        <f t="shared" si="23"/>
        <v>0</v>
      </c>
      <c r="AB37" s="1275"/>
    </row>
    <row r="38" spans="1:28" s="1276" customFormat="1" x14ac:dyDescent="0.25">
      <c r="A38" s="1272"/>
      <c r="B38" s="1273" t="s">
        <v>341</v>
      </c>
      <c r="C38" s="1269">
        <f t="shared" si="18"/>
        <v>0</v>
      </c>
      <c r="D38" s="1274"/>
      <c r="E38" s="1274"/>
      <c r="F38" s="1274"/>
      <c r="G38" s="1274"/>
      <c r="H38" s="1269">
        <f t="shared" si="19"/>
        <v>0</v>
      </c>
      <c r="I38" s="1274"/>
      <c r="J38" s="1274"/>
      <c r="K38" s="1269">
        <f t="shared" si="20"/>
        <v>0</v>
      </c>
      <c r="L38" s="1278">
        <f t="shared" si="9"/>
        <v>0</v>
      </c>
      <c r="M38" s="1278">
        <f t="shared" si="10"/>
        <v>0</v>
      </c>
      <c r="N38" s="1269">
        <f t="shared" si="21"/>
        <v>0</v>
      </c>
      <c r="O38" s="1274"/>
      <c r="P38" s="1274"/>
      <c r="Q38" s="1274"/>
      <c r="R38" s="1274"/>
      <c r="S38" s="1269">
        <f t="shared" si="22"/>
        <v>0</v>
      </c>
      <c r="T38" s="1274"/>
      <c r="U38" s="1274"/>
      <c r="V38" s="1278">
        <f t="shared" si="11"/>
        <v>0</v>
      </c>
      <c r="W38" s="1278">
        <f t="shared" si="12"/>
        <v>0</v>
      </c>
      <c r="X38" s="1278">
        <f t="shared" si="13"/>
        <v>0</v>
      </c>
      <c r="Y38" s="1274"/>
      <c r="Z38" s="1278">
        <f>J38-R38</f>
        <v>0</v>
      </c>
      <c r="AA38" s="1274"/>
      <c r="AB38" s="1275"/>
    </row>
    <row r="39" spans="1:28" s="1276" customFormat="1" x14ac:dyDescent="0.25">
      <c r="A39" s="1272"/>
      <c r="B39" s="1273" t="s">
        <v>546</v>
      </c>
      <c r="C39" s="1269">
        <f t="shared" si="18"/>
        <v>0</v>
      </c>
      <c r="D39" s="1274"/>
      <c r="E39" s="1274"/>
      <c r="F39" s="1274"/>
      <c r="G39" s="1274"/>
      <c r="H39" s="1269">
        <f t="shared" si="19"/>
        <v>0</v>
      </c>
      <c r="I39" s="1274"/>
      <c r="J39" s="1274"/>
      <c r="K39" s="1269">
        <f t="shared" si="20"/>
        <v>0</v>
      </c>
      <c r="L39" s="1278">
        <f>E39+I39</f>
        <v>0</v>
      </c>
      <c r="M39" s="1278">
        <f>G39+J39</f>
        <v>0</v>
      </c>
      <c r="N39" s="1269">
        <f t="shared" si="21"/>
        <v>0</v>
      </c>
      <c r="O39" s="1274"/>
      <c r="P39" s="1274"/>
      <c r="Q39" s="1274"/>
      <c r="R39" s="1274"/>
      <c r="S39" s="1269">
        <f t="shared" si="22"/>
        <v>0</v>
      </c>
      <c r="T39" s="1274"/>
      <c r="U39" s="1274"/>
      <c r="V39" s="1269">
        <f t="shared" si="11"/>
        <v>0</v>
      </c>
      <c r="W39" s="1274"/>
      <c r="X39" s="1274"/>
      <c r="Y39" s="1274"/>
      <c r="Z39" s="1274"/>
      <c r="AA39" s="1274"/>
      <c r="AB39" s="1275"/>
    </row>
    <row r="40" spans="1:28" s="1276" customFormat="1" x14ac:dyDescent="0.25">
      <c r="A40" s="1272"/>
      <c r="B40" s="1273" t="s">
        <v>129</v>
      </c>
      <c r="C40" s="1269">
        <f t="shared" si="18"/>
        <v>0</v>
      </c>
      <c r="D40" s="1274"/>
      <c r="E40" s="1274"/>
      <c r="F40" s="1274"/>
      <c r="G40" s="1274"/>
      <c r="H40" s="1269">
        <f t="shared" si="19"/>
        <v>0</v>
      </c>
      <c r="I40" s="1274"/>
      <c r="J40" s="1274"/>
      <c r="K40" s="1269">
        <f t="shared" si="20"/>
        <v>0</v>
      </c>
      <c r="L40" s="1278">
        <f>E40+I40</f>
        <v>0</v>
      </c>
      <c r="M40" s="1278">
        <f>G40+J40</f>
        <v>0</v>
      </c>
      <c r="N40" s="1269">
        <f t="shared" si="21"/>
        <v>0</v>
      </c>
      <c r="O40" s="1274"/>
      <c r="P40" s="1274"/>
      <c r="Q40" s="1274"/>
      <c r="R40" s="1274"/>
      <c r="S40" s="1269">
        <f>T40+U40</f>
        <v>0</v>
      </c>
      <c r="T40" s="1274"/>
      <c r="U40" s="1274"/>
      <c r="V40" s="1269">
        <f t="shared" si="11"/>
        <v>0</v>
      </c>
      <c r="W40" s="1274"/>
      <c r="X40" s="1274"/>
      <c r="Y40" s="1274"/>
      <c r="Z40" s="1274"/>
      <c r="AA40" s="1274"/>
      <c r="AB40" s="1275"/>
    </row>
    <row r="41" spans="1:28" s="1276" customFormat="1" x14ac:dyDescent="0.25">
      <c r="A41" s="1272"/>
      <c r="B41" s="1273"/>
      <c r="C41" s="1269"/>
      <c r="D41" s="1274"/>
      <c r="E41" s="1274"/>
      <c r="F41" s="1274"/>
      <c r="G41" s="1274"/>
      <c r="H41" s="1269"/>
      <c r="I41" s="1274"/>
      <c r="J41" s="1274"/>
      <c r="K41" s="1269"/>
      <c r="L41" s="1278"/>
      <c r="M41" s="1278"/>
      <c r="N41" s="1269"/>
      <c r="O41" s="1274"/>
      <c r="P41" s="1274"/>
      <c r="Q41" s="1274"/>
      <c r="R41" s="1274"/>
      <c r="S41" s="1269"/>
      <c r="T41" s="1274"/>
      <c r="U41" s="1274"/>
      <c r="V41" s="1269"/>
      <c r="W41" s="1274"/>
      <c r="X41" s="1274"/>
      <c r="Y41" s="1274"/>
      <c r="Z41" s="1274"/>
      <c r="AA41" s="1274"/>
      <c r="AB41" s="1275"/>
    </row>
    <row r="42" spans="1:28" s="1276" customFormat="1" x14ac:dyDescent="0.25">
      <c r="A42" s="1272"/>
      <c r="B42" s="1273"/>
      <c r="C42" s="1269"/>
      <c r="D42" s="1274"/>
      <c r="E42" s="1274"/>
      <c r="F42" s="1274"/>
      <c r="G42" s="1274"/>
      <c r="H42" s="1269"/>
      <c r="I42" s="1274"/>
      <c r="J42" s="1274"/>
      <c r="K42" s="1269"/>
      <c r="L42" s="1278"/>
      <c r="M42" s="1278"/>
      <c r="N42" s="1269"/>
      <c r="O42" s="1274"/>
      <c r="P42" s="1274"/>
      <c r="Q42" s="1274"/>
      <c r="R42" s="1274"/>
      <c r="S42" s="1269"/>
      <c r="T42" s="1274"/>
      <c r="U42" s="1274"/>
      <c r="V42" s="1269"/>
      <c r="W42" s="1274"/>
      <c r="X42" s="1274"/>
      <c r="Y42" s="1274"/>
      <c r="Z42" s="1274"/>
      <c r="AA42" s="1274"/>
      <c r="AB42" s="1275"/>
    </row>
    <row r="43" spans="1:28" s="1276" customFormat="1" x14ac:dyDescent="0.25">
      <c r="A43" s="1272"/>
      <c r="B43" s="1273"/>
      <c r="C43" s="1269"/>
      <c r="D43" s="1274"/>
      <c r="E43" s="1274"/>
      <c r="F43" s="1274"/>
      <c r="G43" s="1274"/>
      <c r="H43" s="1269"/>
      <c r="I43" s="1274"/>
      <c r="J43" s="1274"/>
      <c r="K43" s="1269"/>
      <c r="L43" s="1278"/>
      <c r="M43" s="1278"/>
      <c r="N43" s="1269"/>
      <c r="O43" s="1274"/>
      <c r="P43" s="1274"/>
      <c r="Q43" s="1274"/>
      <c r="R43" s="1274"/>
      <c r="S43" s="1269"/>
      <c r="T43" s="1274"/>
      <c r="U43" s="1274"/>
      <c r="V43" s="1269"/>
      <c r="W43" s="1274"/>
      <c r="X43" s="1274"/>
      <c r="Y43" s="1274"/>
      <c r="Z43" s="1274"/>
      <c r="AA43" s="1274"/>
      <c r="AB43" s="1275"/>
    </row>
    <row r="44" spans="1:28" s="1276" customFormat="1" x14ac:dyDescent="0.25">
      <c r="A44" s="1272"/>
      <c r="B44" s="1273"/>
      <c r="C44" s="1269"/>
      <c r="D44" s="1274"/>
      <c r="E44" s="1274"/>
      <c r="F44" s="1274"/>
      <c r="G44" s="1274"/>
      <c r="H44" s="1269"/>
      <c r="I44" s="1274"/>
      <c r="J44" s="1274"/>
      <c r="K44" s="1269"/>
      <c r="L44" s="1278"/>
      <c r="M44" s="1278"/>
      <c r="N44" s="1269"/>
      <c r="O44" s="1274"/>
      <c r="P44" s="1274"/>
      <c r="Q44" s="1274"/>
      <c r="R44" s="1274"/>
      <c r="S44" s="1269"/>
      <c r="T44" s="1274"/>
      <c r="U44" s="1274"/>
      <c r="V44" s="1269"/>
      <c r="W44" s="1274"/>
      <c r="X44" s="1274"/>
      <c r="Y44" s="1274"/>
      <c r="Z44" s="1274"/>
      <c r="AA44" s="1274"/>
      <c r="AB44" s="1275"/>
    </row>
    <row r="45" spans="1:28" s="1276" customFormat="1" x14ac:dyDescent="0.25">
      <c r="A45" s="1272"/>
      <c r="B45" s="1273"/>
      <c r="C45" s="1269"/>
      <c r="D45" s="1274"/>
      <c r="E45" s="1274"/>
      <c r="F45" s="1274"/>
      <c r="G45" s="1274"/>
      <c r="H45" s="1269"/>
      <c r="I45" s="1274"/>
      <c r="J45" s="1274"/>
      <c r="K45" s="1269"/>
      <c r="L45" s="1278"/>
      <c r="M45" s="1278"/>
      <c r="N45" s="1269"/>
      <c r="O45" s="1274"/>
      <c r="P45" s="1274"/>
      <c r="Q45" s="1274"/>
      <c r="R45" s="1274"/>
      <c r="S45" s="1269"/>
      <c r="T45" s="1274"/>
      <c r="U45" s="1274"/>
      <c r="V45" s="1269"/>
      <c r="W45" s="1274"/>
      <c r="X45" s="1274"/>
      <c r="Y45" s="1274"/>
      <c r="Z45" s="1274"/>
      <c r="AA45" s="1274"/>
      <c r="AB45" s="1275"/>
    </row>
    <row r="46" spans="1:28" x14ac:dyDescent="0.25">
      <c r="A46" s="1281" t="s">
        <v>890</v>
      </c>
      <c r="B46" s="1282" t="s">
        <v>890</v>
      </c>
      <c r="C46" s="1269">
        <f>SUM(D46:G46)</f>
        <v>0</v>
      </c>
      <c r="D46" s="1283"/>
      <c r="E46" s="1283"/>
      <c r="F46" s="1283"/>
      <c r="G46" s="1283"/>
      <c r="H46" s="1269">
        <f>I46+J46</f>
        <v>0</v>
      </c>
      <c r="I46" s="1283"/>
      <c r="J46" s="1283"/>
      <c r="K46" s="1269">
        <f>L46+M46</f>
        <v>0</v>
      </c>
      <c r="L46" s="1283"/>
      <c r="M46" s="1283"/>
      <c r="N46" s="1283"/>
      <c r="O46" s="1283"/>
      <c r="P46" s="1283"/>
      <c r="Q46" s="1283"/>
      <c r="R46" s="1283"/>
      <c r="S46" s="1283"/>
      <c r="T46" s="1283"/>
      <c r="U46" s="1283"/>
      <c r="V46" s="1283"/>
      <c r="W46" s="1283"/>
      <c r="X46" s="1283"/>
      <c r="Y46" s="1283"/>
      <c r="Z46" s="1283"/>
      <c r="AA46" s="1283"/>
      <c r="AB46" s="1256"/>
    </row>
    <row r="47" spans="1:28" x14ac:dyDescent="0.25">
      <c r="A47" s="4066" t="s">
        <v>2292</v>
      </c>
      <c r="B47" s="4066"/>
      <c r="C47" s="4066"/>
      <c r="D47" s="4066"/>
      <c r="E47" s="4066"/>
      <c r="F47" s="4066"/>
      <c r="G47" s="4066"/>
      <c r="H47" s="4066"/>
      <c r="I47" s="4066"/>
      <c r="J47" s="4066"/>
      <c r="K47" s="4066"/>
      <c r="L47" s="4066"/>
      <c r="M47" s="4066"/>
      <c r="N47" s="4066"/>
      <c r="O47" s="4066"/>
      <c r="P47" s="4066"/>
      <c r="Q47" s="4066"/>
      <c r="R47" s="4066"/>
      <c r="S47" s="4066"/>
      <c r="T47" s="4066"/>
      <c r="U47" s="4066"/>
      <c r="V47" s="4066"/>
      <c r="W47" s="4066"/>
      <c r="X47" s="4066"/>
      <c r="Y47" s="4066"/>
      <c r="Z47" s="4066"/>
      <c r="AA47" s="4066"/>
    </row>
    <row r="48" spans="1:28" x14ac:dyDescent="0.25">
      <c r="Q48" s="4067"/>
      <c r="R48" s="4067"/>
      <c r="S48" s="4067"/>
      <c r="T48" s="4067"/>
      <c r="U48" s="4067"/>
      <c r="V48" s="4067"/>
      <c r="W48" s="4067"/>
      <c r="X48" s="4067"/>
      <c r="Y48" s="4067"/>
      <c r="Z48" s="4067"/>
      <c r="AA48" s="4067"/>
    </row>
    <row r="51" spans="19:28" s="1342" customFormat="1" x14ac:dyDescent="0.25">
      <c r="AB51" s="1343"/>
    </row>
    <row r="52" spans="19:28" s="1342" customFormat="1" ht="15" x14ac:dyDescent="0.25">
      <c r="S52" s="4068" t="s">
        <v>2480</v>
      </c>
      <c r="T52" s="4068"/>
      <c r="U52" s="4068"/>
      <c r="V52" s="4068"/>
      <c r="W52" s="4068"/>
      <c r="AB52" s="1343"/>
    </row>
    <row r="53" spans="19:28" s="1342" customFormat="1" ht="15.75" x14ac:dyDescent="0.25">
      <c r="S53" s="4069" t="s">
        <v>1442</v>
      </c>
      <c r="T53" s="4069"/>
      <c r="U53" s="4069"/>
      <c r="V53" s="4069"/>
      <c r="W53" s="4069"/>
      <c r="AB53" s="1343"/>
    </row>
    <row r="54" spans="19:28" s="1342" customFormat="1" ht="15.75" x14ac:dyDescent="0.25">
      <c r="S54" s="4069" t="s">
        <v>807</v>
      </c>
      <c r="T54" s="4069"/>
      <c r="U54" s="4069"/>
      <c r="V54" s="4069"/>
      <c r="W54" s="4069"/>
      <c r="AB54" s="1343"/>
    </row>
    <row r="55" spans="19:28" s="1342" customFormat="1" ht="15.75" x14ac:dyDescent="0.25">
      <c r="S55" s="1335"/>
      <c r="T55" s="1336"/>
      <c r="U55" s="1337"/>
      <c r="V55" s="1341"/>
      <c r="W55" s="1341"/>
      <c r="AB55" s="1343"/>
    </row>
    <row r="56" spans="19:28" s="1342" customFormat="1" ht="15.75" x14ac:dyDescent="0.25">
      <c r="S56" s="1335"/>
      <c r="T56" s="1336"/>
      <c r="U56" s="1337"/>
      <c r="V56" s="1341"/>
      <c r="W56" s="1341"/>
      <c r="AB56" s="1343"/>
    </row>
    <row r="57" spans="19:28" s="1342" customFormat="1" ht="15.75" x14ac:dyDescent="0.25">
      <c r="S57" s="1335"/>
      <c r="T57" s="1336"/>
      <c r="U57" s="1337"/>
      <c r="V57" s="1341"/>
      <c r="W57" s="1341"/>
      <c r="AB57" s="1343"/>
    </row>
    <row r="58" spans="19:28" s="1342" customFormat="1" ht="15.75" x14ac:dyDescent="0.25">
      <c r="S58" s="1335"/>
      <c r="T58" s="1336"/>
      <c r="U58" s="1335"/>
      <c r="V58" s="1341"/>
      <c r="W58" s="1341"/>
      <c r="AB58" s="1343"/>
    </row>
    <row r="59" spans="19:28" s="1342" customFormat="1" ht="15.75" x14ac:dyDescent="0.25">
      <c r="S59" s="1335"/>
      <c r="T59" s="1336"/>
      <c r="U59" s="1335"/>
      <c r="V59" s="1341"/>
      <c r="W59" s="1341"/>
      <c r="AB59" s="1343"/>
    </row>
    <row r="60" spans="19:28" s="1342" customFormat="1" ht="15" x14ac:dyDescent="0.25">
      <c r="S60" s="1336"/>
      <c r="T60" s="1336"/>
      <c r="U60" s="1336"/>
      <c r="V60" s="1341"/>
      <c r="W60" s="1341"/>
      <c r="AB60" s="1343"/>
    </row>
    <row r="61" spans="19:28" s="1342" customFormat="1" ht="15.75" x14ac:dyDescent="0.25">
      <c r="S61" s="4065" t="s">
        <v>808</v>
      </c>
      <c r="T61" s="4065"/>
      <c r="U61" s="4065"/>
      <c r="V61" s="4065"/>
      <c r="W61" s="4065"/>
      <c r="AB61" s="1343"/>
    </row>
  </sheetData>
  <mergeCells count="39">
    <mergeCell ref="W5:AA5"/>
    <mergeCell ref="A1:C1"/>
    <mergeCell ref="S1:U1"/>
    <mergeCell ref="V1:AA1"/>
    <mergeCell ref="A2:AA2"/>
    <mergeCell ref="A3:AA3"/>
    <mergeCell ref="U7:U8"/>
    <mergeCell ref="V7:V8"/>
    <mergeCell ref="L7:L8"/>
    <mergeCell ref="N6:R6"/>
    <mergeCell ref="N7:N8"/>
    <mergeCell ref="O7:P7"/>
    <mergeCell ref="Q7:R7"/>
    <mergeCell ref="M7:M8"/>
    <mergeCell ref="S6:U6"/>
    <mergeCell ref="V6:AA6"/>
    <mergeCell ref="W7:Y7"/>
    <mergeCell ref="Z7:AA7"/>
    <mergeCell ref="T7:T8"/>
    <mergeCell ref="S61:W61"/>
    <mergeCell ref="A47:AA47"/>
    <mergeCell ref="Q48:V48"/>
    <mergeCell ref="W48:AA48"/>
    <mergeCell ref="S52:W52"/>
    <mergeCell ref="S53:W53"/>
    <mergeCell ref="S54:W54"/>
    <mergeCell ref="A6:A8"/>
    <mergeCell ref="B6:B8"/>
    <mergeCell ref="H6:J6"/>
    <mergeCell ref="K6:M6"/>
    <mergeCell ref="S7:S8"/>
    <mergeCell ref="C6:G6"/>
    <mergeCell ref="J7:J8"/>
    <mergeCell ref="K7:K8"/>
    <mergeCell ref="C7:C8"/>
    <mergeCell ref="D7:E7"/>
    <mergeCell ref="F7:G7"/>
    <mergeCell ref="H7:H8"/>
    <mergeCell ref="I7:I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5"/>
  <dimension ref="A1:BF87"/>
  <sheetViews>
    <sheetView topLeftCell="A19" workbookViewId="0">
      <selection activeCell="P40" sqref="P40"/>
    </sheetView>
  </sheetViews>
  <sheetFormatPr defaultColWidth="10" defaultRowHeight="15.75" x14ac:dyDescent="0.25"/>
  <cols>
    <col min="1" max="1" width="6.5703125" style="1709" customWidth="1"/>
    <col min="2" max="2" width="49" style="589" customWidth="1"/>
    <col min="3" max="3" width="11.5703125" style="589" bestFit="1" customWidth="1"/>
    <col min="4" max="4" width="11.5703125" style="589" hidden="1" customWidth="1"/>
    <col min="5" max="6" width="11" style="589" hidden="1" customWidth="1"/>
    <col min="7" max="7" width="10" style="1781"/>
    <col min="8" max="8" width="0" style="589" hidden="1" customWidth="1"/>
    <col min="9" max="9" width="11" style="589" hidden="1" customWidth="1"/>
    <col min="10" max="10" width="9.42578125" style="1781" customWidth="1"/>
    <col min="11" max="11" width="11.140625" style="589" hidden="1" customWidth="1"/>
    <col min="12" max="12" width="11" style="589" hidden="1" customWidth="1"/>
    <col min="13" max="13" width="10" style="1781"/>
    <col min="14" max="14" width="0" style="589" hidden="1" customWidth="1"/>
    <col min="15" max="15" width="11" style="589" hidden="1" customWidth="1"/>
    <col min="16" max="16" width="10" style="1781"/>
    <col min="17" max="17" width="0" style="589" hidden="1" customWidth="1"/>
    <col min="18" max="18" width="11" style="589" hidden="1" customWidth="1"/>
    <col min="19" max="19" width="9.28515625" style="1781" customWidth="1"/>
    <col min="20" max="20" width="0" style="589" hidden="1" customWidth="1"/>
    <col min="21" max="21" width="11" style="589" hidden="1" customWidth="1"/>
    <col min="22" max="22" width="9.5703125" style="1781" customWidth="1"/>
    <col min="23" max="23" width="0" style="589" hidden="1" customWidth="1"/>
    <col min="24" max="24" width="11" style="589" hidden="1" customWidth="1"/>
    <col min="25" max="25" width="8.85546875" style="1781" customWidth="1"/>
    <col min="26" max="26" width="8.85546875" style="589" hidden="1" customWidth="1"/>
    <col min="27" max="27" width="11" style="589" hidden="1" customWidth="1"/>
    <col min="28" max="28" width="8.85546875" style="1783" customWidth="1"/>
    <col min="29" max="29" width="8.85546875" style="589" hidden="1" customWidth="1"/>
    <col min="30" max="30" width="11" style="589" hidden="1" customWidth="1"/>
    <col min="31" max="31" width="10.5703125" style="589" hidden="1" customWidth="1"/>
    <col min="32" max="32" width="11.28515625" style="589" hidden="1" customWidth="1"/>
    <col min="33" max="34" width="10" style="589" hidden="1" customWidth="1"/>
    <col min="35" max="35" width="24.5703125" style="589" hidden="1" customWidth="1"/>
    <col min="36" max="38" width="10" style="589" hidden="1" customWidth="1"/>
    <col min="39" max="39" width="8.85546875" style="589" hidden="1" customWidth="1"/>
    <col min="40" max="40" width="6.5703125" style="589" hidden="1" customWidth="1"/>
    <col min="41" max="41" width="7.85546875" style="589" hidden="1" customWidth="1"/>
    <col min="42" max="45" width="9.7109375" style="589" hidden="1" customWidth="1"/>
    <col min="46" max="46" width="10" style="589" hidden="1" customWidth="1"/>
    <col min="47" max="47" width="9.140625" style="589" hidden="1" customWidth="1"/>
    <col min="48" max="48" width="7.85546875" style="589" hidden="1" customWidth="1"/>
    <col min="49" max="49" width="8.42578125" style="589" hidden="1" customWidth="1"/>
    <col min="50" max="50" width="10" style="589" hidden="1" customWidth="1"/>
    <col min="51" max="51" width="9.42578125" style="589" hidden="1" customWidth="1"/>
    <col min="52" max="52" width="10" style="589" hidden="1" customWidth="1"/>
    <col min="53" max="53" width="12.7109375" style="589" hidden="1" customWidth="1"/>
    <col min="54" max="55" width="10.7109375" style="589" hidden="1" customWidth="1"/>
    <col min="56" max="63" width="0" style="589" hidden="1" customWidth="1"/>
    <col min="64" max="16384" width="10" style="589"/>
  </cols>
  <sheetData>
    <row r="1" spans="1:58" ht="18.75" x14ac:dyDescent="0.3">
      <c r="A1" s="4079" t="s">
        <v>2981</v>
      </c>
      <c r="B1" s="4079"/>
      <c r="C1" s="4079"/>
      <c r="D1" s="4079"/>
      <c r="E1" s="4079"/>
      <c r="F1" s="4079"/>
      <c r="G1" s="4079"/>
      <c r="H1" s="4079"/>
      <c r="I1" s="4079"/>
      <c r="J1" s="4079"/>
      <c r="K1" s="4079"/>
      <c r="L1" s="4079"/>
      <c r="M1" s="4079"/>
      <c r="N1" s="4079"/>
      <c r="O1" s="4079"/>
      <c r="P1" s="4079"/>
      <c r="Q1" s="4079"/>
      <c r="R1" s="4079"/>
      <c r="S1" s="4079"/>
      <c r="T1" s="4079"/>
      <c r="U1" s="4079"/>
      <c r="V1" s="4079"/>
      <c r="W1" s="4079"/>
      <c r="X1" s="4079"/>
      <c r="Y1" s="4079"/>
      <c r="Z1" s="4079"/>
      <c r="AA1" s="4079"/>
      <c r="AB1" s="4079"/>
      <c r="AC1" s="1728"/>
      <c r="AD1" s="1728"/>
      <c r="AE1" s="546"/>
      <c r="AF1" s="546"/>
      <c r="AG1" s="546"/>
      <c r="AH1" s="546"/>
      <c r="AI1" s="546"/>
      <c r="AJ1" s="546"/>
      <c r="AK1" s="546"/>
      <c r="AL1" s="546"/>
      <c r="AM1" s="546"/>
      <c r="AN1" s="546"/>
      <c r="AR1" s="1729">
        <f>P7-P18-900</f>
        <v>100450</v>
      </c>
    </row>
    <row r="2" spans="1:58" ht="18.75" x14ac:dyDescent="0.3">
      <c r="A2" s="4079" t="s">
        <v>2982</v>
      </c>
      <c r="B2" s="4079"/>
      <c r="C2" s="4079"/>
      <c r="D2" s="4079"/>
      <c r="E2" s="4079"/>
      <c r="F2" s="4079"/>
      <c r="G2" s="4079"/>
      <c r="H2" s="4079"/>
      <c r="I2" s="4079"/>
      <c r="J2" s="4079"/>
      <c r="K2" s="4079"/>
      <c r="L2" s="4079"/>
      <c r="M2" s="4079"/>
      <c r="N2" s="4079"/>
      <c r="O2" s="4079"/>
      <c r="P2" s="4079"/>
      <c r="Q2" s="4079"/>
      <c r="R2" s="4079"/>
      <c r="S2" s="4079"/>
      <c r="T2" s="4079"/>
      <c r="U2" s="4079"/>
      <c r="V2" s="4079"/>
      <c r="W2" s="4079"/>
      <c r="X2" s="4079"/>
      <c r="Y2" s="4079"/>
      <c r="Z2" s="4079"/>
      <c r="AA2" s="4079"/>
      <c r="AB2" s="4079"/>
      <c r="AC2" s="1728"/>
      <c r="AD2" s="1728"/>
      <c r="AE2" s="546"/>
      <c r="AF2" s="546"/>
      <c r="AG2" s="546"/>
      <c r="AH2" s="546"/>
      <c r="AI2" s="546"/>
      <c r="AJ2" s="546"/>
      <c r="AK2" s="546"/>
      <c r="AL2" s="546"/>
      <c r="AM2" s="546"/>
      <c r="AN2" s="546"/>
    </row>
    <row r="3" spans="1:58" x14ac:dyDescent="0.25">
      <c r="A3" s="4080" t="s">
        <v>3485</v>
      </c>
      <c r="B3" s="4081"/>
      <c r="C3" s="4081"/>
      <c r="D3" s="4081"/>
      <c r="E3" s="4081"/>
      <c r="F3" s="4081"/>
      <c r="G3" s="4081"/>
      <c r="H3" s="4081"/>
      <c r="I3" s="4081"/>
      <c r="J3" s="4081"/>
      <c r="K3" s="4081"/>
      <c r="L3" s="4081"/>
      <c r="M3" s="4081"/>
      <c r="N3" s="4081"/>
      <c r="O3" s="4081"/>
      <c r="P3" s="4081"/>
      <c r="Q3" s="4081"/>
      <c r="R3" s="4081"/>
      <c r="S3" s="4081"/>
      <c r="T3" s="4081"/>
      <c r="U3" s="4081"/>
      <c r="V3" s="4081"/>
      <c r="W3" s="4081"/>
      <c r="X3" s="4081"/>
      <c r="Y3" s="4081"/>
      <c r="Z3" s="4081"/>
      <c r="AA3" s="4081"/>
      <c r="AB3" s="4081"/>
      <c r="AC3" s="1706"/>
      <c r="AD3" s="1706"/>
      <c r="AE3" s="546"/>
      <c r="AF3" s="546"/>
      <c r="AG3" s="546"/>
      <c r="AH3" s="546"/>
      <c r="AI3" s="546"/>
      <c r="AJ3" s="546"/>
      <c r="AK3" s="546"/>
      <c r="AL3" s="546"/>
      <c r="AM3" s="546"/>
      <c r="AN3" s="546"/>
    </row>
    <row r="4" spans="1:58" x14ac:dyDescent="0.25">
      <c r="A4" s="1730"/>
      <c r="B4" s="546"/>
      <c r="C4" s="546"/>
      <c r="D4" s="1731"/>
      <c r="E4" s="1731">
        <f>G4-F4</f>
        <v>-8540</v>
      </c>
      <c r="F4" s="546">
        <v>8540</v>
      </c>
      <c r="G4" s="1731"/>
      <c r="H4" s="1731"/>
      <c r="I4" s="546"/>
      <c r="J4" s="546"/>
      <c r="K4" s="546"/>
      <c r="L4" s="546"/>
      <c r="M4" s="546"/>
      <c r="N4" s="546"/>
      <c r="O4" s="546"/>
      <c r="P4" s="1732"/>
      <c r="Q4" s="546"/>
      <c r="R4" s="546"/>
      <c r="S4" s="546"/>
      <c r="T4" s="546"/>
      <c r="U4" s="546"/>
      <c r="V4" s="4082" t="s">
        <v>843</v>
      </c>
      <c r="W4" s="4082"/>
      <c r="X4" s="4082"/>
      <c r="Y4" s="4082"/>
      <c r="Z4" s="4082"/>
      <c r="AA4" s="4082"/>
      <c r="AB4" s="4082"/>
      <c r="AC4" s="1706"/>
      <c r="AD4" s="1706"/>
      <c r="AE4" s="546"/>
      <c r="AF4" s="546"/>
      <c r="AG4" s="546"/>
      <c r="AH4" s="546"/>
      <c r="AI4" s="546"/>
      <c r="AJ4" s="546"/>
      <c r="AK4" s="546"/>
      <c r="AL4" s="546"/>
      <c r="AM4" s="546"/>
      <c r="AN4" s="546"/>
      <c r="AR4" s="1729">
        <f>P6-P14</f>
        <v>0</v>
      </c>
      <c r="AS4" s="1733">
        <f>Y6-Y14</f>
        <v>0</v>
      </c>
      <c r="AT4" s="1729">
        <f>AB6-AB14</f>
        <v>0</v>
      </c>
      <c r="AU4" s="1729">
        <f>V6-V14</f>
        <v>0</v>
      </c>
      <c r="AX4" s="589">
        <v>1404</v>
      </c>
    </row>
    <row r="5" spans="1:58" s="1730" customFormat="1" ht="71.25" x14ac:dyDescent="0.25">
      <c r="A5" s="1734" t="s">
        <v>844</v>
      </c>
      <c r="B5" s="1734" t="s">
        <v>466</v>
      </c>
      <c r="C5" s="1734" t="s">
        <v>1114</v>
      </c>
      <c r="D5" s="1734" t="s">
        <v>2983</v>
      </c>
      <c r="E5" s="1734" t="s">
        <v>2984</v>
      </c>
      <c r="F5" s="1734" t="s">
        <v>2985</v>
      </c>
      <c r="G5" s="1734" t="s">
        <v>2986</v>
      </c>
      <c r="H5" s="1734" t="s">
        <v>2987</v>
      </c>
      <c r="I5" s="1734" t="s">
        <v>2988</v>
      </c>
      <c r="J5" s="1734" t="s">
        <v>2989</v>
      </c>
      <c r="K5" s="1734" t="s">
        <v>2990</v>
      </c>
      <c r="L5" s="1734" t="s">
        <v>2988</v>
      </c>
      <c r="M5" s="1734" t="s">
        <v>2991</v>
      </c>
      <c r="N5" s="1734" t="s">
        <v>2992</v>
      </c>
      <c r="O5" s="1734" t="s">
        <v>2988</v>
      </c>
      <c r="P5" s="1735" t="s">
        <v>2286</v>
      </c>
      <c r="Q5" s="1734" t="s">
        <v>2993</v>
      </c>
      <c r="R5" s="1734" t="s">
        <v>2988</v>
      </c>
      <c r="S5" s="1734" t="s">
        <v>2994</v>
      </c>
      <c r="T5" s="1734" t="s">
        <v>2995</v>
      </c>
      <c r="U5" s="1734" t="s">
        <v>2988</v>
      </c>
      <c r="V5" s="1734" t="s">
        <v>2996</v>
      </c>
      <c r="W5" s="1734" t="s">
        <v>2997</v>
      </c>
      <c r="X5" s="1734" t="s">
        <v>2988</v>
      </c>
      <c r="Y5" s="1734" t="s">
        <v>2998</v>
      </c>
      <c r="Z5" s="1734" t="s">
        <v>2999</v>
      </c>
      <c r="AA5" s="1734" t="s">
        <v>2988</v>
      </c>
      <c r="AB5" s="1734" t="s">
        <v>3000</v>
      </c>
      <c r="AC5" s="1734" t="s">
        <v>3001</v>
      </c>
      <c r="AD5" s="1734" t="s">
        <v>2988</v>
      </c>
      <c r="AQ5" s="1736"/>
      <c r="AR5" s="1736">
        <v>107424</v>
      </c>
      <c r="AS5" s="1736">
        <v>101350</v>
      </c>
      <c r="AT5" s="1736"/>
      <c r="AU5" s="1736"/>
      <c r="AV5" s="1736"/>
      <c r="AX5" s="1736">
        <f>AT9+AX4</f>
        <v>-1172</v>
      </c>
    </row>
    <row r="6" spans="1:58" s="562" customFormat="1" ht="14.25" x14ac:dyDescent="0.2">
      <c r="A6" s="1737" t="s">
        <v>847</v>
      </c>
      <c r="B6" s="1738" t="s">
        <v>3002</v>
      </c>
      <c r="C6" s="1739">
        <f>C7+C9</f>
        <v>2420783.33</v>
      </c>
      <c r="D6" s="1739">
        <v>2244018</v>
      </c>
      <c r="E6" s="1739"/>
      <c r="F6" s="1739"/>
      <c r="G6" s="1740">
        <f>G7+G9</f>
        <v>298414.06512260769</v>
      </c>
      <c r="H6" s="1739">
        <v>286022</v>
      </c>
      <c r="I6" s="1739"/>
      <c r="J6" s="1740">
        <f>J7+J9</f>
        <v>242420.21036155504</v>
      </c>
      <c r="K6" s="1739">
        <v>224420</v>
      </c>
      <c r="L6" s="1739"/>
      <c r="M6" s="1739">
        <f>M7+M9</f>
        <v>259507.77147487921</v>
      </c>
      <c r="N6" s="1739">
        <v>230974</v>
      </c>
      <c r="O6" s="1739"/>
      <c r="P6" s="1741">
        <f>P7+P9</f>
        <v>363798.17677004018</v>
      </c>
      <c r="Q6" s="1739">
        <v>328539</v>
      </c>
      <c r="R6" s="1739"/>
      <c r="S6" s="1739">
        <f>S7+S9</f>
        <v>365729.19904576417</v>
      </c>
      <c r="T6" s="1739">
        <v>341755</v>
      </c>
      <c r="U6" s="1739"/>
      <c r="V6" s="1739">
        <f>V7+V9</f>
        <v>261754.8553110832</v>
      </c>
      <c r="W6" s="1739">
        <v>240965</v>
      </c>
      <c r="X6" s="1739"/>
      <c r="Y6" s="1739">
        <f>Y7+Y9</f>
        <v>349521.13576408272</v>
      </c>
      <c r="Z6" s="1739">
        <v>340292</v>
      </c>
      <c r="AA6" s="1739"/>
      <c r="AB6" s="1739">
        <f>AB7+AB9</f>
        <v>279637.91614998784</v>
      </c>
      <c r="AC6" s="1742">
        <v>251051</v>
      </c>
      <c r="AD6" s="1742"/>
      <c r="AE6" s="1743">
        <f>P6-P14</f>
        <v>0</v>
      </c>
      <c r="AQ6" s="1743"/>
      <c r="AR6" s="4083" t="s">
        <v>3003</v>
      </c>
      <c r="AS6" s="4083"/>
      <c r="AT6" s="4075" t="s">
        <v>3004</v>
      </c>
      <c r="AU6" s="4075"/>
      <c r="AV6" s="4075" t="s">
        <v>3005</v>
      </c>
      <c r="AW6" s="4075"/>
      <c r="AX6" s="4075"/>
      <c r="BD6" s="1743"/>
      <c r="BF6" s="1743"/>
    </row>
    <row r="7" spans="1:58" s="562" customFormat="1" ht="14.25" x14ac:dyDescent="0.2">
      <c r="A7" s="1737" t="s">
        <v>849</v>
      </c>
      <c r="B7" s="1738" t="s">
        <v>3006</v>
      </c>
      <c r="C7" s="1739">
        <f>SUM(G7:AB7)</f>
        <v>350770</v>
      </c>
      <c r="D7" s="1739"/>
      <c r="E7" s="1739"/>
      <c r="F7" s="1739"/>
      <c r="G7" s="1739">
        <v>145000</v>
      </c>
      <c r="H7" s="1739"/>
      <c r="I7" s="1739"/>
      <c r="J7" s="1739">
        <v>13720</v>
      </c>
      <c r="K7" s="1739"/>
      <c r="L7" s="1739"/>
      <c r="M7" s="1739">
        <v>13390</v>
      </c>
      <c r="N7" s="1739"/>
      <c r="O7" s="1739"/>
      <c r="P7" s="1741">
        <v>110350</v>
      </c>
      <c r="Q7" s="1739"/>
      <c r="R7" s="1739"/>
      <c r="S7" s="1739">
        <v>16790</v>
      </c>
      <c r="T7" s="1739"/>
      <c r="U7" s="1739"/>
      <c r="V7" s="1739">
        <v>14410</v>
      </c>
      <c r="W7" s="1739"/>
      <c r="X7" s="1739"/>
      <c r="Y7" s="1739">
        <v>28500</v>
      </c>
      <c r="Z7" s="1739"/>
      <c r="AA7" s="1739"/>
      <c r="AB7" s="1739">
        <v>8610</v>
      </c>
      <c r="AC7" s="1742"/>
      <c r="AD7" s="1742"/>
      <c r="AE7" s="1743">
        <v>13379</v>
      </c>
      <c r="AF7" s="1743"/>
      <c r="AL7" s="1743">
        <f>M6-M14</f>
        <v>0</v>
      </c>
      <c r="AM7" s="1743">
        <f>P6-P14</f>
        <v>0</v>
      </c>
      <c r="AR7" s="1743">
        <f>V7-V18-54</f>
        <v>13816</v>
      </c>
      <c r="AS7" s="1743">
        <v>13614</v>
      </c>
      <c r="AT7" s="1743">
        <f>Y7-Y18-720</f>
        <v>20580</v>
      </c>
      <c r="AU7" s="1743">
        <v>23156</v>
      </c>
      <c r="AV7" s="1743">
        <f>AB7-AB18-117</f>
        <v>7323</v>
      </c>
      <c r="AX7" s="562">
        <v>7249</v>
      </c>
    </row>
    <row r="8" spans="1:58" s="562" customFormat="1" ht="14.25" x14ac:dyDescent="0.2">
      <c r="A8" s="1737"/>
      <c r="B8" s="1738"/>
      <c r="C8" s="1739"/>
      <c r="D8" s="1739"/>
      <c r="E8" s="1739"/>
      <c r="F8" s="1739"/>
      <c r="G8" s="1739"/>
      <c r="H8" s="1739"/>
      <c r="I8" s="1739"/>
      <c r="J8" s="1739"/>
      <c r="K8" s="1739"/>
      <c r="L8" s="1739"/>
      <c r="M8" s="1739"/>
      <c r="N8" s="1739"/>
      <c r="O8" s="1739"/>
      <c r="P8" s="1741" t="e">
        <f>'B61-342'!#REF!+'B61-342'!H12</f>
        <v>#REF!</v>
      </c>
      <c r="Q8" s="1739"/>
      <c r="R8" s="1739"/>
      <c r="S8" s="1739"/>
      <c r="T8" s="1739"/>
      <c r="U8" s="1739"/>
      <c r="V8" s="1739"/>
      <c r="W8" s="1739"/>
      <c r="X8" s="1739"/>
      <c r="Y8" s="1739"/>
      <c r="Z8" s="1739"/>
      <c r="AA8" s="1739"/>
      <c r="AB8" s="1739"/>
      <c r="AC8" s="1742"/>
      <c r="AD8" s="1742"/>
      <c r="AE8" s="1743"/>
      <c r="AF8" s="1743"/>
      <c r="AL8" s="1743"/>
      <c r="AM8" s="1743"/>
      <c r="AR8" s="1743"/>
      <c r="AS8" s="1743"/>
      <c r="AT8" s="1743"/>
      <c r="AU8" s="1743"/>
      <c r="AV8" s="1743"/>
    </row>
    <row r="9" spans="1:58" s="562" customFormat="1" ht="14.25" x14ac:dyDescent="0.2">
      <c r="A9" s="1737" t="s">
        <v>866</v>
      </c>
      <c r="B9" s="1738" t="s">
        <v>3007</v>
      </c>
      <c r="C9" s="1739">
        <f>C10+C13+C12</f>
        <v>2070013.33</v>
      </c>
      <c r="D9" s="1739">
        <v>1889253</v>
      </c>
      <c r="E9" s="1739"/>
      <c r="F9" s="1739"/>
      <c r="G9" s="1739">
        <f>G10+G13+G12</f>
        <v>153414.06512260769</v>
      </c>
      <c r="H9" s="1739">
        <v>150097</v>
      </c>
      <c r="I9" s="1739"/>
      <c r="J9" s="1739">
        <f>J10+J13+J12</f>
        <v>228700.21036155504</v>
      </c>
      <c r="K9" s="1739">
        <v>211375</v>
      </c>
      <c r="L9" s="1739"/>
      <c r="M9" s="1739">
        <f>M10+M13+M12</f>
        <v>246117.77147487921</v>
      </c>
      <c r="N9" s="1739">
        <v>216574</v>
      </c>
      <c r="O9" s="1739"/>
      <c r="P9" s="1741">
        <f>P10+P13+P12</f>
        <v>253448.17677004021</v>
      </c>
      <c r="Q9" s="1739">
        <v>211394</v>
      </c>
      <c r="R9" s="1739"/>
      <c r="S9" s="1739">
        <f>S10+S13+S12</f>
        <v>348939.19904576417</v>
      </c>
      <c r="T9" s="1739">
        <v>324015</v>
      </c>
      <c r="U9" s="1739"/>
      <c r="V9" s="1739">
        <f>V10+V13+V12</f>
        <v>247344.8553110832</v>
      </c>
      <c r="W9" s="1739">
        <v>226015</v>
      </c>
      <c r="X9" s="1739"/>
      <c r="Y9" s="1739">
        <f>Y10+Y13+Y12</f>
        <v>321021.13576408272</v>
      </c>
      <c r="Z9" s="1739">
        <v>307722</v>
      </c>
      <c r="AA9" s="1739"/>
      <c r="AB9" s="1739">
        <f>AB10+AB13+AB12</f>
        <v>271027.91614998784</v>
      </c>
      <c r="AC9" s="1742">
        <v>242061</v>
      </c>
      <c r="AD9" s="1742"/>
      <c r="AE9" s="1743">
        <v>863</v>
      </c>
      <c r="AF9" s="1743"/>
      <c r="AM9" s="562">
        <v>13024</v>
      </c>
      <c r="AR9" s="1743"/>
      <c r="AS9" s="1743">
        <f>AR7-AS7</f>
        <v>202</v>
      </c>
      <c r="AT9" s="1743">
        <f>AT7-AU7</f>
        <v>-2576</v>
      </c>
      <c r="AU9" s="1743"/>
      <c r="AV9" s="1743">
        <f>AV7-AX7</f>
        <v>74</v>
      </c>
      <c r="AW9" s="1743"/>
      <c r="BD9" s="1743"/>
    </row>
    <row r="10" spans="1:58" s="1732" customFormat="1" ht="15" x14ac:dyDescent="0.25">
      <c r="A10" s="1744">
        <v>1</v>
      </c>
      <c r="B10" s="1745" t="s">
        <v>3008</v>
      </c>
      <c r="C10" s="1746">
        <f>G10+J10+M10+P10+S10+V10+Y10+AB10</f>
        <v>1670122.33</v>
      </c>
      <c r="D10" s="1746">
        <v>1640670</v>
      </c>
      <c r="E10" s="1746"/>
      <c r="F10" s="1746"/>
      <c r="G10" s="1746">
        <v>123264.06512260767</v>
      </c>
      <c r="H10" s="1746">
        <v>132309</v>
      </c>
      <c r="I10" s="1746"/>
      <c r="J10" s="1746">
        <v>182356.21036155504</v>
      </c>
      <c r="K10" s="1746">
        <v>176357</v>
      </c>
      <c r="L10" s="1746"/>
      <c r="M10" s="1746">
        <v>206596.77147487921</v>
      </c>
      <c r="N10" s="1746">
        <v>197949</v>
      </c>
      <c r="O10" s="1746"/>
      <c r="P10" s="1746">
        <v>198392.17677004021</v>
      </c>
      <c r="Q10" s="1746">
        <v>191444</v>
      </c>
      <c r="R10" s="1746"/>
      <c r="S10" s="1746">
        <v>276192.19904576417</v>
      </c>
      <c r="T10" s="1746">
        <v>274980</v>
      </c>
      <c r="U10" s="1746"/>
      <c r="V10" s="1746">
        <v>188912.8553110832</v>
      </c>
      <c r="W10" s="1746">
        <v>183326</v>
      </c>
      <c r="X10" s="1746"/>
      <c r="Y10" s="1746">
        <v>279242.13576408272</v>
      </c>
      <c r="Z10" s="1746">
        <v>273396</v>
      </c>
      <c r="AA10" s="1746"/>
      <c r="AB10" s="1746">
        <v>215165.91614998781</v>
      </c>
      <c r="AC10" s="1747">
        <v>210909</v>
      </c>
      <c r="AD10" s="1747"/>
      <c r="AE10" s="1748">
        <f>AE9+AE7</f>
        <v>14242</v>
      </c>
      <c r="AF10" s="1748"/>
      <c r="AM10" s="1748">
        <f>AM9-AM7+371</f>
        <v>13395</v>
      </c>
      <c r="AR10" s="1748"/>
      <c r="AS10" s="1732">
        <f>AS9*50%</f>
        <v>101</v>
      </c>
      <c r="AV10" s="1732">
        <f>AV9*50%</f>
        <v>37</v>
      </c>
      <c r="BD10" s="1748"/>
    </row>
    <row r="11" spans="1:58" s="569" customFormat="1" ht="60" x14ac:dyDescent="0.25">
      <c r="A11" s="1749"/>
      <c r="B11" s="1750" t="s">
        <v>3009</v>
      </c>
      <c r="C11" s="1751">
        <f>G11+J11+M11+P11+S11+V11+Y11+AB11</f>
        <v>15200</v>
      </c>
      <c r="D11" s="1751"/>
      <c r="E11" s="1751"/>
      <c r="F11" s="1751"/>
      <c r="G11" s="1751">
        <v>2000</v>
      </c>
      <c r="H11" s="1751"/>
      <c r="I11" s="1751"/>
      <c r="J11" s="1751">
        <v>1800</v>
      </c>
      <c r="K11" s="1751"/>
      <c r="L11" s="1751"/>
      <c r="M11" s="1751">
        <v>1800</v>
      </c>
      <c r="N11" s="1751"/>
      <c r="O11" s="1751"/>
      <c r="P11" s="1752">
        <v>2000</v>
      </c>
      <c r="Q11" s="1751"/>
      <c r="R11" s="1751"/>
      <c r="S11" s="1751">
        <v>2000</v>
      </c>
      <c r="T11" s="1751"/>
      <c r="U11" s="1751"/>
      <c r="V11" s="1751">
        <v>1800</v>
      </c>
      <c r="W11" s="1751"/>
      <c r="X11" s="1751"/>
      <c r="Y11" s="1751">
        <v>2000</v>
      </c>
      <c r="Z11" s="1751"/>
      <c r="AA11" s="1751"/>
      <c r="AB11" s="1751">
        <v>1800</v>
      </c>
      <c r="AC11" s="1751"/>
      <c r="AD11" s="1751"/>
      <c r="AF11" s="1753"/>
      <c r="AM11" s="1753"/>
      <c r="BD11" s="1753"/>
    </row>
    <row r="12" spans="1:58" s="546" customFormat="1" ht="15" x14ac:dyDescent="0.25">
      <c r="A12" s="1754">
        <v>2</v>
      </c>
      <c r="B12" s="1755" t="s">
        <v>3010</v>
      </c>
      <c r="C12" s="1756">
        <f>G12+J12+M12+P12+S12+V12+Y12+AB12</f>
        <v>236731</v>
      </c>
      <c r="D12" s="1756">
        <v>143919</v>
      </c>
      <c r="E12" s="1756"/>
      <c r="F12" s="1756"/>
      <c r="G12" s="1756">
        <v>20786</v>
      </c>
      <c r="H12" s="1756">
        <v>10356</v>
      </c>
      <c r="I12" s="1756"/>
      <c r="J12" s="1756">
        <v>33508</v>
      </c>
      <c r="K12" s="1756">
        <v>22426</v>
      </c>
      <c r="L12" s="1756"/>
      <c r="M12" s="1756">
        <v>20149</v>
      </c>
      <c r="N12" s="1756">
        <v>9727</v>
      </c>
      <c r="O12" s="1756"/>
      <c r="P12" s="1746">
        <v>30126</v>
      </c>
      <c r="Q12" s="1756">
        <v>5128</v>
      </c>
      <c r="R12" s="1756"/>
      <c r="S12" s="1756">
        <v>48619</v>
      </c>
      <c r="T12" s="1756">
        <v>32503</v>
      </c>
      <c r="U12" s="1756"/>
      <c r="V12" s="1756">
        <v>36863</v>
      </c>
      <c r="W12" s="1756">
        <v>26666</v>
      </c>
      <c r="X12" s="1756"/>
      <c r="Y12" s="1756">
        <v>18187</v>
      </c>
      <c r="Z12" s="1756">
        <v>20692</v>
      </c>
      <c r="AA12" s="1756"/>
      <c r="AB12" s="1756">
        <v>28493</v>
      </c>
      <c r="AC12" s="1757">
        <v>16421</v>
      </c>
      <c r="AD12" s="1757"/>
      <c r="AE12" s="1731"/>
      <c r="AR12" s="1731"/>
      <c r="AS12" s="1731"/>
      <c r="AU12" s="1731"/>
    </row>
    <row r="13" spans="1:58" s="546" customFormat="1" ht="15" x14ac:dyDescent="0.25">
      <c r="A13" s="1754">
        <v>3</v>
      </c>
      <c r="B13" s="1755" t="s">
        <v>920</v>
      </c>
      <c r="C13" s="1756">
        <f>G13+J13+M13+P13+S13+V13+Y13+AB13</f>
        <v>163160</v>
      </c>
      <c r="D13" s="1756">
        <v>104664</v>
      </c>
      <c r="E13" s="1756"/>
      <c r="F13" s="1756"/>
      <c r="G13" s="1756">
        <v>9364</v>
      </c>
      <c r="H13" s="1756">
        <v>7432</v>
      </c>
      <c r="I13" s="1756"/>
      <c r="J13" s="1756">
        <v>12836</v>
      </c>
      <c r="K13" s="1756">
        <v>12592</v>
      </c>
      <c r="L13" s="1756"/>
      <c r="M13" s="1756">
        <v>19372</v>
      </c>
      <c r="N13" s="1756">
        <v>8898</v>
      </c>
      <c r="O13" s="1756"/>
      <c r="P13" s="1746">
        <v>24930</v>
      </c>
      <c r="Q13" s="1756">
        <v>14822</v>
      </c>
      <c r="R13" s="1756"/>
      <c r="S13" s="1756">
        <v>24128</v>
      </c>
      <c r="T13" s="1756">
        <v>16532</v>
      </c>
      <c r="U13" s="1756"/>
      <c r="V13" s="1756">
        <v>21569</v>
      </c>
      <c r="W13" s="1756">
        <v>16023</v>
      </c>
      <c r="X13" s="1756"/>
      <c r="Y13" s="1756">
        <v>23592</v>
      </c>
      <c r="Z13" s="1756">
        <v>13634</v>
      </c>
      <c r="AA13" s="1756"/>
      <c r="AB13" s="1756">
        <v>27369</v>
      </c>
      <c r="AC13" s="1757">
        <v>14731</v>
      </c>
      <c r="AD13" s="1757"/>
      <c r="AE13" s="1731">
        <f>V6-V14</f>
        <v>0</v>
      </c>
      <c r="AS13" s="1731"/>
      <c r="AY13" s="1731"/>
    </row>
    <row r="14" spans="1:58" s="562" customFormat="1" ht="14.25" x14ac:dyDescent="0.2">
      <c r="A14" s="1737" t="s">
        <v>848</v>
      </c>
      <c r="B14" s="1738" t="s">
        <v>3011</v>
      </c>
      <c r="C14" s="1739">
        <f>C15+C20+C34</f>
        <v>2420783.33</v>
      </c>
      <c r="D14" s="1739">
        <f t="shared" ref="D14:AB14" si="0">D15+D20+D34</f>
        <v>2215630</v>
      </c>
      <c r="E14" s="1739">
        <f t="shared" si="0"/>
        <v>184239.17810000002</v>
      </c>
      <c r="F14" s="1739">
        <f t="shared" si="0"/>
        <v>151356</v>
      </c>
      <c r="G14" s="1739">
        <f t="shared" si="0"/>
        <v>298414.06512260769</v>
      </c>
      <c r="H14" s="1739">
        <f t="shared" si="0"/>
        <v>256802</v>
      </c>
      <c r="I14" s="1739">
        <f t="shared" si="0"/>
        <v>15889.178100000005</v>
      </c>
      <c r="J14" s="1739">
        <f t="shared" si="0"/>
        <v>242420.21036155504</v>
      </c>
      <c r="K14" s="1739">
        <f t="shared" si="0"/>
        <v>223987</v>
      </c>
      <c r="L14" s="1739">
        <f t="shared" si="0"/>
        <v>22303</v>
      </c>
      <c r="M14" s="1739">
        <f t="shared" si="0"/>
        <v>259507.77147487921</v>
      </c>
      <c r="N14" s="1739">
        <f t="shared" si="0"/>
        <v>230138</v>
      </c>
      <c r="O14" s="1739">
        <f t="shared" si="0"/>
        <v>19515</v>
      </c>
      <c r="P14" s="1741">
        <f t="shared" si="0"/>
        <v>363798.17677004018</v>
      </c>
      <c r="Q14" s="1739">
        <f t="shared" si="0"/>
        <v>334939</v>
      </c>
      <c r="R14" s="1739">
        <f t="shared" si="0"/>
        <v>16369</v>
      </c>
      <c r="S14" s="1739">
        <f t="shared" si="0"/>
        <v>365729.19904576417</v>
      </c>
      <c r="T14" s="1739">
        <f t="shared" si="0"/>
        <v>341326</v>
      </c>
      <c r="U14" s="1739">
        <f t="shared" si="0"/>
        <v>29184</v>
      </c>
      <c r="V14" s="1739">
        <f t="shared" si="0"/>
        <v>261754.8553110832</v>
      </c>
      <c r="W14" s="1739">
        <f t="shared" si="0"/>
        <v>239675</v>
      </c>
      <c r="X14" s="1739">
        <f t="shared" si="0"/>
        <v>29627</v>
      </c>
      <c r="Y14" s="1739">
        <f t="shared" si="0"/>
        <v>349521.13576408272</v>
      </c>
      <c r="Z14" s="1739">
        <f t="shared" si="0"/>
        <v>337902</v>
      </c>
      <c r="AA14" s="1739">
        <f t="shared" si="0"/>
        <v>23947</v>
      </c>
      <c r="AB14" s="1739">
        <f t="shared" si="0"/>
        <v>279637.91614998784</v>
      </c>
      <c r="AC14" s="1742" t="e">
        <f>AC15+AC20+AC34+#REF!</f>
        <v>#REF!</v>
      </c>
      <c r="AD14" s="1742" t="e">
        <f>AD15+AD20+AD34+#REF!</f>
        <v>#REF!</v>
      </c>
      <c r="AE14" s="1742" t="e">
        <f>AE15+AE20+AE34+#REF!</f>
        <v>#REF!</v>
      </c>
      <c r="AF14" s="1742" t="e">
        <f>AF15+AF20+AF34+#REF!</f>
        <v>#REF!</v>
      </c>
      <c r="AG14" s="1742" t="e">
        <f>AG15+AG20+AG34+#REF!</f>
        <v>#VALUE!</v>
      </c>
      <c r="AH14" s="1742" t="e">
        <f>AH15+AH20+AH34+#REF!</f>
        <v>#VALUE!</v>
      </c>
      <c r="AI14" s="1742" t="e">
        <f>AI15+AI20+AI34+#REF!</f>
        <v>#REF!</v>
      </c>
      <c r="AJ14" s="1742" t="e">
        <f>AJ15+AJ20+AJ34+#REF!</f>
        <v>#REF!</v>
      </c>
      <c r="AK14" s="1742" t="e">
        <f>AK15+AK20+AK34+#REF!</f>
        <v>#REF!</v>
      </c>
      <c r="AL14" s="1742" t="e">
        <f>AL15+AL20+AL34+#REF!</f>
        <v>#REF!</v>
      </c>
      <c r="AM14" s="1742" t="e">
        <f>AM15+AM20+AM34+#REF!</f>
        <v>#REF!</v>
      </c>
      <c r="AN14" s="1742" t="e">
        <f>AN15+AN20+AN34+#REF!</f>
        <v>#VALUE!</v>
      </c>
      <c r="AO14" s="1742" t="e">
        <f>AO15+AO20+AO34+#REF!</f>
        <v>#REF!</v>
      </c>
      <c r="AP14" s="1742" t="e">
        <f>AP15+AP20+AP34+#REF!</f>
        <v>#REF!</v>
      </c>
      <c r="AU14" s="1743"/>
      <c r="AY14" s="1758"/>
    </row>
    <row r="15" spans="1:58" s="562" customFormat="1" ht="14.25" x14ac:dyDescent="0.2">
      <c r="A15" s="1737" t="s">
        <v>849</v>
      </c>
      <c r="B15" s="1738" t="s">
        <v>3012</v>
      </c>
      <c r="C15" s="1739">
        <f>C16+C18+C17</f>
        <v>211258.33000000002</v>
      </c>
      <c r="D15" s="1739">
        <v>161047</v>
      </c>
      <c r="E15" s="1739"/>
      <c r="F15" s="1739"/>
      <c r="G15" s="1739">
        <f>G16+G18+G17</f>
        <v>89344.065122607673</v>
      </c>
      <c r="H15" s="1739">
        <v>62005</v>
      </c>
      <c r="I15" s="1739"/>
      <c r="J15" s="1739">
        <f>J16+J18+J17</f>
        <v>15578.210361555044</v>
      </c>
      <c r="K15" s="1739">
        <v>10729</v>
      </c>
      <c r="L15" s="1739"/>
      <c r="M15" s="1739">
        <f>M16+M18+M17</f>
        <v>15819.7714748792</v>
      </c>
      <c r="N15" s="1739">
        <v>9657</v>
      </c>
      <c r="O15" s="1739"/>
      <c r="P15" s="1741">
        <f>P16+P18+P17</f>
        <v>26967.176770040205</v>
      </c>
      <c r="Q15" s="1739">
        <v>20069</v>
      </c>
      <c r="R15" s="1739"/>
      <c r="S15" s="1739">
        <f>S16+S18+S17</f>
        <v>15426.199045764157</v>
      </c>
      <c r="T15" s="1739">
        <v>17444</v>
      </c>
      <c r="U15" s="1739"/>
      <c r="V15" s="1739">
        <f>V16+V18+V17</f>
        <v>13327.855311083198</v>
      </c>
      <c r="W15" s="1739">
        <v>10451</v>
      </c>
      <c r="X15" s="1739"/>
      <c r="Y15" s="1739">
        <f>Y16+Y18+Y17</f>
        <v>20577.135764082734</v>
      </c>
      <c r="Z15" s="1739">
        <v>17411</v>
      </c>
      <c r="AA15" s="1739"/>
      <c r="AB15" s="1739">
        <f>AB16+AB18+AB17</f>
        <v>14217.916149987812</v>
      </c>
      <c r="AC15" s="1742">
        <v>13281</v>
      </c>
      <c r="AD15" s="1742"/>
      <c r="AE15" s="1743">
        <f>V6-V14</f>
        <v>0</v>
      </c>
      <c r="AF15" s="1743"/>
      <c r="AH15" s="562" t="s">
        <v>3013</v>
      </c>
      <c r="AI15" s="1078"/>
      <c r="AN15" s="562" t="s">
        <v>2993</v>
      </c>
      <c r="AP15" s="4075"/>
      <c r="AQ15" s="4075"/>
      <c r="AR15" s="4075"/>
      <c r="AS15" s="4075"/>
      <c r="BA15" s="562" t="s">
        <v>3014</v>
      </c>
      <c r="BB15" s="562" t="s">
        <v>3015</v>
      </c>
      <c r="BC15" s="562" t="s">
        <v>3014</v>
      </c>
      <c r="BD15" s="562" t="s">
        <v>3016</v>
      </c>
      <c r="BE15" s="562" t="s">
        <v>3017</v>
      </c>
      <c r="BF15" s="562" t="s">
        <v>3018</v>
      </c>
    </row>
    <row r="16" spans="1:58" s="546" customFormat="1" ht="15" x14ac:dyDescent="0.25">
      <c r="A16" s="1754">
        <v>1</v>
      </c>
      <c r="B16" s="1755" t="s">
        <v>3019</v>
      </c>
      <c r="C16" s="1756">
        <f>G16+J16+M16+P16+S16+V16+Y16+AB16</f>
        <v>117838.33000000002</v>
      </c>
      <c r="D16" s="1756">
        <v>84147</v>
      </c>
      <c r="E16" s="1756"/>
      <c r="F16" s="1756"/>
      <c r="G16" s="1756">
        <v>18244.06512260767</v>
      </c>
      <c r="H16" s="1756">
        <v>14755</v>
      </c>
      <c r="I16" s="1756"/>
      <c r="J16" s="1756">
        <v>14048.210361555044</v>
      </c>
      <c r="K16" s="1756">
        <v>8199</v>
      </c>
      <c r="L16" s="1756"/>
      <c r="M16" s="1756">
        <v>14919.7714748792</v>
      </c>
      <c r="N16" s="1756">
        <v>6887</v>
      </c>
      <c r="O16" s="1756"/>
      <c r="P16" s="1746">
        <v>17967.176770040205</v>
      </c>
      <c r="Q16" s="1756">
        <v>14569</v>
      </c>
      <c r="R16" s="1756"/>
      <c r="S16" s="1756">
        <v>13446.199045764157</v>
      </c>
      <c r="T16" s="1756">
        <v>13744</v>
      </c>
      <c r="U16" s="1756"/>
      <c r="V16" s="1756">
        <v>12787.855311083198</v>
      </c>
      <c r="W16" s="1756">
        <v>9001</v>
      </c>
      <c r="X16" s="1756"/>
      <c r="Y16" s="1756">
        <v>13377.135764082734</v>
      </c>
      <c r="Z16" s="1756">
        <v>7411</v>
      </c>
      <c r="AA16" s="1756"/>
      <c r="AB16" s="1756">
        <v>13047.916149987812</v>
      </c>
      <c r="AC16" s="1757">
        <v>9581</v>
      </c>
      <c r="AD16" s="1757"/>
      <c r="AE16" s="1743">
        <f>C6-C14</f>
        <v>0</v>
      </c>
      <c r="AH16" s="562">
        <v>461</v>
      </c>
      <c r="AI16" s="4076" t="s">
        <v>3020</v>
      </c>
      <c r="AJ16" s="4076"/>
      <c r="AS16" s="1743"/>
      <c r="AU16" s="1731"/>
      <c r="BA16" s="1759" t="s">
        <v>3021</v>
      </c>
      <c r="BB16" s="546" t="s">
        <v>3022</v>
      </c>
      <c r="BC16" s="546" t="s">
        <v>3022</v>
      </c>
      <c r="BD16" s="546" t="s">
        <v>3022</v>
      </c>
      <c r="BE16" s="546" t="s">
        <v>3022</v>
      </c>
      <c r="BF16" s="546" t="s">
        <v>3022</v>
      </c>
    </row>
    <row r="17" spans="1:58" s="546" customFormat="1" ht="15" x14ac:dyDescent="0.25">
      <c r="A17" s="1754">
        <v>2</v>
      </c>
      <c r="B17" s="1755" t="s">
        <v>3023</v>
      </c>
      <c r="C17" s="1746">
        <f>G17+J17+M17+P17+S17+V17+Y17+AB17</f>
        <v>0</v>
      </c>
      <c r="D17" s="1746">
        <v>6700</v>
      </c>
      <c r="E17" s="1746"/>
      <c r="F17" s="1746"/>
      <c r="G17" s="1746">
        <v>0</v>
      </c>
      <c r="H17" s="1746">
        <v>0</v>
      </c>
      <c r="I17" s="1746"/>
      <c r="J17" s="1746"/>
      <c r="K17" s="1746">
        <v>1000</v>
      </c>
      <c r="L17" s="1746"/>
      <c r="M17" s="1746"/>
      <c r="N17" s="1746">
        <v>700</v>
      </c>
      <c r="O17" s="1746"/>
      <c r="P17" s="1746"/>
      <c r="Q17" s="1746">
        <v>1000</v>
      </c>
      <c r="R17" s="1746"/>
      <c r="S17" s="1746"/>
      <c r="T17" s="1746">
        <v>1000</v>
      </c>
      <c r="U17" s="1746"/>
      <c r="V17" s="1746"/>
      <c r="W17" s="1746">
        <v>1000</v>
      </c>
      <c r="X17" s="1746"/>
      <c r="Y17" s="1746"/>
      <c r="Z17" s="1746">
        <v>1000</v>
      </c>
      <c r="AA17" s="1746"/>
      <c r="AB17" s="1746"/>
      <c r="AC17" s="1757">
        <v>1000</v>
      </c>
      <c r="AD17" s="1757"/>
      <c r="AE17" s="1743"/>
      <c r="AH17" s="562"/>
      <c r="AI17" s="4076"/>
      <c r="AJ17" s="4076"/>
      <c r="AM17" s="4077" t="s">
        <v>3024</v>
      </c>
      <c r="AN17" s="4077"/>
      <c r="AU17" s="1731"/>
    </row>
    <row r="18" spans="1:58" s="546" customFormat="1" ht="15" x14ac:dyDescent="0.25">
      <c r="A18" s="1754">
        <v>2</v>
      </c>
      <c r="B18" s="1755" t="s">
        <v>3025</v>
      </c>
      <c r="C18" s="1760">
        <f>G18+J18+M18+P18+S18+V18+Y18+AB18</f>
        <v>93420</v>
      </c>
      <c r="D18" s="1760">
        <v>70200</v>
      </c>
      <c r="E18" s="1760"/>
      <c r="F18" s="1760"/>
      <c r="G18" s="1760">
        <v>71100</v>
      </c>
      <c r="H18" s="1760">
        <v>47250</v>
      </c>
      <c r="I18" s="1760"/>
      <c r="J18" s="1760">
        <v>1530</v>
      </c>
      <c r="K18" s="1760">
        <v>1530</v>
      </c>
      <c r="L18" s="1760">
        <v>32283</v>
      </c>
      <c r="M18" s="1760">
        <v>900</v>
      </c>
      <c r="N18" s="1760">
        <v>2070</v>
      </c>
      <c r="O18" s="1760"/>
      <c r="P18" s="1746">
        <v>9000</v>
      </c>
      <c r="Q18" s="1760">
        <v>4500</v>
      </c>
      <c r="R18" s="1760"/>
      <c r="S18" s="1760">
        <v>1980</v>
      </c>
      <c r="T18" s="1760">
        <v>2700</v>
      </c>
      <c r="U18" s="1760"/>
      <c r="V18" s="1760">
        <v>540</v>
      </c>
      <c r="W18" s="1760">
        <v>450</v>
      </c>
      <c r="X18" s="1760"/>
      <c r="Y18" s="1760">
        <v>7200</v>
      </c>
      <c r="Z18" s="1760">
        <v>9000</v>
      </c>
      <c r="AA18" s="1760"/>
      <c r="AB18" s="1760">
        <v>1170</v>
      </c>
      <c r="AC18" s="1757">
        <v>2700</v>
      </c>
      <c r="AD18" s="1757"/>
      <c r="AE18" s="1731"/>
      <c r="AH18" s="562">
        <v>370</v>
      </c>
      <c r="AI18" s="4076"/>
      <c r="AJ18" s="4076"/>
      <c r="AL18" s="1730" t="s">
        <v>3026</v>
      </c>
      <c r="AN18" s="546" t="s">
        <v>3027</v>
      </c>
      <c r="AP18" s="1730"/>
      <c r="AQ18" s="1736"/>
      <c r="AS18" s="1743"/>
      <c r="AW18" s="1731"/>
      <c r="BA18" s="546">
        <v>430</v>
      </c>
      <c r="BB18" s="562">
        <v>2703</v>
      </c>
      <c r="BC18" s="562">
        <v>508</v>
      </c>
      <c r="BD18" s="562">
        <v>133</v>
      </c>
      <c r="BE18" s="562">
        <v>235</v>
      </c>
      <c r="BF18" s="562">
        <v>75</v>
      </c>
    </row>
    <row r="19" spans="1:58" s="546" customFormat="1" ht="15" x14ac:dyDescent="0.25">
      <c r="A19" s="1754"/>
      <c r="B19" s="1755" t="s">
        <v>3028</v>
      </c>
      <c r="C19" s="1756" t="e">
        <f>SUM(G19:AB19)</f>
        <v>#REF!</v>
      </c>
      <c r="D19" s="1756">
        <v>0</v>
      </c>
      <c r="E19" s="1756"/>
      <c r="F19" s="1756"/>
      <c r="G19" s="1756"/>
      <c r="H19" s="1756"/>
      <c r="I19" s="1756"/>
      <c r="J19" s="1756"/>
      <c r="K19" s="1756"/>
      <c r="L19" s="1756"/>
      <c r="M19" s="1756"/>
      <c r="N19" s="1756"/>
      <c r="O19" s="1756"/>
      <c r="P19" s="1746" t="e">
        <f>'B61-342'!#REF!</f>
        <v>#REF!</v>
      </c>
      <c r="Q19" s="1756"/>
      <c r="R19" s="1756"/>
      <c r="S19" s="1756"/>
      <c r="T19" s="1756"/>
      <c r="U19" s="1756"/>
      <c r="V19" s="1756"/>
      <c r="W19" s="1756"/>
      <c r="X19" s="1756"/>
      <c r="Y19" s="1756"/>
      <c r="Z19" s="1756"/>
      <c r="AA19" s="1756"/>
      <c r="AB19" s="1756"/>
      <c r="AC19" s="1757"/>
      <c r="AD19" s="1757"/>
    </row>
    <row r="20" spans="1:58" s="562" customFormat="1" ht="14.25" x14ac:dyDescent="0.2">
      <c r="A20" s="1737" t="s">
        <v>866</v>
      </c>
      <c r="B20" s="1738" t="s">
        <v>3029</v>
      </c>
      <c r="C20" s="1740">
        <f>SUM(C21:C24)+SUM(C27:C33)</f>
        <v>2160596</v>
      </c>
      <c r="D20" s="1740">
        <v>2009240</v>
      </c>
      <c r="E20" s="1740">
        <f>SUM(E21:E24)+SUM(E27:E33)</f>
        <v>184239.17810000002</v>
      </c>
      <c r="F20" s="1740">
        <f>SUM(F21:F24)+SUM(F27:F33)</f>
        <v>151356</v>
      </c>
      <c r="G20" s="1740">
        <f>SUM(G21:G24)+SUM(G27:G33)</f>
        <v>202918</v>
      </c>
      <c r="H20" s="1740">
        <v>189515</v>
      </c>
      <c r="I20" s="1740">
        <f>SUM(I21:I24)+SUM(I27:I33)</f>
        <v>15889.178100000005</v>
      </c>
      <c r="J20" s="1740">
        <f>SUM(J21:J24)+SUM(J27:J33)</f>
        <v>221861</v>
      </c>
      <c r="K20" s="1740">
        <v>208679</v>
      </c>
      <c r="L20" s="1740">
        <f>SUM(L21:L24)+SUM(L27:L33)</f>
        <v>22303</v>
      </c>
      <c r="M20" s="1740">
        <f>SUM(M21:M24)+SUM(M27:M33)</f>
        <v>238478</v>
      </c>
      <c r="N20" s="1740">
        <v>215624</v>
      </c>
      <c r="O20" s="1740">
        <f>SUM(O21:O24)+SUM(O27:O33)</f>
        <v>19515</v>
      </c>
      <c r="P20" s="1741">
        <f>SUM(P21:P24)+SUM(P27:P33)</f>
        <v>329386</v>
      </c>
      <c r="Q20" s="1740">
        <v>307894</v>
      </c>
      <c r="R20" s="1740">
        <f>SUM(R21:R24)+SUM(R27:R33)</f>
        <v>16369</v>
      </c>
      <c r="S20" s="1740">
        <f>SUM(S21:S24)+SUM(S27:S33)</f>
        <v>342895</v>
      </c>
      <c r="T20" s="1740">
        <v>317031</v>
      </c>
      <c r="U20" s="1740">
        <f>SUM(U21:U24)+SUM(U27:U33)</f>
        <v>29184</v>
      </c>
      <c r="V20" s="1740">
        <f>SUM(V21:V24)+SUM(V27:V33)</f>
        <v>243238</v>
      </c>
      <c r="W20" s="1740">
        <v>224477</v>
      </c>
      <c r="X20" s="1740">
        <f>SUM(X21:X24)+SUM(X27:X33)</f>
        <v>29627</v>
      </c>
      <c r="Y20" s="1740">
        <f>SUM(Y21:Y24)+SUM(Y27:Y33)</f>
        <v>321866</v>
      </c>
      <c r="Z20" s="1740">
        <v>313471</v>
      </c>
      <c r="AA20" s="1740">
        <f>SUM(AA21:AA24)+SUM(AA27:AA33)</f>
        <v>23947</v>
      </c>
      <c r="AB20" s="1740">
        <f>SUM(AB21:AB24)+SUM(AB27:AB33)</f>
        <v>259954</v>
      </c>
      <c r="AC20" s="1742">
        <v>232549</v>
      </c>
      <c r="AD20" s="1742">
        <f>SUM(AD21:AD24)+SUM(AD27:AD33)</f>
        <v>27405</v>
      </c>
      <c r="AE20" s="1743">
        <f>Y6-Y14</f>
        <v>0</v>
      </c>
      <c r="AF20" s="1742">
        <v>180503</v>
      </c>
      <c r="AG20" s="562" t="s">
        <v>3030</v>
      </c>
      <c r="AH20" s="1742">
        <f>8594-AI20</f>
        <v>7044</v>
      </c>
      <c r="AI20" s="562">
        <v>1550</v>
      </c>
      <c r="AK20" s="562">
        <v>200433</v>
      </c>
      <c r="AL20" s="1742">
        <v>208897</v>
      </c>
      <c r="AM20" s="1742">
        <v>293388</v>
      </c>
      <c r="AN20" s="1742">
        <f>SUM(AN21:AN35)</f>
        <v>4430</v>
      </c>
      <c r="AO20" s="1742"/>
      <c r="AP20" s="1742"/>
      <c r="AQ20" s="1742"/>
      <c r="AR20" s="1742"/>
      <c r="AS20" s="1742"/>
      <c r="AT20" s="1742"/>
      <c r="AU20" s="1742"/>
      <c r="AV20" s="1743"/>
      <c r="AW20" s="1742"/>
      <c r="AX20" s="1742"/>
    </row>
    <row r="21" spans="1:58" s="546" customFormat="1" ht="15" x14ac:dyDescent="0.25">
      <c r="A21" s="1754">
        <v>1</v>
      </c>
      <c r="B21" s="1755" t="s">
        <v>953</v>
      </c>
      <c r="C21" s="1760">
        <f t="shared" ref="C21:C38" si="1">G21+J21+M21+P21+S21+V21+Y21+AB21</f>
        <v>140970</v>
      </c>
      <c r="D21" s="1760">
        <v>124779</v>
      </c>
      <c r="E21" s="1760">
        <f>I21+L21+O21+R21+U21+X21+AA21+AD21</f>
        <v>39157</v>
      </c>
      <c r="F21" s="1760">
        <f>C21-D21</f>
        <v>16191</v>
      </c>
      <c r="G21" s="1760">
        <v>35130</v>
      </c>
      <c r="H21" s="1760">
        <v>33681</v>
      </c>
      <c r="I21" s="1760">
        <v>1785</v>
      </c>
      <c r="J21" s="1760">
        <v>12880</v>
      </c>
      <c r="K21" s="1760">
        <v>10134</v>
      </c>
      <c r="L21" s="1760">
        <v>7155</v>
      </c>
      <c r="M21" s="1760">
        <v>13660</v>
      </c>
      <c r="N21" s="1760">
        <v>11212</v>
      </c>
      <c r="O21" s="1760">
        <v>4226</v>
      </c>
      <c r="P21" s="1746">
        <v>20621</v>
      </c>
      <c r="Q21" s="1760">
        <v>20736</v>
      </c>
      <c r="R21" s="1760">
        <v>3223</v>
      </c>
      <c r="S21" s="1760">
        <v>16494</v>
      </c>
      <c r="T21" s="1760">
        <v>13373</v>
      </c>
      <c r="U21" s="1760">
        <v>8063</v>
      </c>
      <c r="V21" s="1760">
        <v>12677</v>
      </c>
      <c r="W21" s="1760">
        <v>11191</v>
      </c>
      <c r="X21" s="1760">
        <v>7279</v>
      </c>
      <c r="Y21" s="1760">
        <v>15321</v>
      </c>
      <c r="Z21" s="1760">
        <v>14514</v>
      </c>
      <c r="AA21" s="1760">
        <v>3177</v>
      </c>
      <c r="AB21" s="1760">
        <v>14187</v>
      </c>
      <c r="AC21" s="1757">
        <f>9938</f>
        <v>9938</v>
      </c>
      <c r="AD21" s="1757">
        <f>AB21-AC21</f>
        <v>4249</v>
      </c>
      <c r="AE21" s="1731">
        <f>AB6-AB14</f>
        <v>0</v>
      </c>
      <c r="AF21" s="1731">
        <v>-4192</v>
      </c>
      <c r="AH21" s="546">
        <v>3800</v>
      </c>
      <c r="AK21" s="1731">
        <v>-9980</v>
      </c>
      <c r="AL21" s="1731">
        <v>3218</v>
      </c>
      <c r="AM21" s="1731">
        <v>309</v>
      </c>
      <c r="AN21" s="546">
        <v>1000</v>
      </c>
      <c r="AT21" s="1731"/>
      <c r="AU21" s="1731"/>
      <c r="AW21" s="1731"/>
      <c r="AX21" s="1731"/>
      <c r="BB21" s="546">
        <v>900</v>
      </c>
      <c r="BC21" s="546">
        <v>300</v>
      </c>
      <c r="BD21" s="546">
        <v>133</v>
      </c>
      <c r="BE21" s="546">
        <v>235</v>
      </c>
      <c r="BF21" s="546">
        <v>75</v>
      </c>
    </row>
    <row r="22" spans="1:58" s="546" customFormat="1" ht="15" x14ac:dyDescent="0.25">
      <c r="A22" s="1754">
        <v>2</v>
      </c>
      <c r="B22" s="1755" t="s">
        <v>3031</v>
      </c>
      <c r="C22" s="1760">
        <f t="shared" si="1"/>
        <v>7200</v>
      </c>
      <c r="D22" s="1760">
        <v>7600</v>
      </c>
      <c r="E22" s="1760">
        <f t="shared" ref="E22:E33" si="2">I22+L22+O22+R22+U22+X22+AA22+AD22</f>
        <v>-400</v>
      </c>
      <c r="F22" s="1760">
        <f t="shared" ref="F22:F33" si="3">C22-D22</f>
        <v>-400</v>
      </c>
      <c r="G22" s="1760">
        <v>4000</v>
      </c>
      <c r="H22" s="1760">
        <v>4000</v>
      </c>
      <c r="I22" s="1760">
        <v>0</v>
      </c>
      <c r="J22" s="1760">
        <v>400</v>
      </c>
      <c r="K22" s="1760">
        <v>400</v>
      </c>
      <c r="L22" s="1760">
        <v>0</v>
      </c>
      <c r="M22" s="1760">
        <v>400</v>
      </c>
      <c r="N22" s="1760">
        <v>400</v>
      </c>
      <c r="O22" s="1760">
        <v>0</v>
      </c>
      <c r="P22" s="1746">
        <v>600</v>
      </c>
      <c r="Q22" s="1760">
        <v>1000</v>
      </c>
      <c r="R22" s="1760">
        <v>-400</v>
      </c>
      <c r="S22" s="1760">
        <v>600</v>
      </c>
      <c r="T22" s="1760">
        <v>600</v>
      </c>
      <c r="U22" s="1760">
        <v>0</v>
      </c>
      <c r="V22" s="1760">
        <v>400</v>
      </c>
      <c r="W22" s="1760">
        <v>400</v>
      </c>
      <c r="X22" s="1760">
        <v>0</v>
      </c>
      <c r="Y22" s="1760">
        <v>400</v>
      </c>
      <c r="Z22" s="1760">
        <v>400</v>
      </c>
      <c r="AA22" s="1760">
        <v>0</v>
      </c>
      <c r="AB22" s="1760">
        <v>400</v>
      </c>
      <c r="AC22" s="1757">
        <v>400</v>
      </c>
      <c r="AD22" s="1757">
        <f t="shared" ref="AD22:AD33" si="4">AB22-AC22</f>
        <v>0</v>
      </c>
      <c r="AE22" s="1731"/>
      <c r="AF22" s="1731">
        <f>AF20+AF21</f>
        <v>176311</v>
      </c>
      <c r="AK22" s="1731">
        <f>AK20+AK21</f>
        <v>190453</v>
      </c>
      <c r="AL22" s="1731">
        <f>AL20+AL21</f>
        <v>212115</v>
      </c>
      <c r="AM22" s="1731">
        <f>AM20+AM21</f>
        <v>293697</v>
      </c>
      <c r="AN22" s="546">
        <v>400</v>
      </c>
      <c r="AT22" s="1743"/>
      <c r="AU22" s="1731"/>
      <c r="AW22" s="1731"/>
      <c r="AX22" s="1742"/>
    </row>
    <row r="23" spans="1:58" s="546" customFormat="1" ht="15" x14ac:dyDescent="0.25">
      <c r="A23" s="1754">
        <v>3</v>
      </c>
      <c r="B23" s="1755" t="s">
        <v>3032</v>
      </c>
      <c r="C23" s="1760">
        <f t="shared" si="1"/>
        <v>695712</v>
      </c>
      <c r="D23" s="1760">
        <v>651230</v>
      </c>
      <c r="E23" s="1760">
        <f t="shared" si="2"/>
        <v>64951</v>
      </c>
      <c r="F23" s="1760">
        <f t="shared" si="3"/>
        <v>44482</v>
      </c>
      <c r="G23" s="1756">
        <v>60488</v>
      </c>
      <c r="H23" s="1760">
        <v>54993</v>
      </c>
      <c r="I23" s="1760">
        <v>5996</v>
      </c>
      <c r="J23" s="1760">
        <v>86233</v>
      </c>
      <c r="K23" s="1760">
        <v>79720</v>
      </c>
      <c r="L23" s="1760">
        <v>7769</v>
      </c>
      <c r="M23" s="1760">
        <v>80206</v>
      </c>
      <c r="N23" s="1760">
        <v>74659</v>
      </c>
      <c r="O23" s="1760">
        <v>6981</v>
      </c>
      <c r="P23" s="1746">
        <v>111508</v>
      </c>
      <c r="Q23" s="1760">
        <v>101896</v>
      </c>
      <c r="R23" s="1760">
        <v>7349</v>
      </c>
      <c r="S23" s="1760">
        <v>114413</v>
      </c>
      <c r="T23" s="1760">
        <v>107218</v>
      </c>
      <c r="U23" s="1760">
        <v>9022</v>
      </c>
      <c r="V23" s="1760">
        <v>75130</v>
      </c>
      <c r="W23" s="1760">
        <v>68277</v>
      </c>
      <c r="X23" s="1760">
        <v>13134</v>
      </c>
      <c r="Y23" s="1756">
        <v>93635</v>
      </c>
      <c r="Z23" s="1760">
        <v>96805</v>
      </c>
      <c r="AA23" s="1760">
        <v>8263</v>
      </c>
      <c r="AB23" s="1760">
        <v>74099</v>
      </c>
      <c r="AC23" s="1757">
        <v>67662</v>
      </c>
      <c r="AD23" s="1757">
        <f t="shared" si="4"/>
        <v>6437</v>
      </c>
      <c r="AE23" s="1731"/>
      <c r="AF23" s="1731">
        <v>4685</v>
      </c>
      <c r="AH23" s="546">
        <v>1200</v>
      </c>
      <c r="AK23" s="1731">
        <v>6464</v>
      </c>
      <c r="AL23" s="1731">
        <v>6626</v>
      </c>
      <c r="AM23" s="546">
        <v>5518</v>
      </c>
      <c r="AN23" s="546">
        <v>500</v>
      </c>
      <c r="AU23" s="1731"/>
      <c r="AW23" s="1731"/>
      <c r="AX23" s="1731"/>
      <c r="BB23" s="546">
        <v>803</v>
      </c>
      <c r="BC23" s="546">
        <v>100</v>
      </c>
    </row>
    <row r="24" spans="1:58" s="546" customFormat="1" ht="15" x14ac:dyDescent="0.25">
      <c r="A24" s="1754">
        <v>4</v>
      </c>
      <c r="B24" s="1755" t="s">
        <v>3033</v>
      </c>
      <c r="C24" s="1760">
        <f t="shared" si="1"/>
        <v>1141136</v>
      </c>
      <c r="D24" s="1760">
        <v>1044057</v>
      </c>
      <c r="E24" s="1760">
        <f t="shared" si="2"/>
        <v>73334.178100000005</v>
      </c>
      <c r="F24" s="1760">
        <f t="shared" si="3"/>
        <v>97079</v>
      </c>
      <c r="G24" s="1760">
        <v>84384</v>
      </c>
      <c r="H24" s="1760">
        <v>78557</v>
      </c>
      <c r="I24" s="1760">
        <v>6373.1781000000046</v>
      </c>
      <c r="J24" s="1760">
        <v>102560</v>
      </c>
      <c r="K24" s="1760">
        <v>98339</v>
      </c>
      <c r="L24" s="1760">
        <v>6099</v>
      </c>
      <c r="M24" s="1760">
        <v>121222</v>
      </c>
      <c r="N24" s="1760">
        <v>107259</v>
      </c>
      <c r="O24" s="1760">
        <v>6411</v>
      </c>
      <c r="P24" s="1746">
        <v>168180</v>
      </c>
      <c r="Q24" s="1760">
        <v>152907</v>
      </c>
      <c r="R24" s="1760">
        <v>7724</v>
      </c>
      <c r="S24" s="1760">
        <v>184672</v>
      </c>
      <c r="T24" s="1760">
        <v>167361</v>
      </c>
      <c r="U24" s="1760">
        <v>10039</v>
      </c>
      <c r="V24" s="1760">
        <v>137471</v>
      </c>
      <c r="W24" s="1760">
        <v>125753</v>
      </c>
      <c r="X24" s="1760">
        <v>8508</v>
      </c>
      <c r="Y24" s="1756">
        <v>187337</v>
      </c>
      <c r="Z24" s="1760">
        <v>176448</v>
      </c>
      <c r="AA24" s="1760">
        <v>10303</v>
      </c>
      <c r="AB24" s="1760">
        <v>155310</v>
      </c>
      <c r="AC24" s="1757">
        <v>137433</v>
      </c>
      <c r="AD24" s="1757">
        <f t="shared" si="4"/>
        <v>17877</v>
      </c>
      <c r="AE24" s="1757">
        <f>AE25+AE26</f>
        <v>0</v>
      </c>
      <c r="AF24" s="1731">
        <f>AF22+AF23</f>
        <v>180996</v>
      </c>
      <c r="AI24" s="1731"/>
      <c r="AK24" s="1731">
        <f>AK22+AK23</f>
        <v>196917</v>
      </c>
      <c r="AL24" s="1731">
        <f>AL22+AL23</f>
        <v>218741</v>
      </c>
      <c r="AM24" s="1731">
        <f>AM22+AM23</f>
        <v>299215</v>
      </c>
      <c r="AT24" s="1731"/>
      <c r="AU24" s="1731"/>
      <c r="AV24" s="1731"/>
      <c r="AW24" s="1731"/>
      <c r="AX24" s="1731"/>
      <c r="BB24" s="546">
        <v>900</v>
      </c>
      <c r="BC24" s="546">
        <v>100</v>
      </c>
    </row>
    <row r="25" spans="1:58" s="546" customFormat="1" ht="15" x14ac:dyDescent="0.25">
      <c r="A25" s="1749" t="s">
        <v>711</v>
      </c>
      <c r="B25" s="1761" t="s">
        <v>3034</v>
      </c>
      <c r="C25" s="1762">
        <f t="shared" si="1"/>
        <v>1122973</v>
      </c>
      <c r="D25" s="1762">
        <v>1025717</v>
      </c>
      <c r="E25" s="1762">
        <f t="shared" si="2"/>
        <v>73591.178100000005</v>
      </c>
      <c r="F25" s="1762">
        <f t="shared" si="3"/>
        <v>97256</v>
      </c>
      <c r="G25" s="1762">
        <f>G24-G26</f>
        <v>83700</v>
      </c>
      <c r="H25" s="1762">
        <f t="shared" ref="H25:AB25" si="5">H24-H26</f>
        <v>77873</v>
      </c>
      <c r="I25" s="1762">
        <f t="shared" si="5"/>
        <v>6373.1781000000046</v>
      </c>
      <c r="J25" s="1762">
        <f t="shared" si="5"/>
        <v>100393</v>
      </c>
      <c r="K25" s="1762">
        <f t="shared" si="5"/>
        <v>96174</v>
      </c>
      <c r="L25" s="1762">
        <f t="shared" si="5"/>
        <v>6123</v>
      </c>
      <c r="M25" s="1762">
        <f t="shared" si="5"/>
        <v>118931</v>
      </c>
      <c r="N25" s="1762">
        <f t="shared" si="5"/>
        <v>104997</v>
      </c>
      <c r="O25" s="1762">
        <f t="shared" si="5"/>
        <v>6382</v>
      </c>
      <c r="P25" s="1752">
        <f t="shared" si="5"/>
        <v>165591</v>
      </c>
      <c r="Q25" s="1762">
        <f t="shared" si="5"/>
        <v>150020</v>
      </c>
      <c r="R25" s="1762">
        <f t="shared" si="5"/>
        <v>8049</v>
      </c>
      <c r="S25" s="1762">
        <f t="shared" si="5"/>
        <v>182299</v>
      </c>
      <c r="T25" s="1762">
        <f t="shared" si="5"/>
        <v>165017</v>
      </c>
      <c r="U25" s="1762">
        <f t="shared" si="5"/>
        <v>10010</v>
      </c>
      <c r="V25" s="1762">
        <f t="shared" si="5"/>
        <v>135366</v>
      </c>
      <c r="W25" s="1762">
        <f t="shared" si="5"/>
        <v>123677</v>
      </c>
      <c r="X25" s="1762">
        <f t="shared" si="5"/>
        <v>8479</v>
      </c>
      <c r="Y25" s="1762">
        <f t="shared" si="5"/>
        <v>184077</v>
      </c>
      <c r="Z25" s="1762">
        <f t="shared" si="5"/>
        <v>173190</v>
      </c>
      <c r="AA25" s="1762">
        <f t="shared" si="5"/>
        <v>10328</v>
      </c>
      <c r="AB25" s="1762">
        <f t="shared" si="5"/>
        <v>152616</v>
      </c>
      <c r="AC25" s="1757">
        <v>134769</v>
      </c>
      <c r="AD25" s="1757">
        <f t="shared" si="4"/>
        <v>17847</v>
      </c>
      <c r="AE25" s="1731"/>
      <c r="AH25" s="546">
        <v>600</v>
      </c>
      <c r="AL25" s="546">
        <v>82</v>
      </c>
      <c r="AN25" s="546">
        <v>1000</v>
      </c>
      <c r="AU25" s="1731"/>
      <c r="BE25" s="546">
        <v>202</v>
      </c>
      <c r="BF25" s="546">
        <f>BF18-BF21-BF23</f>
        <v>0</v>
      </c>
    </row>
    <row r="26" spans="1:58" s="546" customFormat="1" ht="15" x14ac:dyDescent="0.25">
      <c r="A26" s="1749" t="s">
        <v>711</v>
      </c>
      <c r="B26" s="1761" t="s">
        <v>3035</v>
      </c>
      <c r="C26" s="1762">
        <f t="shared" si="1"/>
        <v>18163</v>
      </c>
      <c r="D26" s="1762">
        <v>18340</v>
      </c>
      <c r="E26" s="1762">
        <f t="shared" si="2"/>
        <v>-257</v>
      </c>
      <c r="F26" s="1762">
        <f t="shared" si="3"/>
        <v>-177</v>
      </c>
      <c r="G26" s="1762">
        <v>684</v>
      </c>
      <c r="H26" s="1762">
        <v>684</v>
      </c>
      <c r="I26" s="1762">
        <v>0</v>
      </c>
      <c r="J26" s="1762">
        <v>2167</v>
      </c>
      <c r="K26" s="1762">
        <v>2165</v>
      </c>
      <c r="L26" s="1762">
        <v>-24</v>
      </c>
      <c r="M26" s="1762">
        <v>2291</v>
      </c>
      <c r="N26" s="1762">
        <v>2262</v>
      </c>
      <c r="O26" s="1762">
        <v>29</v>
      </c>
      <c r="P26" s="1752">
        <v>2589</v>
      </c>
      <c r="Q26" s="1762">
        <v>2887</v>
      </c>
      <c r="R26" s="1762">
        <v>-325</v>
      </c>
      <c r="S26" s="1762">
        <v>2373</v>
      </c>
      <c r="T26" s="1762">
        <v>2344</v>
      </c>
      <c r="U26" s="1762">
        <v>29</v>
      </c>
      <c r="V26" s="1762">
        <v>2105</v>
      </c>
      <c r="W26" s="1762">
        <v>2076</v>
      </c>
      <c r="X26" s="1762">
        <v>29</v>
      </c>
      <c r="Y26" s="1762">
        <v>3260</v>
      </c>
      <c r="Z26" s="1762">
        <v>3258</v>
      </c>
      <c r="AA26" s="1762">
        <v>-25</v>
      </c>
      <c r="AB26" s="1762">
        <v>2694</v>
      </c>
      <c r="AC26" s="1757">
        <v>2664</v>
      </c>
      <c r="AD26" s="1757">
        <f t="shared" si="4"/>
        <v>30</v>
      </c>
      <c r="AF26" s="1731"/>
      <c r="AL26" s="562">
        <v>8</v>
      </c>
      <c r="AN26" s="546">
        <v>300</v>
      </c>
    </row>
    <row r="27" spans="1:58" s="546" customFormat="1" ht="15" x14ac:dyDescent="0.25">
      <c r="A27" s="1754">
        <v>5</v>
      </c>
      <c r="B27" s="1755" t="s">
        <v>3036</v>
      </c>
      <c r="C27" s="1760">
        <f t="shared" si="1"/>
        <v>8606</v>
      </c>
      <c r="D27" s="1760">
        <v>8273</v>
      </c>
      <c r="E27" s="1760">
        <f t="shared" si="2"/>
        <v>520</v>
      </c>
      <c r="F27" s="1760">
        <f t="shared" si="3"/>
        <v>333</v>
      </c>
      <c r="G27" s="1760">
        <v>1038</v>
      </c>
      <c r="H27" s="1760">
        <v>948</v>
      </c>
      <c r="I27" s="1760">
        <v>90</v>
      </c>
      <c r="J27" s="1760">
        <v>877</v>
      </c>
      <c r="K27" s="1760">
        <v>789</v>
      </c>
      <c r="L27" s="1760">
        <v>88</v>
      </c>
      <c r="M27" s="1760">
        <f>1118-51</f>
        <v>1067</v>
      </c>
      <c r="N27" s="1760">
        <v>1029</v>
      </c>
      <c r="O27" s="1760">
        <v>89</v>
      </c>
      <c r="P27" s="1746">
        <v>1322</v>
      </c>
      <c r="Q27" s="1760">
        <v>1404</v>
      </c>
      <c r="R27" s="1760">
        <v>-82</v>
      </c>
      <c r="S27" s="1760">
        <f>1142-55</f>
        <v>1087</v>
      </c>
      <c r="T27" s="1760">
        <v>1043</v>
      </c>
      <c r="U27" s="1760">
        <v>99</v>
      </c>
      <c r="V27" s="1760">
        <v>678</v>
      </c>
      <c r="W27" s="1760">
        <v>603</v>
      </c>
      <c r="X27" s="1760">
        <v>75</v>
      </c>
      <c r="Y27" s="1756">
        <f>1595-81</f>
        <v>1514</v>
      </c>
      <c r="Z27" s="1760">
        <v>1500</v>
      </c>
      <c r="AA27" s="1760">
        <v>95</v>
      </c>
      <c r="AB27" s="1760">
        <f>1023</f>
        <v>1023</v>
      </c>
      <c r="AC27" s="1757">
        <v>957</v>
      </c>
      <c r="AD27" s="1757">
        <f t="shared" si="4"/>
        <v>66</v>
      </c>
      <c r="AH27" s="546">
        <f>14+100</f>
        <v>114</v>
      </c>
      <c r="AL27" s="562">
        <v>38</v>
      </c>
      <c r="AM27" s="546">
        <v>40</v>
      </c>
      <c r="AN27" s="546">
        <v>50</v>
      </c>
    </row>
    <row r="28" spans="1:58" s="546" customFormat="1" ht="15" x14ac:dyDescent="0.25">
      <c r="A28" s="1754">
        <v>6</v>
      </c>
      <c r="B28" s="1755" t="s">
        <v>3037</v>
      </c>
      <c r="C28" s="1760">
        <f t="shared" si="1"/>
        <v>1179</v>
      </c>
      <c r="D28" s="1760">
        <v>1229</v>
      </c>
      <c r="E28" s="1760">
        <f t="shared" si="2"/>
        <v>-50</v>
      </c>
      <c r="F28" s="1760">
        <f t="shared" si="3"/>
        <v>-50</v>
      </c>
      <c r="G28" s="1760">
        <v>131</v>
      </c>
      <c r="H28" s="1760">
        <v>131</v>
      </c>
      <c r="I28" s="1760">
        <v>0</v>
      </c>
      <c r="J28" s="1760">
        <v>165</v>
      </c>
      <c r="K28" s="1760">
        <v>165</v>
      </c>
      <c r="L28" s="1760">
        <v>0</v>
      </c>
      <c r="M28" s="1760">
        <v>113</v>
      </c>
      <c r="N28" s="1760">
        <v>113</v>
      </c>
      <c r="O28" s="1760">
        <v>0</v>
      </c>
      <c r="P28" s="1746">
        <v>105</v>
      </c>
      <c r="Q28" s="1760">
        <v>155</v>
      </c>
      <c r="R28" s="1760">
        <v>-50</v>
      </c>
      <c r="S28" s="1760">
        <v>210</v>
      </c>
      <c r="T28" s="1760">
        <v>210</v>
      </c>
      <c r="U28" s="1760">
        <v>0</v>
      </c>
      <c r="V28" s="1760">
        <v>105</v>
      </c>
      <c r="W28" s="1760">
        <v>105</v>
      </c>
      <c r="X28" s="1760">
        <v>0</v>
      </c>
      <c r="Y28" s="1756">
        <v>200</v>
      </c>
      <c r="Z28" s="1760">
        <v>200</v>
      </c>
      <c r="AA28" s="1760">
        <v>0</v>
      </c>
      <c r="AB28" s="1760">
        <v>150</v>
      </c>
      <c r="AC28" s="1757">
        <v>150</v>
      </c>
      <c r="AD28" s="1757">
        <f t="shared" si="4"/>
        <v>0</v>
      </c>
      <c r="AH28" s="546">
        <v>30</v>
      </c>
      <c r="AL28" s="562">
        <f>AL25-AL26-AL27</f>
        <v>36</v>
      </c>
      <c r="AM28" s="546">
        <v>7</v>
      </c>
      <c r="AN28" s="546">
        <v>20</v>
      </c>
    </row>
    <row r="29" spans="1:58" s="546" customFormat="1" ht="15" x14ac:dyDescent="0.25">
      <c r="A29" s="1754">
        <v>7</v>
      </c>
      <c r="B29" s="1755" t="s">
        <v>3038</v>
      </c>
      <c r="C29" s="1760">
        <f t="shared" si="1"/>
        <v>10540</v>
      </c>
      <c r="D29" s="1760">
        <v>10791</v>
      </c>
      <c r="E29" s="1760">
        <f t="shared" si="2"/>
        <v>-210</v>
      </c>
      <c r="F29" s="1760">
        <f t="shared" si="3"/>
        <v>-251</v>
      </c>
      <c r="G29" s="1760">
        <v>1010</v>
      </c>
      <c r="H29" s="1760">
        <v>1010</v>
      </c>
      <c r="I29" s="1760">
        <v>0</v>
      </c>
      <c r="J29" s="1760">
        <v>1231</v>
      </c>
      <c r="K29" s="1760">
        <v>1231</v>
      </c>
      <c r="L29" s="1760">
        <v>0</v>
      </c>
      <c r="M29" s="1760">
        <f>1157-41</f>
        <v>1116</v>
      </c>
      <c r="N29" s="1760">
        <v>1157</v>
      </c>
      <c r="O29" s="1760">
        <v>0</v>
      </c>
      <c r="P29" s="1746">
        <v>1469</v>
      </c>
      <c r="Q29" s="1760">
        <v>1619</v>
      </c>
      <c r="R29" s="1760">
        <v>-150</v>
      </c>
      <c r="S29" s="1760">
        <v>1456</v>
      </c>
      <c r="T29" s="1760">
        <v>1456</v>
      </c>
      <c r="U29" s="1760">
        <v>0</v>
      </c>
      <c r="V29" s="1760">
        <v>1652</v>
      </c>
      <c r="W29" s="1760">
        <v>1652</v>
      </c>
      <c r="X29" s="1760">
        <v>0</v>
      </c>
      <c r="Y29" s="1756">
        <v>1603</v>
      </c>
      <c r="Z29" s="1760">
        <v>1603</v>
      </c>
      <c r="AA29" s="1760">
        <v>0</v>
      </c>
      <c r="AB29" s="1760">
        <f>1063-60</f>
        <v>1003</v>
      </c>
      <c r="AC29" s="1757">
        <v>1063</v>
      </c>
      <c r="AD29" s="1757">
        <f t="shared" si="4"/>
        <v>-60</v>
      </c>
      <c r="AH29" s="546">
        <v>100</v>
      </c>
      <c r="AM29" s="546">
        <v>30</v>
      </c>
      <c r="AN29" s="546">
        <v>50</v>
      </c>
    </row>
    <row r="30" spans="1:58" s="546" customFormat="1" ht="15" x14ac:dyDescent="0.25">
      <c r="A30" s="1754">
        <v>8</v>
      </c>
      <c r="B30" s="1755" t="s">
        <v>3039</v>
      </c>
      <c r="C30" s="1760">
        <f t="shared" si="1"/>
        <v>84269</v>
      </c>
      <c r="D30" s="1760">
        <v>99476</v>
      </c>
      <c r="E30" s="1760">
        <f t="shared" si="2"/>
        <v>-2702</v>
      </c>
      <c r="F30" s="1760">
        <f t="shared" si="3"/>
        <v>-15207</v>
      </c>
      <c r="G30" s="1760">
        <v>9236</v>
      </c>
      <c r="H30" s="1760">
        <v>9583</v>
      </c>
      <c r="I30" s="1760">
        <v>666</v>
      </c>
      <c r="J30" s="1760">
        <v>9478</v>
      </c>
      <c r="K30" s="1760">
        <v>11178</v>
      </c>
      <c r="L30" s="1760">
        <v>-212</v>
      </c>
      <c r="M30" s="1760">
        <v>11878</v>
      </c>
      <c r="N30" s="1760">
        <v>12428</v>
      </c>
      <c r="O30" s="1760">
        <v>289</v>
      </c>
      <c r="P30" s="1746">
        <v>13980</v>
      </c>
      <c r="Q30" s="1760">
        <v>17325</v>
      </c>
      <c r="R30" s="1760">
        <v>-1984</v>
      </c>
      <c r="S30" s="1760">
        <v>12309</v>
      </c>
      <c r="T30" s="1760">
        <v>15949</v>
      </c>
      <c r="U30" s="1760">
        <v>58</v>
      </c>
      <c r="V30" s="1760">
        <v>8339</v>
      </c>
      <c r="W30" s="1760">
        <v>10551</v>
      </c>
      <c r="X30" s="1760">
        <v>-280</v>
      </c>
      <c r="Y30" s="1756">
        <v>11574</v>
      </c>
      <c r="Z30" s="1760">
        <v>13046</v>
      </c>
      <c r="AA30" s="1760">
        <v>702</v>
      </c>
      <c r="AB30" s="1760">
        <v>7475</v>
      </c>
      <c r="AC30" s="1757">
        <v>9416</v>
      </c>
      <c r="AD30" s="1757">
        <f t="shared" si="4"/>
        <v>-1941</v>
      </c>
      <c r="AH30" s="546">
        <v>500</v>
      </c>
      <c r="AN30" s="546">
        <v>300</v>
      </c>
    </row>
    <row r="31" spans="1:58" s="546" customFormat="1" ht="15" x14ac:dyDescent="0.25">
      <c r="A31" s="1754">
        <v>9</v>
      </c>
      <c r="B31" s="1755" t="s">
        <v>3040</v>
      </c>
      <c r="C31" s="1760">
        <f t="shared" si="1"/>
        <v>6262</v>
      </c>
      <c r="D31" s="1760">
        <v>7271</v>
      </c>
      <c r="E31" s="1760">
        <f t="shared" si="2"/>
        <v>-449</v>
      </c>
      <c r="F31" s="1760">
        <f t="shared" si="3"/>
        <v>-1009</v>
      </c>
      <c r="G31" s="1760">
        <v>822</v>
      </c>
      <c r="H31" s="1760">
        <v>902</v>
      </c>
      <c r="I31" s="1760">
        <v>10</v>
      </c>
      <c r="J31" s="1760">
        <v>707</v>
      </c>
      <c r="K31" s="1760">
        <v>777</v>
      </c>
      <c r="L31" s="1760">
        <v>20</v>
      </c>
      <c r="M31" s="1760">
        <v>727</v>
      </c>
      <c r="N31" s="1760">
        <v>797</v>
      </c>
      <c r="O31" s="1760">
        <v>0</v>
      </c>
      <c r="P31" s="1746">
        <v>958</v>
      </c>
      <c r="Q31" s="1760">
        <v>1477</v>
      </c>
      <c r="R31" s="1760">
        <v>-429</v>
      </c>
      <c r="S31" s="1760">
        <v>925</v>
      </c>
      <c r="T31" s="1760">
        <v>995</v>
      </c>
      <c r="U31" s="1760">
        <v>0</v>
      </c>
      <c r="V31" s="1760">
        <v>688</v>
      </c>
      <c r="W31" s="1760">
        <v>758</v>
      </c>
      <c r="X31" s="1760">
        <v>0</v>
      </c>
      <c r="Y31" s="1756">
        <v>821</v>
      </c>
      <c r="Z31" s="1760">
        <v>891</v>
      </c>
      <c r="AA31" s="1760">
        <v>10</v>
      </c>
      <c r="AB31" s="1760">
        <v>614</v>
      </c>
      <c r="AC31" s="1757">
        <v>674</v>
      </c>
      <c r="AD31" s="1757">
        <f t="shared" si="4"/>
        <v>-60</v>
      </c>
      <c r="AH31" s="546">
        <v>200</v>
      </c>
      <c r="AN31" s="546">
        <f>39+200</f>
        <v>239</v>
      </c>
    </row>
    <row r="32" spans="1:58" s="546" customFormat="1" ht="15" x14ac:dyDescent="0.25">
      <c r="A32" s="1754">
        <v>10</v>
      </c>
      <c r="B32" s="1755" t="s">
        <v>947</v>
      </c>
      <c r="C32" s="1760">
        <f t="shared" si="1"/>
        <v>55959</v>
      </c>
      <c r="D32" s="1760">
        <v>45871</v>
      </c>
      <c r="E32" s="1760">
        <f t="shared" si="2"/>
        <v>10088</v>
      </c>
      <c r="F32" s="1760">
        <f t="shared" si="3"/>
        <v>10088</v>
      </c>
      <c r="G32" s="1760">
        <v>5829</v>
      </c>
      <c r="H32" s="1760">
        <v>4860</v>
      </c>
      <c r="I32" s="1760">
        <v>969</v>
      </c>
      <c r="J32" s="1760">
        <v>6470</v>
      </c>
      <c r="K32" s="1760">
        <v>5086</v>
      </c>
      <c r="L32" s="1760">
        <v>1384</v>
      </c>
      <c r="M32" s="1760">
        <v>7109</v>
      </c>
      <c r="N32" s="1760">
        <v>5590</v>
      </c>
      <c r="O32" s="1760">
        <v>1519</v>
      </c>
      <c r="P32" s="1746">
        <v>9213</v>
      </c>
      <c r="Q32" s="1760">
        <v>8045</v>
      </c>
      <c r="R32" s="1760">
        <v>1168</v>
      </c>
      <c r="S32" s="1760">
        <v>9397</v>
      </c>
      <c r="T32" s="1760">
        <v>7494</v>
      </c>
      <c r="U32" s="1760">
        <v>1903</v>
      </c>
      <c r="V32" s="1760">
        <v>5204</v>
      </c>
      <c r="W32" s="1760">
        <v>4293</v>
      </c>
      <c r="X32" s="1760">
        <v>911</v>
      </c>
      <c r="Y32" s="1756">
        <v>8051</v>
      </c>
      <c r="Z32" s="1760">
        <v>6654</v>
      </c>
      <c r="AA32" s="1760">
        <v>1397</v>
      </c>
      <c r="AB32" s="1760">
        <v>4686</v>
      </c>
      <c r="AC32" s="1757">
        <v>3849</v>
      </c>
      <c r="AD32" s="1757">
        <f t="shared" si="4"/>
        <v>837</v>
      </c>
      <c r="AH32" s="546">
        <v>500</v>
      </c>
      <c r="AN32" s="546">
        <v>200</v>
      </c>
    </row>
    <row r="33" spans="1:54" s="546" customFormat="1" ht="15" x14ac:dyDescent="0.25">
      <c r="A33" s="1754">
        <v>11</v>
      </c>
      <c r="B33" s="1755" t="s">
        <v>3041</v>
      </c>
      <c r="C33" s="1760">
        <f t="shared" si="1"/>
        <v>8763</v>
      </c>
      <c r="D33" s="1760">
        <v>8663</v>
      </c>
      <c r="E33" s="1760">
        <f t="shared" si="2"/>
        <v>0</v>
      </c>
      <c r="F33" s="1760">
        <f t="shared" si="3"/>
        <v>100</v>
      </c>
      <c r="G33" s="1760">
        <v>850</v>
      </c>
      <c r="H33" s="1760">
        <v>850</v>
      </c>
      <c r="I33" s="1760">
        <v>0</v>
      </c>
      <c r="J33" s="1760">
        <v>860</v>
      </c>
      <c r="K33" s="1760">
        <v>860</v>
      </c>
      <c r="L33" s="1760">
        <v>0</v>
      </c>
      <c r="M33" s="1760">
        <v>980</v>
      </c>
      <c r="N33" s="1760">
        <v>980</v>
      </c>
      <c r="O33" s="1760">
        <v>0</v>
      </c>
      <c r="P33" s="1746">
        <f>1330+100</f>
        <v>1430</v>
      </c>
      <c r="Q33" s="1760">
        <v>1330</v>
      </c>
      <c r="R33" s="1760">
        <v>0</v>
      </c>
      <c r="S33" s="1760">
        <v>1332</v>
      </c>
      <c r="T33" s="1760">
        <v>1332</v>
      </c>
      <c r="U33" s="1760">
        <v>0</v>
      </c>
      <c r="V33" s="1760">
        <v>894</v>
      </c>
      <c r="W33" s="1760">
        <v>894</v>
      </c>
      <c r="X33" s="1760">
        <v>0</v>
      </c>
      <c r="Y33" s="1756">
        <v>1410</v>
      </c>
      <c r="Z33" s="1760">
        <v>1410</v>
      </c>
      <c r="AA33" s="1760">
        <v>0</v>
      </c>
      <c r="AB33" s="1760">
        <v>1007</v>
      </c>
      <c r="AC33" s="1757">
        <v>1007</v>
      </c>
      <c r="AD33" s="1757">
        <f t="shared" si="4"/>
        <v>0</v>
      </c>
      <c r="AH33" s="1742">
        <f>SUM(AH21:AH32)</f>
        <v>7044</v>
      </c>
      <c r="BB33" s="546">
        <v>100</v>
      </c>
    </row>
    <row r="34" spans="1:54" s="562" customFormat="1" ht="15" x14ac:dyDescent="0.25">
      <c r="A34" s="1737" t="s">
        <v>872</v>
      </c>
      <c r="B34" s="1738" t="s">
        <v>3042</v>
      </c>
      <c r="C34" s="1740">
        <f>C35+C36</f>
        <v>48929</v>
      </c>
      <c r="D34" s="1740">
        <v>45343</v>
      </c>
      <c r="E34" s="1740"/>
      <c r="F34" s="1760"/>
      <c r="G34" s="1740">
        <f>G35+G36</f>
        <v>6152</v>
      </c>
      <c r="H34" s="1740">
        <v>5282</v>
      </c>
      <c r="I34" s="1740"/>
      <c r="J34" s="1740">
        <f>J35+J36</f>
        <v>4981</v>
      </c>
      <c r="K34" s="1740">
        <v>4579</v>
      </c>
      <c r="L34" s="1740"/>
      <c r="M34" s="1740">
        <f>M35+M36</f>
        <v>5210</v>
      </c>
      <c r="N34" s="1740">
        <v>4857</v>
      </c>
      <c r="O34" s="1740"/>
      <c r="P34" s="1741">
        <f>P35+P36</f>
        <v>7445</v>
      </c>
      <c r="Q34" s="1740">
        <v>6976</v>
      </c>
      <c r="R34" s="1740"/>
      <c r="S34" s="1740">
        <f>S35+S36</f>
        <v>7408</v>
      </c>
      <c r="T34" s="1740">
        <v>6851</v>
      </c>
      <c r="U34" s="1740"/>
      <c r="V34" s="1740">
        <f>V35+V36</f>
        <v>5189</v>
      </c>
      <c r="W34" s="1740">
        <v>4747</v>
      </c>
      <c r="X34" s="1740"/>
      <c r="Y34" s="1740">
        <f>Y35+Y36</f>
        <v>7078</v>
      </c>
      <c r="Z34" s="1740">
        <v>7020</v>
      </c>
      <c r="AA34" s="1740"/>
      <c r="AB34" s="1740">
        <f>AB35+AB36</f>
        <v>5466</v>
      </c>
      <c r="AC34" s="1742">
        <v>5031</v>
      </c>
      <c r="AD34" s="1742"/>
      <c r="AP34" s="546"/>
      <c r="AQ34" s="546"/>
      <c r="AR34" s="546"/>
      <c r="AS34" s="546"/>
    </row>
    <row r="35" spans="1:54" s="562" customFormat="1" ht="15" x14ac:dyDescent="0.25">
      <c r="A35" s="1754">
        <v>1</v>
      </c>
      <c r="B35" s="1763" t="s">
        <v>3043</v>
      </c>
      <c r="C35" s="1760">
        <f>G35+J35+M35+P35+S35+V35+Y35+AB35</f>
        <v>45139</v>
      </c>
      <c r="D35" s="1760">
        <v>41553</v>
      </c>
      <c r="E35" s="1760"/>
      <c r="F35" s="1760"/>
      <c r="G35" s="1760">
        <v>5780</v>
      </c>
      <c r="H35" s="1760">
        <v>4910</v>
      </c>
      <c r="I35" s="1760"/>
      <c r="J35" s="1760">
        <v>4559</v>
      </c>
      <c r="K35" s="1760">
        <v>4157</v>
      </c>
      <c r="L35" s="1760"/>
      <c r="M35" s="1760">
        <v>4770</v>
      </c>
      <c r="N35" s="1760">
        <v>4417</v>
      </c>
      <c r="O35" s="1760"/>
      <c r="P35" s="1746">
        <v>6791</v>
      </c>
      <c r="Q35" s="1760">
        <v>6322</v>
      </c>
      <c r="R35" s="1760"/>
      <c r="S35" s="1760">
        <v>6842</v>
      </c>
      <c r="T35" s="1760">
        <v>6285</v>
      </c>
      <c r="U35" s="1760"/>
      <c r="V35" s="1760">
        <v>4813</v>
      </c>
      <c r="W35" s="1760">
        <v>4371</v>
      </c>
      <c r="X35" s="1760"/>
      <c r="Y35" s="1760">
        <v>6528</v>
      </c>
      <c r="Z35" s="1760">
        <v>6470</v>
      </c>
      <c r="AA35" s="1760"/>
      <c r="AB35" s="1760">
        <v>5056</v>
      </c>
      <c r="AC35" s="1757">
        <v>4621</v>
      </c>
      <c r="AD35" s="1757"/>
      <c r="AN35" s="562">
        <v>371</v>
      </c>
      <c r="AP35" s="546"/>
      <c r="AQ35" s="546"/>
      <c r="AR35" s="546"/>
      <c r="AS35" s="546"/>
    </row>
    <row r="36" spans="1:54" s="562" customFormat="1" ht="30" x14ac:dyDescent="0.25">
      <c r="A36" s="1754">
        <v>2</v>
      </c>
      <c r="B36" s="1763" t="s">
        <v>3044</v>
      </c>
      <c r="C36" s="1760">
        <f t="shared" si="1"/>
        <v>3790</v>
      </c>
      <c r="D36" s="1760">
        <v>3790</v>
      </c>
      <c r="E36" s="1760"/>
      <c r="F36" s="1760"/>
      <c r="G36" s="1760">
        <v>372</v>
      </c>
      <c r="H36" s="1760">
        <v>372</v>
      </c>
      <c r="I36" s="1760"/>
      <c r="J36" s="1760">
        <v>422</v>
      </c>
      <c r="K36" s="1760">
        <v>422</v>
      </c>
      <c r="L36" s="1760"/>
      <c r="M36" s="1760">
        <v>440</v>
      </c>
      <c r="N36" s="1760">
        <v>440</v>
      </c>
      <c r="O36" s="1760"/>
      <c r="P36" s="1746">
        <v>654</v>
      </c>
      <c r="Q36" s="1760">
        <v>654</v>
      </c>
      <c r="R36" s="1760"/>
      <c r="S36" s="1760">
        <v>566</v>
      </c>
      <c r="T36" s="1760">
        <v>566</v>
      </c>
      <c r="U36" s="1760"/>
      <c r="V36" s="1760">
        <v>376</v>
      </c>
      <c r="W36" s="1760">
        <v>376</v>
      </c>
      <c r="X36" s="1760"/>
      <c r="Y36" s="1760">
        <v>550</v>
      </c>
      <c r="Z36" s="1760">
        <v>550</v>
      </c>
      <c r="AA36" s="1760"/>
      <c r="AB36" s="1760">
        <v>410</v>
      </c>
      <c r="AC36" s="1757">
        <v>410</v>
      </c>
      <c r="AD36" s="1757"/>
      <c r="AF36" s="1763"/>
    </row>
    <row r="37" spans="1:54" s="562" customFormat="1" ht="15" x14ac:dyDescent="0.2">
      <c r="A37" s="1737" t="s">
        <v>904</v>
      </c>
      <c r="B37" s="1738" t="s">
        <v>3045</v>
      </c>
      <c r="C37" s="1740">
        <f>C39+C38</f>
        <v>25954.5</v>
      </c>
      <c r="D37" s="1740">
        <v>33499</v>
      </c>
      <c r="E37" s="1740"/>
      <c r="F37" s="1760"/>
      <c r="G37" s="1740">
        <f>G39+G38</f>
        <v>1862</v>
      </c>
      <c r="H37" s="1740">
        <v>1862</v>
      </c>
      <c r="I37" s="1740"/>
      <c r="J37" s="1740">
        <f>J39+J38</f>
        <v>2107</v>
      </c>
      <c r="K37" s="1740">
        <v>2107</v>
      </c>
      <c r="L37" s="1740"/>
      <c r="M37" s="1740">
        <f>M39+M38</f>
        <v>2203</v>
      </c>
      <c r="N37" s="1740">
        <v>2203</v>
      </c>
      <c r="O37" s="1740"/>
      <c r="P37" s="1741">
        <f>P39+P38</f>
        <v>7644</v>
      </c>
      <c r="Q37" s="1740">
        <v>16289</v>
      </c>
      <c r="R37" s="1740"/>
      <c r="S37" s="1740">
        <f>S39+S38</f>
        <v>3364</v>
      </c>
      <c r="T37" s="1740">
        <v>3259</v>
      </c>
      <c r="U37" s="1740"/>
      <c r="V37" s="1740">
        <f>V39+V38</f>
        <v>3310.5</v>
      </c>
      <c r="W37" s="1740">
        <v>2980</v>
      </c>
      <c r="X37" s="1740"/>
      <c r="Y37" s="1740">
        <f>Y39+Y38</f>
        <v>2747</v>
      </c>
      <c r="Z37" s="1740">
        <v>2747</v>
      </c>
      <c r="AA37" s="1740"/>
      <c r="AB37" s="1740">
        <f>AB39+AB38</f>
        <v>2717</v>
      </c>
      <c r="AC37" s="1742">
        <v>2052</v>
      </c>
      <c r="AD37" s="1742"/>
      <c r="AF37" s="1763"/>
    </row>
    <row r="38" spans="1:54" s="562" customFormat="1" ht="15" x14ac:dyDescent="0.25">
      <c r="A38" s="1764">
        <v>1</v>
      </c>
      <c r="B38" s="1765" t="s">
        <v>3046</v>
      </c>
      <c r="C38" s="1760">
        <f t="shared" si="1"/>
        <v>18945</v>
      </c>
      <c r="D38" s="1766">
        <v>18945</v>
      </c>
      <c r="E38" s="1766"/>
      <c r="F38" s="1760"/>
      <c r="G38" s="1766">
        <f>1862</f>
        <v>1862</v>
      </c>
      <c r="H38" s="1766">
        <v>1862</v>
      </c>
      <c r="I38" s="1766"/>
      <c r="J38" s="1766">
        <f>2107</f>
        <v>2107</v>
      </c>
      <c r="K38" s="1766">
        <v>2107</v>
      </c>
      <c r="L38" s="1766"/>
      <c r="M38" s="1766">
        <f>2203</f>
        <v>2203</v>
      </c>
      <c r="N38" s="1766">
        <v>2203</v>
      </c>
      <c r="O38" s="1766"/>
      <c r="P38" s="1767">
        <f>2875+390</f>
        <v>3265</v>
      </c>
      <c r="Q38" s="1766">
        <v>3265</v>
      </c>
      <c r="R38" s="1766"/>
      <c r="S38" s="1766">
        <f>2828</f>
        <v>2828</v>
      </c>
      <c r="T38" s="1766">
        <v>2828</v>
      </c>
      <c r="U38" s="1766"/>
      <c r="V38" s="1766">
        <f>1881</f>
        <v>1881</v>
      </c>
      <c r="W38" s="1766">
        <v>1881</v>
      </c>
      <c r="X38" s="1766"/>
      <c r="Y38" s="1766">
        <f>2747</f>
        <v>2747</v>
      </c>
      <c r="Z38" s="1766">
        <v>2747</v>
      </c>
      <c r="AA38" s="1766"/>
      <c r="AB38" s="1766">
        <f>2052</f>
        <v>2052</v>
      </c>
      <c r="AC38" s="1768">
        <v>2052</v>
      </c>
      <c r="AD38" s="1768"/>
      <c r="AE38" s="1743" t="e">
        <f>C38+#REF!</f>
        <v>#REF!</v>
      </c>
    </row>
    <row r="39" spans="1:54" s="546" customFormat="1" ht="15" x14ac:dyDescent="0.25">
      <c r="A39" s="1769">
        <v>2</v>
      </c>
      <c r="B39" s="1770" t="s">
        <v>3047</v>
      </c>
      <c r="C39" s="1771">
        <f>P39+S39+V39+Y39+AB39</f>
        <v>7009.5</v>
      </c>
      <c r="D39" s="1771">
        <v>14554</v>
      </c>
      <c r="E39" s="1771"/>
      <c r="F39" s="1760"/>
      <c r="G39" s="1771"/>
      <c r="H39" s="1771"/>
      <c r="I39" s="1771"/>
      <c r="J39" s="1771"/>
      <c r="K39" s="1771"/>
      <c r="L39" s="1771"/>
      <c r="M39" s="1771"/>
      <c r="N39" s="1771"/>
      <c r="O39" s="1771"/>
      <c r="P39" s="1772">
        <v>4379</v>
      </c>
      <c r="Q39" s="1771">
        <v>13024</v>
      </c>
      <c r="R39" s="1771"/>
      <c r="S39" s="1771">
        <v>536</v>
      </c>
      <c r="T39" s="1771">
        <v>431</v>
      </c>
      <c r="U39" s="1771"/>
      <c r="V39" s="1771">
        <v>1429.5</v>
      </c>
      <c r="W39" s="1771">
        <v>1099</v>
      </c>
      <c r="X39" s="1771"/>
      <c r="Y39" s="1771"/>
      <c r="Z39" s="1771">
        <v>0</v>
      </c>
      <c r="AA39" s="1771"/>
      <c r="AB39" s="1771">
        <v>665</v>
      </c>
      <c r="AC39" s="1773">
        <v>0</v>
      </c>
      <c r="AD39" s="1773"/>
      <c r="AE39" s="1743">
        <v>34970</v>
      </c>
    </row>
    <row r="40" spans="1:54" s="546" customFormat="1" ht="15" x14ac:dyDescent="0.25">
      <c r="A40" s="1730"/>
      <c r="B40" s="731" t="s">
        <v>3048</v>
      </c>
      <c r="C40" s="1774">
        <f>(C7+C10+C12)*2%+1+1</f>
        <v>45154.4666</v>
      </c>
      <c r="D40" s="1774">
        <f t="shared" ref="D40:AA40" si="6">(D7+D10+D12)*2%</f>
        <v>35691.78</v>
      </c>
      <c r="E40" s="1774">
        <f t="shared" si="6"/>
        <v>0</v>
      </c>
      <c r="F40" s="1774">
        <f t="shared" si="6"/>
        <v>0</v>
      </c>
      <c r="G40" s="1774">
        <f t="shared" si="6"/>
        <v>5781.0013024521541</v>
      </c>
      <c r="H40" s="1774">
        <f t="shared" si="6"/>
        <v>2853.3</v>
      </c>
      <c r="I40" s="1774">
        <f t="shared" si="6"/>
        <v>0</v>
      </c>
      <c r="J40" s="1774">
        <f>(J7+J10+J12)*2%</f>
        <v>4591.684207231101</v>
      </c>
      <c r="K40" s="1774">
        <f t="shared" si="6"/>
        <v>3975.6600000000003</v>
      </c>
      <c r="L40" s="1774">
        <f t="shared" si="6"/>
        <v>0</v>
      </c>
      <c r="M40" s="1774">
        <f t="shared" si="6"/>
        <v>4802.7154294975844</v>
      </c>
      <c r="N40" s="1774">
        <f t="shared" si="6"/>
        <v>4153.5200000000004</v>
      </c>
      <c r="O40" s="1774">
        <f t="shared" si="6"/>
        <v>0</v>
      </c>
      <c r="P40" s="1775">
        <f t="shared" si="6"/>
        <v>6777.3635354008038</v>
      </c>
      <c r="Q40" s="1774">
        <f t="shared" si="6"/>
        <v>3931.44</v>
      </c>
      <c r="R40" s="1774">
        <f t="shared" si="6"/>
        <v>0</v>
      </c>
      <c r="S40" s="1774">
        <f t="shared" si="6"/>
        <v>6832.0239809152836</v>
      </c>
      <c r="T40" s="1774">
        <f t="shared" si="6"/>
        <v>6149.66</v>
      </c>
      <c r="U40" s="1774">
        <f t="shared" si="6"/>
        <v>0</v>
      </c>
      <c r="V40" s="1774">
        <f t="shared" si="6"/>
        <v>4803.7171062216639</v>
      </c>
      <c r="W40" s="1774">
        <f t="shared" si="6"/>
        <v>4199.84</v>
      </c>
      <c r="X40" s="1774">
        <f t="shared" si="6"/>
        <v>0</v>
      </c>
      <c r="Y40" s="1774">
        <f t="shared" si="6"/>
        <v>6518.5827152816546</v>
      </c>
      <c r="Z40" s="1774">
        <f t="shared" si="6"/>
        <v>5881.76</v>
      </c>
      <c r="AA40" s="1774">
        <f t="shared" si="6"/>
        <v>0</v>
      </c>
      <c r="AB40" s="1774">
        <f>(AB7+AB10+AB12)*2%+1</f>
        <v>5046.3783229997562</v>
      </c>
      <c r="AC40" s="1731"/>
      <c r="AD40" s="1731"/>
      <c r="AE40" s="1743"/>
      <c r="AQ40" s="1731"/>
    </row>
    <row r="41" spans="1:54" s="546" customFormat="1" ht="15" x14ac:dyDescent="0.25">
      <c r="A41" s="1730"/>
      <c r="B41" s="731" t="s">
        <v>3049</v>
      </c>
      <c r="C41" s="1774">
        <f>45139-45047</f>
        <v>92</v>
      </c>
      <c r="D41" s="1774"/>
      <c r="E41" s="1774"/>
      <c r="F41" s="1774"/>
      <c r="G41" s="1774">
        <f>5780-5783</f>
        <v>-3</v>
      </c>
      <c r="H41" s="1774"/>
      <c r="I41" s="1774"/>
      <c r="J41" s="1774">
        <f>4559-4487</f>
        <v>72</v>
      </c>
      <c r="K41" s="1774"/>
      <c r="L41" s="1774"/>
      <c r="M41" s="1774">
        <f>4770-4665</f>
        <v>105</v>
      </c>
      <c r="N41" s="1774"/>
      <c r="O41" s="1774"/>
      <c r="P41" s="1775">
        <f>6791-6681</f>
        <v>110</v>
      </c>
      <c r="Q41" s="1774"/>
      <c r="R41" s="1774"/>
      <c r="S41" s="1774">
        <f>6842-6815</f>
        <v>27</v>
      </c>
      <c r="T41" s="1774"/>
      <c r="U41" s="1774"/>
      <c r="V41" s="1774">
        <f>4813-4818</f>
        <v>-5</v>
      </c>
      <c r="W41" s="1774"/>
      <c r="X41" s="1774"/>
      <c r="Y41" s="1774">
        <f>6528-6763</f>
        <v>-235</v>
      </c>
      <c r="Z41" s="1774"/>
      <c r="AA41" s="1774"/>
      <c r="AB41" s="1774">
        <f>5056-5034</f>
        <v>22</v>
      </c>
      <c r="AC41" s="1731"/>
      <c r="AD41" s="1731"/>
      <c r="AE41" s="1743"/>
    </row>
    <row r="42" spans="1:54" x14ac:dyDescent="0.25">
      <c r="A42" s="1730"/>
      <c r="B42" s="1176" t="s">
        <v>3050</v>
      </c>
      <c r="C42" s="1776">
        <f>C6-C14</f>
        <v>0</v>
      </c>
      <c r="D42" s="1776">
        <f t="shared" ref="D42:AB42" si="7">D6-D14</f>
        <v>28388</v>
      </c>
      <c r="E42" s="1776">
        <f t="shared" si="7"/>
        <v>-184239.17810000002</v>
      </c>
      <c r="F42" s="1776">
        <f t="shared" si="7"/>
        <v>-151356</v>
      </c>
      <c r="G42" s="1776">
        <f t="shared" si="7"/>
        <v>0</v>
      </c>
      <c r="H42" s="1776">
        <f t="shared" si="7"/>
        <v>29220</v>
      </c>
      <c r="I42" s="1776">
        <f t="shared" si="7"/>
        <v>-15889.178100000005</v>
      </c>
      <c r="J42" s="1776">
        <f t="shared" si="7"/>
        <v>0</v>
      </c>
      <c r="K42" s="1776">
        <f t="shared" si="7"/>
        <v>433</v>
      </c>
      <c r="L42" s="1776">
        <f t="shared" si="7"/>
        <v>-22303</v>
      </c>
      <c r="M42" s="1776">
        <f t="shared" si="7"/>
        <v>0</v>
      </c>
      <c r="N42" s="1776">
        <f t="shared" si="7"/>
        <v>836</v>
      </c>
      <c r="O42" s="1776">
        <f t="shared" si="7"/>
        <v>-19515</v>
      </c>
      <c r="P42" s="1777">
        <f t="shared" si="7"/>
        <v>0</v>
      </c>
      <c r="Q42" s="1776">
        <f t="shared" si="7"/>
        <v>-6400</v>
      </c>
      <c r="R42" s="1776">
        <f t="shared" si="7"/>
        <v>-16369</v>
      </c>
      <c r="S42" s="1776">
        <f t="shared" si="7"/>
        <v>0</v>
      </c>
      <c r="T42" s="1776">
        <f t="shared" si="7"/>
        <v>429</v>
      </c>
      <c r="U42" s="1776">
        <f t="shared" si="7"/>
        <v>-29184</v>
      </c>
      <c r="V42" s="1776">
        <f t="shared" si="7"/>
        <v>0</v>
      </c>
      <c r="W42" s="1776">
        <f t="shared" si="7"/>
        <v>1290</v>
      </c>
      <c r="X42" s="1776">
        <f t="shared" si="7"/>
        <v>-29627</v>
      </c>
      <c r="Y42" s="1776">
        <f t="shared" si="7"/>
        <v>0</v>
      </c>
      <c r="Z42" s="1776">
        <f t="shared" si="7"/>
        <v>2390</v>
      </c>
      <c r="AA42" s="1776">
        <f t="shared" si="7"/>
        <v>-23947</v>
      </c>
      <c r="AB42" s="1776">
        <f t="shared" si="7"/>
        <v>0</v>
      </c>
      <c r="AC42" s="1731"/>
      <c r="AD42" s="1731"/>
      <c r="AE42" s="1731" t="e">
        <f>AE39-AE38</f>
        <v>#REF!</v>
      </c>
      <c r="AF42" s="546"/>
      <c r="AG42" s="546"/>
      <c r="AH42" s="546"/>
      <c r="AI42" s="546"/>
      <c r="AJ42" s="546"/>
      <c r="AK42" s="546"/>
      <c r="AL42" s="546"/>
      <c r="AM42" s="546"/>
      <c r="AN42" s="546"/>
    </row>
    <row r="43" spans="1:54" x14ac:dyDescent="0.25">
      <c r="A43" s="1730"/>
      <c r="B43" s="546"/>
      <c r="C43" s="1742">
        <f>(C10+C12+C7)*2%</f>
        <v>45152.4666</v>
      </c>
      <c r="D43" s="1742"/>
      <c r="E43" s="1742"/>
      <c r="F43" s="1742"/>
      <c r="G43" s="1742">
        <f>(G10+G12+G7)*2%</f>
        <v>5781.0013024521541</v>
      </c>
      <c r="H43" s="1742"/>
      <c r="I43" s="1742"/>
      <c r="J43" s="1742">
        <f>(J10+J12+J7)*2%</f>
        <v>4591.684207231101</v>
      </c>
      <c r="K43" s="1742"/>
      <c r="L43" s="1742"/>
      <c r="M43" s="1742">
        <f>(M10+M12+M7)*2%</f>
        <v>4802.7154294975844</v>
      </c>
      <c r="N43" s="1742"/>
      <c r="O43" s="1742"/>
      <c r="P43" s="1778">
        <f>(P10+P12+P7)*2%</f>
        <v>6777.3635354008038</v>
      </c>
      <c r="Q43" s="1742"/>
      <c r="R43" s="1742"/>
      <c r="S43" s="1742">
        <f>(S10+S12+S7)*2%</f>
        <v>6832.0239809152836</v>
      </c>
      <c r="T43" s="1742"/>
      <c r="U43" s="1742"/>
      <c r="V43" s="1742">
        <f>(V10+V12+V7)*2%</f>
        <v>4803.7171062216639</v>
      </c>
      <c r="W43" s="1742"/>
      <c r="X43" s="1742"/>
      <c r="Y43" s="1742">
        <f>(Y10+Y12+Y7)*2%</f>
        <v>6518.5827152816546</v>
      </c>
      <c r="Z43" s="1742"/>
      <c r="AA43" s="1742"/>
      <c r="AB43" s="1742">
        <f>(AB10+AB12+AB7)*2%</f>
        <v>5045.3783229997562</v>
      </c>
      <c r="AC43" s="1742"/>
      <c r="AD43" s="1742"/>
      <c r="AE43" s="1731"/>
      <c r="AF43" s="546"/>
      <c r="AG43" s="546"/>
      <c r="AH43" s="546"/>
      <c r="AI43" s="546"/>
      <c r="AJ43" s="546"/>
      <c r="AK43" s="546"/>
      <c r="AL43" s="546"/>
      <c r="AM43" s="546"/>
      <c r="AN43" s="546"/>
    </row>
    <row r="44" spans="1:54" x14ac:dyDescent="0.25">
      <c r="A44" s="1730"/>
      <c r="B44" s="546"/>
      <c r="C44" s="1757">
        <f>SUM(G44:AB44)</f>
        <v>38266</v>
      </c>
      <c r="D44" s="1757"/>
      <c r="E44" s="1757"/>
      <c r="F44" s="1757"/>
      <c r="G44" s="1757">
        <f>4350+92</f>
        <v>4442</v>
      </c>
      <c r="H44" s="1757"/>
      <c r="I44" s="1757"/>
      <c r="J44" s="1757">
        <f>3628+106</f>
        <v>3734</v>
      </c>
      <c r="K44" s="1757"/>
      <c r="L44" s="1757"/>
      <c r="M44" s="1757">
        <f>4153+89</f>
        <v>4242</v>
      </c>
      <c r="N44" s="1757"/>
      <c r="O44" s="1757"/>
      <c r="P44" s="1747">
        <f>5647+304</f>
        <v>5951</v>
      </c>
      <c r="Q44" s="1757"/>
      <c r="R44" s="1757"/>
      <c r="S44" s="1757">
        <f>5550+159</f>
        <v>5709</v>
      </c>
      <c r="T44" s="1757"/>
      <c r="U44" s="1757"/>
      <c r="V44" s="1757">
        <f>3747+78</f>
        <v>3825</v>
      </c>
      <c r="W44" s="1757"/>
      <c r="X44" s="1757"/>
      <c r="Y44" s="1757">
        <f>5864+168</f>
        <v>6032</v>
      </c>
      <c r="Z44" s="1757"/>
      <c r="AA44" s="1757"/>
      <c r="AB44" s="1757">
        <f>4218+113</f>
        <v>4331</v>
      </c>
      <c r="AC44" s="1757"/>
      <c r="AD44" s="1757"/>
      <c r="AE44" s="1731"/>
      <c r="AF44" s="546"/>
      <c r="AG44" s="546"/>
      <c r="AH44" s="546"/>
      <c r="AI44" s="546"/>
      <c r="AJ44" s="546"/>
      <c r="AK44" s="546"/>
      <c r="AL44" s="546"/>
      <c r="AM44" s="546"/>
      <c r="AN44" s="546"/>
    </row>
    <row r="45" spans="1:54" x14ac:dyDescent="0.25">
      <c r="A45" s="1730"/>
      <c r="B45" s="546"/>
      <c r="C45" s="1743">
        <f>C43-C44</f>
        <v>6886.4665999999997</v>
      </c>
      <c r="D45" s="1743"/>
      <c r="E45" s="1743"/>
      <c r="F45" s="1743"/>
      <c r="G45" s="1743">
        <f>G43-G44</f>
        <v>1339.0013024521541</v>
      </c>
      <c r="H45" s="1743"/>
      <c r="I45" s="1743"/>
      <c r="J45" s="1743">
        <f>J43-J44</f>
        <v>857.68420723110103</v>
      </c>
      <c r="K45" s="1743"/>
      <c r="L45" s="1743"/>
      <c r="M45" s="1743">
        <f>M43-M44</f>
        <v>560.71542949758441</v>
      </c>
      <c r="N45" s="1743"/>
      <c r="O45" s="1743"/>
      <c r="P45" s="1759">
        <f>P43-P44</f>
        <v>826.36353540080381</v>
      </c>
      <c r="Q45" s="1743"/>
      <c r="R45" s="1743"/>
      <c r="S45" s="1743">
        <f>S43-S44</f>
        <v>1123.0239809152836</v>
      </c>
      <c r="T45" s="1743"/>
      <c r="U45" s="1743"/>
      <c r="V45" s="1743">
        <f>V43-V44</f>
        <v>978.71710622166393</v>
      </c>
      <c r="W45" s="1743"/>
      <c r="X45" s="1743"/>
      <c r="Y45" s="1743">
        <f>Y43-Y44</f>
        <v>486.5827152816546</v>
      </c>
      <c r="Z45" s="1743"/>
      <c r="AA45" s="1743"/>
      <c r="AB45" s="1743">
        <f>AB43-AB44</f>
        <v>714.37832299975616</v>
      </c>
      <c r="AC45" s="1743"/>
      <c r="AD45" s="1743"/>
      <c r="AE45" s="1731"/>
      <c r="AF45" s="546"/>
      <c r="AG45" s="546"/>
      <c r="AH45" s="546"/>
      <c r="AI45" s="546"/>
      <c r="AJ45" s="546"/>
      <c r="AK45" s="546"/>
      <c r="AL45" s="546"/>
      <c r="AM45" s="546"/>
      <c r="AN45" s="546"/>
    </row>
    <row r="46" spans="1:54" x14ac:dyDescent="0.25">
      <c r="A46" s="1730"/>
      <c r="B46" s="546"/>
      <c r="C46" s="1743"/>
      <c r="D46" s="1743"/>
      <c r="E46" s="1743"/>
      <c r="F46" s="1743"/>
      <c r="G46" s="1743"/>
      <c r="H46" s="1743"/>
      <c r="I46" s="1743"/>
      <c r="J46" s="1743"/>
      <c r="K46" s="1743"/>
      <c r="L46" s="1743"/>
      <c r="M46" s="1743"/>
      <c r="N46" s="1743"/>
      <c r="O46" s="1743"/>
      <c r="P46" s="1759">
        <f>P7-P18</f>
        <v>101350</v>
      </c>
      <c r="Q46" s="1743"/>
      <c r="R46" s="1743"/>
      <c r="S46" s="1743"/>
      <c r="T46" s="1743"/>
      <c r="U46" s="1743"/>
      <c r="V46" s="1743"/>
      <c r="W46" s="1743"/>
      <c r="X46" s="1743"/>
      <c r="Y46" s="1743"/>
      <c r="Z46" s="1743"/>
      <c r="AA46" s="1743"/>
      <c r="AB46" s="1743"/>
      <c r="AC46" s="1743"/>
      <c r="AD46" s="1743"/>
      <c r="AE46" s="1731"/>
      <c r="AF46" s="546"/>
      <c r="AG46" s="546"/>
      <c r="AH46" s="546"/>
      <c r="AI46" s="546"/>
      <c r="AJ46" s="546"/>
      <c r="AK46" s="546"/>
      <c r="AL46" s="546"/>
      <c r="AM46" s="546"/>
      <c r="AN46" s="546"/>
    </row>
    <row r="47" spans="1:54" x14ac:dyDescent="0.25">
      <c r="A47" s="1730"/>
      <c r="B47" s="546"/>
      <c r="C47" s="1743"/>
      <c r="D47" s="1743"/>
      <c r="E47" s="1743"/>
      <c r="F47" s="1743"/>
      <c r="G47" s="1743"/>
      <c r="H47" s="1743"/>
      <c r="I47" s="1743"/>
      <c r="J47" s="1743"/>
      <c r="K47" s="1743"/>
      <c r="L47" s="1743"/>
      <c r="M47" s="1743"/>
      <c r="N47" s="1743"/>
      <c r="O47" s="1743"/>
      <c r="P47" s="1759" t="e">
        <f>P8-P19</f>
        <v>#REF!</v>
      </c>
      <c r="Q47" s="1743"/>
      <c r="R47" s="1743"/>
      <c r="S47" s="1743"/>
      <c r="T47" s="1743"/>
      <c r="U47" s="1743"/>
      <c r="V47" s="1743"/>
      <c r="W47" s="1743"/>
      <c r="X47" s="1743"/>
      <c r="Y47" s="1743"/>
      <c r="Z47" s="1743"/>
      <c r="AA47" s="1743"/>
      <c r="AB47" s="1743"/>
      <c r="AC47" s="1743"/>
      <c r="AD47" s="1743"/>
      <c r="AE47" s="1731"/>
      <c r="AF47" s="546"/>
      <c r="AG47" s="546"/>
      <c r="AH47" s="546"/>
      <c r="AI47" s="546"/>
      <c r="AJ47" s="546"/>
      <c r="AK47" s="546"/>
      <c r="AL47" s="546"/>
      <c r="AM47" s="546"/>
      <c r="AN47" s="546"/>
    </row>
    <row r="48" spans="1:54" x14ac:dyDescent="0.25">
      <c r="A48" s="1730"/>
      <c r="B48" s="546"/>
      <c r="C48" s="1743"/>
      <c r="D48" s="1743"/>
      <c r="E48" s="1743"/>
      <c r="F48" s="1743"/>
      <c r="G48" s="1743"/>
      <c r="H48" s="1743"/>
      <c r="I48" s="1743"/>
      <c r="J48" s="1743"/>
      <c r="K48" s="1743"/>
      <c r="L48" s="1743"/>
      <c r="M48" s="1743"/>
      <c r="N48" s="1743"/>
      <c r="O48" s="1743"/>
      <c r="P48" s="1759" t="e">
        <f>P47-P46</f>
        <v>#REF!</v>
      </c>
      <c r="Q48" s="1743"/>
      <c r="R48" s="1743"/>
      <c r="S48" s="1743" t="e">
        <f>P48*0.5</f>
        <v>#REF!</v>
      </c>
      <c r="T48" s="1743"/>
      <c r="U48" s="1743"/>
      <c r="V48" s="1743"/>
      <c r="W48" s="1743"/>
      <c r="X48" s="1743"/>
      <c r="Y48" s="1743"/>
      <c r="Z48" s="1743"/>
      <c r="AA48" s="1743"/>
      <c r="AB48" s="1743"/>
      <c r="AC48" s="1743"/>
      <c r="AD48" s="1743"/>
      <c r="AE48" s="1731"/>
      <c r="AF48" s="546"/>
      <c r="AG48" s="546"/>
      <c r="AH48" s="546"/>
      <c r="AI48" s="546"/>
      <c r="AJ48" s="546"/>
      <c r="AK48" s="546"/>
      <c r="AL48" s="546"/>
      <c r="AM48" s="546"/>
      <c r="AN48" s="546"/>
    </row>
    <row r="49" spans="1:40" ht="96" customHeight="1" x14ac:dyDescent="0.25">
      <c r="A49" s="1730"/>
      <c r="B49" s="4074" t="s">
        <v>3055</v>
      </c>
      <c r="C49" s="4074"/>
      <c r="D49" s="4074"/>
      <c r="E49" s="4074"/>
      <c r="F49" s="4074"/>
      <c r="G49" s="4074"/>
      <c r="H49" s="4074"/>
      <c r="I49" s="4074"/>
      <c r="J49" s="4074"/>
      <c r="K49" s="4074"/>
      <c r="L49" s="4074"/>
      <c r="M49" s="4074"/>
      <c r="N49" s="4074"/>
      <c r="O49" s="4074"/>
      <c r="P49" s="4074"/>
      <c r="Q49" s="4074"/>
      <c r="R49" s="4074"/>
      <c r="S49" s="4074"/>
      <c r="T49" s="4074"/>
      <c r="U49" s="4074"/>
      <c r="V49" s="4074"/>
      <c r="W49" s="4074"/>
      <c r="X49" s="4074"/>
      <c r="Y49" s="4074"/>
      <c r="Z49" s="4074"/>
      <c r="AA49" s="4074"/>
      <c r="AB49" s="4074"/>
      <c r="AC49" s="1779"/>
      <c r="AD49" s="1779"/>
      <c r="AE49" s="546"/>
      <c r="AF49" s="546"/>
      <c r="AG49" s="546"/>
      <c r="AH49" s="546"/>
      <c r="AI49" s="546"/>
      <c r="AJ49" s="546"/>
      <c r="AK49" s="546"/>
      <c r="AL49" s="546"/>
      <c r="AM49" s="546"/>
      <c r="AN49" s="546"/>
    </row>
    <row r="50" spans="1:40" ht="96" customHeight="1" x14ac:dyDescent="0.25">
      <c r="A50" s="1730"/>
      <c r="B50" s="4078" t="s">
        <v>3051</v>
      </c>
      <c r="C50" s="4078"/>
      <c r="D50" s="4078"/>
      <c r="E50" s="4078"/>
      <c r="F50" s="4078"/>
      <c r="G50" s="4078"/>
      <c r="H50" s="4078"/>
      <c r="I50" s="4078"/>
      <c r="J50" s="4078"/>
      <c r="K50" s="4078"/>
      <c r="L50" s="4078"/>
      <c r="M50" s="4078"/>
      <c r="N50" s="4078"/>
      <c r="O50" s="4078"/>
      <c r="P50" s="4078"/>
      <c r="Q50" s="4078"/>
      <c r="R50" s="4078"/>
      <c r="S50" s="4078"/>
      <c r="T50" s="4078"/>
      <c r="U50" s="4078"/>
      <c r="V50" s="4078"/>
      <c r="W50" s="4078"/>
      <c r="X50" s="4078"/>
      <c r="Y50" s="4078"/>
      <c r="Z50" s="4078"/>
      <c r="AA50" s="4078"/>
      <c r="AB50" s="4078"/>
      <c r="AC50" s="546"/>
      <c r="AD50" s="546"/>
      <c r="AE50" s="546"/>
      <c r="AF50" s="546"/>
      <c r="AG50" s="546"/>
      <c r="AH50" s="546"/>
      <c r="AI50" s="546"/>
      <c r="AJ50" s="546"/>
      <c r="AK50" s="546"/>
      <c r="AL50" s="546"/>
      <c r="AM50" s="546"/>
      <c r="AN50" s="546"/>
    </row>
    <row r="51" spans="1:40" s="591" customFormat="1" ht="96" customHeight="1" x14ac:dyDescent="0.25">
      <c r="A51" s="1780"/>
      <c r="B51" s="4074" t="s">
        <v>3052</v>
      </c>
      <c r="C51" s="4074"/>
      <c r="D51" s="4074"/>
      <c r="E51" s="4074"/>
      <c r="F51" s="4074"/>
      <c r="G51" s="4074"/>
      <c r="H51" s="4074"/>
      <c r="I51" s="4074"/>
      <c r="J51" s="4074"/>
      <c r="K51" s="4074"/>
      <c r="L51" s="4074"/>
      <c r="M51" s="4074"/>
      <c r="N51" s="4074"/>
      <c r="O51" s="4074"/>
      <c r="P51" s="4074"/>
      <c r="Q51" s="4074"/>
      <c r="R51" s="4074"/>
      <c r="S51" s="4074"/>
      <c r="T51" s="4074"/>
      <c r="U51" s="4074"/>
      <c r="V51" s="4074"/>
      <c r="W51" s="4074"/>
      <c r="X51" s="4074"/>
      <c r="Y51" s="4074"/>
      <c r="Z51" s="4074"/>
      <c r="AA51" s="4074"/>
      <c r="AB51" s="4074"/>
      <c r="AC51" s="1158"/>
      <c r="AD51" s="1158"/>
      <c r="AE51" s="731"/>
      <c r="AF51" s="731"/>
      <c r="AG51" s="731"/>
      <c r="AH51" s="731"/>
      <c r="AI51" s="731"/>
      <c r="AJ51" s="731"/>
      <c r="AK51" s="731"/>
      <c r="AL51" s="731"/>
      <c r="AM51" s="731"/>
      <c r="AN51" s="731"/>
    </row>
    <row r="52" spans="1:40" s="591" customFormat="1" ht="96" customHeight="1" x14ac:dyDescent="0.25">
      <c r="A52" s="1780"/>
      <c r="B52" s="4074" t="s">
        <v>3053</v>
      </c>
      <c r="C52" s="4074"/>
      <c r="D52" s="4074"/>
      <c r="E52" s="4074"/>
      <c r="F52" s="4074"/>
      <c r="G52" s="4074"/>
      <c r="H52" s="4074"/>
      <c r="I52" s="4074"/>
      <c r="J52" s="4074"/>
      <c r="K52" s="4074"/>
      <c r="L52" s="4074"/>
      <c r="M52" s="4074"/>
      <c r="N52" s="4074"/>
      <c r="O52" s="4074"/>
      <c r="P52" s="4074"/>
      <c r="Q52" s="4074"/>
      <c r="R52" s="4074"/>
      <c r="S52" s="4074"/>
      <c r="T52" s="4074"/>
      <c r="U52" s="4074"/>
      <c r="V52" s="4074"/>
      <c r="W52" s="4074"/>
      <c r="X52" s="4074"/>
      <c r="Y52" s="4074"/>
      <c r="Z52" s="4074"/>
      <c r="AA52" s="4074"/>
      <c r="AB52" s="4074"/>
      <c r="AC52" s="731"/>
      <c r="AD52" s="731"/>
      <c r="AE52" s="731"/>
      <c r="AF52" s="731"/>
      <c r="AG52" s="731"/>
      <c r="AH52" s="731"/>
      <c r="AI52" s="731"/>
      <c r="AJ52" s="731"/>
      <c r="AK52" s="731"/>
      <c r="AL52" s="731"/>
      <c r="AM52" s="731"/>
      <c r="AN52" s="731"/>
    </row>
    <row r="53" spans="1:40" ht="96" customHeight="1" x14ac:dyDescent="0.25">
      <c r="A53" s="1730"/>
      <c r="B53" s="4074" t="s">
        <v>3054</v>
      </c>
      <c r="C53" s="4074"/>
      <c r="D53" s="4074"/>
      <c r="E53" s="4074"/>
      <c r="F53" s="4074"/>
      <c r="G53" s="4074"/>
      <c r="H53" s="4074"/>
      <c r="I53" s="4074"/>
      <c r="J53" s="4074"/>
      <c r="K53" s="4074"/>
      <c r="L53" s="4074"/>
      <c r="M53" s="4074"/>
      <c r="N53" s="4074"/>
      <c r="O53" s="4074"/>
      <c r="P53" s="4074"/>
      <c r="Q53" s="4074"/>
      <c r="R53" s="4074"/>
      <c r="S53" s="4074"/>
      <c r="T53" s="4074"/>
      <c r="U53" s="4074"/>
      <c r="V53" s="4074"/>
      <c r="W53" s="4074"/>
      <c r="X53" s="4074"/>
      <c r="Y53" s="4074"/>
      <c r="Z53" s="4074"/>
      <c r="AA53" s="4074"/>
      <c r="AB53" s="4074"/>
      <c r="AC53" s="546"/>
      <c r="AD53" s="546"/>
      <c r="AE53" s="546"/>
      <c r="AF53" s="546"/>
      <c r="AG53" s="546"/>
      <c r="AH53" s="546"/>
      <c r="AI53" s="546"/>
      <c r="AJ53" s="546"/>
      <c r="AK53" s="546"/>
      <c r="AL53" s="546"/>
      <c r="AM53" s="546"/>
      <c r="AN53" s="546"/>
    </row>
    <row r="54" spans="1:40" ht="96" customHeight="1" x14ac:dyDescent="0.25">
      <c r="G54" s="589"/>
      <c r="J54" s="589"/>
      <c r="M54" s="589"/>
      <c r="S54" s="589"/>
      <c r="V54" s="589"/>
      <c r="Y54" s="589"/>
      <c r="AB54" s="1782"/>
    </row>
    <row r="55" spans="1:40" ht="96" customHeight="1" x14ac:dyDescent="0.25">
      <c r="G55" s="589"/>
      <c r="J55" s="589"/>
      <c r="M55" s="589"/>
      <c r="S55" s="589"/>
      <c r="V55" s="589"/>
      <c r="Y55" s="589"/>
      <c r="AB55" s="1782"/>
    </row>
    <row r="56" spans="1:40" ht="96" customHeight="1" x14ac:dyDescent="0.25">
      <c r="G56" s="589"/>
      <c r="J56" s="589"/>
      <c r="M56" s="589"/>
      <c r="S56" s="589"/>
      <c r="V56" s="589"/>
      <c r="Y56" s="589"/>
      <c r="AB56" s="1782"/>
    </row>
    <row r="57" spans="1:40" x14ac:dyDescent="0.25">
      <c r="G57" s="589"/>
      <c r="J57" s="589"/>
      <c r="M57" s="589"/>
      <c r="S57" s="589"/>
      <c r="V57" s="589"/>
      <c r="Y57" s="589"/>
      <c r="AB57" s="1782"/>
    </row>
    <row r="58" spans="1:40" x14ac:dyDescent="0.25">
      <c r="G58" s="589"/>
      <c r="J58" s="589"/>
      <c r="M58" s="589"/>
      <c r="S58" s="589"/>
      <c r="V58" s="589"/>
      <c r="Y58" s="589"/>
      <c r="AB58" s="1782"/>
    </row>
    <row r="59" spans="1:40" x14ac:dyDescent="0.25">
      <c r="G59" s="589"/>
      <c r="J59" s="589"/>
      <c r="M59" s="589"/>
      <c r="S59" s="589"/>
      <c r="V59" s="589"/>
      <c r="Y59" s="589"/>
      <c r="AB59" s="1782"/>
    </row>
    <row r="60" spans="1:40" x14ac:dyDescent="0.25">
      <c r="G60" s="589"/>
      <c r="J60" s="589"/>
      <c r="M60" s="589"/>
      <c r="S60" s="589"/>
      <c r="V60" s="589"/>
      <c r="Y60" s="589"/>
      <c r="AB60" s="1782"/>
    </row>
    <row r="61" spans="1:40" x14ac:dyDescent="0.25">
      <c r="G61" s="589"/>
      <c r="J61" s="589"/>
      <c r="M61" s="589"/>
      <c r="S61" s="589"/>
      <c r="V61" s="589"/>
      <c r="Y61" s="589"/>
      <c r="AB61" s="1782"/>
    </row>
    <row r="62" spans="1:40" x14ac:dyDescent="0.25">
      <c r="G62" s="589"/>
      <c r="J62" s="589"/>
      <c r="M62" s="589"/>
      <c r="S62" s="589"/>
      <c r="V62" s="589"/>
      <c r="Y62" s="589"/>
      <c r="AB62" s="1782"/>
    </row>
    <row r="63" spans="1:40" x14ac:dyDescent="0.25">
      <c r="G63" s="589"/>
      <c r="J63" s="589"/>
      <c r="M63" s="589"/>
      <c r="S63" s="589"/>
      <c r="V63" s="589"/>
      <c r="Y63" s="589"/>
      <c r="AB63" s="1782"/>
    </row>
    <row r="64" spans="1:40" x14ac:dyDescent="0.25">
      <c r="G64" s="589"/>
      <c r="J64" s="589"/>
      <c r="M64" s="589"/>
      <c r="S64" s="589"/>
      <c r="V64" s="589"/>
      <c r="Y64" s="589"/>
      <c r="AB64" s="1782"/>
    </row>
    <row r="65" spans="1:28" x14ac:dyDescent="0.25">
      <c r="G65" s="589"/>
      <c r="J65" s="589"/>
      <c r="M65" s="589"/>
      <c r="S65" s="589"/>
      <c r="V65" s="589"/>
      <c r="Y65" s="589"/>
      <c r="AB65" s="1782"/>
    </row>
    <row r="66" spans="1:28" x14ac:dyDescent="0.25">
      <c r="G66" s="589"/>
      <c r="J66" s="589"/>
      <c r="M66" s="589"/>
      <c r="S66" s="589"/>
      <c r="V66" s="589"/>
      <c r="Y66" s="589"/>
      <c r="AB66" s="1782"/>
    </row>
    <row r="67" spans="1:28" x14ac:dyDescent="0.25">
      <c r="G67" s="589"/>
      <c r="J67" s="589"/>
      <c r="M67" s="589"/>
      <c r="S67" s="589"/>
      <c r="V67" s="589"/>
      <c r="Y67" s="589"/>
      <c r="AB67" s="1782"/>
    </row>
    <row r="68" spans="1:28" x14ac:dyDescent="0.25">
      <c r="A68" s="589"/>
      <c r="G68" s="589"/>
      <c r="J68" s="589"/>
      <c r="M68" s="589"/>
      <c r="S68" s="589"/>
      <c r="V68" s="589"/>
      <c r="Y68" s="589"/>
      <c r="AB68" s="1782"/>
    </row>
    <row r="69" spans="1:28" x14ac:dyDescent="0.25">
      <c r="A69" s="589"/>
      <c r="G69" s="589"/>
      <c r="J69" s="589"/>
      <c r="M69" s="589"/>
      <c r="S69" s="589"/>
      <c r="V69" s="589"/>
      <c r="Y69" s="589"/>
      <c r="AB69" s="1782"/>
    </row>
    <row r="70" spans="1:28" x14ac:dyDescent="0.25">
      <c r="A70" s="589"/>
      <c r="G70" s="589"/>
      <c r="J70" s="589"/>
      <c r="M70" s="589"/>
      <c r="S70" s="589"/>
      <c r="V70" s="589"/>
      <c r="Y70" s="589"/>
      <c r="AB70" s="1782"/>
    </row>
    <row r="71" spans="1:28" x14ac:dyDescent="0.25">
      <c r="A71" s="589"/>
      <c r="G71" s="589"/>
      <c r="J71" s="589"/>
      <c r="M71" s="589"/>
      <c r="S71" s="589"/>
      <c r="V71" s="589"/>
      <c r="Y71" s="589"/>
      <c r="AB71" s="1782"/>
    </row>
    <row r="72" spans="1:28" x14ac:dyDescent="0.25">
      <c r="A72" s="589"/>
      <c r="G72" s="589"/>
      <c r="J72" s="589"/>
      <c r="M72" s="589"/>
      <c r="S72" s="589"/>
      <c r="V72" s="589"/>
      <c r="Y72" s="589"/>
      <c r="AB72" s="1782"/>
    </row>
    <row r="73" spans="1:28" x14ac:dyDescent="0.25">
      <c r="A73" s="589"/>
      <c r="G73" s="589"/>
      <c r="J73" s="589"/>
      <c r="M73" s="589"/>
      <c r="S73" s="589"/>
      <c r="V73" s="589"/>
      <c r="Y73" s="589"/>
      <c r="AB73" s="1782"/>
    </row>
    <row r="74" spans="1:28" x14ac:dyDescent="0.25">
      <c r="A74" s="589"/>
      <c r="G74" s="589"/>
      <c r="J74" s="589"/>
      <c r="M74" s="589"/>
      <c r="S74" s="589"/>
      <c r="V74" s="589"/>
      <c r="Y74" s="589"/>
      <c r="AB74" s="1782"/>
    </row>
    <row r="75" spans="1:28" x14ac:dyDescent="0.25">
      <c r="A75" s="589"/>
      <c r="G75" s="589"/>
      <c r="J75" s="589"/>
      <c r="M75" s="589"/>
      <c r="S75" s="589"/>
      <c r="V75" s="589"/>
      <c r="Y75" s="589"/>
      <c r="AB75" s="1782"/>
    </row>
    <row r="76" spans="1:28" x14ac:dyDescent="0.25">
      <c r="A76" s="589"/>
      <c r="G76" s="589"/>
      <c r="J76" s="589"/>
      <c r="M76" s="589"/>
      <c r="S76" s="589"/>
      <c r="V76" s="589"/>
      <c r="Y76" s="589"/>
      <c r="AB76" s="1782"/>
    </row>
    <row r="77" spans="1:28" x14ac:dyDescent="0.25">
      <c r="A77" s="589"/>
      <c r="G77" s="589"/>
      <c r="J77" s="589"/>
      <c r="M77" s="589"/>
      <c r="S77" s="589"/>
      <c r="V77" s="589"/>
      <c r="Y77" s="589"/>
      <c r="AB77" s="1782"/>
    </row>
    <row r="78" spans="1:28" x14ac:dyDescent="0.25">
      <c r="A78" s="589"/>
      <c r="G78" s="589"/>
      <c r="J78" s="589"/>
      <c r="M78" s="589"/>
      <c r="S78" s="589"/>
      <c r="V78" s="589"/>
      <c r="Y78" s="589"/>
      <c r="AB78" s="1782"/>
    </row>
    <row r="79" spans="1:28" x14ac:dyDescent="0.25">
      <c r="A79" s="589"/>
      <c r="G79" s="589"/>
      <c r="J79" s="589"/>
      <c r="M79" s="589"/>
      <c r="S79" s="589"/>
      <c r="V79" s="589"/>
      <c r="Y79" s="589"/>
      <c r="AB79" s="1782"/>
    </row>
    <row r="80" spans="1:28" x14ac:dyDescent="0.25">
      <c r="A80" s="589"/>
      <c r="G80" s="589"/>
      <c r="J80" s="589"/>
      <c r="M80" s="589"/>
      <c r="S80" s="589"/>
      <c r="V80" s="589"/>
      <c r="Y80" s="589"/>
      <c r="AB80" s="1782"/>
    </row>
    <row r="81" spans="1:28" x14ac:dyDescent="0.25">
      <c r="A81" s="589"/>
      <c r="G81" s="589"/>
      <c r="J81" s="589"/>
      <c r="M81" s="589"/>
      <c r="S81" s="589"/>
      <c r="V81" s="589"/>
      <c r="Y81" s="589"/>
      <c r="AB81" s="1782"/>
    </row>
    <row r="82" spans="1:28" x14ac:dyDescent="0.25">
      <c r="A82" s="589"/>
      <c r="G82" s="589"/>
      <c r="J82" s="589"/>
      <c r="M82" s="589"/>
      <c r="S82" s="589"/>
      <c r="V82" s="589"/>
      <c r="Y82" s="589"/>
      <c r="AB82" s="1782"/>
    </row>
    <row r="83" spans="1:28" x14ac:dyDescent="0.25">
      <c r="A83" s="589"/>
      <c r="G83" s="589"/>
      <c r="J83" s="589"/>
      <c r="M83" s="589"/>
      <c r="S83" s="589"/>
      <c r="V83" s="589"/>
      <c r="Y83" s="589"/>
      <c r="AB83" s="1782"/>
    </row>
    <row r="84" spans="1:28" x14ac:dyDescent="0.25">
      <c r="A84" s="589"/>
      <c r="G84" s="589"/>
      <c r="J84" s="589"/>
      <c r="M84" s="589"/>
      <c r="S84" s="589"/>
      <c r="V84" s="589"/>
      <c r="Y84" s="589"/>
      <c r="AB84" s="1782"/>
    </row>
    <row r="85" spans="1:28" x14ac:dyDescent="0.25">
      <c r="A85" s="589"/>
      <c r="G85" s="589"/>
      <c r="J85" s="589"/>
      <c r="M85" s="589"/>
      <c r="S85" s="589"/>
      <c r="V85" s="589"/>
      <c r="Y85" s="589"/>
      <c r="AB85" s="1782"/>
    </row>
    <row r="86" spans="1:28" x14ac:dyDescent="0.25">
      <c r="A86" s="589"/>
      <c r="G86" s="589"/>
      <c r="J86" s="589"/>
      <c r="M86" s="589"/>
      <c r="S86" s="589"/>
      <c r="V86" s="589"/>
      <c r="Y86" s="589"/>
      <c r="AB86" s="1782"/>
    </row>
    <row r="87" spans="1:28" x14ac:dyDescent="0.25">
      <c r="A87" s="589"/>
      <c r="G87" s="589"/>
      <c r="J87" s="589"/>
      <c r="M87" s="589"/>
      <c r="S87" s="589"/>
      <c r="V87" s="589"/>
      <c r="Y87" s="589"/>
      <c r="AB87" s="1782"/>
    </row>
  </sheetData>
  <mergeCells count="15">
    <mergeCell ref="A1:AB1"/>
    <mergeCell ref="A2:AB2"/>
    <mergeCell ref="A3:AB3"/>
    <mergeCell ref="V4:AB4"/>
    <mergeCell ref="AR6:AS6"/>
    <mergeCell ref="B51:AB51"/>
    <mergeCell ref="B52:AB52"/>
    <mergeCell ref="B53:AB53"/>
    <mergeCell ref="AV6:AX6"/>
    <mergeCell ref="AP15:AS15"/>
    <mergeCell ref="AI16:AJ18"/>
    <mergeCell ref="AM17:AN17"/>
    <mergeCell ref="B49:AB49"/>
    <mergeCell ref="B50:AB50"/>
    <mergeCell ref="AT6:AU6"/>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M93"/>
  <sheetViews>
    <sheetView workbookViewId="0">
      <pane xSplit="2" ySplit="2" topLeftCell="C72" activePane="bottomRight" state="frozen"/>
      <selection pane="topRight" activeCell="C1" sqref="C1"/>
      <selection pane="bottomLeft" activeCell="A3" sqref="A3"/>
      <selection pane="bottomRight" activeCell="A93" sqref="A93:XFD93"/>
    </sheetView>
  </sheetViews>
  <sheetFormatPr defaultColWidth="8.85546875" defaultRowHeight="12.75" x14ac:dyDescent="0.2"/>
  <cols>
    <col min="1" max="1" width="4.28515625" style="615" customWidth="1"/>
    <col min="2" max="2" width="56.42578125" style="615" customWidth="1"/>
    <col min="3" max="3" width="9.85546875" style="720" customWidth="1"/>
    <col min="4" max="4" width="11.42578125" style="720" customWidth="1"/>
    <col min="5" max="5" width="10.7109375" style="720" customWidth="1"/>
    <col min="6" max="6" width="12.7109375" style="720" customWidth="1"/>
    <col min="7" max="7" width="11.7109375" style="1725" customWidth="1"/>
    <col min="8" max="8" width="15.7109375" style="720" customWidth="1"/>
    <col min="9" max="9" width="10" style="720" customWidth="1"/>
    <col min="10" max="10" width="15.7109375" style="720" customWidth="1"/>
    <col min="11" max="11" width="11.28515625" style="720" bestFit="1" customWidth="1"/>
    <col min="12" max="16384" width="8.85546875" style="615"/>
  </cols>
  <sheetData>
    <row r="1" spans="1:12" x14ac:dyDescent="0.2">
      <c r="A1" s="4059" t="s">
        <v>844</v>
      </c>
      <c r="B1" s="4059" t="s">
        <v>845</v>
      </c>
      <c r="C1" s="4061" t="s">
        <v>2755</v>
      </c>
      <c r="D1" s="4062"/>
      <c r="E1" s="4063"/>
      <c r="F1" s="4061" t="s">
        <v>2599</v>
      </c>
      <c r="G1" s="4062"/>
      <c r="H1" s="4063"/>
      <c r="I1" s="4061" t="s">
        <v>2758</v>
      </c>
      <c r="J1" s="4062"/>
      <c r="K1" s="4063"/>
      <c r="L1" s="1653"/>
    </row>
    <row r="2" spans="1:12" s="587" customFormat="1" x14ac:dyDescent="0.2">
      <c r="A2" s="4060"/>
      <c r="B2" s="4060"/>
      <c r="C2" s="1685" t="s">
        <v>1580</v>
      </c>
      <c r="D2" s="1685" t="s">
        <v>2726</v>
      </c>
      <c r="E2" s="1685" t="s">
        <v>1712</v>
      </c>
      <c r="F2" s="1685" t="s">
        <v>1580</v>
      </c>
      <c r="G2" s="1711" t="s">
        <v>2726</v>
      </c>
      <c r="H2" s="1184" t="s">
        <v>1712</v>
      </c>
      <c r="I2" s="1184" t="s">
        <v>1580</v>
      </c>
      <c r="J2" s="1184" t="s">
        <v>2726</v>
      </c>
      <c r="K2" s="1184" t="s">
        <v>1712</v>
      </c>
    </row>
    <row r="3" spans="1:12" s="587" customFormat="1" x14ac:dyDescent="0.2">
      <c r="A3" s="1654" t="s">
        <v>849</v>
      </c>
      <c r="B3" s="1654" t="s">
        <v>457</v>
      </c>
      <c r="C3" s="1684">
        <f>C4+C5+C8+C9+C10+SUM(C14:C52)</f>
        <v>46183.69614</v>
      </c>
      <c r="D3" s="1684">
        <f t="shared" ref="D3:K3" si="0">D4+D5+D8+D9+D10+SUM(D14:D52)</f>
        <v>39841.504596999999</v>
      </c>
      <c r="E3" s="1684">
        <f t="shared" si="0"/>
        <v>6342.1915430000008</v>
      </c>
      <c r="F3" s="1684">
        <f t="shared" si="0"/>
        <v>43748.239987999994</v>
      </c>
      <c r="G3" s="1720">
        <f t="shared" si="0"/>
        <v>37728.705544999997</v>
      </c>
      <c r="H3" s="1684">
        <f t="shared" si="0"/>
        <v>6070.7344430000003</v>
      </c>
      <c r="I3" s="1684">
        <f t="shared" si="0"/>
        <v>2384.2561519999999</v>
      </c>
      <c r="J3" s="1684">
        <f t="shared" si="0"/>
        <v>2112.7990520000003</v>
      </c>
      <c r="K3" s="1684">
        <f t="shared" si="0"/>
        <v>271.45709999999997</v>
      </c>
    </row>
    <row r="4" spans="1:12" s="1681" customFormat="1" ht="34.15" customHeight="1" x14ac:dyDescent="0.2">
      <c r="A4" s="1714">
        <v>1</v>
      </c>
      <c r="B4" s="1715" t="s">
        <v>2672</v>
      </c>
      <c r="C4" s="1716">
        <f>D4+E4</f>
        <v>51.2</v>
      </c>
      <c r="D4" s="1717">
        <v>51.2</v>
      </c>
      <c r="E4" s="1718"/>
      <c r="F4" s="1718"/>
      <c r="G4" s="1721">
        <v>51.2</v>
      </c>
      <c r="H4" s="1718"/>
      <c r="I4" s="1716">
        <f>J4+K4</f>
        <v>0</v>
      </c>
      <c r="J4" s="1718">
        <f>D4-G4</f>
        <v>0</v>
      </c>
      <c r="K4" s="1718">
        <f>E4-H4</f>
        <v>0</v>
      </c>
    </row>
    <row r="5" spans="1:12" s="1681" customFormat="1" ht="25.5" x14ac:dyDescent="0.2">
      <c r="A5" s="1677">
        <v>2</v>
      </c>
      <c r="B5" s="1471" t="s">
        <v>2727</v>
      </c>
      <c r="C5" s="1678">
        <f>D5+E5</f>
        <v>3484</v>
      </c>
      <c r="D5" s="1678">
        <v>590.97259699999995</v>
      </c>
      <c r="E5" s="1678">
        <v>2893.027403</v>
      </c>
      <c r="F5" s="1678">
        <f>G5+H5</f>
        <v>3484</v>
      </c>
      <c r="G5" s="1722">
        <v>590.97259699999995</v>
      </c>
      <c r="H5" s="1678">
        <f>2893.027403</f>
        <v>2893.027403</v>
      </c>
      <c r="I5" s="1678">
        <f>J5+K5</f>
        <v>0</v>
      </c>
      <c r="J5" s="1680">
        <f>D5-G5</f>
        <v>0</v>
      </c>
      <c r="K5" s="1680">
        <f>E5-H5</f>
        <v>0</v>
      </c>
    </row>
    <row r="6" spans="1:12" s="1683" customFormat="1" x14ac:dyDescent="0.2">
      <c r="A6" s="1719"/>
      <c r="B6" s="1712" t="s">
        <v>1612</v>
      </c>
      <c r="C6" s="1679">
        <f>D6+E6</f>
        <v>1087</v>
      </c>
      <c r="D6" s="1679"/>
      <c r="E6" s="1679">
        <v>1087</v>
      </c>
      <c r="F6" s="1679">
        <f t="shared" ref="F6:F76" si="1">G6+H6</f>
        <v>1087</v>
      </c>
      <c r="G6" s="1723"/>
      <c r="H6" s="1679">
        <v>1087</v>
      </c>
      <c r="I6" s="1679"/>
      <c r="J6" s="1682"/>
      <c r="K6" s="1682"/>
    </row>
    <row r="7" spans="1:12" s="1659" customFormat="1" x14ac:dyDescent="0.2">
      <c r="A7" s="1656"/>
      <c r="B7" s="1053" t="s">
        <v>1611</v>
      </c>
      <c r="C7" s="1657">
        <f>D7+E7</f>
        <v>2494</v>
      </c>
      <c r="D7" s="1657">
        <v>590.97259699999995</v>
      </c>
      <c r="E7" s="1657">
        <f>2494-D5</f>
        <v>1903.027403</v>
      </c>
      <c r="F7" s="1657">
        <f t="shared" si="1"/>
        <v>590.97259699999995</v>
      </c>
      <c r="G7" s="1665">
        <v>590.97259699999995</v>
      </c>
      <c r="H7" s="1657"/>
      <c r="I7" s="1657"/>
      <c r="J7" s="1658"/>
      <c r="K7" s="1658"/>
    </row>
    <row r="8" spans="1:12" ht="25.5" x14ac:dyDescent="0.2">
      <c r="A8" s="1533">
        <v>3</v>
      </c>
      <c r="B8" s="595" t="s">
        <v>2673</v>
      </c>
      <c r="C8" s="734">
        <f t="shared" ref="C8:C76" si="2">D8+E8</f>
        <v>727.34500000000003</v>
      </c>
      <c r="D8" s="734">
        <v>727.34500000000003</v>
      </c>
      <c r="E8" s="734"/>
      <c r="F8" s="1657">
        <f t="shared" si="1"/>
        <v>727.34500000000003</v>
      </c>
      <c r="G8" s="1661">
        <v>727.34500000000003</v>
      </c>
      <c r="H8" s="734"/>
      <c r="I8" s="734">
        <f>J8+K8</f>
        <v>0</v>
      </c>
      <c r="J8" s="1655">
        <f>D8-G8</f>
        <v>0</v>
      </c>
      <c r="K8" s="1655">
        <f>E8-H8</f>
        <v>0</v>
      </c>
    </row>
    <row r="9" spans="1:12" ht="25.5" x14ac:dyDescent="0.2">
      <c r="A9" s="1533">
        <v>4</v>
      </c>
      <c r="B9" s="595" t="s">
        <v>2728</v>
      </c>
      <c r="C9" s="734">
        <f t="shared" si="2"/>
        <v>48.404000000000003</v>
      </c>
      <c r="D9" s="734">
        <v>48.404000000000003</v>
      </c>
      <c r="E9" s="734"/>
      <c r="F9" s="1657">
        <f t="shared" si="1"/>
        <v>48.404000000000003</v>
      </c>
      <c r="G9" s="1661">
        <v>48.404000000000003</v>
      </c>
      <c r="H9" s="734"/>
      <c r="I9" s="734">
        <f>J9+K9</f>
        <v>0</v>
      </c>
      <c r="J9" s="1655">
        <f>D9-G9</f>
        <v>0</v>
      </c>
      <c r="K9" s="1655">
        <f>E9-H9</f>
        <v>0</v>
      </c>
    </row>
    <row r="10" spans="1:12" s="1681" customFormat="1" ht="51" x14ac:dyDescent="0.2">
      <c r="A10" s="1677">
        <v>5</v>
      </c>
      <c r="B10" s="1471" t="s">
        <v>2733</v>
      </c>
      <c r="C10" s="1678">
        <f t="shared" ref="C10:H10" si="3">SUM(C11:C13)</f>
        <v>632.25700000000006</v>
      </c>
      <c r="D10" s="1678">
        <f t="shared" si="3"/>
        <v>0</v>
      </c>
      <c r="E10" s="1678">
        <f t="shared" si="3"/>
        <v>632.25700000000006</v>
      </c>
      <c r="F10" s="1678">
        <f t="shared" si="3"/>
        <v>632.25700000000006</v>
      </c>
      <c r="G10" s="1722">
        <f t="shared" si="3"/>
        <v>0</v>
      </c>
      <c r="H10" s="1678">
        <f t="shared" si="3"/>
        <v>632.25700000000006</v>
      </c>
      <c r="I10" s="1678"/>
      <c r="J10" s="1680"/>
      <c r="K10" s="1680"/>
    </row>
    <row r="11" spans="1:12" s="1683" customFormat="1" ht="38.25" x14ac:dyDescent="0.2">
      <c r="A11" s="1719"/>
      <c r="B11" s="1712" t="s">
        <v>2731</v>
      </c>
      <c r="C11" s="1678">
        <f t="shared" si="2"/>
        <v>307.87700000000001</v>
      </c>
      <c r="D11" s="1679"/>
      <c r="E11" s="1679">
        <v>307.87700000000001</v>
      </c>
      <c r="F11" s="1679">
        <f t="shared" si="1"/>
        <v>307.87700000000001</v>
      </c>
      <c r="G11" s="1723"/>
      <c r="H11" s="1679">
        <v>307.87700000000001</v>
      </c>
      <c r="I11" s="1679">
        <f>J11+K11</f>
        <v>0</v>
      </c>
      <c r="J11" s="1682">
        <f t="shared" ref="J11:K14" si="4">D11-G11</f>
        <v>0</v>
      </c>
      <c r="K11" s="1682">
        <f t="shared" si="4"/>
        <v>0</v>
      </c>
    </row>
    <row r="12" spans="1:12" s="1683" customFormat="1" ht="38.25" x14ac:dyDescent="0.2">
      <c r="A12" s="1719"/>
      <c r="B12" s="1712" t="s">
        <v>2732</v>
      </c>
      <c r="C12" s="1678">
        <f t="shared" si="2"/>
        <v>69.731999999999999</v>
      </c>
      <c r="D12" s="1679"/>
      <c r="E12" s="1679">
        <v>69.731999999999999</v>
      </c>
      <c r="F12" s="1679">
        <f t="shared" si="1"/>
        <v>69.731999999999999</v>
      </c>
      <c r="G12" s="1723"/>
      <c r="H12" s="1679">
        <v>69.731999999999999</v>
      </c>
      <c r="I12" s="1679">
        <f>J12+K12</f>
        <v>0</v>
      </c>
      <c r="J12" s="1682">
        <f t="shared" si="4"/>
        <v>0</v>
      </c>
      <c r="K12" s="1682">
        <f t="shared" si="4"/>
        <v>0</v>
      </c>
    </row>
    <row r="13" spans="1:12" s="1683" customFormat="1" x14ac:dyDescent="0.2">
      <c r="A13" s="1719"/>
      <c r="B13" s="1712" t="s">
        <v>2707</v>
      </c>
      <c r="C13" s="1678">
        <f t="shared" si="2"/>
        <v>254.648</v>
      </c>
      <c r="D13" s="1679"/>
      <c r="E13" s="1679">
        <v>254.648</v>
      </c>
      <c r="F13" s="1679">
        <f t="shared" si="1"/>
        <v>254.648</v>
      </c>
      <c r="G13" s="1723"/>
      <c r="H13" s="1679">
        <v>254.648</v>
      </c>
      <c r="I13" s="1679">
        <f>J13+K13</f>
        <v>0</v>
      </c>
      <c r="J13" s="1682">
        <f t="shared" si="4"/>
        <v>0</v>
      </c>
      <c r="K13" s="1682">
        <f t="shared" si="4"/>
        <v>0</v>
      </c>
    </row>
    <row r="14" spans="1:12" s="1683" customFormat="1" ht="38.25" x14ac:dyDescent="0.2">
      <c r="A14" s="1677">
        <v>6</v>
      </c>
      <c r="B14" s="1471" t="s">
        <v>2734</v>
      </c>
      <c r="C14" s="1678">
        <f t="shared" si="2"/>
        <v>116.73314000000001</v>
      </c>
      <c r="D14" s="1679"/>
      <c r="E14" s="1679">
        <f>72.73314+44</f>
        <v>116.73314000000001</v>
      </c>
      <c r="F14" s="1679">
        <f t="shared" si="1"/>
        <v>116.73314000000001</v>
      </c>
      <c r="G14" s="1723"/>
      <c r="H14" s="1679">
        <f>72.73314+44</f>
        <v>116.73314000000001</v>
      </c>
      <c r="I14" s="1679">
        <f>J14+K14</f>
        <v>0</v>
      </c>
      <c r="J14" s="1682">
        <f t="shared" si="4"/>
        <v>0</v>
      </c>
      <c r="K14" s="1682">
        <f t="shared" si="4"/>
        <v>0</v>
      </c>
    </row>
    <row r="15" spans="1:12" s="1659" customFormat="1" x14ac:dyDescent="0.2">
      <c r="A15" s="1533">
        <v>7</v>
      </c>
      <c r="B15" s="595" t="s">
        <v>2686</v>
      </c>
      <c r="C15" s="734">
        <f t="shared" si="2"/>
        <v>400</v>
      </c>
      <c r="D15" s="734">
        <v>400</v>
      </c>
      <c r="E15" s="1657"/>
      <c r="F15" s="1657">
        <f t="shared" si="1"/>
        <v>400</v>
      </c>
      <c r="G15" s="1665">
        <v>400</v>
      </c>
      <c r="H15" s="1657"/>
      <c r="I15" s="1657"/>
      <c r="J15" s="1658"/>
      <c r="K15" s="1658"/>
    </row>
    <row r="16" spans="1:12" s="1659" customFormat="1" x14ac:dyDescent="0.2">
      <c r="A16" s="1533">
        <v>8</v>
      </c>
      <c r="B16" s="595" t="s">
        <v>2688</v>
      </c>
      <c r="C16" s="1657">
        <f t="shared" si="2"/>
        <v>591</v>
      </c>
      <c r="D16" s="1657">
        <v>591</v>
      </c>
      <c r="E16" s="1657"/>
      <c r="F16" s="1657">
        <f t="shared" si="1"/>
        <v>574.89372000000003</v>
      </c>
      <c r="G16" s="1665">
        <v>574.89372000000003</v>
      </c>
      <c r="H16" s="1657"/>
      <c r="I16" s="1657">
        <f>J16+K16</f>
        <v>16.10627999999997</v>
      </c>
      <c r="J16" s="1658">
        <f>D16-G16</f>
        <v>16.10627999999997</v>
      </c>
      <c r="K16" s="1658">
        <f>E16-H16</f>
        <v>0</v>
      </c>
    </row>
    <row r="17" spans="1:13" s="1659" customFormat="1" ht="38.25" x14ac:dyDescent="0.2">
      <c r="A17" s="1533">
        <v>9</v>
      </c>
      <c r="B17" s="595" t="s">
        <v>2736</v>
      </c>
      <c r="C17" s="1657">
        <f t="shared" si="2"/>
        <v>2500</v>
      </c>
      <c r="D17" s="1657">
        <v>2500</v>
      </c>
      <c r="E17" s="1657"/>
      <c r="F17" s="1657">
        <f t="shared" si="1"/>
        <v>2179.5409</v>
      </c>
      <c r="G17" s="1665">
        <v>2179.5409</v>
      </c>
      <c r="H17" s="1657"/>
      <c r="I17" s="1657">
        <f>J17+K17</f>
        <v>320.45910000000003</v>
      </c>
      <c r="J17" s="1658">
        <f>D17-G17</f>
        <v>320.45910000000003</v>
      </c>
      <c r="K17" s="1658">
        <f>E17-H17</f>
        <v>0</v>
      </c>
    </row>
    <row r="18" spans="1:13" s="1659" customFormat="1" ht="25.5" x14ac:dyDescent="0.2">
      <c r="A18" s="1533">
        <v>10</v>
      </c>
      <c r="B18" s="595" t="s">
        <v>2711</v>
      </c>
      <c r="C18" s="1657">
        <f t="shared" si="2"/>
        <v>1235</v>
      </c>
      <c r="D18" s="1657">
        <v>506.06600000000003</v>
      </c>
      <c r="E18" s="1657">
        <v>728.93399999999997</v>
      </c>
      <c r="F18" s="1657">
        <f t="shared" si="1"/>
        <v>1235</v>
      </c>
      <c r="G18" s="1665">
        <v>506.06600000000003</v>
      </c>
      <c r="H18" s="1657">
        <v>728.93399999999997</v>
      </c>
      <c r="I18" s="1657">
        <f t="shared" ref="I18:I31" si="5">J18+K18</f>
        <v>0</v>
      </c>
      <c r="J18" s="1658">
        <f t="shared" ref="J18:J31" si="6">D18-G18</f>
        <v>0</v>
      </c>
      <c r="K18" s="1658">
        <f t="shared" ref="K18:K31" si="7">E18-H18</f>
        <v>0</v>
      </c>
    </row>
    <row r="19" spans="1:13" s="1659" customFormat="1" x14ac:dyDescent="0.2">
      <c r="A19" s="1533">
        <v>11</v>
      </c>
      <c r="B19" s="1533" t="s">
        <v>2738</v>
      </c>
      <c r="C19" s="1657">
        <f t="shared" si="2"/>
        <v>0</v>
      </c>
      <c r="D19" s="1657"/>
      <c r="E19" s="1657"/>
      <c r="F19" s="1657">
        <f t="shared" si="1"/>
        <v>0</v>
      </c>
      <c r="G19" s="1665"/>
      <c r="H19" s="1657"/>
      <c r="I19" s="1657">
        <f t="shared" si="5"/>
        <v>0</v>
      </c>
      <c r="J19" s="1658">
        <f t="shared" si="6"/>
        <v>0</v>
      </c>
      <c r="K19" s="1658">
        <f t="shared" si="7"/>
        <v>0</v>
      </c>
    </row>
    <row r="20" spans="1:13" s="1659" customFormat="1" ht="51" x14ac:dyDescent="0.2">
      <c r="A20" s="1533">
        <v>12</v>
      </c>
      <c r="B20" s="595" t="s">
        <v>2687</v>
      </c>
      <c r="C20" s="1657">
        <f t="shared" si="2"/>
        <v>190.21100000000001</v>
      </c>
      <c r="D20" s="1657">
        <v>190.21100000000001</v>
      </c>
      <c r="E20" s="1657"/>
      <c r="F20" s="1657">
        <f t="shared" si="1"/>
        <v>190.21100000000001</v>
      </c>
      <c r="G20" s="1665">
        <v>190.21100000000001</v>
      </c>
      <c r="H20" s="1657"/>
      <c r="I20" s="1657">
        <f>J20+K20</f>
        <v>0</v>
      </c>
      <c r="J20" s="1658">
        <f>D20-G20</f>
        <v>0</v>
      </c>
      <c r="K20" s="1658">
        <f>E20-H20</f>
        <v>0</v>
      </c>
    </row>
    <row r="21" spans="1:13" s="1659" customFormat="1" ht="38.25" x14ac:dyDescent="0.2">
      <c r="A21" s="1533">
        <v>13</v>
      </c>
      <c r="B21" s="595" t="s">
        <v>2683</v>
      </c>
      <c r="C21" s="734">
        <f t="shared" si="2"/>
        <v>51.04</v>
      </c>
      <c r="D21" s="1657"/>
      <c r="E21" s="1657">
        <v>51.04</v>
      </c>
      <c r="F21" s="1657">
        <f t="shared" si="1"/>
        <v>51.04</v>
      </c>
      <c r="G21" s="1665"/>
      <c r="H21" s="1657">
        <v>51.04</v>
      </c>
      <c r="I21" s="1657">
        <f t="shared" si="5"/>
        <v>0</v>
      </c>
      <c r="J21" s="1658">
        <f t="shared" si="6"/>
        <v>0</v>
      </c>
      <c r="K21" s="1658">
        <f t="shared" si="7"/>
        <v>0</v>
      </c>
    </row>
    <row r="22" spans="1:13" s="1659" customFormat="1" x14ac:dyDescent="0.2">
      <c r="A22" s="1533">
        <v>14</v>
      </c>
      <c r="B22" s="1660" t="s">
        <v>2701</v>
      </c>
      <c r="C22" s="734">
        <v>213.66200000000001</v>
      </c>
      <c r="D22" s="734">
        <v>213.66200000000001</v>
      </c>
      <c r="E22" s="1657"/>
      <c r="F22" s="1657">
        <f t="shared" si="1"/>
        <v>213.66200000000001</v>
      </c>
      <c r="G22" s="1665">
        <v>213.66200000000001</v>
      </c>
      <c r="H22" s="1657"/>
      <c r="I22" s="1657">
        <f t="shared" si="5"/>
        <v>0</v>
      </c>
      <c r="J22" s="1658">
        <f t="shared" si="6"/>
        <v>0</v>
      </c>
      <c r="K22" s="1658">
        <f t="shared" si="7"/>
        <v>0</v>
      </c>
    </row>
    <row r="23" spans="1:13" s="1659" customFormat="1" x14ac:dyDescent="0.2">
      <c r="A23" s="1533">
        <v>15</v>
      </c>
      <c r="B23" s="1660" t="s">
        <v>2703</v>
      </c>
      <c r="C23" s="734">
        <v>205.8</v>
      </c>
      <c r="D23" s="734">
        <v>64.040000000000006</v>
      </c>
      <c r="E23" s="734">
        <v>141.76</v>
      </c>
      <c r="F23" s="1657">
        <f t="shared" si="1"/>
        <v>205.8</v>
      </c>
      <c r="G23" s="1665">
        <v>64.040000000000006</v>
      </c>
      <c r="H23" s="1657">
        <v>141.76</v>
      </c>
      <c r="I23" s="1657">
        <f t="shared" si="5"/>
        <v>0</v>
      </c>
      <c r="J23" s="1658">
        <f t="shared" si="6"/>
        <v>0</v>
      </c>
      <c r="K23" s="1658">
        <f t="shared" si="7"/>
        <v>0</v>
      </c>
    </row>
    <row r="24" spans="1:13" s="1659" customFormat="1" x14ac:dyDescent="0.2">
      <c r="A24" s="1533">
        <v>16</v>
      </c>
      <c r="B24" s="1660" t="s">
        <v>2705</v>
      </c>
      <c r="C24" s="734">
        <v>13.44</v>
      </c>
      <c r="D24" s="1657"/>
      <c r="E24" s="1657">
        <v>13.44</v>
      </c>
      <c r="F24" s="1657">
        <f t="shared" si="1"/>
        <v>13.44</v>
      </c>
      <c r="G24" s="1665"/>
      <c r="H24" s="1657">
        <v>13.44</v>
      </c>
      <c r="I24" s="1657">
        <f t="shared" si="5"/>
        <v>0</v>
      </c>
      <c r="J24" s="1658">
        <f t="shared" si="6"/>
        <v>0</v>
      </c>
      <c r="K24" s="1658">
        <f t="shared" si="7"/>
        <v>0</v>
      </c>
    </row>
    <row r="25" spans="1:13" s="1659" customFormat="1" x14ac:dyDescent="0.2">
      <c r="A25" s="1533">
        <v>17</v>
      </c>
      <c r="B25" s="1660" t="s">
        <v>2648</v>
      </c>
      <c r="C25" s="734">
        <f t="shared" si="2"/>
        <v>1144</v>
      </c>
      <c r="D25" s="734">
        <v>1144</v>
      </c>
      <c r="E25" s="734"/>
      <c r="F25" s="734">
        <f t="shared" si="1"/>
        <v>1137.963</v>
      </c>
      <c r="G25" s="1661">
        <v>1137.963</v>
      </c>
      <c r="H25" s="734"/>
      <c r="I25" s="734">
        <f>J25+K25</f>
        <v>6.0370000000000346</v>
      </c>
      <c r="J25" s="1655">
        <f t="shared" ref="J25:K29" si="8">D25-G25</f>
        <v>6.0370000000000346</v>
      </c>
      <c r="K25" s="1655">
        <f t="shared" si="8"/>
        <v>0</v>
      </c>
    </row>
    <row r="26" spans="1:13" s="1659" customFormat="1" x14ac:dyDescent="0.2">
      <c r="A26" s="1533">
        <v>18</v>
      </c>
      <c r="B26" s="1660" t="s">
        <v>2649</v>
      </c>
      <c r="C26" s="734">
        <f t="shared" si="2"/>
        <v>202</v>
      </c>
      <c r="D26" s="734">
        <v>202</v>
      </c>
      <c r="E26" s="734"/>
      <c r="F26" s="734">
        <f t="shared" si="1"/>
        <v>202</v>
      </c>
      <c r="G26" s="1661">
        <v>202</v>
      </c>
      <c r="H26" s="734"/>
      <c r="I26" s="734">
        <f>J26+K26</f>
        <v>0</v>
      </c>
      <c r="J26" s="1655">
        <f t="shared" si="8"/>
        <v>0</v>
      </c>
      <c r="K26" s="1655">
        <f t="shared" si="8"/>
        <v>0</v>
      </c>
    </row>
    <row r="27" spans="1:13" s="1659" customFormat="1" ht="25.5" x14ac:dyDescent="0.2">
      <c r="A27" s="1533">
        <v>19</v>
      </c>
      <c r="B27" s="1660" t="s">
        <v>2746</v>
      </c>
      <c r="C27" s="734">
        <f t="shared" si="2"/>
        <v>7901</v>
      </c>
      <c r="D27" s="734">
        <f>12817-4916</f>
        <v>7901</v>
      </c>
      <c r="E27" s="734"/>
      <c r="F27" s="734">
        <f t="shared" si="1"/>
        <v>7634.3459999999995</v>
      </c>
      <c r="G27" s="1661">
        <f>12550.346-4916</f>
        <v>7634.3459999999995</v>
      </c>
      <c r="H27" s="734"/>
      <c r="I27" s="734">
        <f>J27+K27</f>
        <v>266.65400000000045</v>
      </c>
      <c r="J27" s="1655">
        <f t="shared" si="8"/>
        <v>266.65400000000045</v>
      </c>
      <c r="K27" s="1655">
        <f t="shared" si="8"/>
        <v>0</v>
      </c>
      <c r="L27" s="1659">
        <f>'5.30'!E44</f>
        <v>214.55410000000001</v>
      </c>
      <c r="M27" s="1713">
        <f>J27-L27</f>
        <v>52.099900000000446</v>
      </c>
    </row>
    <row r="28" spans="1:13" s="1659" customFormat="1" ht="25.5" x14ac:dyDescent="0.2">
      <c r="A28" s="1533">
        <v>20</v>
      </c>
      <c r="B28" s="1173" t="s">
        <v>2651</v>
      </c>
      <c r="C28" s="734">
        <f t="shared" si="2"/>
        <v>1122</v>
      </c>
      <c r="D28" s="734">
        <v>1122</v>
      </c>
      <c r="E28" s="734"/>
      <c r="F28" s="734">
        <f t="shared" si="1"/>
        <v>907.38400000000001</v>
      </c>
      <c r="G28" s="1661">
        <f>4482.384-3575</f>
        <v>907.38400000000001</v>
      </c>
      <c r="H28" s="734"/>
      <c r="I28" s="734">
        <f>J28+K28</f>
        <v>214.61599999999999</v>
      </c>
      <c r="J28" s="1655">
        <f t="shared" si="8"/>
        <v>214.61599999999999</v>
      </c>
      <c r="K28" s="1655">
        <f t="shared" si="8"/>
        <v>0</v>
      </c>
    </row>
    <row r="29" spans="1:13" s="1659" customFormat="1" ht="25.5" x14ac:dyDescent="0.2">
      <c r="A29" s="1533">
        <v>21</v>
      </c>
      <c r="B29" s="1173" t="s">
        <v>2652</v>
      </c>
      <c r="C29" s="734">
        <f t="shared" si="2"/>
        <v>270</v>
      </c>
      <c r="D29" s="734">
        <v>270</v>
      </c>
      <c r="E29" s="734"/>
      <c r="F29" s="734">
        <f t="shared" si="1"/>
        <v>270.13</v>
      </c>
      <c r="G29" s="1661">
        <v>270.13</v>
      </c>
      <c r="H29" s="734"/>
      <c r="I29" s="1662">
        <f>J29+K29</f>
        <v>-0.12999999999999545</v>
      </c>
      <c r="J29" s="1663">
        <f t="shared" si="8"/>
        <v>-0.12999999999999545</v>
      </c>
      <c r="K29" s="1655">
        <f t="shared" si="8"/>
        <v>0</v>
      </c>
    </row>
    <row r="30" spans="1:13" s="1659" customFormat="1" x14ac:dyDescent="0.2">
      <c r="A30" s="1533">
        <v>22</v>
      </c>
      <c r="B30" s="1173" t="s">
        <v>2653</v>
      </c>
      <c r="C30" s="734">
        <f t="shared" si="2"/>
        <v>1255</v>
      </c>
      <c r="D30" s="734">
        <v>1255</v>
      </c>
      <c r="E30" s="734"/>
      <c r="F30" s="734">
        <f t="shared" si="1"/>
        <v>1244.320322</v>
      </c>
      <c r="G30" s="1661">
        <v>1244.320322</v>
      </c>
      <c r="H30" s="734"/>
      <c r="I30" s="734">
        <f t="shared" si="5"/>
        <v>10.679677999999967</v>
      </c>
      <c r="J30" s="1655">
        <f t="shared" si="6"/>
        <v>10.679677999999967</v>
      </c>
      <c r="K30" s="1655">
        <f t="shared" si="7"/>
        <v>0</v>
      </c>
    </row>
    <row r="31" spans="1:13" s="1659" customFormat="1" ht="25.5" x14ac:dyDescent="0.2">
      <c r="A31" s="1533">
        <v>23</v>
      </c>
      <c r="B31" s="1173" t="s">
        <v>2748</v>
      </c>
      <c r="C31" s="734">
        <f t="shared" si="2"/>
        <v>3680</v>
      </c>
      <c r="D31" s="734">
        <f>729+2884+67</f>
        <v>3680</v>
      </c>
      <c r="E31" s="734"/>
      <c r="F31" s="734">
        <f t="shared" si="1"/>
        <v>3558.7326670000002</v>
      </c>
      <c r="G31" s="1661">
        <f>691.865+2866.867667</f>
        <v>3558.7326670000002</v>
      </c>
      <c r="H31" s="734"/>
      <c r="I31" s="734">
        <f t="shared" si="5"/>
        <v>121.26733299999978</v>
      </c>
      <c r="J31" s="1655">
        <f t="shared" si="6"/>
        <v>121.26733299999978</v>
      </c>
      <c r="K31" s="1655">
        <f t="shared" si="7"/>
        <v>0</v>
      </c>
    </row>
    <row r="32" spans="1:13" s="1659" customFormat="1" ht="25.5" x14ac:dyDescent="0.2">
      <c r="A32" s="1533">
        <v>24</v>
      </c>
      <c r="B32" s="1173" t="s">
        <v>2681</v>
      </c>
      <c r="C32" s="734">
        <f t="shared" si="2"/>
        <v>1027.604</v>
      </c>
      <c r="D32" s="734">
        <v>1027.604</v>
      </c>
      <c r="E32" s="734"/>
      <c r="F32" s="734">
        <f t="shared" si="1"/>
        <v>949.36305900000002</v>
      </c>
      <c r="G32" s="1661">
        <f>771.577259+177.7858</f>
        <v>949.36305900000002</v>
      </c>
      <c r="H32" s="734"/>
      <c r="I32" s="734">
        <f t="shared" ref="I32:I45" si="9">J32+K32</f>
        <v>78.240941000000021</v>
      </c>
      <c r="J32" s="1655">
        <f t="shared" ref="J32:J45" si="10">D32-G32</f>
        <v>78.240941000000021</v>
      </c>
      <c r="K32" s="1655">
        <f t="shared" ref="K32:K45" si="11">E32-H32</f>
        <v>0</v>
      </c>
    </row>
    <row r="33" spans="1:11" s="1659" customFormat="1" ht="38.25" x14ac:dyDescent="0.2">
      <c r="A33" s="1533">
        <v>25</v>
      </c>
      <c r="B33" s="1173" t="s">
        <v>2750</v>
      </c>
      <c r="C33" s="734">
        <f t="shared" si="2"/>
        <v>5730</v>
      </c>
      <c r="D33" s="1657">
        <v>5730</v>
      </c>
      <c r="E33" s="1657"/>
      <c r="F33" s="734">
        <f t="shared" si="1"/>
        <v>5485.2184999999999</v>
      </c>
      <c r="G33" s="1665">
        <v>5485.2184999999999</v>
      </c>
      <c r="H33" s="1657"/>
      <c r="I33" s="734">
        <f t="shared" si="9"/>
        <v>244.78150000000005</v>
      </c>
      <c r="J33" s="1655">
        <f t="shared" si="10"/>
        <v>244.78150000000005</v>
      </c>
      <c r="K33" s="1655">
        <f t="shared" si="11"/>
        <v>0</v>
      </c>
    </row>
    <row r="34" spans="1:11" s="1659" customFormat="1" ht="25.5" x14ac:dyDescent="0.2">
      <c r="A34" s="1533">
        <v>26</v>
      </c>
      <c r="B34" s="1173" t="s">
        <v>2656</v>
      </c>
      <c r="C34" s="734">
        <f t="shared" si="2"/>
        <v>500</v>
      </c>
      <c r="D34" s="734">
        <v>500</v>
      </c>
      <c r="E34" s="1657"/>
      <c r="F34" s="734">
        <f t="shared" si="1"/>
        <v>495.06632300000001</v>
      </c>
      <c r="G34" s="1665">
        <v>495.06632300000001</v>
      </c>
      <c r="H34" s="1657"/>
      <c r="I34" s="734">
        <f t="shared" si="9"/>
        <v>4.9336769999999888</v>
      </c>
      <c r="J34" s="1655">
        <f t="shared" si="10"/>
        <v>4.9336769999999888</v>
      </c>
      <c r="K34" s="1655">
        <f t="shared" si="11"/>
        <v>0</v>
      </c>
    </row>
    <row r="35" spans="1:11" s="1659" customFormat="1" ht="25.5" x14ac:dyDescent="0.2">
      <c r="A35" s="1533">
        <v>27</v>
      </c>
      <c r="B35" s="1173" t="s">
        <v>2657</v>
      </c>
      <c r="C35" s="734">
        <f t="shared" si="2"/>
        <v>80</v>
      </c>
      <c r="D35" s="1657">
        <v>80</v>
      </c>
      <c r="E35" s="1657"/>
      <c r="F35" s="734">
        <f t="shared" si="1"/>
        <v>80.459999999999994</v>
      </c>
      <c r="G35" s="1665">
        <v>80.459999999999994</v>
      </c>
      <c r="H35" s="1657"/>
      <c r="I35" s="734">
        <f t="shared" si="9"/>
        <v>-0.45999999999999375</v>
      </c>
      <c r="J35" s="1666">
        <f t="shared" si="10"/>
        <v>-0.45999999999999375</v>
      </c>
      <c r="K35" s="1655">
        <f t="shared" si="11"/>
        <v>0</v>
      </c>
    </row>
    <row r="36" spans="1:11" s="1659" customFormat="1" ht="25.5" x14ac:dyDescent="0.2">
      <c r="A36" s="1533">
        <v>28</v>
      </c>
      <c r="B36" s="1173" t="s">
        <v>2751</v>
      </c>
      <c r="C36" s="734">
        <f t="shared" si="2"/>
        <v>1260</v>
      </c>
      <c r="D36" s="1657"/>
      <c r="E36" s="1657">
        <v>1260</v>
      </c>
      <c r="F36" s="734">
        <f t="shared" si="1"/>
        <v>1013.979</v>
      </c>
      <c r="G36" s="1665"/>
      <c r="H36" s="1657">
        <v>1013.979</v>
      </c>
      <c r="I36" s="734">
        <f t="shared" si="9"/>
        <v>246.02099999999996</v>
      </c>
      <c r="J36" s="1655">
        <f t="shared" si="10"/>
        <v>0</v>
      </c>
      <c r="K36" s="1655">
        <f t="shared" si="11"/>
        <v>246.02099999999996</v>
      </c>
    </row>
    <row r="37" spans="1:11" s="1659" customFormat="1" ht="25.5" x14ac:dyDescent="0.2">
      <c r="A37" s="1533">
        <v>29</v>
      </c>
      <c r="B37" s="595" t="s">
        <v>2752</v>
      </c>
      <c r="C37" s="734">
        <f t="shared" si="2"/>
        <v>700</v>
      </c>
      <c r="D37" s="1657">
        <v>700</v>
      </c>
      <c r="E37" s="1657"/>
      <c r="F37" s="734">
        <f t="shared" si="1"/>
        <v>717.7800000000002</v>
      </c>
      <c r="G37" s="1665">
        <f>2680.78-1963</f>
        <v>717.7800000000002</v>
      </c>
      <c r="H37" s="1657"/>
      <c r="I37" s="734">
        <f t="shared" si="9"/>
        <v>-17.7800000000002</v>
      </c>
      <c r="J37" s="1655">
        <f t="shared" si="10"/>
        <v>-17.7800000000002</v>
      </c>
      <c r="K37" s="1655">
        <f t="shared" si="11"/>
        <v>0</v>
      </c>
    </row>
    <row r="38" spans="1:11" s="1659" customFormat="1" ht="25.5" x14ac:dyDescent="0.2">
      <c r="A38" s="1533">
        <v>30</v>
      </c>
      <c r="B38" s="595" t="s">
        <v>1764</v>
      </c>
      <c r="C38" s="1657">
        <f t="shared" si="2"/>
        <v>853</v>
      </c>
      <c r="D38" s="1657">
        <v>853</v>
      </c>
      <c r="E38" s="1657"/>
      <c r="F38" s="734">
        <f t="shared" si="1"/>
        <v>817.89366900000005</v>
      </c>
      <c r="G38" s="1665">
        <v>817.89366900000005</v>
      </c>
      <c r="H38" s="1657"/>
      <c r="I38" s="734">
        <f t="shared" si="9"/>
        <v>35.106330999999955</v>
      </c>
      <c r="J38" s="1655">
        <f t="shared" si="10"/>
        <v>35.106330999999955</v>
      </c>
      <c r="K38" s="1667">
        <f t="shared" si="11"/>
        <v>0</v>
      </c>
    </row>
    <row r="39" spans="1:11" ht="25.5" x14ac:dyDescent="0.2">
      <c r="A39" s="1533">
        <v>31</v>
      </c>
      <c r="B39" s="595" t="s">
        <v>2660</v>
      </c>
      <c r="C39" s="734">
        <f t="shared" si="2"/>
        <v>53</v>
      </c>
      <c r="D39" s="734">
        <v>53</v>
      </c>
      <c r="E39" s="734"/>
      <c r="F39" s="734">
        <f t="shared" si="1"/>
        <v>86.378</v>
      </c>
      <c r="G39" s="1661">
        <v>86.378</v>
      </c>
      <c r="H39" s="734"/>
      <c r="I39" s="1664">
        <f t="shared" si="9"/>
        <v>-33.378</v>
      </c>
      <c r="J39" s="1667">
        <f t="shared" si="10"/>
        <v>-33.378</v>
      </c>
      <c r="K39" s="1667">
        <f t="shared" si="11"/>
        <v>0</v>
      </c>
    </row>
    <row r="40" spans="1:11" s="1659" customFormat="1" x14ac:dyDescent="0.2">
      <c r="A40" s="1533">
        <v>32</v>
      </c>
      <c r="B40" s="1173" t="s">
        <v>2661</v>
      </c>
      <c r="C40" s="1657">
        <f t="shared" si="2"/>
        <v>316</v>
      </c>
      <c r="D40" s="734">
        <v>316</v>
      </c>
      <c r="E40" s="1657"/>
      <c r="F40" s="734">
        <f t="shared" si="1"/>
        <v>298.084655</v>
      </c>
      <c r="G40" s="1661">
        <v>298.084655</v>
      </c>
      <c r="H40" s="1657"/>
      <c r="I40" s="1664">
        <f t="shared" si="9"/>
        <v>17.915345000000002</v>
      </c>
      <c r="J40" s="1667">
        <f t="shared" si="10"/>
        <v>17.915345000000002</v>
      </c>
      <c r="K40" s="1667">
        <f t="shared" si="11"/>
        <v>0</v>
      </c>
    </row>
    <row r="41" spans="1:11" x14ac:dyDescent="0.2">
      <c r="A41" s="1533">
        <v>33</v>
      </c>
      <c r="B41" s="595" t="s">
        <v>2662</v>
      </c>
      <c r="C41" s="734">
        <f t="shared" si="2"/>
        <v>35</v>
      </c>
      <c r="D41" s="734"/>
      <c r="E41" s="734">
        <v>35</v>
      </c>
      <c r="F41" s="734">
        <f t="shared" si="1"/>
        <v>29.5639</v>
      </c>
      <c r="G41" s="1661"/>
      <c r="H41" s="734">
        <v>29.5639</v>
      </c>
      <c r="I41" s="734">
        <f t="shared" si="9"/>
        <v>5.4360999999999997</v>
      </c>
      <c r="J41" s="1655">
        <f t="shared" si="10"/>
        <v>0</v>
      </c>
      <c r="K41" s="1655">
        <f t="shared" si="11"/>
        <v>5.4360999999999997</v>
      </c>
    </row>
    <row r="42" spans="1:11" s="1659" customFormat="1" ht="25.5" x14ac:dyDescent="0.2">
      <c r="A42" s="1533">
        <v>34</v>
      </c>
      <c r="B42" s="595" t="s">
        <v>1768</v>
      </c>
      <c r="C42" s="1657">
        <f t="shared" si="2"/>
        <v>30</v>
      </c>
      <c r="D42" s="1657">
        <v>30</v>
      </c>
      <c r="E42" s="1657"/>
      <c r="F42" s="734">
        <f t="shared" si="1"/>
        <v>29.837122000000001</v>
      </c>
      <c r="G42" s="1665">
        <v>29.837122000000001</v>
      </c>
      <c r="H42" s="1657"/>
      <c r="I42" s="1668">
        <f t="shared" si="9"/>
        <v>0.16287799999999919</v>
      </c>
      <c r="J42" s="1669">
        <f t="shared" si="10"/>
        <v>0.16287799999999919</v>
      </c>
      <c r="K42" s="1667">
        <f t="shared" si="11"/>
        <v>0</v>
      </c>
    </row>
    <row r="43" spans="1:11" ht="38.25" x14ac:dyDescent="0.2">
      <c r="A43" s="1533">
        <v>35</v>
      </c>
      <c r="B43" s="1173" t="s">
        <v>2669</v>
      </c>
      <c r="C43" s="734">
        <f t="shared" si="2"/>
        <v>300</v>
      </c>
      <c r="D43" s="734">
        <v>300</v>
      </c>
      <c r="E43" s="734"/>
      <c r="F43" s="734">
        <f t="shared" si="1"/>
        <v>0</v>
      </c>
      <c r="G43" s="1661"/>
      <c r="H43" s="734"/>
      <c r="I43" s="734">
        <f t="shared" si="9"/>
        <v>300</v>
      </c>
      <c r="J43" s="1655">
        <f t="shared" si="10"/>
        <v>300</v>
      </c>
      <c r="K43" s="1667">
        <f t="shared" si="11"/>
        <v>0</v>
      </c>
    </row>
    <row r="44" spans="1:11" s="1659" customFormat="1" ht="25.5" x14ac:dyDescent="0.2">
      <c r="A44" s="1533">
        <v>36</v>
      </c>
      <c r="B44" s="1173" t="s">
        <v>2663</v>
      </c>
      <c r="C44" s="1657">
        <f t="shared" si="2"/>
        <v>27</v>
      </c>
      <c r="D44" s="1657">
        <v>27</v>
      </c>
      <c r="E44" s="1657"/>
      <c r="F44" s="734">
        <f t="shared" si="1"/>
        <v>27</v>
      </c>
      <c r="G44" s="1665">
        <v>27</v>
      </c>
      <c r="H44" s="1657"/>
      <c r="I44" s="1664">
        <f t="shared" si="9"/>
        <v>0</v>
      </c>
      <c r="J44" s="1667">
        <f t="shared" si="10"/>
        <v>0</v>
      </c>
      <c r="K44" s="1667">
        <f t="shared" si="11"/>
        <v>0</v>
      </c>
    </row>
    <row r="45" spans="1:11" s="1659" customFormat="1" ht="25.5" x14ac:dyDescent="0.2">
      <c r="A45" s="1533">
        <v>37</v>
      </c>
      <c r="B45" s="1173" t="s">
        <v>2664</v>
      </c>
      <c r="C45" s="1657">
        <f t="shared" si="2"/>
        <v>200</v>
      </c>
      <c r="D45" s="1657">
        <v>200</v>
      </c>
      <c r="E45" s="1657"/>
      <c r="F45" s="734">
        <f t="shared" si="1"/>
        <v>200</v>
      </c>
      <c r="G45" s="1665">
        <v>200</v>
      </c>
      <c r="H45" s="1657"/>
      <c r="I45" s="1664">
        <f t="shared" si="9"/>
        <v>0</v>
      </c>
      <c r="J45" s="1667">
        <f t="shared" si="10"/>
        <v>0</v>
      </c>
      <c r="K45" s="1667">
        <f t="shared" si="11"/>
        <v>0</v>
      </c>
    </row>
    <row r="46" spans="1:11" ht="25.5" x14ac:dyDescent="0.2">
      <c r="A46" s="1533">
        <v>38</v>
      </c>
      <c r="B46" s="1173" t="s">
        <v>2665</v>
      </c>
      <c r="C46" s="1657">
        <f t="shared" si="2"/>
        <v>470</v>
      </c>
      <c r="D46" s="734"/>
      <c r="E46" s="734">
        <v>470</v>
      </c>
      <c r="F46" s="1657">
        <f t="shared" si="1"/>
        <v>450</v>
      </c>
      <c r="G46" s="1661"/>
      <c r="H46" s="734">
        <v>450</v>
      </c>
      <c r="I46" s="1664">
        <f>J46+K46</f>
        <v>20</v>
      </c>
      <c r="J46" s="1667">
        <f>D46-G46</f>
        <v>0</v>
      </c>
      <c r="K46" s="1667">
        <f>E46-H46</f>
        <v>20</v>
      </c>
    </row>
    <row r="47" spans="1:11" ht="25.5" x14ac:dyDescent="0.2">
      <c r="A47" s="1533"/>
      <c r="B47" s="1173" t="s">
        <v>2329</v>
      </c>
      <c r="C47" s="1657">
        <f t="shared" si="2"/>
        <v>582</v>
      </c>
      <c r="D47" s="734">
        <v>582</v>
      </c>
      <c r="E47" s="734"/>
      <c r="F47" s="1657">
        <f t="shared" si="1"/>
        <v>582</v>
      </c>
      <c r="G47" s="1661">
        <v>582</v>
      </c>
      <c r="H47" s="734"/>
      <c r="I47" s="1664">
        <f t="shared" ref="I47:I52" si="12">J47+K47</f>
        <v>0</v>
      </c>
      <c r="J47" s="1667">
        <f t="shared" ref="J47:J52" si="13">D47-G47</f>
        <v>0</v>
      </c>
      <c r="K47" s="1667">
        <f t="shared" ref="K47:K52" si="14">E47-H47</f>
        <v>0</v>
      </c>
    </row>
    <row r="48" spans="1:11" ht="38.25" x14ac:dyDescent="0.2">
      <c r="A48" s="1533"/>
      <c r="B48" s="1173" t="s">
        <v>2666</v>
      </c>
      <c r="C48" s="1657">
        <f t="shared" si="2"/>
        <v>5496</v>
      </c>
      <c r="D48" s="734">
        <v>5496</v>
      </c>
      <c r="E48" s="734"/>
      <c r="F48" s="1657">
        <f t="shared" si="1"/>
        <v>5496</v>
      </c>
      <c r="G48" s="1661">
        <v>5496</v>
      </c>
      <c r="H48" s="734"/>
      <c r="I48" s="1664">
        <f t="shared" si="12"/>
        <v>0</v>
      </c>
      <c r="J48" s="1667">
        <f t="shared" si="13"/>
        <v>0</v>
      </c>
      <c r="K48" s="1667">
        <f t="shared" si="14"/>
        <v>0</v>
      </c>
    </row>
    <row r="49" spans="1:12" ht="38.25" x14ac:dyDescent="0.2">
      <c r="A49" s="1533"/>
      <c r="B49" s="1173" t="s">
        <v>2667</v>
      </c>
      <c r="C49" s="1657">
        <f t="shared" si="2"/>
        <v>357</v>
      </c>
      <c r="D49" s="734">
        <v>357</v>
      </c>
      <c r="E49" s="734"/>
      <c r="F49" s="1657">
        <f t="shared" si="1"/>
        <v>0</v>
      </c>
      <c r="G49" s="1661"/>
      <c r="H49" s="734"/>
      <c r="I49" s="734">
        <f t="shared" si="12"/>
        <v>357</v>
      </c>
      <c r="J49" s="1655">
        <f t="shared" si="13"/>
        <v>357</v>
      </c>
      <c r="K49" s="1667">
        <f t="shared" si="14"/>
        <v>0</v>
      </c>
    </row>
    <row r="50" spans="1:12" ht="25.5" x14ac:dyDescent="0.2">
      <c r="A50" s="1533"/>
      <c r="B50" s="595" t="s">
        <v>2668</v>
      </c>
      <c r="C50" s="734">
        <f t="shared" si="2"/>
        <v>800</v>
      </c>
      <c r="D50" s="734">
        <v>800</v>
      </c>
      <c r="E50" s="734"/>
      <c r="F50" s="734">
        <f t="shared" si="1"/>
        <v>762.41301099999998</v>
      </c>
      <c r="G50" s="1661">
        <v>762.41301099999998</v>
      </c>
      <c r="H50" s="734"/>
      <c r="I50" s="734">
        <f t="shared" si="12"/>
        <v>37.586989000000017</v>
      </c>
      <c r="J50" s="1655">
        <f t="shared" si="13"/>
        <v>37.586989000000017</v>
      </c>
      <c r="K50" s="1667">
        <f t="shared" si="14"/>
        <v>0</v>
      </c>
    </row>
    <row r="51" spans="1:12" x14ac:dyDescent="0.2">
      <c r="A51" s="1533"/>
      <c r="B51" s="595" t="s">
        <v>1770</v>
      </c>
      <c r="C51" s="734">
        <f t="shared" si="2"/>
        <v>133</v>
      </c>
      <c r="D51" s="734">
        <v>133</v>
      </c>
      <c r="E51" s="734"/>
      <c r="F51" s="1657">
        <f t="shared" si="1"/>
        <v>0</v>
      </c>
      <c r="G51" s="1661"/>
      <c r="H51" s="734"/>
      <c r="I51" s="734">
        <f t="shared" si="12"/>
        <v>133</v>
      </c>
      <c r="J51" s="1655">
        <f t="shared" si="13"/>
        <v>133</v>
      </c>
      <c r="K51" s="1667">
        <f t="shared" si="14"/>
        <v>0</v>
      </c>
    </row>
    <row r="52" spans="1:12" x14ac:dyDescent="0.2">
      <c r="A52" s="1533"/>
      <c r="B52" s="1173" t="s">
        <v>1771</v>
      </c>
      <c r="C52" s="734">
        <f t="shared" si="2"/>
        <v>1200</v>
      </c>
      <c r="D52" s="734">
        <v>1200</v>
      </c>
      <c r="E52" s="734"/>
      <c r="F52" s="734">
        <f t="shared" si="1"/>
        <v>1200</v>
      </c>
      <c r="G52" s="1661">
        <v>1200</v>
      </c>
      <c r="H52" s="734"/>
      <c r="I52" s="734">
        <f t="shared" si="12"/>
        <v>0</v>
      </c>
      <c r="J52" s="1655">
        <f t="shared" si="13"/>
        <v>0</v>
      </c>
      <c r="K52" s="1667">
        <f t="shared" si="14"/>
        <v>0</v>
      </c>
    </row>
    <row r="53" spans="1:12" s="587" customFormat="1" x14ac:dyDescent="0.2">
      <c r="A53" s="1670" t="s">
        <v>866</v>
      </c>
      <c r="B53" s="594" t="s">
        <v>2730</v>
      </c>
      <c r="C53" s="1664">
        <f>C54+C56+C58+C62+C65+C70+C72</f>
        <v>11810.882217</v>
      </c>
      <c r="D53" s="1664">
        <f t="shared" ref="D53:K53" si="15">SUM(D57:D64)</f>
        <v>10865.937600000001</v>
      </c>
      <c r="E53" s="1664">
        <f t="shared" si="15"/>
        <v>5740.3951999999999</v>
      </c>
      <c r="F53" s="1664">
        <f t="shared" si="15"/>
        <v>13753.569220999998</v>
      </c>
      <c r="G53" s="1668">
        <f t="shared" si="15"/>
        <v>8018.6713999999993</v>
      </c>
      <c r="H53" s="1664">
        <f t="shared" si="15"/>
        <v>5734.8978210000005</v>
      </c>
      <c r="I53" s="1664">
        <f t="shared" si="15"/>
        <v>2852.7635790000008</v>
      </c>
      <c r="J53" s="1664">
        <f t="shared" si="15"/>
        <v>2847.2662000000009</v>
      </c>
      <c r="K53" s="1664">
        <f t="shared" si="15"/>
        <v>5.4973790000000236</v>
      </c>
    </row>
    <row r="54" spans="1:12" s="587" customFormat="1" x14ac:dyDescent="0.2">
      <c r="A54" s="1670">
        <v>1</v>
      </c>
      <c r="B54" s="594" t="s">
        <v>1612</v>
      </c>
      <c r="C54" s="1664">
        <f>C55</f>
        <v>648</v>
      </c>
      <c r="D54" s="1664">
        <f t="shared" ref="D54:K54" si="16">D55</f>
        <v>130</v>
      </c>
      <c r="E54" s="1664">
        <f t="shared" si="16"/>
        <v>518</v>
      </c>
      <c r="F54" s="1664">
        <f t="shared" si="16"/>
        <v>644.73082499999998</v>
      </c>
      <c r="G54" s="1668">
        <f t="shared" si="16"/>
        <v>130</v>
      </c>
      <c r="H54" s="1664">
        <f t="shared" si="16"/>
        <v>514.73082499999998</v>
      </c>
      <c r="I54" s="1664">
        <f t="shared" si="16"/>
        <v>3.2691750000000184</v>
      </c>
      <c r="J54" s="1664">
        <f t="shared" si="16"/>
        <v>0</v>
      </c>
      <c r="K54" s="1664">
        <f t="shared" si="16"/>
        <v>3.2691750000000184</v>
      </c>
    </row>
    <row r="55" spans="1:12" s="587" customFormat="1" x14ac:dyDescent="0.2">
      <c r="A55" s="1670"/>
      <c r="B55" s="1533" t="s">
        <v>2735</v>
      </c>
      <c r="C55" s="734">
        <f>D55+E55</f>
        <v>648</v>
      </c>
      <c r="D55" s="734">
        <v>130</v>
      </c>
      <c r="E55" s="734">
        <f>648-130</f>
        <v>518</v>
      </c>
      <c r="F55" s="1657">
        <f>G55+H55</f>
        <v>644.73082499999998</v>
      </c>
      <c r="G55" s="1661">
        <v>130</v>
      </c>
      <c r="H55" s="734">
        <v>514.73082499999998</v>
      </c>
      <c r="I55" s="734">
        <f>J55+K55</f>
        <v>3.2691750000000184</v>
      </c>
      <c r="J55" s="1655">
        <f>D55-G55</f>
        <v>0</v>
      </c>
      <c r="K55" s="1655">
        <f>E55-H55</f>
        <v>3.2691750000000184</v>
      </c>
    </row>
    <row r="56" spans="1:12" s="587" customFormat="1" x14ac:dyDescent="0.2">
      <c r="A56" s="1670">
        <v>2</v>
      </c>
      <c r="B56" s="594" t="s">
        <v>2739</v>
      </c>
      <c r="C56" s="1664">
        <f>C57</f>
        <v>600</v>
      </c>
      <c r="D56" s="1664">
        <f t="shared" ref="D56:K56" si="17">D57</f>
        <v>0</v>
      </c>
      <c r="E56" s="1664">
        <f t="shared" si="17"/>
        <v>600</v>
      </c>
      <c r="F56" s="1664">
        <f t="shared" si="17"/>
        <v>594.50262099999998</v>
      </c>
      <c r="G56" s="1668">
        <f t="shared" si="17"/>
        <v>0</v>
      </c>
      <c r="H56" s="1664">
        <f t="shared" si="17"/>
        <v>594.50262099999998</v>
      </c>
      <c r="I56" s="1664">
        <f t="shared" si="17"/>
        <v>5.4973790000000236</v>
      </c>
      <c r="J56" s="1664">
        <f t="shared" si="17"/>
        <v>0</v>
      </c>
      <c r="K56" s="1664">
        <f t="shared" si="17"/>
        <v>5.4973790000000236</v>
      </c>
    </row>
    <row r="57" spans="1:12" ht="38.25" x14ac:dyDescent="0.2">
      <c r="A57" s="1533">
        <v>1</v>
      </c>
      <c r="B57" s="595" t="s">
        <v>2729</v>
      </c>
      <c r="C57" s="734">
        <f t="shared" si="2"/>
        <v>600</v>
      </c>
      <c r="D57" s="734"/>
      <c r="E57" s="734">
        <v>600</v>
      </c>
      <c r="F57" s="1657">
        <f t="shared" si="1"/>
        <v>594.50262099999998</v>
      </c>
      <c r="G57" s="1661"/>
      <c r="H57" s="734">
        <v>594.50262099999998</v>
      </c>
      <c r="I57" s="734">
        <f>J57+K57</f>
        <v>5.4973790000000236</v>
      </c>
      <c r="J57" s="1655">
        <f>D57-G57</f>
        <v>0</v>
      </c>
      <c r="K57" s="1655">
        <f>E57-H57</f>
        <v>5.4973790000000236</v>
      </c>
    </row>
    <row r="58" spans="1:12" s="587" customFormat="1" x14ac:dyDescent="0.2">
      <c r="A58" s="1670">
        <v>3</v>
      </c>
      <c r="B58" s="594" t="s">
        <v>2740</v>
      </c>
      <c r="C58" s="1664">
        <f t="shared" ref="C58:L58" si="18">C59+C60+C61</f>
        <v>7003.1664000000001</v>
      </c>
      <c r="D58" s="1664">
        <f t="shared" si="18"/>
        <v>5432.9688000000006</v>
      </c>
      <c r="E58" s="1664">
        <f t="shared" si="18"/>
        <v>1570.1976</v>
      </c>
      <c r="F58" s="1664">
        <f t="shared" si="18"/>
        <v>5579.5332999999991</v>
      </c>
      <c r="G58" s="1668">
        <f t="shared" si="18"/>
        <v>4009.3356999999996</v>
      </c>
      <c r="H58" s="1664">
        <f t="shared" si="18"/>
        <v>1570.1976</v>
      </c>
      <c r="I58" s="1664">
        <f t="shared" si="18"/>
        <v>1423.6331000000005</v>
      </c>
      <c r="J58" s="1664">
        <f t="shared" si="18"/>
        <v>1423.6331000000005</v>
      </c>
      <c r="K58" s="1664">
        <f t="shared" si="18"/>
        <v>0</v>
      </c>
      <c r="L58" s="1664">
        <f t="shared" si="18"/>
        <v>0</v>
      </c>
    </row>
    <row r="59" spans="1:12" ht="38.25" x14ac:dyDescent="0.2">
      <c r="A59" s="1533" t="s">
        <v>174</v>
      </c>
      <c r="B59" s="595" t="s">
        <v>2679</v>
      </c>
      <c r="C59" s="734">
        <v>2608</v>
      </c>
      <c r="D59" s="734">
        <v>1037.8024</v>
      </c>
      <c r="E59" s="734">
        <v>1570.1976</v>
      </c>
      <c r="F59" s="734">
        <v>2608</v>
      </c>
      <c r="G59" s="1661">
        <f>1037.8024</f>
        <v>1037.8024</v>
      </c>
      <c r="H59" s="734">
        <v>1570.1976</v>
      </c>
      <c r="I59" s="734">
        <f>J59+K59</f>
        <v>0</v>
      </c>
      <c r="J59" s="1655">
        <f t="shared" ref="J59:K61" si="19">D59-G59</f>
        <v>0</v>
      </c>
      <c r="K59" s="1655">
        <f t="shared" si="19"/>
        <v>0</v>
      </c>
    </row>
    <row r="60" spans="1:12" s="1659" customFormat="1" ht="51" x14ac:dyDescent="0.2">
      <c r="A60" s="1533" t="s">
        <v>796</v>
      </c>
      <c r="B60" s="595" t="s">
        <v>2759</v>
      </c>
      <c r="C60" s="734">
        <f>D60+E60</f>
        <v>3395.1664000000001</v>
      </c>
      <c r="D60" s="734">
        <v>3395.1664000000001</v>
      </c>
      <c r="E60" s="1657"/>
      <c r="F60" s="1657">
        <f>G60+H60</f>
        <v>2971.5332999999996</v>
      </c>
      <c r="G60" s="1665">
        <v>2971.5332999999996</v>
      </c>
      <c r="H60" s="1657"/>
      <c r="I60" s="1657">
        <f>J60+K60</f>
        <v>423.63310000000047</v>
      </c>
      <c r="J60" s="1658">
        <f t="shared" si="19"/>
        <v>423.63310000000047</v>
      </c>
      <c r="K60" s="1658">
        <f t="shared" si="19"/>
        <v>0</v>
      </c>
    </row>
    <row r="61" spans="1:12" x14ac:dyDescent="0.2">
      <c r="A61" s="1533" t="s">
        <v>1493</v>
      </c>
      <c r="B61" s="1660" t="s">
        <v>2709</v>
      </c>
      <c r="C61" s="734">
        <f t="shared" si="2"/>
        <v>1000</v>
      </c>
      <c r="D61" s="734">
        <v>1000</v>
      </c>
      <c r="E61" s="734"/>
      <c r="F61" s="1657">
        <f t="shared" si="1"/>
        <v>0</v>
      </c>
      <c r="G61" s="1661"/>
      <c r="H61" s="734"/>
      <c r="I61" s="734">
        <f>J61+K61</f>
        <v>1000</v>
      </c>
      <c r="J61" s="1655">
        <f t="shared" si="19"/>
        <v>1000</v>
      </c>
      <c r="K61" s="1655">
        <f t="shared" si="19"/>
        <v>0</v>
      </c>
    </row>
    <row r="62" spans="1:12" s="587" customFormat="1" x14ac:dyDescent="0.2">
      <c r="A62" s="1670">
        <v>4</v>
      </c>
      <c r="B62" s="594" t="s">
        <v>2741</v>
      </c>
      <c r="C62" s="1664">
        <f>SUM(C63:C64)</f>
        <v>1000</v>
      </c>
      <c r="D62" s="1664">
        <f t="shared" ref="D62:K62" si="20">SUM(D63:D64)</f>
        <v>0</v>
      </c>
      <c r="E62" s="1664">
        <f t="shared" si="20"/>
        <v>1000</v>
      </c>
      <c r="F62" s="1664">
        <f t="shared" si="20"/>
        <v>1000</v>
      </c>
      <c r="G62" s="1668">
        <f t="shared" si="20"/>
        <v>0</v>
      </c>
      <c r="H62" s="1664">
        <f t="shared" si="20"/>
        <v>1000</v>
      </c>
      <c r="I62" s="1664">
        <f t="shared" si="20"/>
        <v>0</v>
      </c>
      <c r="J62" s="1664">
        <f t="shared" si="20"/>
        <v>0</v>
      </c>
      <c r="K62" s="1664">
        <f t="shared" si="20"/>
        <v>0</v>
      </c>
    </row>
    <row r="63" spans="1:12" x14ac:dyDescent="0.2">
      <c r="A63" s="1533"/>
      <c r="B63" s="1533" t="s">
        <v>654</v>
      </c>
      <c r="C63" s="734">
        <f t="shared" si="2"/>
        <v>500</v>
      </c>
      <c r="D63" s="734"/>
      <c r="E63" s="734">
        <v>500</v>
      </c>
      <c r="F63" s="1657">
        <f t="shared" si="1"/>
        <v>500</v>
      </c>
      <c r="G63" s="1661"/>
      <c r="H63" s="734">
        <v>500</v>
      </c>
      <c r="I63" s="734">
        <f>J63+K63</f>
        <v>0</v>
      </c>
      <c r="J63" s="1655">
        <f>D63-G63</f>
        <v>0</v>
      </c>
      <c r="K63" s="1655">
        <f>E63-H63</f>
        <v>0</v>
      </c>
    </row>
    <row r="64" spans="1:12" x14ac:dyDescent="0.2">
      <c r="A64" s="1533"/>
      <c r="B64" s="1533" t="s">
        <v>2742</v>
      </c>
      <c r="C64" s="734">
        <f t="shared" si="2"/>
        <v>500</v>
      </c>
      <c r="D64" s="734"/>
      <c r="E64" s="734">
        <v>500</v>
      </c>
      <c r="F64" s="1657">
        <f t="shared" si="1"/>
        <v>500</v>
      </c>
      <c r="G64" s="1661"/>
      <c r="H64" s="734">
        <v>500</v>
      </c>
      <c r="I64" s="734">
        <f>J64+K64</f>
        <v>0</v>
      </c>
      <c r="J64" s="1655">
        <f>D64-G64</f>
        <v>0</v>
      </c>
      <c r="K64" s="1655">
        <f>E64-H64</f>
        <v>0</v>
      </c>
    </row>
    <row r="65" spans="1:11" s="587" customFormat="1" x14ac:dyDescent="0.2">
      <c r="A65" s="1670">
        <v>5</v>
      </c>
      <c r="B65" s="1670" t="s">
        <v>2743</v>
      </c>
      <c r="C65" s="1664">
        <f>C66</f>
        <v>535.06641400000001</v>
      </c>
      <c r="D65" s="1664">
        <f t="shared" ref="D65:K65" si="21">D66</f>
        <v>0</v>
      </c>
      <c r="E65" s="1664">
        <f t="shared" si="21"/>
        <v>535.06641400000001</v>
      </c>
      <c r="F65" s="1664">
        <f t="shared" si="21"/>
        <v>0</v>
      </c>
      <c r="G65" s="1668">
        <f t="shared" si="21"/>
        <v>0</v>
      </c>
      <c r="H65" s="1664">
        <f t="shared" si="21"/>
        <v>535.06641400000001</v>
      </c>
      <c r="I65" s="1664">
        <f t="shared" si="21"/>
        <v>0</v>
      </c>
      <c r="J65" s="1664">
        <f t="shared" si="21"/>
        <v>0</v>
      </c>
      <c r="K65" s="1664">
        <f t="shared" si="21"/>
        <v>0</v>
      </c>
    </row>
    <row r="66" spans="1:11" x14ac:dyDescent="0.2">
      <c r="A66" s="1533"/>
      <c r="B66" s="1533" t="s">
        <v>654</v>
      </c>
      <c r="C66" s="734">
        <f>E66</f>
        <v>535.06641400000001</v>
      </c>
      <c r="D66" s="734"/>
      <c r="E66" s="734">
        <v>535.06641400000001</v>
      </c>
      <c r="F66" s="1657"/>
      <c r="G66" s="1661"/>
      <c r="H66" s="734">
        <v>535.06641400000001</v>
      </c>
      <c r="I66" s="734"/>
      <c r="J66" s="1655"/>
      <c r="K66" s="1655"/>
    </row>
    <row r="67" spans="1:11" x14ac:dyDescent="0.2">
      <c r="A67" s="1533"/>
      <c r="B67" s="595" t="s">
        <v>2760</v>
      </c>
      <c r="C67" s="734">
        <f>E67</f>
        <v>109.30308400000013</v>
      </c>
      <c r="D67" s="734"/>
      <c r="E67" s="734">
        <v>109.30308400000013</v>
      </c>
      <c r="F67" s="734">
        <f>G67+H67</f>
        <v>93.583084000000099</v>
      </c>
      <c r="G67" s="1661"/>
      <c r="H67" s="734">
        <f>1663.780684-H59</f>
        <v>93.583084000000099</v>
      </c>
      <c r="I67" s="734"/>
      <c r="J67" s="1655"/>
      <c r="K67" s="1655"/>
    </row>
    <row r="68" spans="1:11" x14ac:dyDescent="0.2">
      <c r="A68" s="1533"/>
      <c r="B68" s="595" t="s">
        <v>2761</v>
      </c>
      <c r="C68" s="734"/>
      <c r="D68" s="734"/>
      <c r="E68" s="734"/>
      <c r="F68" s="734"/>
      <c r="G68" s="1661"/>
      <c r="H68" s="734"/>
      <c r="I68" s="734"/>
      <c r="J68" s="1655"/>
      <c r="K68" s="1655"/>
    </row>
    <row r="69" spans="1:11" x14ac:dyDescent="0.2">
      <c r="A69" s="1533"/>
      <c r="B69" s="595"/>
      <c r="C69" s="734"/>
      <c r="D69" s="734"/>
      <c r="E69" s="734"/>
      <c r="F69" s="734"/>
      <c r="G69" s="1661"/>
      <c r="H69" s="734"/>
      <c r="I69" s="734"/>
      <c r="J69" s="1655"/>
      <c r="K69" s="1655"/>
    </row>
    <row r="70" spans="1:11" s="587" customFormat="1" x14ac:dyDescent="0.2">
      <c r="A70" s="1670">
        <v>6</v>
      </c>
      <c r="B70" s="1670" t="s">
        <v>2744</v>
      </c>
      <c r="C70" s="1664">
        <f>C71</f>
        <v>1300</v>
      </c>
      <c r="D70" s="1664">
        <f t="shared" ref="D70:K70" si="22">D71</f>
        <v>0</v>
      </c>
      <c r="E70" s="1664">
        <f t="shared" si="22"/>
        <v>1300</v>
      </c>
      <c r="F70" s="1664">
        <f t="shared" si="22"/>
        <v>1300</v>
      </c>
      <c r="G70" s="1668">
        <f t="shared" si="22"/>
        <v>0</v>
      </c>
      <c r="H70" s="1664">
        <f t="shared" si="22"/>
        <v>1300</v>
      </c>
      <c r="I70" s="1664">
        <f t="shared" si="22"/>
        <v>0</v>
      </c>
      <c r="J70" s="1664">
        <f t="shared" si="22"/>
        <v>0</v>
      </c>
      <c r="K70" s="1664">
        <f t="shared" si="22"/>
        <v>0</v>
      </c>
    </row>
    <row r="71" spans="1:11" x14ac:dyDescent="0.2">
      <c r="A71" s="1533"/>
      <c r="B71" s="1533" t="s">
        <v>654</v>
      </c>
      <c r="C71" s="734">
        <f t="shared" si="2"/>
        <v>1300</v>
      </c>
      <c r="D71" s="734"/>
      <c r="E71" s="734">
        <v>1300</v>
      </c>
      <c r="F71" s="1657">
        <f t="shared" si="1"/>
        <v>1300</v>
      </c>
      <c r="G71" s="1661"/>
      <c r="H71" s="734">
        <v>1300</v>
      </c>
      <c r="I71" s="734">
        <f>J71+K71</f>
        <v>0</v>
      </c>
      <c r="J71" s="1655">
        <f>D71-G71</f>
        <v>0</v>
      </c>
      <c r="K71" s="1655">
        <f>E71-H71</f>
        <v>0</v>
      </c>
    </row>
    <row r="72" spans="1:11" s="587" customFormat="1" x14ac:dyDescent="0.2">
      <c r="A72" s="1670">
        <v>7</v>
      </c>
      <c r="B72" s="1670" t="s">
        <v>2745</v>
      </c>
      <c r="C72" s="1664">
        <f>C73</f>
        <v>724.64940300000001</v>
      </c>
      <c r="D72" s="1664">
        <f t="shared" ref="D72:K72" si="23">D73</f>
        <v>0</v>
      </c>
      <c r="E72" s="1664">
        <f t="shared" si="23"/>
        <v>724.64940300000001</v>
      </c>
      <c r="F72" s="1664">
        <f t="shared" si="23"/>
        <v>719.37649999999996</v>
      </c>
      <c r="G72" s="1668">
        <f t="shared" si="23"/>
        <v>0</v>
      </c>
      <c r="H72" s="1664">
        <f t="shared" si="23"/>
        <v>719.37649999999996</v>
      </c>
      <c r="I72" s="1664">
        <f t="shared" si="23"/>
        <v>5.2729030000000421</v>
      </c>
      <c r="J72" s="1664">
        <f t="shared" si="23"/>
        <v>0</v>
      </c>
      <c r="K72" s="1664">
        <f t="shared" si="23"/>
        <v>5.2729030000000421</v>
      </c>
    </row>
    <row r="73" spans="1:11" x14ac:dyDescent="0.2">
      <c r="A73" s="1533"/>
      <c r="B73" s="1533" t="s">
        <v>2742</v>
      </c>
      <c r="C73" s="734">
        <f t="shared" si="2"/>
        <v>724.64940300000001</v>
      </c>
      <c r="D73" s="734"/>
      <c r="E73" s="734">
        <v>724.64940300000001</v>
      </c>
      <c r="F73" s="1657">
        <f t="shared" si="1"/>
        <v>719.37649999999996</v>
      </c>
      <c r="G73" s="1661"/>
      <c r="H73" s="734">
        <v>719.37649999999996</v>
      </c>
      <c r="I73" s="734">
        <f>J73+K73</f>
        <v>5.2729030000000421</v>
      </c>
      <c r="J73" s="1655">
        <f t="shared" ref="J73:K75" si="24">D73-G73</f>
        <v>0</v>
      </c>
      <c r="K73" s="1655">
        <f t="shared" si="24"/>
        <v>5.2729030000000421</v>
      </c>
    </row>
    <row r="74" spans="1:11" s="587" customFormat="1" ht="13.5" x14ac:dyDescent="0.25">
      <c r="A74" s="1670" t="s">
        <v>872</v>
      </c>
      <c r="B74" s="1670" t="s">
        <v>2737</v>
      </c>
      <c r="C74" s="1664">
        <f t="shared" si="2"/>
        <v>1033</v>
      </c>
      <c r="D74" s="1664">
        <v>1033</v>
      </c>
      <c r="E74" s="1664"/>
      <c r="F74" s="1671">
        <f t="shared" si="1"/>
        <v>0</v>
      </c>
      <c r="G74" s="1668"/>
      <c r="H74" s="1664"/>
      <c r="I74" s="1664">
        <f>J74+K74</f>
        <v>1033</v>
      </c>
      <c r="J74" s="1667">
        <f t="shared" si="24"/>
        <v>1033</v>
      </c>
      <c r="K74" s="1667">
        <f t="shared" si="24"/>
        <v>0</v>
      </c>
    </row>
    <row r="75" spans="1:11" x14ac:dyDescent="0.2">
      <c r="A75" s="1533"/>
      <c r="B75" s="1533"/>
      <c r="C75" s="734">
        <f t="shared" si="2"/>
        <v>0</v>
      </c>
      <c r="D75" s="734"/>
      <c r="E75" s="734"/>
      <c r="F75" s="1657">
        <f t="shared" si="1"/>
        <v>0</v>
      </c>
      <c r="G75" s="1661"/>
      <c r="H75" s="734"/>
      <c r="I75" s="734">
        <f>J75+K75</f>
        <v>0</v>
      </c>
      <c r="J75" s="1655">
        <f t="shared" si="24"/>
        <v>0</v>
      </c>
      <c r="K75" s="1655">
        <f t="shared" si="24"/>
        <v>0</v>
      </c>
    </row>
    <row r="76" spans="1:11" x14ac:dyDescent="0.2">
      <c r="A76" s="1533"/>
      <c r="B76" s="1533"/>
      <c r="C76" s="734">
        <f t="shared" si="2"/>
        <v>0</v>
      </c>
      <c r="D76" s="734"/>
      <c r="E76" s="734"/>
      <c r="F76" s="1657">
        <f t="shared" si="1"/>
        <v>0</v>
      </c>
      <c r="G76" s="1661"/>
      <c r="H76" s="734"/>
      <c r="I76" s="734">
        <f>J76+K76</f>
        <v>0</v>
      </c>
      <c r="J76" s="734"/>
      <c r="K76" s="1672"/>
    </row>
    <row r="77" spans="1:11" x14ac:dyDescent="0.2">
      <c r="A77" s="1533"/>
      <c r="B77" s="1533"/>
      <c r="C77" s="734"/>
      <c r="D77" s="734"/>
      <c r="E77" s="734"/>
      <c r="F77" s="734"/>
      <c r="G77" s="1661"/>
      <c r="H77" s="734"/>
      <c r="I77" s="734"/>
      <c r="J77" s="734"/>
      <c r="K77" s="1672"/>
    </row>
    <row r="78" spans="1:11" x14ac:dyDescent="0.2">
      <c r="A78" s="1673"/>
      <c r="B78" s="1673"/>
      <c r="C78" s="1674"/>
      <c r="D78" s="1674"/>
      <c r="E78" s="1674"/>
      <c r="F78" s="1674"/>
      <c r="G78" s="1724"/>
      <c r="H78" s="1674"/>
      <c r="I78" s="1674"/>
      <c r="J78" s="1674"/>
      <c r="K78" s="1675"/>
    </row>
    <row r="79" spans="1:11" x14ac:dyDescent="0.2">
      <c r="K79" s="1676"/>
    </row>
    <row r="80" spans="1:11" hidden="1" x14ac:dyDescent="0.2">
      <c r="C80" s="720">
        <v>3395.1664000000001</v>
      </c>
      <c r="D80" s="720">
        <v>2971.5332999999996</v>
      </c>
    </row>
    <row r="81" spans="3:8" hidden="1" x14ac:dyDescent="0.2"/>
    <row r="82" spans="3:8" hidden="1" x14ac:dyDescent="0.2"/>
    <row r="83" spans="3:8" hidden="1" x14ac:dyDescent="0.2"/>
    <row r="84" spans="3:8" hidden="1" x14ac:dyDescent="0.2"/>
    <row r="85" spans="3:8" hidden="1" x14ac:dyDescent="0.2">
      <c r="F85" s="720">
        <v>1779733824</v>
      </c>
    </row>
    <row r="86" spans="3:8" hidden="1" x14ac:dyDescent="0.2">
      <c r="F86" s="720">
        <v>27500000</v>
      </c>
    </row>
    <row r="87" spans="3:8" hidden="1" x14ac:dyDescent="0.2">
      <c r="F87" s="720">
        <v>49233140</v>
      </c>
    </row>
    <row r="88" spans="3:8" hidden="1" x14ac:dyDescent="0.2">
      <c r="F88" s="720">
        <v>23500000</v>
      </c>
    </row>
    <row r="89" spans="3:8" hidden="1" x14ac:dyDescent="0.2">
      <c r="F89" s="720">
        <v>16500000</v>
      </c>
    </row>
    <row r="90" spans="3:8" hidden="1" x14ac:dyDescent="0.2">
      <c r="F90" s="720">
        <f>SUM(F86:F89)</f>
        <v>116733140</v>
      </c>
    </row>
    <row r="91" spans="3:8" hidden="1" x14ac:dyDescent="0.2">
      <c r="F91" s="720">
        <f>F85-F90</f>
        <v>1663000684</v>
      </c>
    </row>
    <row r="92" spans="3:8" x14ac:dyDescent="0.2">
      <c r="D92" s="1884"/>
      <c r="E92" s="1884"/>
      <c r="F92" s="1884"/>
      <c r="G92" s="1884"/>
      <c r="H92" s="1884"/>
    </row>
    <row r="93" spans="3:8" x14ac:dyDescent="0.2">
      <c r="C93" s="1884">
        <f t="shared" ref="C93:H93" si="25">C20+C21+C22+C23+C24</f>
        <v>674.15300000000002</v>
      </c>
      <c r="D93" s="1884">
        <f t="shared" si="25"/>
        <v>467.91300000000007</v>
      </c>
      <c r="E93" s="1884">
        <f t="shared" si="25"/>
        <v>206.23999999999998</v>
      </c>
      <c r="F93" s="1884">
        <f t="shared" si="25"/>
        <v>674.15300000000002</v>
      </c>
      <c r="G93" s="1884">
        <f t="shared" si="25"/>
        <v>467.91300000000007</v>
      </c>
      <c r="H93" s="1884">
        <f t="shared" si="25"/>
        <v>206.23999999999998</v>
      </c>
    </row>
  </sheetData>
  <mergeCells count="5">
    <mergeCell ref="A1:A2"/>
    <mergeCell ref="B1:B2"/>
    <mergeCell ref="C1:E1"/>
    <mergeCell ref="F1:H1"/>
    <mergeCell ref="I1:K1"/>
  </mergeCells>
  <pageMargins left="0.31496062992125984" right="0.11811023622047245" top="0.15748031496062992" bottom="0.15748031496062992" header="0.31496062992125984" footer="0.31496062992125984"/>
  <pageSetup paperSize="9" scale="80"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S103"/>
  <sheetViews>
    <sheetView workbookViewId="0">
      <pane xSplit="2" ySplit="7" topLeftCell="C45" activePane="bottomRight" state="frozen"/>
      <selection activeCell="B33" sqref="B33"/>
      <selection pane="topRight" activeCell="B33" sqref="B33"/>
      <selection pane="bottomLeft" activeCell="B33" sqref="B33"/>
      <selection pane="bottomRight" activeCell="F37" sqref="F37"/>
    </sheetView>
  </sheetViews>
  <sheetFormatPr defaultColWidth="10.140625" defaultRowHeight="15.75" x14ac:dyDescent="0.25"/>
  <cols>
    <col min="1" max="1" width="7.28515625" style="1574" customWidth="1"/>
    <col min="2" max="2" width="53.5703125" style="1575" customWidth="1"/>
    <col min="3" max="3" width="9.140625" style="1574" customWidth="1"/>
    <col min="4" max="4" width="16.5703125" style="1576" customWidth="1"/>
    <col min="5" max="5" width="7.7109375" style="1576" customWidth="1"/>
    <col min="6" max="6" width="8.7109375" style="1637" customWidth="1"/>
    <col min="7" max="7" width="18.7109375" style="1551" hidden="1" customWidth="1"/>
    <col min="8" max="10" width="10.7109375" style="1551" customWidth="1"/>
    <col min="11" max="11" width="14.28515625" style="1551" customWidth="1"/>
    <col min="12" max="16" width="10.7109375" style="1551" customWidth="1"/>
    <col min="17" max="17" width="23.28515625" style="1004" bestFit="1" customWidth="1"/>
    <col min="18" max="16384" width="10.140625" style="1004"/>
  </cols>
  <sheetData>
    <row r="1" spans="1:16" x14ac:dyDescent="0.25">
      <c r="G1" s="4084" t="s">
        <v>2638</v>
      </c>
      <c r="H1" s="4084"/>
      <c r="I1" s="4084"/>
      <c r="J1" s="4084"/>
      <c r="K1" s="4084"/>
      <c r="L1" s="4084"/>
      <c r="M1" s="4084"/>
      <c r="N1" s="4084"/>
      <c r="O1" s="4084"/>
      <c r="P1" s="4084"/>
    </row>
    <row r="2" spans="1:16" ht="18.75" x14ac:dyDescent="0.25">
      <c r="A2" s="4085" t="s">
        <v>2547</v>
      </c>
      <c r="B2" s="4085"/>
      <c r="C2" s="4085"/>
      <c r="D2" s="4085"/>
      <c r="E2" s="4085"/>
      <c r="F2" s="4085"/>
      <c r="G2" s="4085"/>
      <c r="H2" s="4085"/>
      <c r="I2" s="4085"/>
      <c r="J2" s="4085"/>
      <c r="K2" s="4085"/>
      <c r="L2" s="4085"/>
      <c r="M2" s="4085"/>
      <c r="N2" s="4085"/>
      <c r="O2" s="4085"/>
      <c r="P2" s="4085"/>
    </row>
    <row r="3" spans="1:16" x14ac:dyDescent="0.25">
      <c r="A3" s="4086" t="str">
        <f>'B50'!A4:H4</f>
        <v>(Kèm theo Quyết định số         /QĐ-UBND ngày      tháng 4 năm 2026 của UBND xã Phong Quang)</v>
      </c>
      <c r="B3" s="4086"/>
      <c r="C3" s="4086"/>
      <c r="D3" s="4086"/>
      <c r="E3" s="4086"/>
      <c r="F3" s="4086"/>
      <c r="G3" s="4086"/>
      <c r="H3" s="4086"/>
      <c r="I3" s="4086"/>
      <c r="J3" s="4086"/>
      <c r="K3" s="4086"/>
      <c r="L3" s="4086"/>
      <c r="M3" s="4086"/>
      <c r="N3" s="4086"/>
      <c r="O3" s="4086"/>
      <c r="P3" s="4086"/>
    </row>
    <row r="4" spans="1:16" x14ac:dyDescent="0.25">
      <c r="F4" s="1638"/>
    </row>
    <row r="5" spans="1:16" ht="27.6" customHeight="1" x14ac:dyDescent="0.25">
      <c r="F5" s="1638"/>
      <c r="H5" s="1551">
        <f>2171-2050</f>
        <v>121</v>
      </c>
    </row>
    <row r="6" spans="1:16" ht="9" customHeight="1" x14ac:dyDescent="0.25">
      <c r="F6" s="1638"/>
    </row>
    <row r="7" spans="1:16" s="577" customFormat="1" ht="47.25" x14ac:dyDescent="0.25">
      <c r="A7" s="551" t="s">
        <v>844</v>
      </c>
      <c r="B7" s="551" t="s">
        <v>845</v>
      </c>
      <c r="C7" s="1544" t="s">
        <v>1616</v>
      </c>
      <c r="D7" s="1577" t="s">
        <v>1617</v>
      </c>
      <c r="E7" s="1577" t="s">
        <v>2639</v>
      </c>
      <c r="F7" s="1639" t="s">
        <v>2640</v>
      </c>
      <c r="G7" s="1553" t="s">
        <v>2641</v>
      </c>
      <c r="H7" s="1553" t="s">
        <v>1580</v>
      </c>
      <c r="I7" s="1553" t="s">
        <v>2725</v>
      </c>
      <c r="J7" s="1553" t="s">
        <v>2721</v>
      </c>
      <c r="K7" s="1553" t="s">
        <v>2722</v>
      </c>
      <c r="L7" s="1553" t="s">
        <v>2723</v>
      </c>
      <c r="M7" s="1553" t="s">
        <v>652</v>
      </c>
      <c r="N7" s="1553" t="s">
        <v>654</v>
      </c>
      <c r="O7" s="1553" t="s">
        <v>650</v>
      </c>
      <c r="P7" s="1553" t="s">
        <v>2724</v>
      </c>
    </row>
    <row r="8" spans="1:16" s="1574" customFormat="1" x14ac:dyDescent="0.25">
      <c r="A8" s="1555" t="s">
        <v>847</v>
      </c>
      <c r="B8" s="1555" t="s">
        <v>848</v>
      </c>
      <c r="C8" s="1555">
        <v>1</v>
      </c>
      <c r="D8" s="1578" t="s">
        <v>2644</v>
      </c>
      <c r="E8" s="1578"/>
      <c r="F8" s="1640">
        <v>3</v>
      </c>
      <c r="G8" s="1554">
        <v>4</v>
      </c>
      <c r="H8" s="1554"/>
      <c r="I8" s="1554"/>
      <c r="J8" s="1554"/>
      <c r="K8" s="1554"/>
      <c r="L8" s="1554"/>
      <c r="M8" s="1554"/>
      <c r="N8" s="1554"/>
      <c r="O8" s="1554"/>
      <c r="P8" s="1554"/>
    </row>
    <row r="9" spans="1:16" s="577" customFormat="1" x14ac:dyDescent="0.25">
      <c r="A9" s="1555"/>
      <c r="B9" s="1580" t="s">
        <v>2645</v>
      </c>
      <c r="C9" s="1581"/>
      <c r="D9" s="1582"/>
      <c r="E9" s="1582"/>
      <c r="F9" s="1641"/>
      <c r="G9" s="1557">
        <f>G10+G44</f>
        <v>284985862540</v>
      </c>
      <c r="H9" s="1557">
        <f>H10+H44</f>
        <v>284985.86254</v>
      </c>
      <c r="I9" s="1557"/>
      <c r="J9" s="1557"/>
      <c r="K9" s="1557"/>
      <c r="L9" s="1557"/>
      <c r="M9" s="1557"/>
      <c r="N9" s="1557"/>
      <c r="O9" s="1557"/>
      <c r="P9" s="1557"/>
    </row>
    <row r="10" spans="1:16" s="1547" customFormat="1" x14ac:dyDescent="0.25">
      <c r="A10" s="1583" t="s">
        <v>849</v>
      </c>
      <c r="B10" s="1584" t="s">
        <v>1741</v>
      </c>
      <c r="C10" s="1585"/>
      <c r="D10" s="1586"/>
      <c r="E10" s="1586"/>
      <c r="F10" s="1642"/>
      <c r="G10" s="1560">
        <f>G11+G12</f>
        <v>253448000000</v>
      </c>
      <c r="H10" s="1560">
        <f>H11+H12</f>
        <v>253448</v>
      </c>
      <c r="I10" s="1560"/>
      <c r="J10" s="1560"/>
      <c r="K10" s="1560"/>
      <c r="L10" s="1560"/>
      <c r="M10" s="1560"/>
      <c r="N10" s="1560"/>
      <c r="O10" s="1560"/>
      <c r="P10" s="1562">
        <f t="shared" ref="P10:P64" si="0">H10-I10</f>
        <v>253448</v>
      </c>
    </row>
    <row r="11" spans="1:16" s="1548" customFormat="1" x14ac:dyDescent="0.25">
      <c r="A11" s="1587">
        <v>1</v>
      </c>
      <c r="B11" s="1588" t="s">
        <v>2447</v>
      </c>
      <c r="C11" s="1587">
        <v>2268</v>
      </c>
      <c r="D11" s="1589">
        <v>44175</v>
      </c>
      <c r="E11" s="1589"/>
      <c r="F11" s="1643" t="s">
        <v>2646</v>
      </c>
      <c r="G11" s="1562">
        <v>228518000000</v>
      </c>
      <c r="H11" s="1562">
        <f>G11/1000000</f>
        <v>228518</v>
      </c>
      <c r="I11" s="1562"/>
      <c r="J11" s="1562"/>
      <c r="K11" s="1562"/>
      <c r="L11" s="1562"/>
      <c r="M11" s="1562"/>
      <c r="N11" s="1562"/>
      <c r="O11" s="1562"/>
      <c r="P11" s="1562">
        <f t="shared" si="0"/>
        <v>228518</v>
      </c>
    </row>
    <row r="12" spans="1:16" s="1634" customFormat="1" ht="31.5" x14ac:dyDescent="0.25">
      <c r="A12" s="1630">
        <v>2</v>
      </c>
      <c r="B12" s="1631" t="s">
        <v>2647</v>
      </c>
      <c r="C12" s="1630">
        <v>2268</v>
      </c>
      <c r="D12" s="1632">
        <v>44175</v>
      </c>
      <c r="E12" s="1632"/>
      <c r="F12" s="1636" t="s">
        <v>2646</v>
      </c>
      <c r="G12" s="1633">
        <f>SUM(G13:G43)</f>
        <v>24930000000</v>
      </c>
      <c r="H12" s="1633">
        <f>G12/1000000</f>
        <v>24930</v>
      </c>
      <c r="I12" s="1633"/>
      <c r="J12" s="1633"/>
      <c r="K12" s="1633"/>
      <c r="L12" s="1633"/>
      <c r="M12" s="1633"/>
      <c r="N12" s="1633"/>
      <c r="O12" s="1633"/>
      <c r="P12" s="1633">
        <f t="shared" si="0"/>
        <v>24930</v>
      </c>
    </row>
    <row r="13" spans="1:16" s="1591" customFormat="1" ht="31.5" x14ac:dyDescent="0.25">
      <c r="A13" s="1587" t="s">
        <v>711</v>
      </c>
      <c r="B13" s="588" t="s">
        <v>2648</v>
      </c>
      <c r="C13" s="1587">
        <v>2268</v>
      </c>
      <c r="D13" s="1589">
        <v>44175</v>
      </c>
      <c r="E13" s="1589"/>
      <c r="F13" s="1624">
        <v>107</v>
      </c>
      <c r="G13" s="1562">
        <v>808000000</v>
      </c>
      <c r="H13" s="1562">
        <f t="shared" ref="H13:H76" si="1">G13/1000000</f>
        <v>808</v>
      </c>
      <c r="I13" s="1562"/>
      <c r="J13" s="1562"/>
      <c r="K13" s="1562"/>
      <c r="L13" s="1562"/>
      <c r="M13" s="1562"/>
      <c r="N13" s="1562"/>
      <c r="O13" s="1562"/>
      <c r="P13" s="1562">
        <f t="shared" si="0"/>
        <v>808</v>
      </c>
    </row>
    <row r="14" spans="1:16" s="1591" customFormat="1" ht="31.5" x14ac:dyDescent="0.25">
      <c r="A14" s="1587" t="s">
        <v>711</v>
      </c>
      <c r="B14" s="588" t="s">
        <v>2649</v>
      </c>
      <c r="C14" s="1587">
        <v>2268</v>
      </c>
      <c r="D14" s="1589">
        <v>44175</v>
      </c>
      <c r="E14" s="1589"/>
      <c r="F14" s="1635">
        <v>108</v>
      </c>
      <c r="G14" s="1562">
        <v>202000000</v>
      </c>
      <c r="H14" s="1562">
        <f t="shared" si="1"/>
        <v>202</v>
      </c>
      <c r="I14" s="1562"/>
      <c r="J14" s="1562"/>
      <c r="K14" s="1562"/>
      <c r="L14" s="1562"/>
      <c r="M14" s="1562"/>
      <c r="N14" s="1562"/>
      <c r="O14" s="1562"/>
      <c r="P14" s="1562">
        <f t="shared" si="0"/>
        <v>202</v>
      </c>
    </row>
    <row r="15" spans="1:16" s="1591" customFormat="1" ht="31.5" x14ac:dyDescent="0.25">
      <c r="A15" s="1587" t="s">
        <v>711</v>
      </c>
      <c r="B15" s="588" t="s">
        <v>2650</v>
      </c>
      <c r="C15" s="1587">
        <v>2268</v>
      </c>
      <c r="D15" s="1589">
        <v>44175</v>
      </c>
      <c r="E15" s="1589"/>
      <c r="F15" s="1635">
        <v>111</v>
      </c>
      <c r="G15" s="1562">
        <v>2055000000</v>
      </c>
      <c r="H15" s="1562">
        <f t="shared" si="1"/>
        <v>2055</v>
      </c>
      <c r="I15" s="1562"/>
      <c r="J15" s="1562"/>
      <c r="K15" s="1562"/>
      <c r="L15" s="1562"/>
      <c r="M15" s="1562"/>
      <c r="N15" s="1562"/>
      <c r="O15" s="1562"/>
      <c r="P15" s="1562">
        <f t="shared" si="0"/>
        <v>2055</v>
      </c>
    </row>
    <row r="16" spans="1:16" s="1591" customFormat="1" ht="31.5" x14ac:dyDescent="0.25">
      <c r="A16" s="1587" t="s">
        <v>711</v>
      </c>
      <c r="B16" s="588" t="s">
        <v>2651</v>
      </c>
      <c r="C16" s="1587">
        <v>2268</v>
      </c>
      <c r="D16" s="1589">
        <v>44175</v>
      </c>
      <c r="E16" s="1589"/>
      <c r="F16" s="1635">
        <v>112</v>
      </c>
      <c r="G16" s="1562">
        <v>792000000</v>
      </c>
      <c r="H16" s="1562">
        <f t="shared" si="1"/>
        <v>792</v>
      </c>
      <c r="I16" s="1562"/>
      <c r="J16" s="1562"/>
      <c r="K16" s="1562"/>
      <c r="L16" s="1562"/>
      <c r="M16" s="1562"/>
      <c r="N16" s="1562"/>
      <c r="O16" s="1562"/>
      <c r="P16" s="1562">
        <f t="shared" si="0"/>
        <v>792</v>
      </c>
    </row>
    <row r="17" spans="1:16" s="1591" customFormat="1" ht="31.5" x14ac:dyDescent="0.25">
      <c r="A17" s="1587" t="s">
        <v>711</v>
      </c>
      <c r="B17" s="588" t="s">
        <v>2652</v>
      </c>
      <c r="C17" s="1587">
        <v>2268</v>
      </c>
      <c r="D17" s="1589">
        <v>44175</v>
      </c>
      <c r="E17" s="1589"/>
      <c r="F17" s="1635">
        <v>114</v>
      </c>
      <c r="G17" s="1562">
        <v>240000000</v>
      </c>
      <c r="H17" s="1562">
        <f t="shared" si="1"/>
        <v>240</v>
      </c>
      <c r="I17" s="1562"/>
      <c r="J17" s="1562"/>
      <c r="K17" s="1562"/>
      <c r="L17" s="1562"/>
      <c r="M17" s="1562"/>
      <c r="N17" s="1562"/>
      <c r="O17" s="1562"/>
      <c r="P17" s="1562">
        <f t="shared" si="0"/>
        <v>240</v>
      </c>
    </row>
    <row r="18" spans="1:16" s="1591" customFormat="1" ht="18.600000000000001" customHeight="1" x14ac:dyDescent="0.25">
      <c r="A18" s="1587" t="s">
        <v>711</v>
      </c>
      <c r="B18" s="588" t="s">
        <v>2653</v>
      </c>
      <c r="C18" s="1587">
        <v>2268</v>
      </c>
      <c r="D18" s="1589">
        <v>44175</v>
      </c>
      <c r="E18" s="1589"/>
      <c r="F18" s="1635">
        <v>115</v>
      </c>
      <c r="G18" s="1562">
        <v>1185000000</v>
      </c>
      <c r="H18" s="1562">
        <f t="shared" si="1"/>
        <v>1185</v>
      </c>
      <c r="I18" s="1562"/>
      <c r="J18" s="1562"/>
      <c r="K18" s="1562"/>
      <c r="L18" s="1562"/>
      <c r="M18" s="1562"/>
      <c r="N18" s="1562"/>
      <c r="O18" s="1562"/>
      <c r="P18" s="1562">
        <f t="shared" si="0"/>
        <v>1185</v>
      </c>
    </row>
    <row r="19" spans="1:16" s="1634" customFormat="1" ht="31.5" x14ac:dyDescent="0.25">
      <c r="A19" s="1630" t="s">
        <v>711</v>
      </c>
      <c r="B19" s="1631" t="s">
        <v>2654</v>
      </c>
      <c r="C19" s="1630">
        <v>2268</v>
      </c>
      <c r="D19" s="1632">
        <v>44175</v>
      </c>
      <c r="E19" s="1632"/>
      <c r="F19" s="1879">
        <v>117</v>
      </c>
      <c r="G19" s="1633">
        <v>729000000</v>
      </c>
      <c r="H19" s="1633">
        <f t="shared" si="1"/>
        <v>729</v>
      </c>
      <c r="I19" s="1633"/>
      <c r="J19" s="1633"/>
      <c r="K19" s="1633"/>
      <c r="L19" s="1633"/>
      <c r="M19" s="1633"/>
      <c r="N19" s="1633"/>
      <c r="O19" s="1633"/>
      <c r="P19" s="1633">
        <f t="shared" si="0"/>
        <v>729</v>
      </c>
    </row>
    <row r="20" spans="1:16" s="1591" customFormat="1" ht="47.25" x14ac:dyDescent="0.25">
      <c r="A20" s="1587" t="s">
        <v>711</v>
      </c>
      <c r="B20" s="588" t="s">
        <v>2655</v>
      </c>
      <c r="C20" s="1587">
        <v>2268</v>
      </c>
      <c r="D20" s="1589">
        <v>44175</v>
      </c>
      <c r="E20" s="1589"/>
      <c r="F20" s="1635">
        <v>120</v>
      </c>
      <c r="G20" s="1562">
        <v>2038000000</v>
      </c>
      <c r="H20" s="1562">
        <f t="shared" si="1"/>
        <v>2038</v>
      </c>
      <c r="I20" s="1562"/>
      <c r="J20" s="1562"/>
      <c r="K20" s="1562"/>
      <c r="L20" s="1562"/>
      <c r="M20" s="1562"/>
      <c r="N20" s="1562"/>
      <c r="O20" s="1562"/>
      <c r="P20" s="1562">
        <f t="shared" si="0"/>
        <v>2038</v>
      </c>
    </row>
    <row r="21" spans="1:16" s="1591" customFormat="1" ht="31.5" x14ac:dyDescent="0.25">
      <c r="A21" s="1587" t="s">
        <v>711</v>
      </c>
      <c r="B21" s="588" t="s">
        <v>2656</v>
      </c>
      <c r="C21" s="1587">
        <v>2268</v>
      </c>
      <c r="D21" s="1589">
        <v>44175</v>
      </c>
      <c r="E21" s="1589"/>
      <c r="F21" s="1635">
        <v>125</v>
      </c>
      <c r="G21" s="1562">
        <v>500000000</v>
      </c>
      <c r="H21" s="1562">
        <f t="shared" si="1"/>
        <v>500</v>
      </c>
      <c r="I21" s="1562"/>
      <c r="J21" s="1562"/>
      <c r="K21" s="1562"/>
      <c r="L21" s="1562"/>
      <c r="M21" s="1562"/>
      <c r="N21" s="1562"/>
      <c r="O21" s="1562"/>
      <c r="P21" s="1562">
        <f t="shared" si="0"/>
        <v>500</v>
      </c>
    </row>
    <row r="22" spans="1:16" s="1591" customFormat="1" ht="47.25" x14ac:dyDescent="0.25">
      <c r="A22" s="1587" t="s">
        <v>711</v>
      </c>
      <c r="B22" s="588" t="s">
        <v>2657</v>
      </c>
      <c r="C22" s="1587">
        <v>2268</v>
      </c>
      <c r="D22" s="1589">
        <v>44175</v>
      </c>
      <c r="E22" s="1589"/>
      <c r="F22" s="1635">
        <v>126</v>
      </c>
      <c r="G22" s="1562">
        <v>48000000</v>
      </c>
      <c r="H22" s="1562">
        <f t="shared" si="1"/>
        <v>48</v>
      </c>
      <c r="I22" s="1562"/>
      <c r="J22" s="1562"/>
      <c r="K22" s="1562"/>
      <c r="L22" s="1562"/>
      <c r="M22" s="1562"/>
      <c r="N22" s="1562"/>
      <c r="O22" s="1562"/>
      <c r="P22" s="1562">
        <f t="shared" si="0"/>
        <v>48</v>
      </c>
    </row>
    <row r="23" spans="1:16" s="1591" customFormat="1" x14ac:dyDescent="0.25">
      <c r="A23" s="1587" t="s">
        <v>711</v>
      </c>
      <c r="B23" s="588" t="s">
        <v>2658</v>
      </c>
      <c r="C23" s="1587">
        <v>2268</v>
      </c>
      <c r="D23" s="1589">
        <v>44175</v>
      </c>
      <c r="E23" s="1589"/>
      <c r="F23" s="1635">
        <v>131</v>
      </c>
      <c r="G23" s="1562">
        <v>1260000000</v>
      </c>
      <c r="H23" s="1562">
        <f t="shared" si="1"/>
        <v>1260</v>
      </c>
      <c r="I23" s="1562"/>
      <c r="J23" s="1562"/>
      <c r="K23" s="1562"/>
      <c r="L23" s="1562"/>
      <c r="M23" s="1562"/>
      <c r="N23" s="1562"/>
      <c r="O23" s="1562"/>
      <c r="P23" s="1562">
        <f t="shared" si="0"/>
        <v>1260</v>
      </c>
    </row>
    <row r="24" spans="1:16" s="1591" customFormat="1" ht="31.5" x14ac:dyDescent="0.25">
      <c r="A24" s="1587" t="s">
        <v>711</v>
      </c>
      <c r="B24" s="588" t="s">
        <v>2650</v>
      </c>
      <c r="C24" s="1587">
        <v>2268</v>
      </c>
      <c r="D24" s="1589">
        <v>44175</v>
      </c>
      <c r="E24" s="1589"/>
      <c r="F24" s="1635">
        <v>211</v>
      </c>
      <c r="G24" s="1562">
        <v>116000000</v>
      </c>
      <c r="H24" s="1562">
        <f t="shared" si="1"/>
        <v>116</v>
      </c>
      <c r="I24" s="1562"/>
      <c r="J24" s="1562"/>
      <c r="K24" s="1562"/>
      <c r="L24" s="1562"/>
      <c r="M24" s="1562"/>
      <c r="N24" s="1562"/>
      <c r="O24" s="1562"/>
      <c r="P24" s="1562">
        <f t="shared" si="0"/>
        <v>116</v>
      </c>
    </row>
    <row r="25" spans="1:16" s="1591" customFormat="1" ht="31.5" x14ac:dyDescent="0.25">
      <c r="A25" s="1587" t="s">
        <v>711</v>
      </c>
      <c r="B25" s="588" t="s">
        <v>2659</v>
      </c>
      <c r="C25" s="1587">
        <v>2268</v>
      </c>
      <c r="D25" s="1589">
        <v>44175</v>
      </c>
      <c r="E25" s="1589"/>
      <c r="F25" s="1635">
        <v>213</v>
      </c>
      <c r="G25" s="1562">
        <v>151000000</v>
      </c>
      <c r="H25" s="1562">
        <f t="shared" si="1"/>
        <v>151</v>
      </c>
      <c r="I25" s="1562"/>
      <c r="J25" s="1562"/>
      <c r="K25" s="1562"/>
      <c r="L25" s="1562"/>
      <c r="M25" s="1562"/>
      <c r="N25" s="1562"/>
      <c r="O25" s="1562"/>
      <c r="P25" s="1562">
        <f t="shared" si="0"/>
        <v>151</v>
      </c>
    </row>
    <row r="26" spans="1:16" s="1591" customFormat="1" x14ac:dyDescent="0.25">
      <c r="A26" s="1587" t="s">
        <v>711</v>
      </c>
      <c r="B26" s="588" t="s">
        <v>2653</v>
      </c>
      <c r="C26" s="1587">
        <v>2268</v>
      </c>
      <c r="D26" s="1589">
        <v>44175</v>
      </c>
      <c r="E26" s="1589"/>
      <c r="F26" s="1635">
        <v>215</v>
      </c>
      <c r="G26" s="1562">
        <v>70000000</v>
      </c>
      <c r="H26" s="1562">
        <f t="shared" si="1"/>
        <v>70</v>
      </c>
      <c r="I26" s="1562"/>
      <c r="J26" s="1562"/>
      <c r="K26" s="1562"/>
      <c r="L26" s="1562"/>
      <c r="M26" s="1562"/>
      <c r="N26" s="1562"/>
      <c r="O26" s="1562"/>
      <c r="P26" s="1562">
        <f t="shared" si="0"/>
        <v>70</v>
      </c>
    </row>
    <row r="27" spans="1:16" s="1591" customFormat="1" ht="31.5" x14ac:dyDescent="0.25">
      <c r="A27" s="1587" t="s">
        <v>711</v>
      </c>
      <c r="B27" s="588" t="s">
        <v>1764</v>
      </c>
      <c r="C27" s="1587">
        <v>2268</v>
      </c>
      <c r="D27" s="1589">
        <v>44175</v>
      </c>
      <c r="E27" s="1589"/>
      <c r="F27" s="1635">
        <v>216</v>
      </c>
      <c r="G27" s="1562">
        <v>853000000</v>
      </c>
      <c r="H27" s="1562">
        <f t="shared" si="1"/>
        <v>853</v>
      </c>
      <c r="I27" s="1562"/>
      <c r="J27" s="1562"/>
      <c r="K27" s="1562"/>
      <c r="L27" s="1562"/>
      <c r="M27" s="1562"/>
      <c r="N27" s="1562"/>
      <c r="O27" s="1562"/>
      <c r="P27" s="1562">
        <f t="shared" si="0"/>
        <v>853</v>
      </c>
    </row>
    <row r="28" spans="1:16" s="1634" customFormat="1" ht="31.5" x14ac:dyDescent="0.25">
      <c r="A28" s="1630" t="s">
        <v>711</v>
      </c>
      <c r="B28" s="1631" t="s">
        <v>2654</v>
      </c>
      <c r="C28" s="1630">
        <v>2268</v>
      </c>
      <c r="D28" s="1632">
        <v>44175</v>
      </c>
      <c r="E28" s="1632"/>
      <c r="F28" s="1636">
        <v>217</v>
      </c>
      <c r="G28" s="1633">
        <v>2884000000</v>
      </c>
      <c r="H28" s="1633">
        <f t="shared" si="1"/>
        <v>2884</v>
      </c>
      <c r="I28" s="1633"/>
      <c r="J28" s="1633"/>
      <c r="K28" s="1633"/>
      <c r="L28" s="1633"/>
      <c r="M28" s="1633"/>
      <c r="N28" s="1633"/>
      <c r="O28" s="1633"/>
      <c r="P28" s="1633">
        <f t="shared" si="0"/>
        <v>2884</v>
      </c>
    </row>
    <row r="29" spans="1:16" s="1591" customFormat="1" ht="31.5" x14ac:dyDescent="0.25">
      <c r="A29" s="1587" t="s">
        <v>711</v>
      </c>
      <c r="B29" s="588" t="s">
        <v>2660</v>
      </c>
      <c r="C29" s="1587">
        <v>2268</v>
      </c>
      <c r="D29" s="1589">
        <v>44175</v>
      </c>
      <c r="E29" s="1589"/>
      <c r="F29" s="1635">
        <v>230</v>
      </c>
      <c r="G29" s="1562">
        <v>53000000</v>
      </c>
      <c r="H29" s="1562">
        <f t="shared" si="1"/>
        <v>53</v>
      </c>
      <c r="I29" s="1562"/>
      <c r="J29" s="1562"/>
      <c r="K29" s="1562"/>
      <c r="L29" s="1562"/>
      <c r="M29" s="1562"/>
      <c r="N29" s="1562"/>
      <c r="O29" s="1562"/>
      <c r="P29" s="1562">
        <f t="shared" si="0"/>
        <v>53</v>
      </c>
    </row>
    <row r="30" spans="1:16" s="1591" customFormat="1" ht="31.5" x14ac:dyDescent="0.25">
      <c r="A30" s="1587" t="s">
        <v>711</v>
      </c>
      <c r="B30" s="588" t="s">
        <v>2661</v>
      </c>
      <c r="C30" s="1587">
        <v>2268</v>
      </c>
      <c r="D30" s="1589">
        <v>44175</v>
      </c>
      <c r="E30" s="1589"/>
      <c r="F30" s="1635">
        <v>124</v>
      </c>
      <c r="G30" s="1562">
        <v>316000000</v>
      </c>
      <c r="H30" s="1562">
        <f t="shared" si="1"/>
        <v>316</v>
      </c>
      <c r="I30" s="1562"/>
      <c r="J30" s="1562"/>
      <c r="K30" s="1562"/>
      <c r="L30" s="1562"/>
      <c r="M30" s="1562"/>
      <c r="N30" s="1562"/>
      <c r="O30" s="1562"/>
      <c r="P30" s="1562">
        <f t="shared" si="0"/>
        <v>316</v>
      </c>
    </row>
    <row r="31" spans="1:16" s="1591" customFormat="1" x14ac:dyDescent="0.25">
      <c r="A31" s="1587" t="s">
        <v>711</v>
      </c>
      <c r="B31" s="588" t="s">
        <v>2662</v>
      </c>
      <c r="C31" s="1587">
        <v>2268</v>
      </c>
      <c r="D31" s="1589">
        <v>44175</v>
      </c>
      <c r="E31" s="1589"/>
      <c r="F31" s="1635">
        <v>200</v>
      </c>
      <c r="G31" s="1562">
        <v>35000000</v>
      </c>
      <c r="H31" s="1562">
        <f t="shared" si="1"/>
        <v>35</v>
      </c>
      <c r="I31" s="1562"/>
      <c r="J31" s="1562"/>
      <c r="K31" s="1562"/>
      <c r="L31" s="1562"/>
      <c r="M31" s="1562"/>
      <c r="N31" s="1562"/>
      <c r="O31" s="1562"/>
      <c r="P31" s="1562">
        <f t="shared" si="0"/>
        <v>35</v>
      </c>
    </row>
    <row r="32" spans="1:16" s="1591" customFormat="1" ht="31.5" x14ac:dyDescent="0.25">
      <c r="A32" s="1587" t="s">
        <v>711</v>
      </c>
      <c r="B32" s="588" t="s">
        <v>1768</v>
      </c>
      <c r="C32" s="1587">
        <v>2268</v>
      </c>
      <c r="D32" s="1589">
        <v>44175</v>
      </c>
      <c r="E32" s="1589"/>
      <c r="F32" s="1635">
        <v>200</v>
      </c>
      <c r="G32" s="1562">
        <v>30000000</v>
      </c>
      <c r="H32" s="1562">
        <f t="shared" si="1"/>
        <v>30</v>
      </c>
      <c r="I32" s="1562"/>
      <c r="J32" s="1562"/>
      <c r="K32" s="1562"/>
      <c r="L32" s="1562"/>
      <c r="M32" s="1562"/>
      <c r="N32" s="1562"/>
      <c r="O32" s="1562"/>
      <c r="P32" s="1562">
        <f t="shared" si="0"/>
        <v>30</v>
      </c>
    </row>
    <row r="33" spans="1:16" s="1591" customFormat="1" ht="47.25" x14ac:dyDescent="0.25">
      <c r="A33" s="1587" t="s">
        <v>711</v>
      </c>
      <c r="B33" s="588" t="s">
        <v>2663</v>
      </c>
      <c r="C33" s="1587">
        <v>2268</v>
      </c>
      <c r="D33" s="1589">
        <v>44175</v>
      </c>
      <c r="E33" s="1589"/>
      <c r="F33" s="1635">
        <v>200</v>
      </c>
      <c r="G33" s="1562">
        <v>27000000</v>
      </c>
      <c r="H33" s="1562">
        <f t="shared" si="1"/>
        <v>27</v>
      </c>
      <c r="I33" s="1562"/>
      <c r="J33" s="1562"/>
      <c r="K33" s="1562"/>
      <c r="L33" s="1562"/>
      <c r="M33" s="1562"/>
      <c r="N33" s="1562"/>
      <c r="O33" s="1562"/>
      <c r="P33" s="1562">
        <f t="shared" si="0"/>
        <v>27</v>
      </c>
    </row>
    <row r="34" spans="1:16" s="1591" customFormat="1" ht="47.25" x14ac:dyDescent="0.25">
      <c r="A34" s="1587" t="s">
        <v>711</v>
      </c>
      <c r="B34" s="588" t="s">
        <v>2664</v>
      </c>
      <c r="C34" s="1587">
        <v>2268</v>
      </c>
      <c r="D34" s="1589">
        <v>44175</v>
      </c>
      <c r="E34" s="1589"/>
      <c r="F34" s="1635">
        <v>200</v>
      </c>
      <c r="G34" s="1562">
        <v>200000000</v>
      </c>
      <c r="H34" s="1562">
        <f t="shared" si="1"/>
        <v>200</v>
      </c>
      <c r="I34" s="1562"/>
      <c r="J34" s="1562"/>
      <c r="K34" s="1562"/>
      <c r="L34" s="1562"/>
      <c r="M34" s="1562"/>
      <c r="N34" s="1562"/>
      <c r="O34" s="1562"/>
      <c r="P34" s="1562">
        <f t="shared" si="0"/>
        <v>200</v>
      </c>
    </row>
    <row r="35" spans="1:16" s="1591" customFormat="1" ht="31.5" x14ac:dyDescent="0.25">
      <c r="A35" s="1587" t="s">
        <v>711</v>
      </c>
      <c r="B35" s="588" t="s">
        <v>2665</v>
      </c>
      <c r="C35" s="1587">
        <v>2268</v>
      </c>
      <c r="D35" s="1589">
        <v>44175</v>
      </c>
      <c r="E35" s="1589"/>
      <c r="F35" s="1635">
        <v>200</v>
      </c>
      <c r="G35" s="1562">
        <v>470000000</v>
      </c>
      <c r="H35" s="1562">
        <f t="shared" si="1"/>
        <v>470</v>
      </c>
      <c r="I35" s="1562"/>
      <c r="J35" s="1562"/>
      <c r="K35" s="1562"/>
      <c r="L35" s="1562"/>
      <c r="M35" s="1562"/>
      <c r="N35" s="1562"/>
      <c r="O35" s="1562"/>
      <c r="P35" s="1562">
        <f t="shared" si="0"/>
        <v>470</v>
      </c>
    </row>
    <row r="36" spans="1:16" s="1591" customFormat="1" ht="31.5" x14ac:dyDescent="0.25">
      <c r="A36" s="1587" t="s">
        <v>711</v>
      </c>
      <c r="B36" s="588" t="s">
        <v>2329</v>
      </c>
      <c r="C36" s="1587">
        <v>2268</v>
      </c>
      <c r="D36" s="1589">
        <v>44175</v>
      </c>
      <c r="E36" s="1589"/>
      <c r="F36" s="1635">
        <v>200</v>
      </c>
      <c r="G36" s="1562">
        <v>582000000</v>
      </c>
      <c r="H36" s="1562">
        <f t="shared" si="1"/>
        <v>582</v>
      </c>
      <c r="I36" s="1562"/>
      <c r="J36" s="1562"/>
      <c r="K36" s="1562"/>
      <c r="L36" s="1562"/>
      <c r="M36" s="1562"/>
      <c r="N36" s="1562"/>
      <c r="O36" s="1562"/>
      <c r="P36" s="1562">
        <f t="shared" si="0"/>
        <v>582</v>
      </c>
    </row>
    <row r="37" spans="1:16" s="1071" customFormat="1" ht="47.25" x14ac:dyDescent="0.25">
      <c r="A37" s="1880" t="s">
        <v>711</v>
      </c>
      <c r="B37" s="1881" t="s">
        <v>2666</v>
      </c>
      <c r="C37" s="1880">
        <v>2268</v>
      </c>
      <c r="D37" s="1882">
        <v>44175</v>
      </c>
      <c r="E37" s="1882"/>
      <c r="F37" s="1635">
        <v>200</v>
      </c>
      <c r="G37" s="1883">
        <v>5496000000</v>
      </c>
      <c r="H37" s="1883">
        <f t="shared" si="1"/>
        <v>5496</v>
      </c>
      <c r="I37" s="1883"/>
      <c r="J37" s="1883"/>
      <c r="K37" s="1883"/>
      <c r="L37" s="1883"/>
      <c r="M37" s="1883"/>
      <c r="N37" s="1883"/>
      <c r="O37" s="1883"/>
      <c r="P37" s="1883">
        <f t="shared" si="0"/>
        <v>5496</v>
      </c>
    </row>
    <row r="38" spans="1:16" s="1591" customFormat="1" ht="63" x14ac:dyDescent="0.25">
      <c r="A38" s="1587" t="s">
        <v>711</v>
      </c>
      <c r="B38" s="588" t="s">
        <v>2667</v>
      </c>
      <c r="C38" s="1587">
        <v>2268</v>
      </c>
      <c r="D38" s="1589">
        <v>44175</v>
      </c>
      <c r="E38" s="1589"/>
      <c r="F38" s="1635">
        <v>200</v>
      </c>
      <c r="G38" s="1562">
        <v>357000000</v>
      </c>
      <c r="H38" s="1562">
        <f t="shared" si="1"/>
        <v>357</v>
      </c>
      <c r="I38" s="1562"/>
      <c r="J38" s="1562"/>
      <c r="K38" s="1562"/>
      <c r="L38" s="1562"/>
      <c r="M38" s="1562"/>
      <c r="N38" s="1562"/>
      <c r="O38" s="1562"/>
      <c r="P38" s="1562">
        <f t="shared" si="0"/>
        <v>357</v>
      </c>
    </row>
    <row r="39" spans="1:16" s="1591" customFormat="1" ht="31.5" x14ac:dyDescent="0.25">
      <c r="A39" s="1587" t="s">
        <v>711</v>
      </c>
      <c r="B39" s="588" t="s">
        <v>2668</v>
      </c>
      <c r="C39" s="1587">
        <v>2268</v>
      </c>
      <c r="D39" s="1589">
        <v>44175</v>
      </c>
      <c r="E39" s="1589"/>
      <c r="F39" s="1635">
        <v>200</v>
      </c>
      <c r="G39" s="1562">
        <v>800000000</v>
      </c>
      <c r="H39" s="1562">
        <f t="shared" si="1"/>
        <v>800</v>
      </c>
      <c r="I39" s="1562"/>
      <c r="J39" s="1562"/>
      <c r="K39" s="1562"/>
      <c r="L39" s="1562"/>
      <c r="M39" s="1562"/>
      <c r="N39" s="1562"/>
      <c r="O39" s="1562"/>
      <c r="P39" s="1562">
        <f t="shared" si="0"/>
        <v>800</v>
      </c>
    </row>
    <row r="40" spans="1:16" s="1591" customFormat="1" x14ac:dyDescent="0.25">
      <c r="A40" s="1587" t="s">
        <v>711</v>
      </c>
      <c r="B40" s="588" t="s">
        <v>1770</v>
      </c>
      <c r="C40" s="1587">
        <v>2268</v>
      </c>
      <c r="D40" s="1589">
        <v>44175</v>
      </c>
      <c r="E40" s="1589"/>
      <c r="F40" s="1635">
        <v>200</v>
      </c>
      <c r="G40" s="1562">
        <v>133000000</v>
      </c>
      <c r="H40" s="1562">
        <f t="shared" si="1"/>
        <v>133</v>
      </c>
      <c r="I40" s="1562"/>
      <c r="J40" s="1562"/>
      <c r="K40" s="1562"/>
      <c r="L40" s="1562"/>
      <c r="M40" s="1562"/>
      <c r="N40" s="1562"/>
      <c r="O40" s="1562"/>
      <c r="P40" s="1562">
        <f t="shared" si="0"/>
        <v>133</v>
      </c>
    </row>
    <row r="41" spans="1:16" s="1591" customFormat="1" ht="63" x14ac:dyDescent="0.25">
      <c r="A41" s="1587" t="s">
        <v>711</v>
      </c>
      <c r="B41" s="588" t="s">
        <v>2669</v>
      </c>
      <c r="C41" s="1587">
        <v>2268</v>
      </c>
      <c r="D41" s="1589">
        <v>44175</v>
      </c>
      <c r="E41" s="1589"/>
      <c r="F41" s="1635">
        <v>200</v>
      </c>
      <c r="G41" s="1562">
        <v>300000000</v>
      </c>
      <c r="H41" s="1562">
        <f t="shared" si="1"/>
        <v>300</v>
      </c>
      <c r="I41" s="1562"/>
      <c r="J41" s="1562"/>
      <c r="K41" s="1562"/>
      <c r="L41" s="1562"/>
      <c r="M41" s="1562"/>
      <c r="N41" s="1562"/>
      <c r="O41" s="1562"/>
      <c r="P41" s="1562">
        <f t="shared" si="0"/>
        <v>300</v>
      </c>
    </row>
    <row r="42" spans="1:16" s="1591" customFormat="1" x14ac:dyDescent="0.25">
      <c r="A42" s="1587" t="s">
        <v>711</v>
      </c>
      <c r="B42" s="588" t="s">
        <v>2670</v>
      </c>
      <c r="C42" s="1587">
        <v>2268</v>
      </c>
      <c r="D42" s="1589">
        <v>44175</v>
      </c>
      <c r="E42" s="1589"/>
      <c r="F42" s="1635">
        <v>200</v>
      </c>
      <c r="G42" s="1562">
        <v>1000000000</v>
      </c>
      <c r="H42" s="1562">
        <f t="shared" si="1"/>
        <v>1000</v>
      </c>
      <c r="I42" s="1562"/>
      <c r="J42" s="1562"/>
      <c r="K42" s="1562"/>
      <c r="L42" s="1562"/>
      <c r="M42" s="1562"/>
      <c r="N42" s="1562"/>
      <c r="O42" s="1562"/>
      <c r="P42" s="1562">
        <f t="shared" si="0"/>
        <v>1000</v>
      </c>
    </row>
    <row r="43" spans="1:16" s="1591" customFormat="1" x14ac:dyDescent="0.25">
      <c r="A43" s="1587" t="s">
        <v>711</v>
      </c>
      <c r="B43" s="588" t="s">
        <v>1771</v>
      </c>
      <c r="C43" s="1587">
        <v>2268</v>
      </c>
      <c r="D43" s="1589">
        <v>44175</v>
      </c>
      <c r="E43" s="1589"/>
      <c r="F43" s="1635">
        <v>200</v>
      </c>
      <c r="G43" s="1562">
        <v>1200000000</v>
      </c>
      <c r="H43" s="1562">
        <f t="shared" si="1"/>
        <v>1200</v>
      </c>
      <c r="I43" s="1562"/>
      <c r="J43" s="1562"/>
      <c r="K43" s="1562"/>
      <c r="L43" s="1562"/>
      <c r="M43" s="1562"/>
      <c r="N43" s="1562"/>
      <c r="O43" s="1562"/>
      <c r="P43" s="1562">
        <f t="shared" si="0"/>
        <v>1200</v>
      </c>
    </row>
    <row r="44" spans="1:16" s="1623" customFormat="1" x14ac:dyDescent="0.25">
      <c r="A44" s="1618">
        <v>3</v>
      </c>
      <c r="B44" s="1619" t="s">
        <v>2671</v>
      </c>
      <c r="C44" s="1620"/>
      <c r="D44" s="1621"/>
      <c r="E44" s="1621"/>
      <c r="F44" s="1644"/>
      <c r="G44" s="1622">
        <f>SUM(G45:G88)</f>
        <v>31537862540</v>
      </c>
      <c r="H44" s="1622">
        <f>SUM(H45:H88)</f>
        <v>31537.862539999998</v>
      </c>
      <c r="I44" s="1622"/>
      <c r="J44" s="1622"/>
      <c r="K44" s="1622"/>
      <c r="L44" s="1622"/>
      <c r="M44" s="1622"/>
      <c r="N44" s="1622"/>
      <c r="O44" s="1622"/>
      <c r="P44" s="1562">
        <f t="shared" si="0"/>
        <v>31537.862539999998</v>
      </c>
    </row>
    <row r="45" spans="1:16" s="1591" customFormat="1" ht="31.5" x14ac:dyDescent="0.25">
      <c r="A45" s="1587" t="s">
        <v>174</v>
      </c>
      <c r="B45" s="588" t="s">
        <v>2672</v>
      </c>
      <c r="C45" s="1596">
        <v>156</v>
      </c>
      <c r="D45" s="1589">
        <v>44231</v>
      </c>
      <c r="E45" s="1589"/>
      <c r="F45" s="1624">
        <v>200</v>
      </c>
      <c r="G45" s="1562">
        <v>51200000</v>
      </c>
      <c r="H45" s="1562">
        <f t="shared" si="1"/>
        <v>51.2</v>
      </c>
      <c r="I45" s="1562">
        <v>51.2</v>
      </c>
      <c r="J45" s="1562"/>
      <c r="K45" s="1562"/>
      <c r="L45" s="1562"/>
      <c r="M45" s="1562"/>
      <c r="N45" s="1562"/>
      <c r="O45" s="1562"/>
      <c r="P45" s="1562">
        <f t="shared" si="0"/>
        <v>0</v>
      </c>
    </row>
    <row r="46" spans="1:16" s="1591" customFormat="1" ht="63" x14ac:dyDescent="0.25">
      <c r="A46" s="1587" t="s">
        <v>796</v>
      </c>
      <c r="B46" s="588" t="s">
        <v>2718</v>
      </c>
      <c r="C46" s="1596">
        <v>348</v>
      </c>
      <c r="D46" s="1589">
        <v>44267</v>
      </c>
      <c r="E46" s="1589"/>
      <c r="F46" s="1624">
        <v>200</v>
      </c>
      <c r="G46" s="1562">
        <v>2397000000</v>
      </c>
      <c r="H46" s="1562">
        <f t="shared" si="1"/>
        <v>2397</v>
      </c>
      <c r="I46" s="1562">
        <v>2397</v>
      </c>
      <c r="J46" s="1562"/>
      <c r="K46" s="1562"/>
      <c r="L46" s="1562"/>
      <c r="M46" s="1562"/>
      <c r="N46" s="1562"/>
      <c r="O46" s="1562"/>
      <c r="P46" s="1562">
        <f t="shared" si="0"/>
        <v>0</v>
      </c>
    </row>
    <row r="47" spans="1:16" s="1591" customFormat="1" ht="31.5" x14ac:dyDescent="0.25">
      <c r="A47" s="1587" t="s">
        <v>1493</v>
      </c>
      <c r="B47" s="588" t="s">
        <v>2673</v>
      </c>
      <c r="C47" s="1596">
        <v>350</v>
      </c>
      <c r="D47" s="1597">
        <v>44270</v>
      </c>
      <c r="E47" s="1597"/>
      <c r="F47" s="1624">
        <v>201</v>
      </c>
      <c r="G47" s="1562">
        <v>727345000</v>
      </c>
      <c r="H47" s="1562">
        <f t="shared" si="1"/>
        <v>727.34500000000003</v>
      </c>
      <c r="I47" s="1562"/>
      <c r="J47" s="1562"/>
      <c r="K47" s="1562"/>
      <c r="L47" s="1562"/>
      <c r="M47" s="1562"/>
      <c r="N47" s="1562"/>
      <c r="O47" s="1562"/>
      <c r="P47" s="1562">
        <f t="shared" si="0"/>
        <v>727.34500000000003</v>
      </c>
    </row>
    <row r="48" spans="1:16" s="1602" customFormat="1" ht="63" x14ac:dyDescent="0.25">
      <c r="A48" s="1598" t="s">
        <v>1492</v>
      </c>
      <c r="B48" s="196" t="s">
        <v>2674</v>
      </c>
      <c r="C48" s="1599">
        <v>406</v>
      </c>
      <c r="D48" s="1600">
        <v>44280</v>
      </c>
      <c r="E48" s="1600"/>
      <c r="F48" s="1626"/>
      <c r="G48" s="1568"/>
      <c r="H48" s="1562">
        <f t="shared" si="1"/>
        <v>0</v>
      </c>
      <c r="I48" s="1562"/>
      <c r="J48" s="1562"/>
      <c r="K48" s="1562"/>
      <c r="L48" s="1562"/>
      <c r="M48" s="1562"/>
      <c r="N48" s="1562"/>
      <c r="O48" s="1562"/>
      <c r="P48" s="1562">
        <f t="shared" si="0"/>
        <v>0</v>
      </c>
    </row>
    <row r="49" spans="1:17" s="1591" customFormat="1" ht="31.5" x14ac:dyDescent="0.25">
      <c r="A49" s="1587" t="s">
        <v>1494</v>
      </c>
      <c r="B49" s="588" t="s">
        <v>2675</v>
      </c>
      <c r="C49" s="1596">
        <v>408</v>
      </c>
      <c r="D49" s="1597">
        <v>44281</v>
      </c>
      <c r="E49" s="1597"/>
      <c r="F49" s="1624">
        <v>200</v>
      </c>
      <c r="G49" s="1562">
        <v>48404000</v>
      </c>
      <c r="H49" s="1562">
        <f t="shared" si="1"/>
        <v>48.404000000000003</v>
      </c>
      <c r="I49" s="1562"/>
      <c r="J49" s="1562"/>
      <c r="K49" s="1562"/>
      <c r="L49" s="1562"/>
      <c r="M49" s="1562"/>
      <c r="N49" s="1562"/>
      <c r="O49" s="1562"/>
      <c r="P49" s="1562">
        <f t="shared" si="0"/>
        <v>48.404000000000003</v>
      </c>
    </row>
    <row r="50" spans="1:17" s="1591" customFormat="1" ht="63" x14ac:dyDescent="0.25">
      <c r="A50" s="1587" t="s">
        <v>1495</v>
      </c>
      <c r="B50" s="588" t="s">
        <v>2676</v>
      </c>
      <c r="C50" s="1596">
        <v>442</v>
      </c>
      <c r="D50" s="1597">
        <v>44287</v>
      </c>
      <c r="E50" s="1597"/>
      <c r="F50" s="1624">
        <v>201</v>
      </c>
      <c r="G50" s="1562">
        <v>600000000</v>
      </c>
      <c r="H50" s="1562">
        <f t="shared" si="1"/>
        <v>600</v>
      </c>
      <c r="I50" s="1562"/>
      <c r="J50" s="1562"/>
      <c r="K50" s="1562"/>
      <c r="L50" s="1562"/>
      <c r="M50" s="1562"/>
      <c r="N50" s="1562"/>
      <c r="O50" s="1562"/>
      <c r="P50" s="1562">
        <f t="shared" si="0"/>
        <v>600</v>
      </c>
    </row>
    <row r="51" spans="1:17" s="1591" customFormat="1" ht="63" x14ac:dyDescent="0.25">
      <c r="A51" s="1587" t="s">
        <v>2522</v>
      </c>
      <c r="B51" s="588" t="s">
        <v>2677</v>
      </c>
      <c r="C51" s="1596">
        <v>611</v>
      </c>
      <c r="D51" s="1597">
        <v>44326</v>
      </c>
      <c r="E51" s="1597"/>
      <c r="F51" s="1624">
        <v>100</v>
      </c>
      <c r="G51" s="1562">
        <v>1087000000</v>
      </c>
      <c r="H51" s="1562">
        <f t="shared" si="1"/>
        <v>1087</v>
      </c>
      <c r="I51" s="1562">
        <v>1087</v>
      </c>
      <c r="J51" s="1562"/>
      <c r="K51" s="1562"/>
      <c r="L51" s="1562"/>
      <c r="M51" s="1562"/>
      <c r="N51" s="1562"/>
      <c r="O51" s="1562"/>
      <c r="P51" s="1562">
        <f t="shared" si="0"/>
        <v>0</v>
      </c>
    </row>
    <row r="52" spans="1:17" s="1591" customFormat="1" ht="63" x14ac:dyDescent="0.25">
      <c r="A52" s="1587" t="s">
        <v>2523</v>
      </c>
      <c r="B52" s="588" t="s">
        <v>2678</v>
      </c>
      <c r="C52" s="1596">
        <v>619</v>
      </c>
      <c r="D52" s="1597">
        <v>44327</v>
      </c>
      <c r="E52" s="1597"/>
      <c r="F52" s="1624">
        <v>200</v>
      </c>
      <c r="G52" s="1562">
        <v>307877000</v>
      </c>
      <c r="H52" s="1562">
        <f t="shared" si="1"/>
        <v>307.87700000000001</v>
      </c>
      <c r="I52" s="1562"/>
      <c r="J52" s="1562"/>
      <c r="K52" s="1562"/>
      <c r="L52" s="1562"/>
      <c r="M52" s="1562"/>
      <c r="N52" s="1562"/>
      <c r="O52" s="1562"/>
      <c r="P52" s="1562">
        <f t="shared" si="0"/>
        <v>307.87700000000001</v>
      </c>
    </row>
    <row r="53" spans="1:17" s="1591" customFormat="1" ht="47.25" x14ac:dyDescent="0.25">
      <c r="A53" s="1587" t="s">
        <v>2524</v>
      </c>
      <c r="B53" s="588" t="s">
        <v>2679</v>
      </c>
      <c r="C53" s="1596">
        <v>701</v>
      </c>
      <c r="D53" s="1597">
        <v>44336</v>
      </c>
      <c r="E53" s="1597"/>
      <c r="F53" s="1624">
        <v>204</v>
      </c>
      <c r="G53" s="1562">
        <v>2608000000</v>
      </c>
      <c r="H53" s="1562">
        <f t="shared" si="1"/>
        <v>2608</v>
      </c>
      <c r="I53" s="1562"/>
      <c r="J53" s="1562"/>
      <c r="K53" s="1562"/>
      <c r="L53" s="1562"/>
      <c r="M53" s="1562"/>
      <c r="N53" s="1562"/>
      <c r="O53" s="1562"/>
      <c r="P53" s="1562">
        <f t="shared" si="0"/>
        <v>2608</v>
      </c>
    </row>
    <row r="54" spans="1:17" s="1591" customFormat="1" ht="63" x14ac:dyDescent="0.25">
      <c r="A54" s="1587" t="s">
        <v>2525</v>
      </c>
      <c r="B54" s="588" t="s">
        <v>2680</v>
      </c>
      <c r="C54" s="1596">
        <v>749</v>
      </c>
      <c r="D54" s="1597">
        <v>44343</v>
      </c>
      <c r="E54" s="1597"/>
      <c r="F54" s="1624">
        <v>204</v>
      </c>
      <c r="G54" s="1562">
        <v>72733140</v>
      </c>
      <c r="H54" s="1562">
        <f t="shared" si="1"/>
        <v>72.733140000000006</v>
      </c>
      <c r="I54" s="1562"/>
      <c r="J54" s="1562"/>
      <c r="K54" s="1562"/>
      <c r="L54" s="1562"/>
      <c r="M54" s="1562"/>
      <c r="N54" s="1562"/>
      <c r="O54" s="1562"/>
      <c r="P54" s="1562">
        <f t="shared" si="0"/>
        <v>72.733140000000006</v>
      </c>
    </row>
    <row r="55" spans="1:17" s="1650" customFormat="1" ht="31.5" x14ac:dyDescent="0.25">
      <c r="A55" s="1645" t="s">
        <v>2526</v>
      </c>
      <c r="B55" s="1646" t="s">
        <v>2681</v>
      </c>
      <c r="C55" s="1647">
        <v>808</v>
      </c>
      <c r="D55" s="1648">
        <v>44351</v>
      </c>
      <c r="E55" s="1648"/>
      <c r="F55" s="1627">
        <v>200</v>
      </c>
      <c r="G55" s="1649">
        <v>1027604000</v>
      </c>
      <c r="H55" s="1649">
        <f t="shared" si="1"/>
        <v>1027.604</v>
      </c>
      <c r="I55" s="1649"/>
      <c r="J55" s="1649"/>
      <c r="K55" s="1649"/>
      <c r="L55" s="1649"/>
      <c r="M55" s="1649"/>
      <c r="N55" s="1649"/>
      <c r="O55" s="1649"/>
      <c r="P55" s="1649">
        <f t="shared" si="0"/>
        <v>1027.604</v>
      </c>
    </row>
    <row r="56" spans="1:17" s="1591" customFormat="1" ht="78.75" x14ac:dyDescent="0.25">
      <c r="A56" s="1587" t="s">
        <v>2527</v>
      </c>
      <c r="B56" s="588" t="s">
        <v>2682</v>
      </c>
      <c r="C56" s="1596">
        <v>825</v>
      </c>
      <c r="D56" s="1597">
        <v>44355</v>
      </c>
      <c r="E56" s="1597"/>
      <c r="F56" s="1624">
        <v>200</v>
      </c>
      <c r="G56" s="1562">
        <v>2238003900</v>
      </c>
      <c r="H56" s="1562">
        <f t="shared" si="1"/>
        <v>2238.0039000000002</v>
      </c>
      <c r="I56" s="1562"/>
      <c r="J56" s="1562"/>
      <c r="K56" s="1562"/>
      <c r="L56" s="1562"/>
      <c r="M56" s="1562"/>
      <c r="N56" s="1562"/>
      <c r="O56" s="1562"/>
      <c r="P56" s="1562">
        <f t="shared" si="0"/>
        <v>2238.0039000000002</v>
      </c>
    </row>
    <row r="57" spans="1:17" s="1591" customFormat="1" ht="78.75" x14ac:dyDescent="0.25">
      <c r="A57" s="1587" t="s">
        <v>2528</v>
      </c>
      <c r="B57" s="588" t="s">
        <v>2719</v>
      </c>
      <c r="C57" s="1596">
        <v>877</v>
      </c>
      <c r="D57" s="1597">
        <v>44362</v>
      </c>
      <c r="E57" s="1597"/>
      <c r="F57" s="1624">
        <v>204</v>
      </c>
      <c r="G57" s="1562">
        <v>2500000000</v>
      </c>
      <c r="H57" s="1562">
        <f t="shared" si="1"/>
        <v>2500</v>
      </c>
      <c r="I57" s="1562"/>
      <c r="J57" s="1562"/>
      <c r="K57" s="1562"/>
      <c r="L57" s="1562"/>
      <c r="M57" s="1562"/>
      <c r="N57" s="1562"/>
      <c r="O57" s="1562"/>
      <c r="P57" s="1562">
        <f t="shared" si="0"/>
        <v>2500</v>
      </c>
    </row>
    <row r="58" spans="1:17" s="1591" customFormat="1" ht="47.25" x14ac:dyDescent="0.25">
      <c r="A58" s="1587" t="s">
        <v>2529</v>
      </c>
      <c r="B58" s="588" t="s">
        <v>2683</v>
      </c>
      <c r="C58" s="1596">
        <v>1776</v>
      </c>
      <c r="D58" s="1597">
        <v>44466</v>
      </c>
      <c r="E58" s="1597"/>
      <c r="F58" s="1624">
        <v>201</v>
      </c>
      <c r="G58" s="1562">
        <v>51040000</v>
      </c>
      <c r="H58" s="1562">
        <f t="shared" si="1"/>
        <v>51.04</v>
      </c>
      <c r="I58" s="1562"/>
      <c r="J58" s="1562"/>
      <c r="K58" s="1562"/>
      <c r="L58" s="1562"/>
      <c r="M58" s="1562"/>
      <c r="N58" s="1562"/>
      <c r="O58" s="1562"/>
      <c r="P58" s="1562">
        <f t="shared" si="0"/>
        <v>51.04</v>
      </c>
    </row>
    <row r="59" spans="1:17" s="1591" customFormat="1" ht="63" x14ac:dyDescent="0.25">
      <c r="A59" s="1587" t="s">
        <v>2530</v>
      </c>
      <c r="B59" s="588" t="s">
        <v>2684</v>
      </c>
      <c r="C59" s="1596" t="s">
        <v>2685</v>
      </c>
      <c r="D59" s="1597">
        <v>44439</v>
      </c>
      <c r="E59" s="1597"/>
      <c r="F59" s="1624">
        <v>200</v>
      </c>
      <c r="G59" s="1562">
        <v>69732000</v>
      </c>
      <c r="H59" s="1562">
        <f t="shared" si="1"/>
        <v>69.731999999999999</v>
      </c>
      <c r="I59" s="1562"/>
      <c r="J59" s="1562"/>
      <c r="K59" s="1562"/>
      <c r="L59" s="1562"/>
      <c r="M59" s="1562"/>
      <c r="N59" s="1562"/>
      <c r="O59" s="1562"/>
      <c r="P59" s="1562">
        <f t="shared" si="0"/>
        <v>69.731999999999999</v>
      </c>
    </row>
    <row r="60" spans="1:17" s="1591" customFormat="1" x14ac:dyDescent="0.25">
      <c r="A60" s="1598" t="s">
        <v>2531</v>
      </c>
      <c r="B60" s="588" t="s">
        <v>2686</v>
      </c>
      <c r="C60" s="1596"/>
      <c r="D60" s="1597"/>
      <c r="E60" s="1597"/>
      <c r="F60" s="1624">
        <v>100</v>
      </c>
      <c r="G60" s="1562">
        <v>400000000</v>
      </c>
      <c r="H60" s="1562">
        <f t="shared" si="1"/>
        <v>400</v>
      </c>
      <c r="I60" s="1562"/>
      <c r="J60" s="1562"/>
      <c r="K60" s="1562"/>
      <c r="L60" s="1562"/>
      <c r="M60" s="1562"/>
      <c r="N60" s="1562"/>
      <c r="O60" s="1562"/>
      <c r="P60" s="1562">
        <f t="shared" si="0"/>
        <v>400</v>
      </c>
    </row>
    <row r="61" spans="1:17" s="1602" customFormat="1" ht="63" x14ac:dyDescent="0.25">
      <c r="A61" s="1587" t="s">
        <v>2532</v>
      </c>
      <c r="B61" s="196" t="s">
        <v>2687</v>
      </c>
      <c r="C61" s="1599">
        <v>1829</v>
      </c>
      <c r="D61" s="1600">
        <v>44473</v>
      </c>
      <c r="E61" s="1600"/>
      <c r="F61" s="1626">
        <v>201</v>
      </c>
      <c r="G61" s="1568">
        <v>190211000</v>
      </c>
      <c r="H61" s="1562">
        <f t="shared" si="1"/>
        <v>190.21100000000001</v>
      </c>
      <c r="I61" s="1562"/>
      <c r="J61" s="1562"/>
      <c r="K61" s="1562"/>
      <c r="L61" s="1562"/>
      <c r="M61" s="1562"/>
      <c r="N61" s="1562"/>
      <c r="O61" s="1562"/>
      <c r="P61" s="1562">
        <f t="shared" si="0"/>
        <v>190.21100000000001</v>
      </c>
      <c r="Q61" s="1603"/>
    </row>
    <row r="62" spans="1:17" s="1591" customFormat="1" x14ac:dyDescent="0.25">
      <c r="A62" s="1598" t="s">
        <v>2533</v>
      </c>
      <c r="B62" s="588" t="s">
        <v>2688</v>
      </c>
      <c r="C62" s="1596">
        <v>1989</v>
      </c>
      <c r="D62" s="1597">
        <v>44489</v>
      </c>
      <c r="E62" s="1604" t="s">
        <v>1697</v>
      </c>
      <c r="F62" s="1624">
        <v>100</v>
      </c>
      <c r="G62" s="1569">
        <v>591000000</v>
      </c>
      <c r="H62" s="1562">
        <f t="shared" si="1"/>
        <v>591</v>
      </c>
      <c r="I62" s="1562"/>
      <c r="J62" s="1562"/>
      <c r="K62" s="1562"/>
      <c r="L62" s="1562"/>
      <c r="M62" s="1562"/>
      <c r="N62" s="1562"/>
      <c r="O62" s="1562"/>
      <c r="P62" s="1562">
        <f t="shared" si="0"/>
        <v>591</v>
      </c>
    </row>
    <row r="63" spans="1:17" s="1591" customFormat="1" ht="31.5" x14ac:dyDescent="0.25">
      <c r="A63" s="1587" t="s">
        <v>2534</v>
      </c>
      <c r="B63" s="588" t="s">
        <v>2689</v>
      </c>
      <c r="C63" s="1596">
        <v>2017</v>
      </c>
      <c r="D63" s="1597">
        <v>44495</v>
      </c>
      <c r="E63" s="1604"/>
      <c r="F63" s="1624">
        <v>200</v>
      </c>
      <c r="G63" s="1569">
        <v>1157162500</v>
      </c>
      <c r="H63" s="1562">
        <f t="shared" si="1"/>
        <v>1157.1624999999999</v>
      </c>
      <c r="I63" s="1562"/>
      <c r="J63" s="1562"/>
      <c r="K63" s="1562"/>
      <c r="L63" s="1562"/>
      <c r="M63" s="1562"/>
      <c r="N63" s="1562"/>
      <c r="O63" s="1562"/>
      <c r="P63" s="1562">
        <f t="shared" si="0"/>
        <v>1157.1624999999999</v>
      </c>
    </row>
    <row r="64" spans="1:17" s="1591" customFormat="1" ht="47.25" x14ac:dyDescent="0.25">
      <c r="A64" s="1598" t="s">
        <v>2535</v>
      </c>
      <c r="B64" s="588" t="s">
        <v>2690</v>
      </c>
      <c r="C64" s="1596">
        <v>2026</v>
      </c>
      <c r="D64" s="1597">
        <v>44496</v>
      </c>
      <c r="E64" s="1597"/>
      <c r="F64" s="1624">
        <v>204</v>
      </c>
      <c r="G64" s="1569">
        <v>44000000</v>
      </c>
      <c r="H64" s="1562">
        <f t="shared" si="1"/>
        <v>44</v>
      </c>
      <c r="I64" s="1562"/>
      <c r="J64" s="1562"/>
      <c r="K64" s="1562"/>
      <c r="L64" s="1562"/>
      <c r="M64" s="1562"/>
      <c r="N64" s="1562"/>
      <c r="O64" s="1562"/>
      <c r="P64" s="1562">
        <f t="shared" si="0"/>
        <v>44</v>
      </c>
      <c r="Q64" s="1605"/>
    </row>
    <row r="65" spans="1:19" s="1591" customFormat="1" ht="31.5" x14ac:dyDescent="0.25">
      <c r="A65" s="1587" t="s">
        <v>2691</v>
      </c>
      <c r="B65" s="588" t="s">
        <v>2692</v>
      </c>
      <c r="C65" s="1596">
        <v>2073</v>
      </c>
      <c r="D65" s="1597">
        <v>44502</v>
      </c>
      <c r="E65" s="1597"/>
      <c r="F65" s="1624">
        <v>100</v>
      </c>
      <c r="G65" s="1569">
        <v>648000000</v>
      </c>
      <c r="H65" s="1562">
        <f t="shared" si="1"/>
        <v>648</v>
      </c>
      <c r="I65" s="1562">
        <f>SUM(J65:O65)</f>
        <v>644.73082499999998</v>
      </c>
      <c r="J65" s="1562">
        <f>240.149+5.45</f>
        <v>245.59899999999999</v>
      </c>
      <c r="K65" s="1651">
        <v>199.13182499999999</v>
      </c>
      <c r="L65" s="1562">
        <v>130</v>
      </c>
      <c r="M65" s="1562">
        <f>25+10</f>
        <v>35</v>
      </c>
      <c r="N65" s="1562">
        <v>25</v>
      </c>
      <c r="O65" s="1562">
        <v>10</v>
      </c>
      <c r="P65" s="1562">
        <f>H65-I65</f>
        <v>3.2691750000000184</v>
      </c>
      <c r="Q65" s="1605">
        <f>O65+N65+M65+K65+J65</f>
        <v>514.73082499999998</v>
      </c>
    </row>
    <row r="66" spans="1:19" s="1591" customFormat="1" x14ac:dyDescent="0.25">
      <c r="A66" s="1598" t="s">
        <v>2693</v>
      </c>
      <c r="B66" s="1606" t="s">
        <v>2694</v>
      </c>
      <c r="C66" s="1596">
        <v>2088</v>
      </c>
      <c r="D66" s="1597">
        <v>44530</v>
      </c>
      <c r="E66" s="1597"/>
      <c r="F66" s="1625"/>
      <c r="G66" s="1597"/>
      <c r="H66" s="1562">
        <f t="shared" si="1"/>
        <v>0</v>
      </c>
      <c r="I66" s="1562"/>
      <c r="J66" s="1562"/>
      <c r="K66" s="1562"/>
      <c r="L66" s="1562"/>
      <c r="M66" s="1562"/>
      <c r="N66" s="1562"/>
      <c r="O66" s="1562"/>
      <c r="P66" s="1562">
        <f t="shared" ref="P66:P88" si="2">H66-I66</f>
        <v>0</v>
      </c>
    </row>
    <row r="67" spans="1:19" s="1591" customFormat="1" ht="31.5" x14ac:dyDescent="0.25">
      <c r="A67" s="1587"/>
      <c r="B67" s="588" t="s">
        <v>2695</v>
      </c>
      <c r="C67" s="1596"/>
      <c r="D67" s="1597"/>
      <c r="E67" s="1597"/>
      <c r="F67" s="1624">
        <v>212</v>
      </c>
      <c r="G67" s="1570">
        <v>330000000</v>
      </c>
      <c r="H67" s="1562">
        <f t="shared" si="1"/>
        <v>330</v>
      </c>
      <c r="I67" s="1562"/>
      <c r="J67" s="1562"/>
      <c r="K67" s="1562"/>
      <c r="L67" s="1562"/>
      <c r="M67" s="1562"/>
      <c r="N67" s="1562"/>
      <c r="O67" s="1562"/>
      <c r="P67" s="1562">
        <f t="shared" si="2"/>
        <v>330</v>
      </c>
    </row>
    <row r="68" spans="1:19" s="1591" customFormat="1" x14ac:dyDescent="0.25">
      <c r="A68" s="1587"/>
      <c r="B68" s="7" t="s">
        <v>2696</v>
      </c>
      <c r="C68" s="1596"/>
      <c r="D68" s="1597"/>
      <c r="E68" s="1597"/>
      <c r="F68" s="1624">
        <v>213</v>
      </c>
      <c r="G68" s="1569">
        <v>373000000</v>
      </c>
      <c r="H68" s="1562">
        <f t="shared" si="1"/>
        <v>373</v>
      </c>
      <c r="I68" s="1562"/>
      <c r="J68" s="1562"/>
      <c r="K68" s="1562"/>
      <c r="L68" s="1562"/>
      <c r="M68" s="1562"/>
      <c r="N68" s="1562"/>
      <c r="O68" s="1562"/>
      <c r="P68" s="1562">
        <f t="shared" si="2"/>
        <v>373</v>
      </c>
      <c r="S68" s="1591">
        <f>200+248+130</f>
        <v>578</v>
      </c>
    </row>
    <row r="69" spans="1:19" s="1591" customFormat="1" x14ac:dyDescent="0.25">
      <c r="A69" s="1587"/>
      <c r="B69" s="1606" t="s">
        <v>2697</v>
      </c>
      <c r="C69" s="1596"/>
      <c r="D69" s="1597"/>
      <c r="E69" s="1597"/>
      <c r="F69" s="1624">
        <v>220</v>
      </c>
      <c r="G69" s="1569">
        <v>1233000000</v>
      </c>
      <c r="H69" s="1562">
        <f t="shared" si="1"/>
        <v>1233</v>
      </c>
      <c r="I69" s="1562"/>
      <c r="J69" s="1562"/>
      <c r="K69" s="1562"/>
      <c r="L69" s="1562"/>
      <c r="M69" s="1562"/>
      <c r="N69" s="1562"/>
      <c r="O69" s="1562"/>
      <c r="P69" s="1562">
        <f t="shared" si="2"/>
        <v>1233</v>
      </c>
    </row>
    <row r="70" spans="1:19" s="1591" customFormat="1" x14ac:dyDescent="0.25">
      <c r="A70" s="1587"/>
      <c r="B70" s="1606" t="s">
        <v>2698</v>
      </c>
      <c r="C70" s="1596"/>
      <c r="D70" s="1597"/>
      <c r="E70" s="1597"/>
      <c r="F70" s="1624">
        <v>200</v>
      </c>
      <c r="G70" s="1569">
        <v>211000000</v>
      </c>
      <c r="H70" s="1562">
        <f t="shared" si="1"/>
        <v>211</v>
      </c>
      <c r="I70" s="1562"/>
      <c r="J70" s="1562"/>
      <c r="K70" s="1562"/>
      <c r="L70" s="1562"/>
      <c r="M70" s="1562"/>
      <c r="N70" s="1562"/>
      <c r="O70" s="1562"/>
      <c r="P70" s="1562">
        <f t="shared" si="2"/>
        <v>211</v>
      </c>
    </row>
    <row r="71" spans="1:19" s="1591" customFormat="1" x14ac:dyDescent="0.25">
      <c r="A71" s="1587"/>
      <c r="B71" s="1606" t="s">
        <v>2699</v>
      </c>
      <c r="C71" s="1596"/>
      <c r="D71" s="1597"/>
      <c r="E71" s="1597"/>
      <c r="F71" s="1624">
        <v>211</v>
      </c>
      <c r="G71" s="1569">
        <v>3927000000</v>
      </c>
      <c r="H71" s="1562">
        <f t="shared" si="1"/>
        <v>3927</v>
      </c>
      <c r="I71" s="1562"/>
      <c r="J71" s="1562"/>
      <c r="K71" s="1562"/>
      <c r="L71" s="1562"/>
      <c r="M71" s="1562"/>
      <c r="N71" s="1562"/>
      <c r="O71" s="1562"/>
      <c r="P71" s="1562">
        <f t="shared" si="2"/>
        <v>3927</v>
      </c>
    </row>
    <row r="72" spans="1:19" s="1591" customFormat="1" x14ac:dyDescent="0.25">
      <c r="A72" s="1587" t="s">
        <v>2700</v>
      </c>
      <c r="B72" s="1606" t="s">
        <v>2701</v>
      </c>
      <c r="C72" s="1596">
        <v>2324</v>
      </c>
      <c r="D72" s="1597">
        <v>44531</v>
      </c>
      <c r="E72" s="1597"/>
      <c r="F72" s="1624">
        <v>201</v>
      </c>
      <c r="G72" s="1569">
        <v>213662000</v>
      </c>
      <c r="H72" s="1562">
        <f t="shared" si="1"/>
        <v>213.66200000000001</v>
      </c>
      <c r="I72" s="1562"/>
      <c r="J72" s="1562"/>
      <c r="K72" s="1562"/>
      <c r="L72" s="1562"/>
      <c r="M72" s="1562"/>
      <c r="N72" s="1562"/>
      <c r="O72" s="1562"/>
      <c r="P72" s="1562">
        <f t="shared" si="2"/>
        <v>213.66200000000001</v>
      </c>
    </row>
    <row r="73" spans="1:19" s="1591" customFormat="1" x14ac:dyDescent="0.25">
      <c r="A73" s="1587" t="s">
        <v>2702</v>
      </c>
      <c r="B73" s="1606" t="s">
        <v>2703</v>
      </c>
      <c r="C73" s="1596">
        <v>2359</v>
      </c>
      <c r="D73" s="1597">
        <v>44533</v>
      </c>
      <c r="E73" s="1597"/>
      <c r="F73" s="1624">
        <v>201</v>
      </c>
      <c r="G73" s="1569">
        <v>205800000</v>
      </c>
      <c r="H73" s="1562">
        <f t="shared" si="1"/>
        <v>205.8</v>
      </c>
      <c r="I73" s="1562"/>
      <c r="J73" s="1562"/>
      <c r="K73" s="1562"/>
      <c r="L73" s="1562"/>
      <c r="M73" s="1562"/>
      <c r="N73" s="1562"/>
      <c r="O73" s="1562"/>
      <c r="P73" s="1562">
        <f t="shared" si="2"/>
        <v>205.8</v>
      </c>
    </row>
    <row r="74" spans="1:19" s="1591" customFormat="1" x14ac:dyDescent="0.25">
      <c r="A74" s="1587" t="s">
        <v>2704</v>
      </c>
      <c r="B74" s="1606" t="s">
        <v>2705</v>
      </c>
      <c r="C74" s="1596">
        <v>2474</v>
      </c>
      <c r="D74" s="1597">
        <v>44547</v>
      </c>
      <c r="E74" s="1597"/>
      <c r="F74" s="1624">
        <v>201</v>
      </c>
      <c r="G74" s="1569">
        <v>13440000</v>
      </c>
      <c r="H74" s="1562">
        <f t="shared" si="1"/>
        <v>13.44</v>
      </c>
      <c r="I74" s="1562"/>
      <c r="J74" s="1562"/>
      <c r="K74" s="1562"/>
      <c r="L74" s="1562"/>
      <c r="M74" s="1562"/>
      <c r="N74" s="1562"/>
      <c r="O74" s="1562"/>
      <c r="P74" s="1562">
        <f t="shared" si="2"/>
        <v>13.44</v>
      </c>
    </row>
    <row r="75" spans="1:19" s="1602" customFormat="1" ht="31.5" x14ac:dyDescent="0.25">
      <c r="A75" s="1598" t="s">
        <v>2706</v>
      </c>
      <c r="B75" s="1607" t="s">
        <v>2707</v>
      </c>
      <c r="C75" s="1599">
        <v>2466</v>
      </c>
      <c r="D75" s="1600">
        <v>44546</v>
      </c>
      <c r="E75" s="1600"/>
      <c r="F75" s="1626">
        <v>200</v>
      </c>
      <c r="G75" s="1570">
        <v>254648000</v>
      </c>
      <c r="H75" s="1562">
        <f t="shared" si="1"/>
        <v>254.648</v>
      </c>
      <c r="I75" s="1562"/>
      <c r="J75" s="1562"/>
      <c r="K75" s="1562"/>
      <c r="L75" s="1562"/>
      <c r="M75" s="1562"/>
      <c r="N75" s="1562"/>
      <c r="O75" s="1562"/>
      <c r="P75" s="1562">
        <f t="shared" si="2"/>
        <v>254.648</v>
      </c>
    </row>
    <row r="76" spans="1:19" s="1602" customFormat="1" x14ac:dyDescent="0.25">
      <c r="A76" s="1598" t="s">
        <v>2708</v>
      </c>
      <c r="B76" s="1607" t="s">
        <v>2709</v>
      </c>
      <c r="C76" s="1599">
        <v>2680</v>
      </c>
      <c r="D76" s="1600">
        <v>44561</v>
      </c>
      <c r="E76" s="1600"/>
      <c r="F76" s="1626">
        <v>201</v>
      </c>
      <c r="G76" s="1570">
        <v>1000000000</v>
      </c>
      <c r="H76" s="1562">
        <f t="shared" si="1"/>
        <v>1000</v>
      </c>
      <c r="I76" s="1562"/>
      <c r="J76" s="1562"/>
      <c r="K76" s="1562"/>
      <c r="L76" s="1562"/>
      <c r="M76" s="1562"/>
      <c r="N76" s="1562"/>
      <c r="O76" s="1562"/>
      <c r="P76" s="1562">
        <f t="shared" si="2"/>
        <v>1000</v>
      </c>
    </row>
    <row r="77" spans="1:19" s="1591" customFormat="1" ht="31.5" x14ac:dyDescent="0.25">
      <c r="A77" s="1598" t="s">
        <v>2710</v>
      </c>
      <c r="B77" s="1606" t="s">
        <v>2711</v>
      </c>
      <c r="C77" s="1587">
        <v>2679</v>
      </c>
      <c r="D77" s="1597">
        <v>44561</v>
      </c>
      <c r="E77" s="1597"/>
      <c r="F77" s="1628">
        <v>201</v>
      </c>
      <c r="G77" s="1569">
        <v>1235000000</v>
      </c>
      <c r="H77" s="1562">
        <f t="shared" ref="H77:H87" si="3">G77/1000000</f>
        <v>1235</v>
      </c>
      <c r="I77" s="1562"/>
      <c r="J77" s="1562"/>
      <c r="K77" s="1562"/>
      <c r="L77" s="1562"/>
      <c r="M77" s="1562"/>
      <c r="N77" s="1562"/>
      <c r="O77" s="1562"/>
      <c r="P77" s="1562">
        <f t="shared" si="2"/>
        <v>1235</v>
      </c>
    </row>
    <row r="78" spans="1:19" s="1591" customFormat="1" ht="31.5" x14ac:dyDescent="0.25">
      <c r="A78" s="1598" t="s">
        <v>2712</v>
      </c>
      <c r="B78" s="1606" t="s">
        <v>2713</v>
      </c>
      <c r="C78" s="1596">
        <v>2689</v>
      </c>
      <c r="D78" s="1597">
        <v>44561</v>
      </c>
      <c r="E78" s="1597"/>
      <c r="F78" s="1624"/>
      <c r="G78" s="1569"/>
      <c r="H78" s="1562">
        <f t="shared" si="3"/>
        <v>0</v>
      </c>
      <c r="I78" s="1562"/>
      <c r="J78" s="1562"/>
      <c r="K78" s="1562"/>
      <c r="L78" s="1562"/>
      <c r="M78" s="1562"/>
      <c r="N78" s="1562"/>
      <c r="O78" s="1562"/>
      <c r="P78" s="1562">
        <f t="shared" si="2"/>
        <v>0</v>
      </c>
    </row>
    <row r="79" spans="1:19" s="1591" customFormat="1" x14ac:dyDescent="0.25">
      <c r="A79" s="1587"/>
      <c r="B79" s="1606" t="s">
        <v>2697</v>
      </c>
      <c r="C79" s="1596"/>
      <c r="D79" s="1597"/>
      <c r="E79" s="1597"/>
      <c r="F79" s="1624">
        <v>120</v>
      </c>
      <c r="G79" s="1569">
        <v>2459000000</v>
      </c>
      <c r="H79" s="1562">
        <f t="shared" si="3"/>
        <v>2459</v>
      </c>
      <c r="I79" s="1562"/>
      <c r="J79" s="1562"/>
      <c r="K79" s="1562"/>
      <c r="L79" s="1562"/>
      <c r="M79" s="1562"/>
      <c r="N79" s="1562"/>
      <c r="O79" s="1562"/>
      <c r="P79" s="1562">
        <f t="shared" si="2"/>
        <v>2459</v>
      </c>
    </row>
    <row r="80" spans="1:19" s="1591" customFormat="1" x14ac:dyDescent="0.25">
      <c r="A80" s="1587"/>
      <c r="B80" s="1606" t="s">
        <v>2699</v>
      </c>
      <c r="C80" s="1596"/>
      <c r="D80" s="1597"/>
      <c r="E80" s="1597"/>
      <c r="F80" s="1624">
        <v>111</v>
      </c>
      <c r="G80" s="1569">
        <v>1803000000</v>
      </c>
      <c r="H80" s="1562">
        <f t="shared" si="3"/>
        <v>1803</v>
      </c>
      <c r="I80" s="1562"/>
      <c r="J80" s="1562"/>
      <c r="K80" s="1562"/>
      <c r="L80" s="1562"/>
      <c r="M80" s="1562"/>
      <c r="N80" s="1562"/>
      <c r="O80" s="1562"/>
      <c r="P80" s="1562">
        <f t="shared" si="2"/>
        <v>1803</v>
      </c>
    </row>
    <row r="81" spans="1:16" s="1591" customFormat="1" x14ac:dyDescent="0.25">
      <c r="A81" s="1587"/>
      <c r="B81" s="1606" t="s">
        <v>2698</v>
      </c>
      <c r="C81" s="1596"/>
      <c r="D81" s="1608"/>
      <c r="E81" s="1608"/>
      <c r="F81" s="1624">
        <v>107</v>
      </c>
      <c r="G81" s="1569">
        <v>125000000</v>
      </c>
      <c r="H81" s="1562">
        <f t="shared" si="3"/>
        <v>125</v>
      </c>
      <c r="I81" s="1562"/>
      <c r="J81" s="1562"/>
      <c r="K81" s="1562"/>
      <c r="L81" s="1562"/>
      <c r="M81" s="1562"/>
      <c r="N81" s="1562"/>
      <c r="O81" s="1562"/>
      <c r="P81" s="1562">
        <f t="shared" si="2"/>
        <v>125</v>
      </c>
    </row>
    <row r="82" spans="1:16" s="1591" customFormat="1" x14ac:dyDescent="0.25">
      <c r="A82" s="1587"/>
      <c r="B82" s="1606" t="s">
        <v>2696</v>
      </c>
      <c r="C82" s="1596"/>
      <c r="D82" s="1608"/>
      <c r="E82" s="1608"/>
      <c r="F82" s="1624">
        <v>113</v>
      </c>
      <c r="G82" s="1569">
        <v>176000000</v>
      </c>
      <c r="H82" s="1562">
        <f t="shared" si="3"/>
        <v>176</v>
      </c>
      <c r="I82" s="1562"/>
      <c r="J82" s="1562"/>
      <c r="K82" s="1562"/>
      <c r="L82" s="1562"/>
      <c r="M82" s="1562"/>
      <c r="N82" s="1562"/>
      <c r="O82" s="1562"/>
      <c r="P82" s="1562">
        <f t="shared" si="2"/>
        <v>176</v>
      </c>
    </row>
    <row r="83" spans="1:16" s="1591" customFormat="1" ht="31.5" x14ac:dyDescent="0.25">
      <c r="A83" s="1587"/>
      <c r="B83" s="1606" t="s">
        <v>2654</v>
      </c>
      <c r="C83" s="1596"/>
      <c r="D83" s="1608"/>
      <c r="E83" s="1608"/>
      <c r="F83" s="1624">
        <v>117</v>
      </c>
      <c r="G83" s="1569">
        <v>67000000</v>
      </c>
      <c r="H83" s="1562">
        <f t="shared" si="3"/>
        <v>67</v>
      </c>
      <c r="I83" s="1562"/>
      <c r="J83" s="1562"/>
      <c r="K83" s="1562"/>
      <c r="L83" s="1562"/>
      <c r="M83" s="1562"/>
      <c r="N83" s="1562"/>
      <c r="O83" s="1562"/>
      <c r="P83" s="1562">
        <f t="shared" si="2"/>
        <v>67</v>
      </c>
    </row>
    <row r="84" spans="1:16" s="1591" customFormat="1" ht="31.5" x14ac:dyDescent="0.25">
      <c r="A84" s="1587"/>
      <c r="B84" s="1606" t="s">
        <v>2714</v>
      </c>
      <c r="C84" s="1587"/>
      <c r="D84" s="1597"/>
      <c r="E84" s="1597"/>
      <c r="F84" s="1624">
        <v>114</v>
      </c>
      <c r="G84" s="1569">
        <v>30000000</v>
      </c>
      <c r="H84" s="1562">
        <f t="shared" si="3"/>
        <v>30</v>
      </c>
      <c r="I84" s="1562"/>
      <c r="J84" s="1562"/>
      <c r="K84" s="1562"/>
      <c r="L84" s="1562"/>
      <c r="M84" s="1562"/>
      <c r="N84" s="1562"/>
      <c r="O84" s="1562"/>
      <c r="P84" s="1562">
        <f t="shared" si="2"/>
        <v>30</v>
      </c>
    </row>
    <row r="85" spans="1:16" s="1591" customFormat="1" ht="31.5" x14ac:dyDescent="0.25">
      <c r="A85" s="1587"/>
      <c r="B85" s="1606" t="s">
        <v>2715</v>
      </c>
      <c r="C85" s="1587"/>
      <c r="D85" s="1597"/>
      <c r="E85" s="1597"/>
      <c r="F85" s="1628">
        <v>126</v>
      </c>
      <c r="G85" s="1569">
        <v>32000000</v>
      </c>
      <c r="H85" s="1562">
        <f t="shared" si="3"/>
        <v>32</v>
      </c>
      <c r="I85" s="1562"/>
      <c r="J85" s="1562"/>
      <c r="K85" s="1562"/>
      <c r="L85" s="1562"/>
      <c r="M85" s="1562"/>
      <c r="N85" s="1562"/>
      <c r="O85" s="1562"/>
      <c r="P85" s="1562">
        <f t="shared" si="2"/>
        <v>32</v>
      </c>
    </row>
    <row r="86" spans="1:16" s="1591" customFormat="1" ht="31.5" x14ac:dyDescent="0.25">
      <c r="A86" s="1587" t="s">
        <v>2716</v>
      </c>
      <c r="B86" s="1606" t="s">
        <v>2717</v>
      </c>
      <c r="C86" s="1587">
        <v>2725</v>
      </c>
      <c r="D86" s="1597">
        <v>44561</v>
      </c>
      <c r="E86" s="1597"/>
      <c r="F86" s="1628"/>
      <c r="G86" s="1569"/>
      <c r="H86" s="1562">
        <f t="shared" si="3"/>
        <v>0</v>
      </c>
      <c r="I86" s="1562"/>
      <c r="J86" s="1562"/>
      <c r="K86" s="1562"/>
      <c r="L86" s="1562"/>
      <c r="M86" s="1562"/>
      <c r="N86" s="1562"/>
      <c r="O86" s="1562"/>
      <c r="P86" s="1562">
        <f t="shared" si="2"/>
        <v>0</v>
      </c>
    </row>
    <row r="87" spans="1:16" s="1591" customFormat="1" x14ac:dyDescent="0.25">
      <c r="A87" s="1587"/>
      <c r="B87" s="1606"/>
      <c r="C87" s="1587"/>
      <c r="D87" s="1597"/>
      <c r="E87" s="1597"/>
      <c r="F87" s="1628">
        <v>100</v>
      </c>
      <c r="G87" s="1569">
        <v>330000000</v>
      </c>
      <c r="H87" s="1562">
        <f t="shared" si="3"/>
        <v>330</v>
      </c>
      <c r="I87" s="1562"/>
      <c r="J87" s="1562"/>
      <c r="K87" s="1562"/>
      <c r="L87" s="1562"/>
      <c r="M87" s="1562"/>
      <c r="N87" s="1562"/>
      <c r="O87" s="1562"/>
      <c r="P87" s="1562">
        <f t="shared" si="2"/>
        <v>330</v>
      </c>
    </row>
    <row r="88" spans="1:16" x14ac:dyDescent="0.25">
      <c r="A88" s="1610"/>
      <c r="B88" s="1611"/>
      <c r="C88" s="1610"/>
      <c r="D88" s="1612"/>
      <c r="E88" s="1612"/>
      <c r="F88" s="1629">
        <v>204</v>
      </c>
      <c r="G88" s="1573">
        <v>703000000</v>
      </c>
      <c r="H88" s="1562">
        <f>G88/1000000</f>
        <v>703</v>
      </c>
      <c r="I88" s="1652"/>
      <c r="J88" s="1652"/>
      <c r="K88" s="1652"/>
      <c r="L88" s="1652"/>
      <c r="M88" s="1652"/>
      <c r="N88" s="1652"/>
      <c r="O88" s="1652"/>
      <c r="P88" s="1562">
        <f t="shared" si="2"/>
        <v>703</v>
      </c>
    </row>
    <row r="90" spans="1:16" x14ac:dyDescent="0.25">
      <c r="L90" s="1551">
        <v>3395.1664000000001</v>
      </c>
      <c r="M90" s="1551">
        <v>2971.5332999999996</v>
      </c>
    </row>
    <row r="101" spans="7:7" x14ac:dyDescent="0.25">
      <c r="G101" s="1551">
        <f>SUM(G7:G61)</f>
        <v>862725875124</v>
      </c>
    </row>
    <row r="103" spans="7:7" x14ac:dyDescent="0.25">
      <c r="G103" s="1551">
        <f>1568596000-1378385000</f>
        <v>190211000</v>
      </c>
    </row>
  </sheetData>
  <autoFilter ref="A7:P88"/>
  <mergeCells count="3">
    <mergeCell ref="G1:P1"/>
    <mergeCell ref="A2:P2"/>
    <mergeCell ref="A3:P3"/>
  </mergeCells>
  <pageMargins left="0.31496062992125984" right="0.31496062992125984" top="0.35433070866141736" bottom="0.35433070866141736" header="0.31496062992125984" footer="0.31496062992125984"/>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A78"/>
  <sheetViews>
    <sheetView workbookViewId="0">
      <pane xSplit="3" ySplit="8" topLeftCell="D9" activePane="bottomRight" state="frozen"/>
      <selection pane="topRight" activeCell="D1" sqref="D1"/>
      <selection pane="bottomLeft" activeCell="A9" sqref="A9"/>
      <selection pane="bottomRight" activeCell="V17" sqref="V17"/>
    </sheetView>
  </sheetViews>
  <sheetFormatPr defaultRowHeight="12.75" x14ac:dyDescent="0.25"/>
  <cols>
    <col min="1" max="1" width="3.42578125" style="1195" customWidth="1"/>
    <col min="2" max="2" width="19.42578125" style="1195" customWidth="1"/>
    <col min="3" max="3" width="7.28515625" style="1207" customWidth="1"/>
    <col min="4" max="4" width="9.5703125" style="1207" customWidth="1"/>
    <col min="5" max="5" width="10.7109375" style="1207" customWidth="1"/>
    <col min="6" max="6" width="7.140625" style="1207" customWidth="1"/>
    <col min="7" max="7" width="6.140625" style="1207" customWidth="1"/>
    <col min="8" max="8" width="6.28515625" style="1207" hidden="1" customWidth="1"/>
    <col min="9" max="9" width="7.7109375" style="1207" hidden="1" customWidth="1"/>
    <col min="10" max="10" width="7.140625" style="1207" hidden="1" customWidth="1"/>
    <col min="11" max="11" width="8.7109375" style="1207" customWidth="1"/>
    <col min="12" max="12" width="7.7109375" style="1207" customWidth="1"/>
    <col min="13" max="13" width="8.140625" style="1207" customWidth="1"/>
    <col min="14" max="14" width="8.28515625" style="1207" customWidth="1"/>
    <col min="15" max="15" width="10.5703125" style="1207" customWidth="1"/>
    <col min="16" max="17" width="5" style="1207" customWidth="1"/>
    <col min="18" max="18" width="5.7109375" style="1207" customWidth="1"/>
    <col min="19" max="19" width="9.7109375" style="1207" customWidth="1"/>
    <col min="20" max="20" width="5.7109375" style="1207" customWidth="1"/>
    <col min="21" max="21" width="5.5703125" style="1207" customWidth="1"/>
    <col min="22" max="22" width="10.85546875" style="1207" customWidth="1"/>
    <col min="23" max="23" width="10.28515625" style="1207" customWidth="1"/>
    <col min="24" max="24" width="7.140625" style="1207" customWidth="1"/>
    <col min="25" max="25" width="7.28515625" style="1207" customWidth="1"/>
    <col min="26" max="26" width="9" style="1207" customWidth="1"/>
    <col min="27" max="27" width="3.7109375" style="1207" customWidth="1"/>
    <col min="28" max="28" width="15.140625" style="1195" bestFit="1" customWidth="1"/>
    <col min="29" max="243" width="8.85546875" style="1195"/>
    <col min="244" max="244" width="5.5703125" style="1195" customWidth="1"/>
    <col min="245" max="245" width="29" style="1195" customWidth="1"/>
    <col min="246" max="260" width="9.7109375" style="1195" customWidth="1"/>
    <col min="261" max="263" width="8.28515625" style="1195" customWidth="1"/>
    <col min="264" max="499" width="8.85546875" style="1195"/>
    <col min="500" max="500" width="5.5703125" style="1195" customWidth="1"/>
    <col min="501" max="501" width="29" style="1195" customWidth="1"/>
    <col min="502" max="516" width="9.7109375" style="1195" customWidth="1"/>
    <col min="517" max="519" width="8.28515625" style="1195" customWidth="1"/>
    <col min="520" max="755" width="8.85546875" style="1195"/>
    <col min="756" max="756" width="5.5703125" style="1195" customWidth="1"/>
    <col min="757" max="757" width="29" style="1195" customWidth="1"/>
    <col min="758" max="772" width="9.7109375" style="1195" customWidth="1"/>
    <col min="773" max="775" width="8.28515625" style="1195" customWidth="1"/>
    <col min="776" max="1011" width="8.85546875" style="1195"/>
    <col min="1012" max="1012" width="5.5703125" style="1195" customWidth="1"/>
    <col min="1013" max="1013" width="29" style="1195" customWidth="1"/>
    <col min="1014" max="1028" width="9.7109375" style="1195" customWidth="1"/>
    <col min="1029" max="1031" width="8.28515625" style="1195" customWidth="1"/>
    <col min="1032" max="1267" width="8.85546875" style="1195"/>
    <col min="1268" max="1268" width="5.5703125" style="1195" customWidth="1"/>
    <col min="1269" max="1269" width="29" style="1195" customWidth="1"/>
    <col min="1270" max="1284" width="9.7109375" style="1195" customWidth="1"/>
    <col min="1285" max="1287" width="8.28515625" style="1195" customWidth="1"/>
    <col min="1288" max="1523" width="8.85546875" style="1195"/>
    <col min="1524" max="1524" width="5.5703125" style="1195" customWidth="1"/>
    <col min="1525" max="1525" width="29" style="1195" customWidth="1"/>
    <col min="1526" max="1540" width="9.7109375" style="1195" customWidth="1"/>
    <col min="1541" max="1543" width="8.28515625" style="1195" customWidth="1"/>
    <col min="1544" max="1779" width="8.85546875" style="1195"/>
    <col min="1780" max="1780" width="5.5703125" style="1195" customWidth="1"/>
    <col min="1781" max="1781" width="29" style="1195" customWidth="1"/>
    <col min="1782" max="1796" width="9.7109375" style="1195" customWidth="1"/>
    <col min="1797" max="1799" width="8.28515625" style="1195" customWidth="1"/>
    <col min="1800" max="2035" width="8.85546875" style="1195"/>
    <col min="2036" max="2036" width="5.5703125" style="1195" customWidth="1"/>
    <col min="2037" max="2037" width="29" style="1195" customWidth="1"/>
    <col min="2038" max="2052" width="9.7109375" style="1195" customWidth="1"/>
    <col min="2053" max="2055" width="8.28515625" style="1195" customWidth="1"/>
    <col min="2056" max="2291" width="8.85546875" style="1195"/>
    <col min="2292" max="2292" width="5.5703125" style="1195" customWidth="1"/>
    <col min="2293" max="2293" width="29" style="1195" customWidth="1"/>
    <col min="2294" max="2308" width="9.7109375" style="1195" customWidth="1"/>
    <col min="2309" max="2311" width="8.28515625" style="1195" customWidth="1"/>
    <col min="2312" max="2547" width="8.85546875" style="1195"/>
    <col min="2548" max="2548" width="5.5703125" style="1195" customWidth="1"/>
    <col min="2549" max="2549" width="29" style="1195" customWidth="1"/>
    <col min="2550" max="2564" width="9.7109375" style="1195" customWidth="1"/>
    <col min="2565" max="2567" width="8.28515625" style="1195" customWidth="1"/>
    <col min="2568" max="2803" width="8.85546875" style="1195"/>
    <col min="2804" max="2804" width="5.5703125" style="1195" customWidth="1"/>
    <col min="2805" max="2805" width="29" style="1195" customWidth="1"/>
    <col min="2806" max="2820" width="9.7109375" style="1195" customWidth="1"/>
    <col min="2821" max="2823" width="8.28515625" style="1195" customWidth="1"/>
    <col min="2824" max="3059" width="8.85546875" style="1195"/>
    <col min="3060" max="3060" width="5.5703125" style="1195" customWidth="1"/>
    <col min="3061" max="3061" width="29" style="1195" customWidth="1"/>
    <col min="3062" max="3076" width="9.7109375" style="1195" customWidth="1"/>
    <col min="3077" max="3079" width="8.28515625" style="1195" customWidth="1"/>
    <col min="3080" max="3315" width="8.85546875" style="1195"/>
    <col min="3316" max="3316" width="5.5703125" style="1195" customWidth="1"/>
    <col min="3317" max="3317" width="29" style="1195" customWidth="1"/>
    <col min="3318" max="3332" width="9.7109375" style="1195" customWidth="1"/>
    <col min="3333" max="3335" width="8.28515625" style="1195" customWidth="1"/>
    <col min="3336" max="3571" width="8.85546875" style="1195"/>
    <col min="3572" max="3572" width="5.5703125" style="1195" customWidth="1"/>
    <col min="3573" max="3573" width="29" style="1195" customWidth="1"/>
    <col min="3574" max="3588" width="9.7109375" style="1195" customWidth="1"/>
    <col min="3589" max="3591" width="8.28515625" style="1195" customWidth="1"/>
    <col min="3592" max="3827" width="8.85546875" style="1195"/>
    <col min="3828" max="3828" width="5.5703125" style="1195" customWidth="1"/>
    <col min="3829" max="3829" width="29" style="1195" customWidth="1"/>
    <col min="3830" max="3844" width="9.7109375" style="1195" customWidth="1"/>
    <col min="3845" max="3847" width="8.28515625" style="1195" customWidth="1"/>
    <col min="3848" max="4083" width="8.85546875" style="1195"/>
    <col min="4084" max="4084" width="5.5703125" style="1195" customWidth="1"/>
    <col min="4085" max="4085" width="29" style="1195" customWidth="1"/>
    <col min="4086" max="4100" width="9.7109375" style="1195" customWidth="1"/>
    <col min="4101" max="4103" width="8.28515625" style="1195" customWidth="1"/>
    <col min="4104" max="4339" width="8.85546875" style="1195"/>
    <col min="4340" max="4340" width="5.5703125" style="1195" customWidth="1"/>
    <col min="4341" max="4341" width="29" style="1195" customWidth="1"/>
    <col min="4342" max="4356" width="9.7109375" style="1195" customWidth="1"/>
    <col min="4357" max="4359" width="8.28515625" style="1195" customWidth="1"/>
    <col min="4360" max="4595" width="8.85546875" style="1195"/>
    <col min="4596" max="4596" width="5.5703125" style="1195" customWidth="1"/>
    <col min="4597" max="4597" width="29" style="1195" customWidth="1"/>
    <col min="4598" max="4612" width="9.7109375" style="1195" customWidth="1"/>
    <col min="4613" max="4615" width="8.28515625" style="1195" customWidth="1"/>
    <col min="4616" max="4851" width="8.85546875" style="1195"/>
    <col min="4852" max="4852" width="5.5703125" style="1195" customWidth="1"/>
    <col min="4853" max="4853" width="29" style="1195" customWidth="1"/>
    <col min="4854" max="4868" width="9.7109375" style="1195" customWidth="1"/>
    <col min="4869" max="4871" width="8.28515625" style="1195" customWidth="1"/>
    <col min="4872" max="5107" width="8.85546875" style="1195"/>
    <col min="5108" max="5108" width="5.5703125" style="1195" customWidth="1"/>
    <col min="5109" max="5109" width="29" style="1195" customWidth="1"/>
    <col min="5110" max="5124" width="9.7109375" style="1195" customWidth="1"/>
    <col min="5125" max="5127" width="8.28515625" style="1195" customWidth="1"/>
    <col min="5128" max="5363" width="8.85546875" style="1195"/>
    <col min="5364" max="5364" width="5.5703125" style="1195" customWidth="1"/>
    <col min="5365" max="5365" width="29" style="1195" customWidth="1"/>
    <col min="5366" max="5380" width="9.7109375" style="1195" customWidth="1"/>
    <col min="5381" max="5383" width="8.28515625" style="1195" customWidth="1"/>
    <col min="5384" max="5619" width="8.85546875" style="1195"/>
    <col min="5620" max="5620" width="5.5703125" style="1195" customWidth="1"/>
    <col min="5621" max="5621" width="29" style="1195" customWidth="1"/>
    <col min="5622" max="5636" width="9.7109375" style="1195" customWidth="1"/>
    <col min="5637" max="5639" width="8.28515625" style="1195" customWidth="1"/>
    <col min="5640" max="5875" width="8.85546875" style="1195"/>
    <col min="5876" max="5876" width="5.5703125" style="1195" customWidth="1"/>
    <col min="5877" max="5877" width="29" style="1195" customWidth="1"/>
    <col min="5878" max="5892" width="9.7109375" style="1195" customWidth="1"/>
    <col min="5893" max="5895" width="8.28515625" style="1195" customWidth="1"/>
    <col min="5896" max="6131" width="8.85546875" style="1195"/>
    <col min="6132" max="6132" width="5.5703125" style="1195" customWidth="1"/>
    <col min="6133" max="6133" width="29" style="1195" customWidth="1"/>
    <col min="6134" max="6148" width="9.7109375" style="1195" customWidth="1"/>
    <col min="6149" max="6151" width="8.28515625" style="1195" customWidth="1"/>
    <col min="6152" max="6387" width="8.85546875" style="1195"/>
    <col min="6388" max="6388" width="5.5703125" style="1195" customWidth="1"/>
    <col min="6389" max="6389" width="29" style="1195" customWidth="1"/>
    <col min="6390" max="6404" width="9.7109375" style="1195" customWidth="1"/>
    <col min="6405" max="6407" width="8.28515625" style="1195" customWidth="1"/>
    <col min="6408" max="6643" width="8.85546875" style="1195"/>
    <col min="6644" max="6644" width="5.5703125" style="1195" customWidth="1"/>
    <col min="6645" max="6645" width="29" style="1195" customWidth="1"/>
    <col min="6646" max="6660" width="9.7109375" style="1195" customWidth="1"/>
    <col min="6661" max="6663" width="8.28515625" style="1195" customWidth="1"/>
    <col min="6664" max="6899" width="8.85546875" style="1195"/>
    <col min="6900" max="6900" width="5.5703125" style="1195" customWidth="1"/>
    <col min="6901" max="6901" width="29" style="1195" customWidth="1"/>
    <col min="6902" max="6916" width="9.7109375" style="1195" customWidth="1"/>
    <col min="6917" max="6919" width="8.28515625" style="1195" customWidth="1"/>
    <col min="6920" max="7155" width="8.85546875" style="1195"/>
    <col min="7156" max="7156" width="5.5703125" style="1195" customWidth="1"/>
    <col min="7157" max="7157" width="29" style="1195" customWidth="1"/>
    <col min="7158" max="7172" width="9.7109375" style="1195" customWidth="1"/>
    <col min="7173" max="7175" width="8.28515625" style="1195" customWidth="1"/>
    <col min="7176" max="7411" width="8.85546875" style="1195"/>
    <col min="7412" max="7412" width="5.5703125" style="1195" customWidth="1"/>
    <col min="7413" max="7413" width="29" style="1195" customWidth="1"/>
    <col min="7414" max="7428" width="9.7109375" style="1195" customWidth="1"/>
    <col min="7429" max="7431" width="8.28515625" style="1195" customWidth="1"/>
    <col min="7432" max="7667" width="8.85546875" style="1195"/>
    <col min="7668" max="7668" width="5.5703125" style="1195" customWidth="1"/>
    <col min="7669" max="7669" width="29" style="1195" customWidth="1"/>
    <col min="7670" max="7684" width="9.7109375" style="1195" customWidth="1"/>
    <col min="7685" max="7687" width="8.28515625" style="1195" customWidth="1"/>
    <col min="7688" max="7923" width="8.85546875" style="1195"/>
    <col min="7924" max="7924" width="5.5703125" style="1195" customWidth="1"/>
    <col min="7925" max="7925" width="29" style="1195" customWidth="1"/>
    <col min="7926" max="7940" width="9.7109375" style="1195" customWidth="1"/>
    <col min="7941" max="7943" width="8.28515625" style="1195" customWidth="1"/>
    <col min="7944" max="8179" width="8.85546875" style="1195"/>
    <col min="8180" max="8180" width="5.5703125" style="1195" customWidth="1"/>
    <col min="8181" max="8181" width="29" style="1195" customWidth="1"/>
    <col min="8182" max="8196" width="9.7109375" style="1195" customWidth="1"/>
    <col min="8197" max="8199" width="8.28515625" style="1195" customWidth="1"/>
    <col min="8200" max="8435" width="8.85546875" style="1195"/>
    <col min="8436" max="8436" width="5.5703125" style="1195" customWidth="1"/>
    <col min="8437" max="8437" width="29" style="1195" customWidth="1"/>
    <col min="8438" max="8452" width="9.7109375" style="1195" customWidth="1"/>
    <col min="8453" max="8455" width="8.28515625" style="1195" customWidth="1"/>
    <col min="8456" max="8691" width="8.85546875" style="1195"/>
    <col min="8692" max="8692" width="5.5703125" style="1195" customWidth="1"/>
    <col min="8693" max="8693" width="29" style="1195" customWidth="1"/>
    <col min="8694" max="8708" width="9.7109375" style="1195" customWidth="1"/>
    <col min="8709" max="8711" width="8.28515625" style="1195" customWidth="1"/>
    <col min="8712" max="8947" width="8.85546875" style="1195"/>
    <col min="8948" max="8948" width="5.5703125" style="1195" customWidth="1"/>
    <col min="8949" max="8949" width="29" style="1195" customWidth="1"/>
    <col min="8950" max="8964" width="9.7109375" style="1195" customWidth="1"/>
    <col min="8965" max="8967" width="8.28515625" style="1195" customWidth="1"/>
    <col min="8968" max="9203" width="8.85546875" style="1195"/>
    <col min="9204" max="9204" width="5.5703125" style="1195" customWidth="1"/>
    <col min="9205" max="9205" width="29" style="1195" customWidth="1"/>
    <col min="9206" max="9220" width="9.7109375" style="1195" customWidth="1"/>
    <col min="9221" max="9223" width="8.28515625" style="1195" customWidth="1"/>
    <col min="9224" max="9459" width="8.85546875" style="1195"/>
    <col min="9460" max="9460" width="5.5703125" style="1195" customWidth="1"/>
    <col min="9461" max="9461" width="29" style="1195" customWidth="1"/>
    <col min="9462" max="9476" width="9.7109375" style="1195" customWidth="1"/>
    <col min="9477" max="9479" width="8.28515625" style="1195" customWidth="1"/>
    <col min="9480" max="9715" width="8.85546875" style="1195"/>
    <col min="9716" max="9716" width="5.5703125" style="1195" customWidth="1"/>
    <col min="9717" max="9717" width="29" style="1195" customWidth="1"/>
    <col min="9718" max="9732" width="9.7109375" style="1195" customWidth="1"/>
    <col min="9733" max="9735" width="8.28515625" style="1195" customWidth="1"/>
    <col min="9736" max="9971" width="8.85546875" style="1195"/>
    <col min="9972" max="9972" width="5.5703125" style="1195" customWidth="1"/>
    <col min="9973" max="9973" width="29" style="1195" customWidth="1"/>
    <col min="9974" max="9988" width="9.7109375" style="1195" customWidth="1"/>
    <col min="9989" max="9991" width="8.28515625" style="1195" customWidth="1"/>
    <col min="9992" max="10227" width="8.85546875" style="1195"/>
    <col min="10228" max="10228" width="5.5703125" style="1195" customWidth="1"/>
    <col min="10229" max="10229" width="29" style="1195" customWidth="1"/>
    <col min="10230" max="10244" width="9.7109375" style="1195" customWidth="1"/>
    <col min="10245" max="10247" width="8.28515625" style="1195" customWidth="1"/>
    <col min="10248" max="10483" width="8.85546875" style="1195"/>
    <col min="10484" max="10484" width="5.5703125" style="1195" customWidth="1"/>
    <col min="10485" max="10485" width="29" style="1195" customWidth="1"/>
    <col min="10486" max="10500" width="9.7109375" style="1195" customWidth="1"/>
    <col min="10501" max="10503" width="8.28515625" style="1195" customWidth="1"/>
    <col min="10504" max="10739" width="8.85546875" style="1195"/>
    <col min="10740" max="10740" width="5.5703125" style="1195" customWidth="1"/>
    <col min="10741" max="10741" width="29" style="1195" customWidth="1"/>
    <col min="10742" max="10756" width="9.7109375" style="1195" customWidth="1"/>
    <col min="10757" max="10759" width="8.28515625" style="1195" customWidth="1"/>
    <col min="10760" max="10995" width="8.85546875" style="1195"/>
    <col min="10996" max="10996" width="5.5703125" style="1195" customWidth="1"/>
    <col min="10997" max="10997" width="29" style="1195" customWidth="1"/>
    <col min="10998" max="11012" width="9.7109375" style="1195" customWidth="1"/>
    <col min="11013" max="11015" width="8.28515625" style="1195" customWidth="1"/>
    <col min="11016" max="11251" width="8.85546875" style="1195"/>
    <col min="11252" max="11252" width="5.5703125" style="1195" customWidth="1"/>
    <col min="11253" max="11253" width="29" style="1195" customWidth="1"/>
    <col min="11254" max="11268" width="9.7109375" style="1195" customWidth="1"/>
    <col min="11269" max="11271" width="8.28515625" style="1195" customWidth="1"/>
    <col min="11272" max="11507" width="8.85546875" style="1195"/>
    <col min="11508" max="11508" width="5.5703125" style="1195" customWidth="1"/>
    <col min="11509" max="11509" width="29" style="1195" customWidth="1"/>
    <col min="11510" max="11524" width="9.7109375" style="1195" customWidth="1"/>
    <col min="11525" max="11527" width="8.28515625" style="1195" customWidth="1"/>
    <col min="11528" max="11763" width="8.85546875" style="1195"/>
    <col min="11764" max="11764" width="5.5703125" style="1195" customWidth="1"/>
    <col min="11765" max="11765" width="29" style="1195" customWidth="1"/>
    <col min="11766" max="11780" width="9.7109375" style="1195" customWidth="1"/>
    <col min="11781" max="11783" width="8.28515625" style="1195" customWidth="1"/>
    <col min="11784" max="12019" width="8.85546875" style="1195"/>
    <col min="12020" max="12020" width="5.5703125" style="1195" customWidth="1"/>
    <col min="12021" max="12021" width="29" style="1195" customWidth="1"/>
    <col min="12022" max="12036" width="9.7109375" style="1195" customWidth="1"/>
    <col min="12037" max="12039" width="8.28515625" style="1195" customWidth="1"/>
    <col min="12040" max="12275" width="8.85546875" style="1195"/>
    <col min="12276" max="12276" width="5.5703125" style="1195" customWidth="1"/>
    <col min="12277" max="12277" width="29" style="1195" customWidth="1"/>
    <col min="12278" max="12292" width="9.7109375" style="1195" customWidth="1"/>
    <col min="12293" max="12295" width="8.28515625" style="1195" customWidth="1"/>
    <col min="12296" max="12531" width="8.85546875" style="1195"/>
    <col min="12532" max="12532" width="5.5703125" style="1195" customWidth="1"/>
    <col min="12533" max="12533" width="29" style="1195" customWidth="1"/>
    <col min="12534" max="12548" width="9.7109375" style="1195" customWidth="1"/>
    <col min="12549" max="12551" width="8.28515625" style="1195" customWidth="1"/>
    <col min="12552" max="12787" width="8.85546875" style="1195"/>
    <col min="12788" max="12788" width="5.5703125" style="1195" customWidth="1"/>
    <col min="12789" max="12789" width="29" style="1195" customWidth="1"/>
    <col min="12790" max="12804" width="9.7109375" style="1195" customWidth="1"/>
    <col min="12805" max="12807" width="8.28515625" style="1195" customWidth="1"/>
    <col min="12808" max="13043" width="8.85546875" style="1195"/>
    <col min="13044" max="13044" width="5.5703125" style="1195" customWidth="1"/>
    <col min="13045" max="13045" width="29" style="1195" customWidth="1"/>
    <col min="13046" max="13060" width="9.7109375" style="1195" customWidth="1"/>
    <col min="13061" max="13063" width="8.28515625" style="1195" customWidth="1"/>
    <col min="13064" max="13299" width="8.85546875" style="1195"/>
    <col min="13300" max="13300" width="5.5703125" style="1195" customWidth="1"/>
    <col min="13301" max="13301" width="29" style="1195" customWidth="1"/>
    <col min="13302" max="13316" width="9.7109375" style="1195" customWidth="1"/>
    <col min="13317" max="13319" width="8.28515625" style="1195" customWidth="1"/>
    <col min="13320" max="13555" width="8.85546875" style="1195"/>
    <col min="13556" max="13556" width="5.5703125" style="1195" customWidth="1"/>
    <col min="13557" max="13557" width="29" style="1195" customWidth="1"/>
    <col min="13558" max="13572" width="9.7109375" style="1195" customWidth="1"/>
    <col min="13573" max="13575" width="8.28515625" style="1195" customWidth="1"/>
    <col min="13576" max="13811" width="8.85546875" style="1195"/>
    <col min="13812" max="13812" width="5.5703125" style="1195" customWidth="1"/>
    <col min="13813" max="13813" width="29" style="1195" customWidth="1"/>
    <col min="13814" max="13828" width="9.7109375" style="1195" customWidth="1"/>
    <col min="13829" max="13831" width="8.28515625" style="1195" customWidth="1"/>
    <col min="13832" max="14067" width="8.85546875" style="1195"/>
    <col min="14068" max="14068" width="5.5703125" style="1195" customWidth="1"/>
    <col min="14069" max="14069" width="29" style="1195" customWidth="1"/>
    <col min="14070" max="14084" width="9.7109375" style="1195" customWidth="1"/>
    <col min="14085" max="14087" width="8.28515625" style="1195" customWidth="1"/>
    <col min="14088" max="14323" width="8.85546875" style="1195"/>
    <col min="14324" max="14324" width="5.5703125" style="1195" customWidth="1"/>
    <col min="14325" max="14325" width="29" style="1195" customWidth="1"/>
    <col min="14326" max="14340" width="9.7109375" style="1195" customWidth="1"/>
    <col min="14341" max="14343" width="8.28515625" style="1195" customWidth="1"/>
    <col min="14344" max="14579" width="8.85546875" style="1195"/>
    <col min="14580" max="14580" width="5.5703125" style="1195" customWidth="1"/>
    <col min="14581" max="14581" width="29" style="1195" customWidth="1"/>
    <col min="14582" max="14596" width="9.7109375" style="1195" customWidth="1"/>
    <col min="14597" max="14599" width="8.28515625" style="1195" customWidth="1"/>
    <col min="14600" max="14835" width="8.85546875" style="1195"/>
    <col min="14836" max="14836" width="5.5703125" style="1195" customWidth="1"/>
    <col min="14837" max="14837" width="29" style="1195" customWidth="1"/>
    <col min="14838" max="14852" width="9.7109375" style="1195" customWidth="1"/>
    <col min="14853" max="14855" width="8.28515625" style="1195" customWidth="1"/>
    <col min="14856" max="15091" width="8.85546875" style="1195"/>
    <col min="15092" max="15092" width="5.5703125" style="1195" customWidth="1"/>
    <col min="15093" max="15093" width="29" style="1195" customWidth="1"/>
    <col min="15094" max="15108" width="9.7109375" style="1195" customWidth="1"/>
    <col min="15109" max="15111" width="8.28515625" style="1195" customWidth="1"/>
    <col min="15112" max="15347" width="8.85546875" style="1195"/>
    <col min="15348" max="15348" width="5.5703125" style="1195" customWidth="1"/>
    <col min="15349" max="15349" width="29" style="1195" customWidth="1"/>
    <col min="15350" max="15364" width="9.7109375" style="1195" customWidth="1"/>
    <col min="15365" max="15367" width="8.28515625" style="1195" customWidth="1"/>
    <col min="15368" max="15603" width="8.85546875" style="1195"/>
    <col min="15604" max="15604" width="5.5703125" style="1195" customWidth="1"/>
    <col min="15605" max="15605" width="29" style="1195" customWidth="1"/>
    <col min="15606" max="15620" width="9.7109375" style="1195" customWidth="1"/>
    <col min="15621" max="15623" width="8.28515625" style="1195" customWidth="1"/>
    <col min="15624" max="15859" width="8.85546875" style="1195"/>
    <col min="15860" max="15860" width="5.5703125" style="1195" customWidth="1"/>
    <col min="15861" max="15861" width="29" style="1195" customWidth="1"/>
    <col min="15862" max="15876" width="9.7109375" style="1195" customWidth="1"/>
    <col min="15877" max="15879" width="8.28515625" style="1195" customWidth="1"/>
    <col min="15880" max="16115" width="8.85546875" style="1195"/>
    <col min="16116" max="16116" width="5.5703125" style="1195" customWidth="1"/>
    <col min="16117" max="16117" width="29" style="1195" customWidth="1"/>
    <col min="16118" max="16132" width="9.7109375" style="1195" customWidth="1"/>
    <col min="16133" max="16135" width="8.28515625" style="1195" customWidth="1"/>
    <col min="16136" max="16384" width="8.85546875" style="1195"/>
  </cols>
  <sheetData>
    <row r="1" spans="1:27" x14ac:dyDescent="0.25">
      <c r="A1" s="4103"/>
      <c r="B1" s="4103"/>
      <c r="C1" s="4103"/>
      <c r="D1" s="1207">
        <f>F22+F25+F29+F41+F45+F50</f>
        <v>666.60481800000014</v>
      </c>
      <c r="S1" s="4104"/>
      <c r="T1" s="4104"/>
      <c r="U1" s="4104"/>
      <c r="V1" s="4105" t="s">
        <v>2550</v>
      </c>
      <c r="W1" s="4105"/>
      <c r="X1" s="4105"/>
      <c r="Y1" s="4105"/>
      <c r="Z1" s="4105"/>
      <c r="AA1" s="4105"/>
    </row>
    <row r="2" spans="1:27" ht="18.600000000000001" customHeight="1" x14ac:dyDescent="0.25">
      <c r="A2" s="4106" t="s">
        <v>2632</v>
      </c>
      <c r="B2" s="4106"/>
      <c r="C2" s="4106"/>
      <c r="D2" s="4106"/>
      <c r="E2" s="4106"/>
      <c r="F2" s="4106"/>
      <c r="G2" s="4106"/>
      <c r="H2" s="4106"/>
      <c r="I2" s="4106"/>
      <c r="J2" s="4106"/>
      <c r="K2" s="4106"/>
      <c r="L2" s="4106"/>
      <c r="M2" s="4106"/>
      <c r="N2" s="4106"/>
      <c r="O2" s="4106"/>
      <c r="P2" s="4106"/>
      <c r="Q2" s="4106"/>
      <c r="R2" s="4106"/>
      <c r="S2" s="4106"/>
      <c r="T2" s="4106"/>
      <c r="U2" s="4106"/>
      <c r="V2" s="4106"/>
      <c r="W2" s="4106"/>
      <c r="X2" s="4106"/>
      <c r="Y2" s="4106"/>
      <c r="Z2" s="4106"/>
      <c r="AA2" s="4106"/>
    </row>
    <row r="3" spans="1:27" ht="18.600000000000001" customHeight="1" x14ac:dyDescent="0.25">
      <c r="A3" s="4107" t="str">
        <f>'B57'!A4:L4</f>
        <v>(Kèm theo Quyết định số         /QĐ-UBND ngày      tháng 4 năm 2026 của UBND xã Phong Quang)</v>
      </c>
      <c r="B3" s="4107"/>
      <c r="C3" s="4107"/>
      <c r="D3" s="4107"/>
      <c r="E3" s="4107"/>
      <c r="F3" s="4107"/>
      <c r="G3" s="4107"/>
      <c r="H3" s="4107"/>
      <c r="I3" s="4107"/>
      <c r="J3" s="4107"/>
      <c r="K3" s="4107"/>
      <c r="L3" s="4107"/>
      <c r="M3" s="4107"/>
      <c r="N3" s="4107"/>
      <c r="O3" s="4107"/>
      <c r="P3" s="4107"/>
      <c r="Q3" s="4107"/>
      <c r="R3" s="4107"/>
      <c r="S3" s="4107"/>
      <c r="T3" s="4107"/>
      <c r="U3" s="4107"/>
      <c r="V3" s="4107"/>
      <c r="W3" s="4107"/>
      <c r="X3" s="4107"/>
      <c r="Y3" s="4107"/>
      <c r="Z3" s="4107"/>
      <c r="AA3" s="4107"/>
    </row>
    <row r="4" spans="1:27" x14ac:dyDescent="0.25">
      <c r="E4" s="1256"/>
      <c r="T4" s="1208"/>
      <c r="U4" s="1208"/>
      <c r="V4" s="1208"/>
      <c r="W4" s="4102" t="s">
        <v>1461</v>
      </c>
      <c r="X4" s="4102"/>
      <c r="Y4" s="4102"/>
      <c r="Z4" s="4102"/>
      <c r="AA4" s="4102"/>
    </row>
    <row r="5" spans="1:27" s="1213" customFormat="1" ht="25.9" customHeight="1" x14ac:dyDescent="0.25">
      <c r="A5" s="4087" t="s">
        <v>1579</v>
      </c>
      <c r="B5" s="4087" t="s">
        <v>193</v>
      </c>
      <c r="C5" s="4090" t="s">
        <v>2271</v>
      </c>
      <c r="D5" s="4091"/>
      <c r="E5" s="4091"/>
      <c r="F5" s="4091"/>
      <c r="G5" s="4092"/>
      <c r="H5" s="4090" t="s">
        <v>2633</v>
      </c>
      <c r="I5" s="4091"/>
      <c r="J5" s="4092"/>
      <c r="K5" s="4090" t="s">
        <v>2634</v>
      </c>
      <c r="L5" s="4091"/>
      <c r="M5" s="4092"/>
      <c r="N5" s="4090" t="s">
        <v>2635</v>
      </c>
      <c r="O5" s="4091"/>
      <c r="P5" s="4091"/>
      <c r="Q5" s="4091"/>
      <c r="R5" s="4092"/>
      <c r="S5" s="4090" t="s">
        <v>2275</v>
      </c>
      <c r="T5" s="4091"/>
      <c r="U5" s="4092"/>
      <c r="V5" s="4090" t="s">
        <v>2276</v>
      </c>
      <c r="W5" s="4091"/>
      <c r="X5" s="4091"/>
      <c r="Y5" s="4091"/>
      <c r="Z5" s="4091"/>
      <c r="AA5" s="4092"/>
    </row>
    <row r="6" spans="1:27" s="1213" customFormat="1" ht="20.45" customHeight="1" x14ac:dyDescent="0.25">
      <c r="A6" s="4088"/>
      <c r="B6" s="4088"/>
      <c r="C6" s="4093" t="s">
        <v>1114</v>
      </c>
      <c r="D6" s="4090" t="s">
        <v>707</v>
      </c>
      <c r="E6" s="4092"/>
      <c r="F6" s="4096" t="s">
        <v>1471</v>
      </c>
      <c r="G6" s="4097"/>
      <c r="H6" s="4093" t="s">
        <v>1114</v>
      </c>
      <c r="I6" s="4093" t="s">
        <v>707</v>
      </c>
      <c r="J6" s="4093" t="s">
        <v>1471</v>
      </c>
      <c r="K6" s="4093" t="s">
        <v>1114</v>
      </c>
      <c r="L6" s="4093" t="s">
        <v>707</v>
      </c>
      <c r="M6" s="4093" t="s">
        <v>1471</v>
      </c>
      <c r="N6" s="4093" t="s">
        <v>1114</v>
      </c>
      <c r="O6" s="4090" t="s">
        <v>707</v>
      </c>
      <c r="P6" s="4092"/>
      <c r="Q6" s="4090" t="s">
        <v>1471</v>
      </c>
      <c r="R6" s="4092"/>
      <c r="S6" s="4093" t="s">
        <v>1114</v>
      </c>
      <c r="T6" s="4093" t="s">
        <v>707</v>
      </c>
      <c r="U6" s="4093" t="s">
        <v>1471</v>
      </c>
      <c r="V6" s="4093" t="s">
        <v>1114</v>
      </c>
      <c r="W6" s="4096" t="s">
        <v>707</v>
      </c>
      <c r="X6" s="4100"/>
      <c r="Y6" s="4097"/>
      <c r="Z6" s="4101" t="s">
        <v>1471</v>
      </c>
      <c r="AA6" s="4101"/>
    </row>
    <row r="7" spans="1:27" s="1213" customFormat="1" ht="72" x14ac:dyDescent="0.25">
      <c r="A7" s="4089"/>
      <c r="B7" s="4089"/>
      <c r="C7" s="4095"/>
      <c r="D7" s="1214" t="s">
        <v>34</v>
      </c>
      <c r="E7" s="1214" t="s">
        <v>2158</v>
      </c>
      <c r="F7" s="1214" t="s">
        <v>34</v>
      </c>
      <c r="G7" s="1214" t="s">
        <v>2158</v>
      </c>
      <c r="H7" s="4094"/>
      <c r="I7" s="4094"/>
      <c r="J7" s="4094"/>
      <c r="K7" s="4094"/>
      <c r="L7" s="4094"/>
      <c r="M7" s="4094"/>
      <c r="N7" s="4094"/>
      <c r="O7" s="1215" t="s">
        <v>2277</v>
      </c>
      <c r="P7" s="1216" t="s">
        <v>2278</v>
      </c>
      <c r="Q7" s="1254" t="s">
        <v>2277</v>
      </c>
      <c r="R7" s="1216" t="s">
        <v>2278</v>
      </c>
      <c r="S7" s="4094"/>
      <c r="T7" s="4094"/>
      <c r="U7" s="4094"/>
      <c r="V7" s="4094"/>
      <c r="W7" s="1214" t="s">
        <v>2636</v>
      </c>
      <c r="X7" s="1214" t="s">
        <v>2280</v>
      </c>
      <c r="Y7" s="1214" t="s">
        <v>2281</v>
      </c>
      <c r="Z7" s="1216" t="s">
        <v>34</v>
      </c>
      <c r="AA7" s="1215" t="s">
        <v>2158</v>
      </c>
    </row>
    <row r="8" spans="1:27" s="1213" customFormat="1" ht="9" x14ac:dyDescent="0.25">
      <c r="A8" s="1217" t="s">
        <v>847</v>
      </c>
      <c r="B8" s="1217" t="s">
        <v>848</v>
      </c>
      <c r="C8" s="1218">
        <v>1</v>
      </c>
      <c r="D8" s="1218" t="s">
        <v>902</v>
      </c>
      <c r="E8" s="1218" t="s">
        <v>903</v>
      </c>
      <c r="F8" s="1218" t="s">
        <v>174</v>
      </c>
      <c r="G8" s="1218" t="s">
        <v>796</v>
      </c>
      <c r="H8" s="1218">
        <v>4</v>
      </c>
      <c r="I8" s="1218">
        <v>5</v>
      </c>
      <c r="J8" s="1218">
        <v>6</v>
      </c>
      <c r="K8" s="1218">
        <v>7</v>
      </c>
      <c r="L8" s="1218" t="s">
        <v>2282</v>
      </c>
      <c r="M8" s="1218" t="s">
        <v>2283</v>
      </c>
      <c r="N8" s="1218">
        <v>10</v>
      </c>
      <c r="O8" s="1218">
        <v>11</v>
      </c>
      <c r="P8" s="1218">
        <v>12</v>
      </c>
      <c r="Q8" s="1218">
        <v>13</v>
      </c>
      <c r="R8" s="1218">
        <v>14</v>
      </c>
      <c r="S8" s="1218">
        <v>15</v>
      </c>
      <c r="T8" s="1218">
        <v>16</v>
      </c>
      <c r="U8" s="1218">
        <v>17</v>
      </c>
      <c r="V8" s="1218">
        <v>18</v>
      </c>
      <c r="W8" s="1218">
        <v>19</v>
      </c>
      <c r="X8" s="1218">
        <v>20</v>
      </c>
      <c r="Y8" s="1218">
        <v>21</v>
      </c>
      <c r="Z8" s="1218">
        <v>22</v>
      </c>
      <c r="AA8" s="1218">
        <v>23</v>
      </c>
    </row>
    <row r="9" spans="1:27" s="1221" customFormat="1" ht="9" x14ac:dyDescent="0.25">
      <c r="A9" s="1219"/>
      <c r="B9" s="1219" t="s">
        <v>1114</v>
      </c>
      <c r="C9" s="1220">
        <f>C10</f>
        <v>10015.990481999999</v>
      </c>
      <c r="D9" s="1220">
        <f t="shared" ref="D9:Z10" si="0">D10</f>
        <v>2008.1113420000001</v>
      </c>
      <c r="E9" s="1220">
        <f t="shared" si="0"/>
        <v>7341.2743219999993</v>
      </c>
      <c r="F9" s="1220">
        <f t="shared" si="0"/>
        <v>666.60481800000014</v>
      </c>
      <c r="G9" s="1220">
        <f t="shared" si="0"/>
        <v>0</v>
      </c>
      <c r="H9" s="1220">
        <f t="shared" si="0"/>
        <v>0</v>
      </c>
      <c r="I9" s="1220">
        <f t="shared" si="0"/>
        <v>0</v>
      </c>
      <c r="J9" s="1220">
        <f t="shared" si="0"/>
        <v>0</v>
      </c>
      <c r="K9" s="1220">
        <f t="shared" si="0"/>
        <v>9349.3856639999995</v>
      </c>
      <c r="L9" s="1220">
        <f t="shared" si="0"/>
        <v>9349.3856639999995</v>
      </c>
      <c r="M9" s="1220">
        <f t="shared" si="0"/>
        <v>666.60481800000014</v>
      </c>
      <c r="N9" s="1220">
        <f t="shared" si="0"/>
        <v>6493.1901859999998</v>
      </c>
      <c r="O9" s="1220">
        <f t="shared" si="0"/>
        <v>6493.1901859999998</v>
      </c>
      <c r="P9" s="1220">
        <f t="shared" si="0"/>
        <v>0</v>
      </c>
      <c r="Q9" s="1220">
        <f t="shared" si="0"/>
        <v>0</v>
      </c>
      <c r="R9" s="1220">
        <f t="shared" si="0"/>
        <v>0</v>
      </c>
      <c r="S9" s="1220">
        <f t="shared" si="0"/>
        <v>2473.7858179999998</v>
      </c>
      <c r="T9" s="1220">
        <f t="shared" si="0"/>
        <v>2E-3</v>
      </c>
      <c r="U9" s="1220">
        <f t="shared" si="0"/>
        <v>666.60481800000014</v>
      </c>
      <c r="V9" s="1220">
        <f t="shared" si="0"/>
        <v>1049.0144780000001</v>
      </c>
      <c r="W9" s="1220">
        <f t="shared" si="0"/>
        <v>1049.0144780000001</v>
      </c>
      <c r="X9" s="1241">
        <f t="shared" ref="X9:X17" si="1">I9-P9-Y9</f>
        <v>0</v>
      </c>
      <c r="Y9" s="1220">
        <f t="shared" si="0"/>
        <v>0</v>
      </c>
      <c r="Z9" s="1220">
        <f t="shared" si="0"/>
        <v>0</v>
      </c>
      <c r="AA9" s="1220"/>
    </row>
    <row r="10" spans="1:27" s="1221" customFormat="1" ht="9" x14ac:dyDescent="0.25">
      <c r="A10" s="1219" t="s">
        <v>848</v>
      </c>
      <c r="B10" s="1235" t="s">
        <v>2297</v>
      </c>
      <c r="C10" s="1220">
        <f>C11</f>
        <v>10015.990481999999</v>
      </c>
      <c r="D10" s="1220">
        <f t="shared" si="0"/>
        <v>2008.1113420000001</v>
      </c>
      <c r="E10" s="1220">
        <f t="shared" si="0"/>
        <v>7341.2743219999993</v>
      </c>
      <c r="F10" s="1220">
        <f t="shared" si="0"/>
        <v>666.60481800000014</v>
      </c>
      <c r="G10" s="1220">
        <f t="shared" si="0"/>
        <v>0</v>
      </c>
      <c r="H10" s="1220">
        <f t="shared" si="0"/>
        <v>0</v>
      </c>
      <c r="I10" s="1220">
        <f t="shared" si="0"/>
        <v>0</v>
      </c>
      <c r="J10" s="1220">
        <f t="shared" si="0"/>
        <v>0</v>
      </c>
      <c r="K10" s="1220">
        <f t="shared" si="0"/>
        <v>9349.3856639999995</v>
      </c>
      <c r="L10" s="1220">
        <f t="shared" si="0"/>
        <v>9349.3856639999995</v>
      </c>
      <c r="M10" s="1220">
        <f t="shared" si="0"/>
        <v>666.60481800000014</v>
      </c>
      <c r="N10" s="1220">
        <f t="shared" si="0"/>
        <v>6493.1901859999998</v>
      </c>
      <c r="O10" s="1220">
        <f t="shared" si="0"/>
        <v>6493.1901859999998</v>
      </c>
      <c r="P10" s="1220">
        <f t="shared" si="0"/>
        <v>0</v>
      </c>
      <c r="Q10" s="1220">
        <f t="shared" si="0"/>
        <v>0</v>
      </c>
      <c r="R10" s="1220">
        <f t="shared" si="0"/>
        <v>0</v>
      </c>
      <c r="S10" s="1220">
        <f t="shared" si="0"/>
        <v>2473.7858179999998</v>
      </c>
      <c r="T10" s="1220">
        <f t="shared" si="0"/>
        <v>2E-3</v>
      </c>
      <c r="U10" s="1220">
        <f t="shared" si="0"/>
        <v>666.60481800000014</v>
      </c>
      <c r="V10" s="1220">
        <f t="shared" si="0"/>
        <v>1049.0144780000001</v>
      </c>
      <c r="W10" s="1220">
        <f t="shared" si="0"/>
        <v>1049.0144780000001</v>
      </c>
      <c r="X10" s="1241">
        <f t="shared" si="1"/>
        <v>0</v>
      </c>
      <c r="Y10" s="1220">
        <f t="shared" si="0"/>
        <v>0</v>
      </c>
      <c r="Z10" s="1220">
        <f t="shared" si="0"/>
        <v>0</v>
      </c>
      <c r="AA10" s="1220"/>
    </row>
    <row r="11" spans="1:27" s="1221" customFormat="1" ht="9" x14ac:dyDescent="0.25">
      <c r="A11" s="1236" t="s">
        <v>849</v>
      </c>
      <c r="B11" s="1237" t="s">
        <v>2286</v>
      </c>
      <c r="C11" s="1224">
        <f>C12</f>
        <v>10015.990481999999</v>
      </c>
      <c r="D11" s="1224">
        <f t="shared" ref="D11:Z11" si="2">D12</f>
        <v>2008.1113420000001</v>
      </c>
      <c r="E11" s="1224">
        <f t="shared" si="2"/>
        <v>7341.2743219999993</v>
      </c>
      <c r="F11" s="1224">
        <f t="shared" si="2"/>
        <v>666.60481800000014</v>
      </c>
      <c r="G11" s="1224">
        <f t="shared" si="2"/>
        <v>0</v>
      </c>
      <c r="H11" s="1224">
        <f t="shared" si="2"/>
        <v>0</v>
      </c>
      <c r="I11" s="1224">
        <f t="shared" si="2"/>
        <v>0</v>
      </c>
      <c r="J11" s="1224">
        <f t="shared" si="2"/>
        <v>0</v>
      </c>
      <c r="K11" s="1224">
        <f t="shared" si="2"/>
        <v>9349.3856639999995</v>
      </c>
      <c r="L11" s="1224">
        <f t="shared" si="2"/>
        <v>9349.3856639999995</v>
      </c>
      <c r="M11" s="1224">
        <f t="shared" si="2"/>
        <v>666.60481800000014</v>
      </c>
      <c r="N11" s="1224">
        <f t="shared" si="2"/>
        <v>6493.1901859999998</v>
      </c>
      <c r="O11" s="1224">
        <f t="shared" si="2"/>
        <v>6493.1901859999998</v>
      </c>
      <c r="P11" s="1224">
        <f t="shared" si="2"/>
        <v>0</v>
      </c>
      <c r="Q11" s="1224">
        <f t="shared" si="2"/>
        <v>0</v>
      </c>
      <c r="R11" s="1224">
        <f t="shared" si="2"/>
        <v>0</v>
      </c>
      <c r="S11" s="1224">
        <f t="shared" si="2"/>
        <v>2473.7858179999998</v>
      </c>
      <c r="T11" s="1224">
        <f t="shared" si="2"/>
        <v>2E-3</v>
      </c>
      <c r="U11" s="1224">
        <f t="shared" si="2"/>
        <v>666.60481800000014</v>
      </c>
      <c r="V11" s="1224">
        <f t="shared" si="2"/>
        <v>1049.0144780000001</v>
      </c>
      <c r="W11" s="1224">
        <f t="shared" si="2"/>
        <v>1049.0144780000001</v>
      </c>
      <c r="X11" s="1241">
        <f t="shared" si="1"/>
        <v>0</v>
      </c>
      <c r="Y11" s="1224">
        <f t="shared" si="2"/>
        <v>0</v>
      </c>
      <c r="Z11" s="1224">
        <f t="shared" si="2"/>
        <v>0</v>
      </c>
      <c r="AA11" s="1224"/>
    </row>
    <row r="12" spans="1:27" s="1221" customFormat="1" ht="9" x14ac:dyDescent="0.25">
      <c r="A12" s="1236">
        <v>1</v>
      </c>
      <c r="B12" s="1238" t="s">
        <v>1114</v>
      </c>
      <c r="C12" s="1224">
        <f>SUM(C13:C15)</f>
        <v>10015.990481999999</v>
      </c>
      <c r="D12" s="1224">
        <f t="shared" ref="D12:Z12" si="3">SUM(D13:D15)</f>
        <v>2008.1113420000001</v>
      </c>
      <c r="E12" s="1224">
        <f t="shared" si="3"/>
        <v>7341.2743219999993</v>
      </c>
      <c r="F12" s="1224">
        <f t="shared" si="3"/>
        <v>666.60481800000014</v>
      </c>
      <c r="G12" s="1224">
        <f t="shared" si="3"/>
        <v>0</v>
      </c>
      <c r="H12" s="1224">
        <f t="shared" si="3"/>
        <v>0</v>
      </c>
      <c r="I12" s="1224">
        <f t="shared" si="3"/>
        <v>0</v>
      </c>
      <c r="J12" s="1224">
        <f t="shared" si="3"/>
        <v>0</v>
      </c>
      <c r="K12" s="1224">
        <f t="shared" si="3"/>
        <v>9349.3856639999995</v>
      </c>
      <c r="L12" s="1224">
        <f t="shared" si="3"/>
        <v>9349.3856639999995</v>
      </c>
      <c r="M12" s="1224">
        <f t="shared" si="3"/>
        <v>666.60481800000014</v>
      </c>
      <c r="N12" s="1224">
        <f>SUM(N13:N15)</f>
        <v>6493.1901859999998</v>
      </c>
      <c r="O12" s="1224">
        <f t="shared" si="3"/>
        <v>6493.1901859999998</v>
      </c>
      <c r="P12" s="1224">
        <f t="shared" si="3"/>
        <v>0</v>
      </c>
      <c r="Q12" s="1224">
        <f t="shared" si="3"/>
        <v>0</v>
      </c>
      <c r="R12" s="1224">
        <f t="shared" si="3"/>
        <v>0</v>
      </c>
      <c r="S12" s="1224">
        <f t="shared" si="3"/>
        <v>2473.7858179999998</v>
      </c>
      <c r="T12" s="1224">
        <f t="shared" si="3"/>
        <v>2E-3</v>
      </c>
      <c r="U12" s="1224">
        <f t="shared" si="3"/>
        <v>666.60481800000014</v>
      </c>
      <c r="V12" s="1224">
        <f t="shared" si="3"/>
        <v>1049.0144780000001</v>
      </c>
      <c r="W12" s="1224">
        <f t="shared" si="3"/>
        <v>1049.0144780000001</v>
      </c>
      <c r="X12" s="1241">
        <f t="shared" si="1"/>
        <v>0</v>
      </c>
      <c r="Y12" s="1224">
        <f t="shared" si="3"/>
        <v>0</v>
      </c>
      <c r="Z12" s="1224">
        <f t="shared" si="3"/>
        <v>0</v>
      </c>
      <c r="AA12" s="1224"/>
    </row>
    <row r="13" spans="1:27" s="1242" customFormat="1" ht="9" x14ac:dyDescent="0.25">
      <c r="A13" s="1239" t="s">
        <v>882</v>
      </c>
      <c r="B13" s="1240" t="s">
        <v>341</v>
      </c>
      <c r="C13" s="1241">
        <f>C17+C22+C26+C30+C34+C38+C42+C46+C50+C54+C58</f>
        <v>6327.2421039999999</v>
      </c>
      <c r="D13" s="1241">
        <f t="shared" ref="D13:AA13" si="4">D17+D22+D26+D30+D34+D38+D42+D46+D50+D54+D58</f>
        <v>1807.1776990000001</v>
      </c>
      <c r="E13" s="1241">
        <f t="shared" si="4"/>
        <v>3853.4595869999998</v>
      </c>
      <c r="F13" s="1241">
        <f t="shared" si="4"/>
        <v>666.60481800000014</v>
      </c>
      <c r="G13" s="1241">
        <f t="shared" si="4"/>
        <v>0</v>
      </c>
      <c r="H13" s="1241">
        <f t="shared" si="4"/>
        <v>0</v>
      </c>
      <c r="I13" s="1241">
        <f t="shared" si="4"/>
        <v>0</v>
      </c>
      <c r="J13" s="1241">
        <f t="shared" si="4"/>
        <v>0</v>
      </c>
      <c r="K13" s="1241">
        <f>K17+K22+K26+K30+K34+K38+K42+K46+K50+K54+K58</f>
        <v>5660.6372860000001</v>
      </c>
      <c r="L13" s="1241">
        <f>D13+E13+I13</f>
        <v>5660.6372860000001</v>
      </c>
      <c r="M13" s="1241">
        <f>F13+J13</f>
        <v>666.60481800000014</v>
      </c>
      <c r="N13" s="1241">
        <f>O13+P13+R13</f>
        <v>3555.8747309999999</v>
      </c>
      <c r="O13" s="1241">
        <f>O17+O22+O26+O30+O34+O38+O42+O46+O50+O54+O58</f>
        <v>3555.8747309999999</v>
      </c>
      <c r="P13" s="1241">
        <f t="shared" si="4"/>
        <v>0</v>
      </c>
      <c r="Q13" s="1241">
        <f t="shared" si="4"/>
        <v>0</v>
      </c>
      <c r="R13" s="1241">
        <f>R17+R22+R26+R30+R34+R38+R42+R46+R50+R54+R58</f>
        <v>0</v>
      </c>
      <c r="S13" s="1241">
        <f t="shared" si="4"/>
        <v>2473.7858179999998</v>
      </c>
      <c r="T13" s="1241">
        <v>2E-3</v>
      </c>
      <c r="U13" s="1241">
        <f t="shared" si="4"/>
        <v>666.60481800000014</v>
      </c>
      <c r="V13" s="1241">
        <f t="shared" si="4"/>
        <v>297.58155500000021</v>
      </c>
      <c r="W13" s="1241">
        <f>W17+W22+W26+W30+W34+W38+W42+W46+W50+W54+W58</f>
        <v>297.58155500000021</v>
      </c>
      <c r="X13" s="1241">
        <f t="shared" si="1"/>
        <v>0</v>
      </c>
      <c r="Y13" s="1241">
        <f t="shared" si="4"/>
        <v>0</v>
      </c>
      <c r="Z13" s="1241">
        <f t="shared" si="4"/>
        <v>0</v>
      </c>
      <c r="AA13" s="1241">
        <f t="shared" si="4"/>
        <v>0</v>
      </c>
    </row>
    <row r="14" spans="1:27" s="1242" customFormat="1" ht="9" x14ac:dyDescent="0.25">
      <c r="A14" s="1239" t="s">
        <v>882</v>
      </c>
      <c r="B14" s="1240" t="s">
        <v>2298</v>
      </c>
      <c r="C14" s="1241">
        <f>C18+                C23+C27+C31+C35+C39+C43+C51+C55+C59</f>
        <v>3688.7483779999998</v>
      </c>
      <c r="D14" s="1241">
        <f t="shared" ref="D14:Z14" si="5">D18+                D23+D27+D31+D35+D39+D43+D51+D55+D59</f>
        <v>200.93364299999999</v>
      </c>
      <c r="E14" s="1241">
        <f t="shared" si="5"/>
        <v>3487.8147349999999</v>
      </c>
      <c r="F14" s="1241">
        <f t="shared" si="5"/>
        <v>0</v>
      </c>
      <c r="G14" s="1241">
        <f t="shared" si="5"/>
        <v>0</v>
      </c>
      <c r="H14" s="1241">
        <f t="shared" si="5"/>
        <v>0</v>
      </c>
      <c r="I14" s="1241">
        <f t="shared" si="5"/>
        <v>0</v>
      </c>
      <c r="J14" s="1241">
        <f t="shared" si="5"/>
        <v>0</v>
      </c>
      <c r="K14" s="1241">
        <f t="shared" si="5"/>
        <v>3688.7483779999998</v>
      </c>
      <c r="L14" s="1241">
        <f t="shared" ref="L14:L59" si="6">D14+E14+I14</f>
        <v>3688.7483779999998</v>
      </c>
      <c r="M14" s="1241">
        <f>G14+J14</f>
        <v>0</v>
      </c>
      <c r="N14" s="1241">
        <f>N18+                N23+N27+N31+N35+N39+N43+N51+N55+N59</f>
        <v>2937.3154549999999</v>
      </c>
      <c r="O14" s="1241">
        <f t="shared" si="5"/>
        <v>2937.3154549999999</v>
      </c>
      <c r="P14" s="1241">
        <f>P18+                P23+P27+P31+P35+P39+P43+P51+P55+P59</f>
        <v>0</v>
      </c>
      <c r="Q14" s="1241">
        <f t="shared" si="5"/>
        <v>0</v>
      </c>
      <c r="R14" s="1241"/>
      <c r="S14" s="1241">
        <f t="shared" si="5"/>
        <v>0</v>
      </c>
      <c r="T14" s="1241">
        <f t="shared" si="5"/>
        <v>0</v>
      </c>
      <c r="U14" s="1241">
        <f t="shared" si="5"/>
        <v>0</v>
      </c>
      <c r="V14" s="1241">
        <f t="shared" si="5"/>
        <v>751.43292299999985</v>
      </c>
      <c r="W14" s="1241">
        <f t="shared" si="5"/>
        <v>751.43292299999985</v>
      </c>
      <c r="X14" s="1241">
        <f t="shared" si="1"/>
        <v>0</v>
      </c>
      <c r="Y14" s="1241">
        <f t="shared" si="5"/>
        <v>0</v>
      </c>
      <c r="Z14" s="1241">
        <f t="shared" si="5"/>
        <v>0</v>
      </c>
      <c r="AA14" s="1241"/>
    </row>
    <row r="15" spans="1:27" s="1242" customFormat="1" ht="9" x14ac:dyDescent="0.25">
      <c r="A15" s="1239" t="s">
        <v>882</v>
      </c>
      <c r="B15" s="1240" t="s">
        <v>1719</v>
      </c>
      <c r="C15" s="1241">
        <f>C19+C24+C28+C32+C36+C40+C44+C48+C52+C56+C60</f>
        <v>0</v>
      </c>
      <c r="D15" s="1241">
        <f t="shared" ref="D15:Z15" si="7">D19+D24+D28+D32+D36+D40+D44+D48+D52+D56+D60</f>
        <v>0</v>
      </c>
      <c r="E15" s="1241">
        <f t="shared" si="7"/>
        <v>0</v>
      </c>
      <c r="F15" s="1241">
        <f t="shared" si="7"/>
        <v>0</v>
      </c>
      <c r="G15" s="1241">
        <f t="shared" si="7"/>
        <v>0</v>
      </c>
      <c r="H15" s="1241">
        <f t="shared" si="7"/>
        <v>0</v>
      </c>
      <c r="I15" s="1241">
        <f t="shared" si="7"/>
        <v>0</v>
      </c>
      <c r="J15" s="1241">
        <f t="shared" si="7"/>
        <v>0</v>
      </c>
      <c r="K15" s="1241">
        <f t="shared" si="7"/>
        <v>0</v>
      </c>
      <c r="L15" s="1241">
        <f t="shared" si="6"/>
        <v>0</v>
      </c>
      <c r="M15" s="1241">
        <f>G15+J15</f>
        <v>0</v>
      </c>
      <c r="N15" s="1241">
        <f>R15</f>
        <v>0</v>
      </c>
      <c r="O15" s="1241">
        <f t="shared" si="7"/>
        <v>0</v>
      </c>
      <c r="P15" s="1241">
        <f t="shared" si="7"/>
        <v>0</v>
      </c>
      <c r="Q15" s="1241">
        <f t="shared" si="7"/>
        <v>0</v>
      </c>
      <c r="R15" s="1241">
        <f t="shared" si="7"/>
        <v>0</v>
      </c>
      <c r="S15" s="1241">
        <f t="shared" si="7"/>
        <v>0</v>
      </c>
      <c r="T15" s="1241">
        <f t="shared" si="7"/>
        <v>0</v>
      </c>
      <c r="U15" s="1241">
        <f t="shared" si="7"/>
        <v>0</v>
      </c>
      <c r="V15" s="1241">
        <f t="shared" si="7"/>
        <v>0</v>
      </c>
      <c r="W15" s="1241">
        <f t="shared" si="7"/>
        <v>0</v>
      </c>
      <c r="X15" s="1241">
        <f t="shared" si="1"/>
        <v>0</v>
      </c>
      <c r="Y15" s="1241">
        <f t="shared" si="7"/>
        <v>0</v>
      </c>
      <c r="Z15" s="1241">
        <f t="shared" si="7"/>
        <v>0</v>
      </c>
      <c r="AA15" s="1241"/>
    </row>
    <row r="16" spans="1:27" s="1539" customFormat="1" ht="13.9" customHeight="1" x14ac:dyDescent="0.25">
      <c r="A16" s="1535">
        <v>2</v>
      </c>
      <c r="B16" s="1536" t="s">
        <v>2299</v>
      </c>
      <c r="C16" s="1537">
        <f>SUM(C17:C20)</f>
        <v>9349.3856639999995</v>
      </c>
      <c r="D16" s="1537">
        <f t="shared" ref="D16:AA16" si="8">SUM(D17:D20)</f>
        <v>2008.1113420000001</v>
      </c>
      <c r="E16" s="1537">
        <f t="shared" si="8"/>
        <v>7341.2743219999993</v>
      </c>
      <c r="F16" s="1537">
        <f t="shared" si="8"/>
        <v>0</v>
      </c>
      <c r="G16" s="1537">
        <f t="shared" si="8"/>
        <v>0</v>
      </c>
      <c r="H16" s="1537">
        <f t="shared" si="8"/>
        <v>0</v>
      </c>
      <c r="I16" s="1537">
        <f t="shared" si="8"/>
        <v>0</v>
      </c>
      <c r="J16" s="1537">
        <f t="shared" si="8"/>
        <v>0</v>
      </c>
      <c r="K16" s="1537">
        <f t="shared" si="8"/>
        <v>9349.3856639999995</v>
      </c>
      <c r="L16" s="1537">
        <f t="shared" si="8"/>
        <v>9349.3856639999995</v>
      </c>
      <c r="M16" s="1537">
        <f t="shared" si="8"/>
        <v>0</v>
      </c>
      <c r="N16" s="1537">
        <f t="shared" si="8"/>
        <v>6493.1901859999998</v>
      </c>
      <c r="O16" s="1537">
        <f t="shared" si="8"/>
        <v>6493.1901859999998</v>
      </c>
      <c r="P16" s="1537">
        <f t="shared" si="8"/>
        <v>0</v>
      </c>
      <c r="Q16" s="1537">
        <f t="shared" si="8"/>
        <v>0</v>
      </c>
      <c r="R16" s="1537">
        <f t="shared" si="8"/>
        <v>0</v>
      </c>
      <c r="S16" s="1537">
        <f t="shared" si="8"/>
        <v>1807.181</v>
      </c>
      <c r="T16" s="1537">
        <f t="shared" si="8"/>
        <v>1807.181</v>
      </c>
      <c r="U16" s="1537">
        <f t="shared" si="8"/>
        <v>0</v>
      </c>
      <c r="V16" s="1537">
        <f t="shared" si="8"/>
        <v>1049.0144780000001</v>
      </c>
      <c r="W16" s="1537">
        <f t="shared" si="8"/>
        <v>1049.0144780000001</v>
      </c>
      <c r="X16" s="1537">
        <f t="shared" si="8"/>
        <v>0</v>
      </c>
      <c r="Y16" s="1537">
        <f t="shared" si="8"/>
        <v>0</v>
      </c>
      <c r="Z16" s="1537">
        <f t="shared" si="8"/>
        <v>0</v>
      </c>
      <c r="AA16" s="1537">
        <f t="shared" si="8"/>
        <v>0</v>
      </c>
    </row>
    <row r="17" spans="1:27" s="1242" customFormat="1" ht="13.9" customHeight="1" x14ac:dyDescent="0.25">
      <c r="A17" s="1239" t="s">
        <v>882</v>
      </c>
      <c r="B17" s="1240" t="s">
        <v>341</v>
      </c>
      <c r="C17" s="1241">
        <f>D17+E17+F17+G17</f>
        <v>5660.6372860000001</v>
      </c>
      <c r="D17" s="1241">
        <v>1807.1776990000001</v>
      </c>
      <c r="E17" s="1241">
        <v>3853.4595869999998</v>
      </c>
      <c r="F17" s="1241"/>
      <c r="G17" s="1241"/>
      <c r="H17" s="1241">
        <f>SUM(I17:J17)</f>
        <v>0</v>
      </c>
      <c r="I17" s="1241"/>
      <c r="J17" s="1241"/>
      <c r="K17" s="1241">
        <f>SUM(L17:M17)</f>
        <v>5660.6372860000001</v>
      </c>
      <c r="L17" s="1241">
        <f>D17+E17+I17</f>
        <v>5660.6372860000001</v>
      </c>
      <c r="M17" s="1241">
        <f>G17+J17</f>
        <v>0</v>
      </c>
      <c r="N17" s="1241">
        <f>SUM(O17:P17)</f>
        <v>3555.8747309999999</v>
      </c>
      <c r="O17" s="1241">
        <v>3555.8747309999999</v>
      </c>
      <c r="P17" s="1241"/>
      <c r="Q17" s="1241"/>
      <c r="R17" s="1241"/>
      <c r="S17" s="1241">
        <f>T17+U17</f>
        <v>1807.181</v>
      </c>
      <c r="T17" s="1241">
        <v>1807.181</v>
      </c>
      <c r="U17" s="1241"/>
      <c r="V17" s="1876">
        <f>W17+X17+Y17+Z17+AA17</f>
        <v>297.58155500000021</v>
      </c>
      <c r="W17" s="1241">
        <f>D17+E17-O17-T17</f>
        <v>297.58155500000021</v>
      </c>
      <c r="X17" s="1241">
        <f t="shared" si="1"/>
        <v>0</v>
      </c>
      <c r="Y17" s="1241"/>
      <c r="Z17" s="1241"/>
      <c r="AA17" s="1241"/>
    </row>
    <row r="18" spans="1:27" s="1542" customFormat="1" ht="13.9" customHeight="1" x14ac:dyDescent="0.25">
      <c r="A18" s="1540" t="s">
        <v>882</v>
      </c>
      <c r="B18" s="1541" t="s">
        <v>2298</v>
      </c>
      <c r="C18" s="1538">
        <f>D18+E18+F18+G18</f>
        <v>3688.7483779999998</v>
      </c>
      <c r="D18" s="1538">
        <v>200.93364299999999</v>
      </c>
      <c r="E18" s="1538">
        <v>3487.8147349999999</v>
      </c>
      <c r="F18" s="1538"/>
      <c r="G18" s="1538"/>
      <c r="H18" s="1538">
        <f>SUM(I18:J18)</f>
        <v>0</v>
      </c>
      <c r="I18" s="1538"/>
      <c r="J18" s="1538"/>
      <c r="K18" s="1538">
        <f>SUM(L18:M18)</f>
        <v>3688.7483779999998</v>
      </c>
      <c r="L18" s="1538">
        <f t="shared" si="6"/>
        <v>3688.7483779999998</v>
      </c>
      <c r="M18" s="1538">
        <f>G18+J18</f>
        <v>0</v>
      </c>
      <c r="N18" s="1538">
        <f>SUM(O18:P18)</f>
        <v>2937.3154549999999</v>
      </c>
      <c r="O18" s="1538">
        <v>2937.3154549999999</v>
      </c>
      <c r="P18" s="1538"/>
      <c r="Q18" s="1538"/>
      <c r="R18" s="1538"/>
      <c r="S18" s="1538">
        <f t="shared" ref="S18:S40" si="9">T18+U18</f>
        <v>0</v>
      </c>
      <c r="T18" s="1538"/>
      <c r="U18" s="1538"/>
      <c r="V18" s="1538">
        <f>W18+X18+Y18+Z18+AA18</f>
        <v>751.43292299999985</v>
      </c>
      <c r="W18" s="1538">
        <f t="shared" ref="W18:W58" si="10">D18+E18-O18-T18</f>
        <v>751.43292299999985</v>
      </c>
      <c r="X18" s="1538">
        <f>I18-P18-Y18</f>
        <v>0</v>
      </c>
      <c r="Y18" s="1538"/>
      <c r="Z18" s="1538"/>
      <c r="AA18" s="1538"/>
    </row>
    <row r="19" spans="1:27" s="1242" customFormat="1" ht="13.9" customHeight="1" x14ac:dyDescent="0.25">
      <c r="A19" s="1239"/>
      <c r="B19" s="1240" t="s">
        <v>1719</v>
      </c>
      <c r="C19" s="1241"/>
      <c r="D19" s="1241"/>
      <c r="E19" s="1241"/>
      <c r="F19" s="1241"/>
      <c r="G19" s="1241"/>
      <c r="H19" s="1241">
        <f>SUM(I19:J19)</f>
        <v>0</v>
      </c>
      <c r="I19" s="1241"/>
      <c r="J19" s="1241"/>
      <c r="K19" s="1241">
        <f>SUM(L19:M19)</f>
        <v>0</v>
      </c>
      <c r="L19" s="1241">
        <f t="shared" si="6"/>
        <v>0</v>
      </c>
      <c r="M19" s="1241">
        <f>G19+J19</f>
        <v>0</v>
      </c>
      <c r="N19" s="1241">
        <f>SUM(O19:P19)</f>
        <v>0</v>
      </c>
      <c r="O19" s="1241"/>
      <c r="P19" s="1241"/>
      <c r="Q19" s="1241"/>
      <c r="R19" s="1241"/>
      <c r="S19" s="1241">
        <f t="shared" si="9"/>
        <v>0</v>
      </c>
      <c r="T19" s="1241"/>
      <c r="U19" s="1241"/>
      <c r="V19" s="1241">
        <f>W19+X19+Y19+Z19+AA19</f>
        <v>0</v>
      </c>
      <c r="W19" s="1241">
        <f t="shared" si="10"/>
        <v>0</v>
      </c>
      <c r="X19" s="1241">
        <f t="shared" ref="X19:X59" si="11">I19-P19-Y19</f>
        <v>0</v>
      </c>
      <c r="Y19" s="1241"/>
      <c r="Z19" s="1241">
        <f>H19-R19</f>
        <v>0</v>
      </c>
      <c r="AA19" s="1241"/>
    </row>
    <row r="20" spans="1:27" s="1231" customFormat="1" ht="13.9" customHeight="1" x14ac:dyDescent="0.25">
      <c r="A20" s="1239" t="s">
        <v>882</v>
      </c>
      <c r="B20" s="1240" t="s">
        <v>129</v>
      </c>
      <c r="C20" s="1243">
        <f t="shared" ref="C20:C40" si="12">D20+E20+F20+G20</f>
        <v>0</v>
      </c>
      <c r="D20" s="1243"/>
      <c r="E20" s="1243"/>
      <c r="F20" s="1243"/>
      <c r="G20" s="1243"/>
      <c r="H20" s="1243">
        <f t="shared" ref="H20:H40" si="13">SUM(I20:J20)</f>
        <v>0</v>
      </c>
      <c r="I20" s="1243"/>
      <c r="J20" s="1243"/>
      <c r="K20" s="1243">
        <f t="shared" ref="K20:K40" si="14">SUM(L20:M20)</f>
        <v>0</v>
      </c>
      <c r="L20" s="1241">
        <f t="shared" si="6"/>
        <v>0</v>
      </c>
      <c r="M20" s="1241">
        <f>G20+J20</f>
        <v>0</v>
      </c>
      <c r="N20" s="1241">
        <f>SUM(O20:P20)</f>
        <v>0</v>
      </c>
      <c r="O20" s="1243"/>
      <c r="P20" s="1243"/>
      <c r="Q20" s="1243"/>
      <c r="R20" s="1243"/>
      <c r="S20" s="1244">
        <f t="shared" si="9"/>
        <v>0</v>
      </c>
      <c r="T20" s="1243"/>
      <c r="U20" s="1243"/>
      <c r="V20" s="1244">
        <f t="shared" ref="V20:V40" si="15">W20+X20+Y20+Z20+AA20</f>
        <v>0</v>
      </c>
      <c r="W20" s="1241">
        <f t="shared" si="10"/>
        <v>0</v>
      </c>
      <c r="X20" s="1241">
        <f t="shared" si="11"/>
        <v>0</v>
      </c>
      <c r="Y20" s="1243"/>
      <c r="Z20" s="1243"/>
      <c r="AA20" s="1243"/>
    </row>
    <row r="21" spans="1:27" s="1221" customFormat="1" ht="13.9" customHeight="1" x14ac:dyDescent="0.25">
      <c r="A21" s="1236">
        <v>3</v>
      </c>
      <c r="B21" s="1237" t="s">
        <v>805</v>
      </c>
      <c r="C21" s="1224">
        <f>SUM(C22:C24)</f>
        <v>625.04078700000002</v>
      </c>
      <c r="D21" s="1224">
        <f t="shared" ref="D21:AA21" si="16">SUM(D22:D24)</f>
        <v>0</v>
      </c>
      <c r="E21" s="1224">
        <f t="shared" si="16"/>
        <v>0</v>
      </c>
      <c r="F21" s="1224">
        <f t="shared" si="16"/>
        <v>625.04078700000002</v>
      </c>
      <c r="G21" s="1224">
        <f t="shared" si="16"/>
        <v>0</v>
      </c>
      <c r="H21" s="1224">
        <f t="shared" si="16"/>
        <v>0</v>
      </c>
      <c r="I21" s="1224">
        <f t="shared" si="16"/>
        <v>0</v>
      </c>
      <c r="J21" s="1224">
        <f t="shared" si="16"/>
        <v>0</v>
      </c>
      <c r="K21" s="1224">
        <f t="shared" si="16"/>
        <v>0</v>
      </c>
      <c r="L21" s="1224">
        <f t="shared" si="16"/>
        <v>0</v>
      </c>
      <c r="M21" s="1224">
        <f t="shared" si="16"/>
        <v>0</v>
      </c>
      <c r="N21" s="1224">
        <f t="shared" si="16"/>
        <v>0</v>
      </c>
      <c r="O21" s="1224">
        <f t="shared" si="16"/>
        <v>0</v>
      </c>
      <c r="P21" s="1224">
        <f t="shared" si="16"/>
        <v>0</v>
      </c>
      <c r="Q21" s="1224">
        <f t="shared" si="16"/>
        <v>0</v>
      </c>
      <c r="R21" s="1224">
        <f t="shared" si="16"/>
        <v>0</v>
      </c>
      <c r="S21" s="1224">
        <f t="shared" si="16"/>
        <v>625.04078700000002</v>
      </c>
      <c r="T21" s="1224">
        <f t="shared" si="16"/>
        <v>0</v>
      </c>
      <c r="U21" s="1224">
        <f t="shared" si="16"/>
        <v>625.04078700000002</v>
      </c>
      <c r="V21" s="1224">
        <f t="shared" si="16"/>
        <v>0</v>
      </c>
      <c r="W21" s="1224">
        <f t="shared" si="16"/>
        <v>0</v>
      </c>
      <c r="X21" s="1224">
        <f t="shared" si="16"/>
        <v>0</v>
      </c>
      <c r="Y21" s="1224">
        <f t="shared" si="16"/>
        <v>0</v>
      </c>
      <c r="Z21" s="1224">
        <f t="shared" si="16"/>
        <v>0</v>
      </c>
      <c r="AA21" s="1224">
        <f t="shared" si="16"/>
        <v>0</v>
      </c>
    </row>
    <row r="22" spans="1:27" s="1242" customFormat="1" ht="13.9" customHeight="1" x14ac:dyDescent="0.25">
      <c r="A22" s="1239" t="s">
        <v>882</v>
      </c>
      <c r="B22" s="1240" t="s">
        <v>341</v>
      </c>
      <c r="C22" s="1241">
        <f t="shared" si="12"/>
        <v>625.04078700000002</v>
      </c>
      <c r="D22" s="1241"/>
      <c r="E22" s="1241"/>
      <c r="F22" s="1241">
        <f>625040787/1000000</f>
        <v>625.04078700000002</v>
      </c>
      <c r="G22" s="1241"/>
      <c r="H22" s="1241">
        <f>SUM(I22:J22)</f>
        <v>0</v>
      </c>
      <c r="I22" s="1241"/>
      <c r="J22" s="1241"/>
      <c r="K22" s="1241">
        <f>SUM(L22:M22)</f>
        <v>0</v>
      </c>
      <c r="L22" s="1241">
        <f t="shared" si="6"/>
        <v>0</v>
      </c>
      <c r="M22" s="1241">
        <f>G22+J22</f>
        <v>0</v>
      </c>
      <c r="N22" s="1241">
        <f>SUM(O22:R22)</f>
        <v>0</v>
      </c>
      <c r="O22" s="1241"/>
      <c r="P22" s="1241"/>
      <c r="Q22" s="1241"/>
      <c r="R22" s="1241"/>
      <c r="S22" s="1241">
        <f t="shared" si="9"/>
        <v>625.04078700000002</v>
      </c>
      <c r="T22" s="1241"/>
      <c r="U22" s="1241">
        <f>F22</f>
        <v>625.04078700000002</v>
      </c>
      <c r="V22" s="1241">
        <f>W22+X22+Y22+Z22+AA22</f>
        <v>0</v>
      </c>
      <c r="W22" s="1241">
        <f t="shared" si="10"/>
        <v>0</v>
      </c>
      <c r="X22" s="1241">
        <f t="shared" si="11"/>
        <v>0</v>
      </c>
      <c r="Y22" s="1241"/>
      <c r="Z22" s="1241">
        <f>J22-N22</f>
        <v>0</v>
      </c>
      <c r="AA22" s="1241"/>
    </row>
    <row r="23" spans="1:27" s="1231" customFormat="1" ht="13.9" customHeight="1" x14ac:dyDescent="0.25">
      <c r="A23" s="1239" t="s">
        <v>882</v>
      </c>
      <c r="B23" s="1240" t="s">
        <v>2298</v>
      </c>
      <c r="C23" s="1243">
        <f t="shared" si="12"/>
        <v>0</v>
      </c>
      <c r="D23" s="1243"/>
      <c r="E23" s="1243"/>
      <c r="F23" s="1243"/>
      <c r="G23" s="1243"/>
      <c r="H23" s="1243">
        <f t="shared" si="13"/>
        <v>0</v>
      </c>
      <c r="I23" s="1243"/>
      <c r="J23" s="1243"/>
      <c r="K23" s="1243">
        <f t="shared" si="14"/>
        <v>0</v>
      </c>
      <c r="L23" s="1241">
        <f t="shared" si="6"/>
        <v>0</v>
      </c>
      <c r="M23" s="1241">
        <f>G23+J23</f>
        <v>0</v>
      </c>
      <c r="N23" s="1241">
        <f>SUM(O23:R23)</f>
        <v>0</v>
      </c>
      <c r="O23" s="1243"/>
      <c r="P23" s="1243"/>
      <c r="Q23" s="1243"/>
      <c r="R23" s="1243"/>
      <c r="S23" s="1244">
        <f t="shared" si="9"/>
        <v>0</v>
      </c>
      <c r="T23" s="1243"/>
      <c r="U23" s="1243"/>
      <c r="V23" s="1244">
        <f t="shared" si="15"/>
        <v>0</v>
      </c>
      <c r="W23" s="1241">
        <f t="shared" si="10"/>
        <v>0</v>
      </c>
      <c r="X23" s="1241">
        <f t="shared" si="11"/>
        <v>0</v>
      </c>
      <c r="Y23" s="1243"/>
      <c r="Z23" s="1241">
        <f>J23-N23</f>
        <v>0</v>
      </c>
      <c r="AA23" s="1243"/>
    </row>
    <row r="24" spans="1:27" s="1231" customFormat="1" ht="13.9" customHeight="1" x14ac:dyDescent="0.25">
      <c r="A24" s="1239" t="s">
        <v>882</v>
      </c>
      <c r="B24" s="1240" t="s">
        <v>1719</v>
      </c>
      <c r="C24" s="1243">
        <f t="shared" si="12"/>
        <v>0</v>
      </c>
      <c r="D24" s="1243"/>
      <c r="E24" s="1243"/>
      <c r="F24" s="1243"/>
      <c r="G24" s="1243"/>
      <c r="H24" s="1243">
        <f t="shared" si="13"/>
        <v>0</v>
      </c>
      <c r="I24" s="1243"/>
      <c r="J24" s="1243"/>
      <c r="K24" s="1243">
        <f t="shared" si="14"/>
        <v>0</v>
      </c>
      <c r="L24" s="1241">
        <f t="shared" si="6"/>
        <v>0</v>
      </c>
      <c r="M24" s="1241">
        <f>G24+J24</f>
        <v>0</v>
      </c>
      <c r="N24" s="1241">
        <f>SUM(O24:R24)</f>
        <v>0</v>
      </c>
      <c r="O24" s="1243"/>
      <c r="P24" s="1243"/>
      <c r="Q24" s="1243"/>
      <c r="R24" s="1243"/>
      <c r="S24" s="1244">
        <f t="shared" si="9"/>
        <v>0</v>
      </c>
      <c r="T24" s="1243"/>
      <c r="U24" s="1243"/>
      <c r="V24" s="1244">
        <f t="shared" si="15"/>
        <v>0</v>
      </c>
      <c r="W24" s="1241">
        <f t="shared" si="10"/>
        <v>0</v>
      </c>
      <c r="X24" s="1241">
        <f t="shared" si="11"/>
        <v>0</v>
      </c>
      <c r="Y24" s="1243"/>
      <c r="Z24" s="1241">
        <f>J24-N24</f>
        <v>0</v>
      </c>
      <c r="AA24" s="1243"/>
    </row>
    <row r="25" spans="1:27" s="1231" customFormat="1" ht="13.9" customHeight="1" x14ac:dyDescent="0.25">
      <c r="A25" s="1245">
        <v>4</v>
      </c>
      <c r="B25" s="1246" t="s">
        <v>804</v>
      </c>
      <c r="C25" s="1243">
        <f>SUM(C26:C28)</f>
        <v>1.7304930000000001</v>
      </c>
      <c r="D25" s="1243">
        <f t="shared" ref="D25:AA25" si="17">SUM(D26:D28)</f>
        <v>0</v>
      </c>
      <c r="E25" s="1243">
        <f t="shared" si="17"/>
        <v>0</v>
      </c>
      <c r="F25" s="1243">
        <f t="shared" si="17"/>
        <v>1.7304930000000001</v>
      </c>
      <c r="G25" s="1243">
        <f t="shared" si="17"/>
        <v>0</v>
      </c>
      <c r="H25" s="1243">
        <f t="shared" si="17"/>
        <v>0</v>
      </c>
      <c r="I25" s="1243">
        <f t="shared" si="17"/>
        <v>0</v>
      </c>
      <c r="J25" s="1243">
        <f t="shared" si="17"/>
        <v>0</v>
      </c>
      <c r="K25" s="1243">
        <f t="shared" si="17"/>
        <v>0</v>
      </c>
      <c r="L25" s="1243">
        <f t="shared" si="17"/>
        <v>0</v>
      </c>
      <c r="M25" s="1243">
        <f t="shared" si="17"/>
        <v>0</v>
      </c>
      <c r="N25" s="1243">
        <f t="shared" si="17"/>
        <v>0</v>
      </c>
      <c r="O25" s="1243">
        <f t="shared" si="17"/>
        <v>0</v>
      </c>
      <c r="P25" s="1243">
        <f t="shared" si="17"/>
        <v>0</v>
      </c>
      <c r="Q25" s="1243">
        <f t="shared" si="17"/>
        <v>0</v>
      </c>
      <c r="R25" s="1243">
        <f t="shared" si="17"/>
        <v>0</v>
      </c>
      <c r="S25" s="1243">
        <f t="shared" si="17"/>
        <v>1.7304930000000001</v>
      </c>
      <c r="T25" s="1243">
        <f t="shared" si="17"/>
        <v>0</v>
      </c>
      <c r="U25" s="1243">
        <f t="shared" si="17"/>
        <v>1.7304930000000001</v>
      </c>
      <c r="V25" s="1243">
        <f t="shared" si="17"/>
        <v>0</v>
      </c>
      <c r="W25" s="1243">
        <f t="shared" si="17"/>
        <v>0</v>
      </c>
      <c r="X25" s="1243">
        <f t="shared" si="17"/>
        <v>0</v>
      </c>
      <c r="Y25" s="1243">
        <f t="shared" si="17"/>
        <v>0</v>
      </c>
      <c r="Z25" s="1243">
        <f t="shared" si="17"/>
        <v>0</v>
      </c>
      <c r="AA25" s="1243">
        <f t="shared" si="17"/>
        <v>0</v>
      </c>
    </row>
    <row r="26" spans="1:27" s="1242" customFormat="1" ht="13.9" customHeight="1" x14ac:dyDescent="0.25">
      <c r="A26" s="1239" t="s">
        <v>882</v>
      </c>
      <c r="B26" s="1240" t="s">
        <v>341</v>
      </c>
      <c r="C26" s="1241">
        <f t="shared" si="12"/>
        <v>1.7304930000000001</v>
      </c>
      <c r="D26" s="1241"/>
      <c r="E26" s="1241"/>
      <c r="F26" s="1241">
        <v>1.7304930000000001</v>
      </c>
      <c r="G26" s="1241"/>
      <c r="H26" s="1241">
        <f>SUM(I26:J26)</f>
        <v>0</v>
      </c>
      <c r="I26" s="1241"/>
      <c r="J26" s="1241"/>
      <c r="K26" s="1241">
        <f t="shared" si="14"/>
        <v>0</v>
      </c>
      <c r="L26" s="1241">
        <f t="shared" si="6"/>
        <v>0</v>
      </c>
      <c r="M26" s="1241">
        <f>G26+J26</f>
        <v>0</v>
      </c>
      <c r="N26" s="1241">
        <f>SUM(O26:R26)</f>
        <v>0</v>
      </c>
      <c r="O26" s="1241"/>
      <c r="P26" s="1241"/>
      <c r="Q26" s="1241"/>
      <c r="R26" s="1241"/>
      <c r="S26" s="1244">
        <f t="shared" si="9"/>
        <v>1.7304930000000001</v>
      </c>
      <c r="T26" s="1241"/>
      <c r="U26" s="1241">
        <f>F26</f>
        <v>1.7304930000000001</v>
      </c>
      <c r="V26" s="1244">
        <f>W26+X26+Y26+Z26+AA26</f>
        <v>0</v>
      </c>
      <c r="W26" s="1241">
        <f t="shared" si="10"/>
        <v>0</v>
      </c>
      <c r="X26" s="1241">
        <f t="shared" si="11"/>
        <v>0</v>
      </c>
      <c r="Y26" s="1241"/>
      <c r="Z26" s="1241">
        <f>J26-N26</f>
        <v>0</v>
      </c>
      <c r="AA26" s="1241"/>
    </row>
    <row r="27" spans="1:27" s="1231" customFormat="1" ht="13.9" customHeight="1" x14ac:dyDescent="0.25">
      <c r="A27" s="1239" t="s">
        <v>882</v>
      </c>
      <c r="B27" s="1240" t="s">
        <v>2298</v>
      </c>
      <c r="C27" s="1243">
        <f t="shared" si="12"/>
        <v>0</v>
      </c>
      <c r="D27" s="1243"/>
      <c r="E27" s="1243"/>
      <c r="F27" s="1243"/>
      <c r="G27" s="1243"/>
      <c r="H27" s="1243">
        <f t="shared" si="13"/>
        <v>0</v>
      </c>
      <c r="I27" s="1243"/>
      <c r="J27" s="1243"/>
      <c r="K27" s="1243">
        <f t="shared" si="14"/>
        <v>0</v>
      </c>
      <c r="L27" s="1241">
        <f t="shared" si="6"/>
        <v>0</v>
      </c>
      <c r="M27" s="1241">
        <f>G27+J27</f>
        <v>0</v>
      </c>
      <c r="N27" s="1244"/>
      <c r="O27" s="1243"/>
      <c r="P27" s="1243"/>
      <c r="Q27" s="1243"/>
      <c r="R27" s="1243"/>
      <c r="S27" s="1244">
        <f t="shared" si="9"/>
        <v>0</v>
      </c>
      <c r="T27" s="1243"/>
      <c r="U27" s="1243"/>
      <c r="V27" s="1244">
        <f t="shared" si="15"/>
        <v>0</v>
      </c>
      <c r="W27" s="1241">
        <f t="shared" si="10"/>
        <v>0</v>
      </c>
      <c r="X27" s="1241">
        <f t="shared" si="11"/>
        <v>0</v>
      </c>
      <c r="Y27" s="1243"/>
      <c r="Z27" s="1243"/>
      <c r="AA27" s="1243"/>
    </row>
    <row r="28" spans="1:27" s="1231" customFormat="1" ht="13.9" customHeight="1" x14ac:dyDescent="0.25">
      <c r="A28" s="1239" t="s">
        <v>882</v>
      </c>
      <c r="B28" s="1240" t="s">
        <v>1719</v>
      </c>
      <c r="C28" s="1243">
        <f t="shared" si="12"/>
        <v>0</v>
      </c>
      <c r="D28" s="1243"/>
      <c r="E28" s="1243"/>
      <c r="F28" s="1243"/>
      <c r="G28" s="1243"/>
      <c r="H28" s="1243">
        <f t="shared" si="13"/>
        <v>0</v>
      </c>
      <c r="I28" s="1243"/>
      <c r="J28" s="1243"/>
      <c r="K28" s="1243">
        <f t="shared" si="14"/>
        <v>0</v>
      </c>
      <c r="L28" s="1241">
        <f t="shared" si="6"/>
        <v>0</v>
      </c>
      <c r="M28" s="1241">
        <f>G28+J28</f>
        <v>0</v>
      </c>
      <c r="N28" s="1244"/>
      <c r="O28" s="1243"/>
      <c r="P28" s="1243"/>
      <c r="Q28" s="1243"/>
      <c r="R28" s="1243"/>
      <c r="S28" s="1244">
        <f t="shared" si="9"/>
        <v>0</v>
      </c>
      <c r="T28" s="1243"/>
      <c r="U28" s="1243"/>
      <c r="V28" s="1244">
        <f t="shared" si="15"/>
        <v>0</v>
      </c>
      <c r="W28" s="1241">
        <f t="shared" si="10"/>
        <v>0</v>
      </c>
      <c r="X28" s="1241">
        <f t="shared" si="11"/>
        <v>0</v>
      </c>
      <c r="Y28" s="1243"/>
      <c r="Z28" s="1243"/>
      <c r="AA28" s="1243"/>
    </row>
    <row r="29" spans="1:27" s="1231" customFormat="1" ht="27" customHeight="1" x14ac:dyDescent="0.25">
      <c r="A29" s="1239">
        <v>5</v>
      </c>
      <c r="B29" s="1247" t="s">
        <v>2300</v>
      </c>
      <c r="C29" s="1243">
        <f>SUM(C30:C32)</f>
        <v>15.4</v>
      </c>
      <c r="D29" s="1243">
        <f t="shared" ref="D29:AA29" si="18">SUM(D30:D32)</f>
        <v>0</v>
      </c>
      <c r="E29" s="1243">
        <f t="shared" si="18"/>
        <v>0</v>
      </c>
      <c r="F29" s="1243">
        <f t="shared" si="18"/>
        <v>15.4</v>
      </c>
      <c r="G29" s="1243">
        <f t="shared" si="18"/>
        <v>0</v>
      </c>
      <c r="H29" s="1243">
        <f t="shared" si="18"/>
        <v>0</v>
      </c>
      <c r="I29" s="1243">
        <f t="shared" si="18"/>
        <v>0</v>
      </c>
      <c r="J29" s="1243">
        <f t="shared" si="18"/>
        <v>0</v>
      </c>
      <c r="K29" s="1243">
        <f t="shared" si="18"/>
        <v>0</v>
      </c>
      <c r="L29" s="1243">
        <f t="shared" si="18"/>
        <v>0</v>
      </c>
      <c r="M29" s="1243">
        <f t="shared" si="18"/>
        <v>0</v>
      </c>
      <c r="N29" s="1243">
        <f t="shared" si="18"/>
        <v>0</v>
      </c>
      <c r="O29" s="1243">
        <f t="shared" si="18"/>
        <v>0</v>
      </c>
      <c r="P29" s="1243">
        <f t="shared" si="18"/>
        <v>0</v>
      </c>
      <c r="Q29" s="1243">
        <f t="shared" si="18"/>
        <v>0</v>
      </c>
      <c r="R29" s="1243">
        <f t="shared" si="18"/>
        <v>0</v>
      </c>
      <c r="S29" s="1243">
        <f t="shared" si="18"/>
        <v>15.4</v>
      </c>
      <c r="T29" s="1243">
        <f t="shared" si="18"/>
        <v>0</v>
      </c>
      <c r="U29" s="1243">
        <f t="shared" si="18"/>
        <v>15.4</v>
      </c>
      <c r="V29" s="1243">
        <f t="shared" si="18"/>
        <v>0</v>
      </c>
      <c r="W29" s="1243">
        <f t="shared" si="18"/>
        <v>0</v>
      </c>
      <c r="X29" s="1243">
        <f t="shared" si="18"/>
        <v>0</v>
      </c>
      <c r="Y29" s="1243">
        <f t="shared" si="18"/>
        <v>0</v>
      </c>
      <c r="Z29" s="1243">
        <f t="shared" si="18"/>
        <v>0</v>
      </c>
      <c r="AA29" s="1243">
        <f t="shared" si="18"/>
        <v>0</v>
      </c>
    </row>
    <row r="30" spans="1:27" s="1242" customFormat="1" ht="15.6" customHeight="1" x14ac:dyDescent="0.25">
      <c r="A30" s="1239"/>
      <c r="B30" s="1240" t="s">
        <v>341</v>
      </c>
      <c r="C30" s="1241">
        <f t="shared" si="12"/>
        <v>15.4</v>
      </c>
      <c r="D30" s="1241"/>
      <c r="E30" s="1241"/>
      <c r="F30" s="1241">
        <v>15.4</v>
      </c>
      <c r="G30" s="1241"/>
      <c r="H30" s="1241">
        <f t="shared" si="13"/>
        <v>0</v>
      </c>
      <c r="I30" s="1241"/>
      <c r="J30" s="1241"/>
      <c r="K30" s="1241">
        <f t="shared" si="14"/>
        <v>0</v>
      </c>
      <c r="L30" s="1241">
        <f t="shared" si="6"/>
        <v>0</v>
      </c>
      <c r="M30" s="1241">
        <f>G30+J30</f>
        <v>0</v>
      </c>
      <c r="N30" s="1244">
        <f>SUM(O30:R30)</f>
        <v>0</v>
      </c>
      <c r="O30" s="1241"/>
      <c r="P30" s="1241"/>
      <c r="Q30" s="1241"/>
      <c r="R30" s="1241"/>
      <c r="S30" s="1244">
        <f t="shared" si="9"/>
        <v>15.4</v>
      </c>
      <c r="T30" s="1241"/>
      <c r="U30" s="1241">
        <f>F30</f>
        <v>15.4</v>
      </c>
      <c r="V30" s="1244">
        <f t="shared" si="15"/>
        <v>0</v>
      </c>
      <c r="W30" s="1241">
        <f t="shared" si="10"/>
        <v>0</v>
      </c>
      <c r="X30" s="1241">
        <f t="shared" si="11"/>
        <v>0</v>
      </c>
      <c r="Y30" s="1241"/>
      <c r="Z30" s="1241">
        <f>K30-N30</f>
        <v>0</v>
      </c>
      <c r="AA30" s="1241"/>
    </row>
    <row r="31" spans="1:27" s="1231" customFormat="1" ht="15.6" customHeight="1" x14ac:dyDescent="0.25">
      <c r="A31" s="1239"/>
      <c r="B31" s="1240" t="s">
        <v>2298</v>
      </c>
      <c r="C31" s="1243">
        <f t="shared" si="12"/>
        <v>0</v>
      </c>
      <c r="D31" s="1243"/>
      <c r="E31" s="1243"/>
      <c r="F31" s="1243"/>
      <c r="G31" s="1243"/>
      <c r="H31" s="1243">
        <f t="shared" si="13"/>
        <v>0</v>
      </c>
      <c r="I31" s="1243"/>
      <c r="J31" s="1243"/>
      <c r="K31" s="1243">
        <f t="shared" si="14"/>
        <v>0</v>
      </c>
      <c r="L31" s="1241">
        <f t="shared" si="6"/>
        <v>0</v>
      </c>
      <c r="M31" s="1241">
        <f>G31+J31</f>
        <v>0</v>
      </c>
      <c r="N31" s="1244">
        <f>SUM(O31:R31)</f>
        <v>0</v>
      </c>
      <c r="O31" s="1243"/>
      <c r="P31" s="1243"/>
      <c r="Q31" s="1243"/>
      <c r="R31" s="1243"/>
      <c r="S31" s="1244">
        <f t="shared" si="9"/>
        <v>0</v>
      </c>
      <c r="T31" s="1243"/>
      <c r="U31" s="1243"/>
      <c r="V31" s="1244">
        <f t="shared" si="15"/>
        <v>0</v>
      </c>
      <c r="W31" s="1241">
        <f t="shared" si="10"/>
        <v>0</v>
      </c>
      <c r="X31" s="1241">
        <f t="shared" si="11"/>
        <v>0</v>
      </c>
      <c r="Y31" s="1243"/>
      <c r="Z31" s="1243"/>
      <c r="AA31" s="1243"/>
    </row>
    <row r="32" spans="1:27" s="1231" customFormat="1" ht="15.6" customHeight="1" x14ac:dyDescent="0.25">
      <c r="A32" s="1239"/>
      <c r="B32" s="1240" t="s">
        <v>1719</v>
      </c>
      <c r="C32" s="1243">
        <f t="shared" si="12"/>
        <v>0</v>
      </c>
      <c r="D32" s="1243"/>
      <c r="E32" s="1243"/>
      <c r="F32" s="1243"/>
      <c r="G32" s="1243"/>
      <c r="H32" s="1243">
        <f t="shared" si="13"/>
        <v>0</v>
      </c>
      <c r="I32" s="1243"/>
      <c r="J32" s="1243"/>
      <c r="K32" s="1243">
        <f t="shared" si="14"/>
        <v>0</v>
      </c>
      <c r="L32" s="1241">
        <f t="shared" si="6"/>
        <v>0</v>
      </c>
      <c r="M32" s="1241">
        <f>G32+J32</f>
        <v>0</v>
      </c>
      <c r="N32" s="1244">
        <f>SUM(O32:R32)</f>
        <v>0</v>
      </c>
      <c r="O32" s="1243"/>
      <c r="P32" s="1243"/>
      <c r="Q32" s="1243"/>
      <c r="R32" s="1243"/>
      <c r="S32" s="1244">
        <f t="shared" si="9"/>
        <v>0</v>
      </c>
      <c r="T32" s="1243"/>
      <c r="U32" s="1243"/>
      <c r="V32" s="1244">
        <f t="shared" si="15"/>
        <v>0</v>
      </c>
      <c r="W32" s="1241">
        <f t="shared" si="10"/>
        <v>0</v>
      </c>
      <c r="X32" s="1241">
        <f t="shared" si="11"/>
        <v>0</v>
      </c>
      <c r="Y32" s="1243"/>
      <c r="Z32" s="1243"/>
      <c r="AA32" s="1243"/>
    </row>
    <row r="33" spans="1:27" s="1221" customFormat="1" ht="40.9" customHeight="1" x14ac:dyDescent="0.25">
      <c r="A33" s="1248">
        <v>6</v>
      </c>
      <c r="B33" s="1247" t="s">
        <v>2301</v>
      </c>
      <c r="C33" s="1224">
        <f>SUM(C34:C36)</f>
        <v>0</v>
      </c>
      <c r="D33" s="1224">
        <f t="shared" ref="D33:AA33" si="19">SUM(D34:D36)</f>
        <v>0</v>
      </c>
      <c r="E33" s="1224">
        <f t="shared" si="19"/>
        <v>0</v>
      </c>
      <c r="F33" s="1224">
        <f t="shared" si="19"/>
        <v>0</v>
      </c>
      <c r="G33" s="1224">
        <f t="shared" si="19"/>
        <v>0</v>
      </c>
      <c r="H33" s="1224">
        <f t="shared" si="19"/>
        <v>0</v>
      </c>
      <c r="I33" s="1224">
        <f t="shared" si="19"/>
        <v>0</v>
      </c>
      <c r="J33" s="1224">
        <f t="shared" si="19"/>
        <v>0</v>
      </c>
      <c r="K33" s="1224">
        <f t="shared" si="19"/>
        <v>0</v>
      </c>
      <c r="L33" s="1224">
        <f t="shared" si="19"/>
        <v>0</v>
      </c>
      <c r="M33" s="1224">
        <f t="shared" si="19"/>
        <v>0</v>
      </c>
      <c r="N33" s="1224">
        <f t="shared" si="19"/>
        <v>0</v>
      </c>
      <c r="O33" s="1224">
        <f t="shared" si="19"/>
        <v>0</v>
      </c>
      <c r="P33" s="1224">
        <f t="shared" si="19"/>
        <v>0</v>
      </c>
      <c r="Q33" s="1224">
        <f t="shared" si="19"/>
        <v>0</v>
      </c>
      <c r="R33" s="1224">
        <f t="shared" si="19"/>
        <v>0</v>
      </c>
      <c r="S33" s="1224">
        <f t="shared" si="19"/>
        <v>0</v>
      </c>
      <c r="T33" s="1224">
        <f t="shared" si="19"/>
        <v>0</v>
      </c>
      <c r="U33" s="1224">
        <f t="shared" si="19"/>
        <v>0</v>
      </c>
      <c r="V33" s="1224">
        <f t="shared" si="19"/>
        <v>0</v>
      </c>
      <c r="W33" s="1224">
        <f t="shared" si="19"/>
        <v>0</v>
      </c>
      <c r="X33" s="1224">
        <f t="shared" si="19"/>
        <v>0</v>
      </c>
      <c r="Y33" s="1224">
        <f t="shared" si="19"/>
        <v>0</v>
      </c>
      <c r="Z33" s="1224">
        <f t="shared" si="19"/>
        <v>0</v>
      </c>
      <c r="AA33" s="1224">
        <f t="shared" si="19"/>
        <v>0</v>
      </c>
    </row>
    <row r="34" spans="1:27" s="1249" customFormat="1" ht="19.149999999999999" customHeight="1" x14ac:dyDescent="0.25">
      <c r="A34" s="1248"/>
      <c r="B34" s="1240" t="s">
        <v>341</v>
      </c>
      <c r="C34" s="1244">
        <f t="shared" si="12"/>
        <v>0</v>
      </c>
      <c r="D34" s="1244"/>
      <c r="E34" s="1244"/>
      <c r="F34" s="1244"/>
      <c r="G34" s="1244"/>
      <c r="H34" s="1244">
        <f t="shared" si="13"/>
        <v>0</v>
      </c>
      <c r="I34" s="1244"/>
      <c r="J34" s="1244"/>
      <c r="K34" s="1244">
        <f t="shared" si="14"/>
        <v>0</v>
      </c>
      <c r="L34" s="1241">
        <f t="shared" si="6"/>
        <v>0</v>
      </c>
      <c r="M34" s="1241">
        <f>G34+J34</f>
        <v>0</v>
      </c>
      <c r="N34" s="1244">
        <f t="shared" ref="N34:N40" si="20">SUM(O34:R34)</f>
        <v>0</v>
      </c>
      <c r="O34" s="1244"/>
      <c r="P34" s="1244"/>
      <c r="Q34" s="1244"/>
      <c r="R34" s="1244"/>
      <c r="S34" s="1244">
        <f t="shared" si="9"/>
        <v>0</v>
      </c>
      <c r="T34" s="1244"/>
      <c r="U34" s="1244"/>
      <c r="V34" s="1244">
        <f t="shared" si="15"/>
        <v>0</v>
      </c>
      <c r="W34" s="1241">
        <f t="shared" si="10"/>
        <v>0</v>
      </c>
      <c r="X34" s="1241">
        <f t="shared" si="11"/>
        <v>0</v>
      </c>
      <c r="Y34" s="1244"/>
      <c r="Z34" s="1244"/>
      <c r="AA34" s="1244"/>
    </row>
    <row r="35" spans="1:27" s="1231" customFormat="1" ht="19.149999999999999" customHeight="1" x14ac:dyDescent="0.25">
      <c r="A35" s="1239"/>
      <c r="B35" s="1240" t="s">
        <v>2298</v>
      </c>
      <c r="C35" s="1243">
        <f t="shared" si="12"/>
        <v>0</v>
      </c>
      <c r="D35" s="1243"/>
      <c r="E35" s="1243"/>
      <c r="F35" s="1243"/>
      <c r="G35" s="1243"/>
      <c r="H35" s="1243">
        <f t="shared" si="13"/>
        <v>0</v>
      </c>
      <c r="I35" s="1243"/>
      <c r="J35" s="1243"/>
      <c r="K35" s="1243">
        <f t="shared" si="14"/>
        <v>0</v>
      </c>
      <c r="L35" s="1241">
        <f t="shared" si="6"/>
        <v>0</v>
      </c>
      <c r="M35" s="1241">
        <f>G35+J35</f>
        <v>0</v>
      </c>
      <c r="N35" s="1244">
        <f t="shared" si="20"/>
        <v>0</v>
      </c>
      <c r="O35" s="1243"/>
      <c r="P35" s="1243"/>
      <c r="Q35" s="1243"/>
      <c r="R35" s="1243"/>
      <c r="S35" s="1244">
        <f t="shared" si="9"/>
        <v>0</v>
      </c>
      <c r="T35" s="1243"/>
      <c r="U35" s="1243"/>
      <c r="V35" s="1244">
        <f t="shared" si="15"/>
        <v>0</v>
      </c>
      <c r="W35" s="1241">
        <f t="shared" si="10"/>
        <v>0</v>
      </c>
      <c r="X35" s="1241">
        <f t="shared" si="11"/>
        <v>0</v>
      </c>
      <c r="Y35" s="1243"/>
      <c r="Z35" s="1243"/>
      <c r="AA35" s="1243"/>
    </row>
    <row r="36" spans="1:27" s="1231" customFormat="1" ht="19.149999999999999" customHeight="1" x14ac:dyDescent="0.25">
      <c r="A36" s="1239"/>
      <c r="B36" s="1240" t="s">
        <v>1719</v>
      </c>
      <c r="C36" s="1243">
        <f t="shared" si="12"/>
        <v>0</v>
      </c>
      <c r="D36" s="1243"/>
      <c r="E36" s="1243"/>
      <c r="F36" s="1243"/>
      <c r="G36" s="1243"/>
      <c r="H36" s="1243">
        <f t="shared" si="13"/>
        <v>0</v>
      </c>
      <c r="I36" s="1243"/>
      <c r="J36" s="1243"/>
      <c r="K36" s="1243">
        <f t="shared" si="14"/>
        <v>0</v>
      </c>
      <c r="L36" s="1241">
        <f t="shared" si="6"/>
        <v>0</v>
      </c>
      <c r="M36" s="1241">
        <f>G36+J36</f>
        <v>0</v>
      </c>
      <c r="N36" s="1244">
        <f t="shared" si="20"/>
        <v>0</v>
      </c>
      <c r="O36" s="1243"/>
      <c r="P36" s="1243"/>
      <c r="Q36" s="1243"/>
      <c r="R36" s="1243"/>
      <c r="S36" s="1244">
        <f t="shared" si="9"/>
        <v>0</v>
      </c>
      <c r="T36" s="1243"/>
      <c r="U36" s="1243"/>
      <c r="V36" s="1244">
        <f t="shared" si="15"/>
        <v>0</v>
      </c>
      <c r="W36" s="1241">
        <f t="shared" si="10"/>
        <v>0</v>
      </c>
      <c r="X36" s="1241">
        <f t="shared" si="11"/>
        <v>0</v>
      </c>
      <c r="Y36" s="1243"/>
      <c r="Z36" s="1243"/>
      <c r="AA36" s="1243"/>
    </row>
    <row r="37" spans="1:27" s="1231" customFormat="1" ht="13.9" customHeight="1" x14ac:dyDescent="0.25">
      <c r="A37" s="1239">
        <v>7</v>
      </c>
      <c r="B37" s="1247" t="s">
        <v>2302</v>
      </c>
      <c r="C37" s="1243">
        <f>SUM(C38:C40)</f>
        <v>0</v>
      </c>
      <c r="D37" s="1243">
        <f t="shared" ref="D37:AA37" si="21">SUM(D38:D40)</f>
        <v>0</v>
      </c>
      <c r="E37" s="1243">
        <f t="shared" si="21"/>
        <v>0</v>
      </c>
      <c r="F37" s="1243">
        <f t="shared" si="21"/>
        <v>0</v>
      </c>
      <c r="G37" s="1243">
        <f t="shared" si="21"/>
        <v>0</v>
      </c>
      <c r="H37" s="1243">
        <f t="shared" si="21"/>
        <v>0</v>
      </c>
      <c r="I37" s="1243">
        <f t="shared" si="21"/>
        <v>0</v>
      </c>
      <c r="J37" s="1243">
        <f t="shared" si="21"/>
        <v>0</v>
      </c>
      <c r="K37" s="1243">
        <f t="shared" si="21"/>
        <v>0</v>
      </c>
      <c r="L37" s="1243">
        <f t="shared" si="21"/>
        <v>0</v>
      </c>
      <c r="M37" s="1243">
        <f t="shared" si="21"/>
        <v>0</v>
      </c>
      <c r="N37" s="1243">
        <f t="shared" si="21"/>
        <v>0</v>
      </c>
      <c r="O37" s="1243">
        <f t="shared" si="21"/>
        <v>0</v>
      </c>
      <c r="P37" s="1243">
        <f t="shared" si="21"/>
        <v>0</v>
      </c>
      <c r="Q37" s="1243">
        <f t="shared" si="21"/>
        <v>0</v>
      </c>
      <c r="R37" s="1243">
        <f t="shared" si="21"/>
        <v>0</v>
      </c>
      <c r="S37" s="1243">
        <f t="shared" si="21"/>
        <v>0</v>
      </c>
      <c r="T37" s="1243">
        <f t="shared" si="21"/>
        <v>0</v>
      </c>
      <c r="U37" s="1243">
        <f t="shared" si="21"/>
        <v>0</v>
      </c>
      <c r="V37" s="1243">
        <f t="shared" si="21"/>
        <v>0</v>
      </c>
      <c r="W37" s="1243">
        <f t="shared" si="21"/>
        <v>0</v>
      </c>
      <c r="X37" s="1243">
        <f t="shared" si="21"/>
        <v>0</v>
      </c>
      <c r="Y37" s="1243">
        <f t="shared" si="21"/>
        <v>0</v>
      </c>
      <c r="Z37" s="1243">
        <f t="shared" si="21"/>
        <v>0</v>
      </c>
      <c r="AA37" s="1243">
        <f t="shared" si="21"/>
        <v>0</v>
      </c>
    </row>
    <row r="38" spans="1:27" s="1242" customFormat="1" ht="13.9" customHeight="1" x14ac:dyDescent="0.25">
      <c r="A38" s="1239"/>
      <c r="B38" s="1240" t="s">
        <v>341</v>
      </c>
      <c r="C38" s="1241">
        <f t="shared" si="12"/>
        <v>0</v>
      </c>
      <c r="D38" s="1241"/>
      <c r="E38" s="1241"/>
      <c r="F38" s="1241"/>
      <c r="G38" s="1241"/>
      <c r="H38" s="1241">
        <f t="shared" si="13"/>
        <v>0</v>
      </c>
      <c r="I38" s="1241"/>
      <c r="J38" s="1241"/>
      <c r="K38" s="1241">
        <f t="shared" si="14"/>
        <v>0</v>
      </c>
      <c r="L38" s="1241">
        <f t="shared" si="6"/>
        <v>0</v>
      </c>
      <c r="M38" s="1241">
        <f>G38+J38</f>
        <v>0</v>
      </c>
      <c r="N38" s="1244">
        <f t="shared" si="20"/>
        <v>0</v>
      </c>
      <c r="O38" s="1241"/>
      <c r="P38" s="1241"/>
      <c r="Q38" s="1241"/>
      <c r="R38" s="1241"/>
      <c r="S38" s="1244">
        <f t="shared" si="9"/>
        <v>0</v>
      </c>
      <c r="T38" s="1241"/>
      <c r="U38" s="1241"/>
      <c r="V38" s="1244">
        <f t="shared" si="15"/>
        <v>0</v>
      </c>
      <c r="W38" s="1241">
        <f t="shared" si="10"/>
        <v>0</v>
      </c>
      <c r="X38" s="1241">
        <f t="shared" si="11"/>
        <v>0</v>
      </c>
      <c r="Y38" s="1241"/>
      <c r="Z38" s="1241"/>
      <c r="AA38" s="1241"/>
    </row>
    <row r="39" spans="1:27" s="1231" customFormat="1" ht="13.9" customHeight="1" x14ac:dyDescent="0.25">
      <c r="A39" s="1239"/>
      <c r="B39" s="1240" t="s">
        <v>2298</v>
      </c>
      <c r="C39" s="1243">
        <f t="shared" si="12"/>
        <v>0</v>
      </c>
      <c r="D39" s="1243"/>
      <c r="E39" s="1243"/>
      <c r="F39" s="1243"/>
      <c r="G39" s="1243"/>
      <c r="H39" s="1243">
        <f t="shared" si="13"/>
        <v>0</v>
      </c>
      <c r="I39" s="1243"/>
      <c r="J39" s="1243"/>
      <c r="K39" s="1243">
        <f t="shared" si="14"/>
        <v>0</v>
      </c>
      <c r="L39" s="1241">
        <f t="shared" si="6"/>
        <v>0</v>
      </c>
      <c r="M39" s="1241">
        <f>G39+J39</f>
        <v>0</v>
      </c>
      <c r="N39" s="1244">
        <f t="shared" si="20"/>
        <v>0</v>
      </c>
      <c r="O39" s="1243"/>
      <c r="P39" s="1243"/>
      <c r="Q39" s="1243"/>
      <c r="R39" s="1243"/>
      <c r="S39" s="1244">
        <f t="shared" si="9"/>
        <v>0</v>
      </c>
      <c r="T39" s="1243"/>
      <c r="U39" s="1243"/>
      <c r="V39" s="1244">
        <f t="shared" si="15"/>
        <v>0</v>
      </c>
      <c r="W39" s="1241">
        <f t="shared" si="10"/>
        <v>0</v>
      </c>
      <c r="X39" s="1241">
        <f t="shared" si="11"/>
        <v>0</v>
      </c>
      <c r="Y39" s="1243"/>
      <c r="Z39" s="1243"/>
      <c r="AA39" s="1243"/>
    </row>
    <row r="40" spans="1:27" s="1231" customFormat="1" ht="13.9" customHeight="1" x14ac:dyDescent="0.25">
      <c r="A40" s="1239"/>
      <c r="B40" s="1240" t="s">
        <v>1719</v>
      </c>
      <c r="C40" s="1243">
        <f t="shared" si="12"/>
        <v>0</v>
      </c>
      <c r="D40" s="1243"/>
      <c r="E40" s="1243"/>
      <c r="F40" s="1243"/>
      <c r="G40" s="1243"/>
      <c r="H40" s="1243">
        <f t="shared" si="13"/>
        <v>0</v>
      </c>
      <c r="I40" s="1243"/>
      <c r="J40" s="1243"/>
      <c r="K40" s="1243">
        <f t="shared" si="14"/>
        <v>0</v>
      </c>
      <c r="L40" s="1241">
        <f t="shared" si="6"/>
        <v>0</v>
      </c>
      <c r="M40" s="1241">
        <f>G40+J40</f>
        <v>0</v>
      </c>
      <c r="N40" s="1244">
        <f t="shared" si="20"/>
        <v>0</v>
      </c>
      <c r="O40" s="1243"/>
      <c r="P40" s="1243"/>
      <c r="Q40" s="1243"/>
      <c r="R40" s="1243"/>
      <c r="S40" s="1244">
        <f t="shared" si="9"/>
        <v>0</v>
      </c>
      <c r="T40" s="1243"/>
      <c r="U40" s="1243"/>
      <c r="V40" s="1244">
        <f t="shared" si="15"/>
        <v>0</v>
      </c>
      <c r="W40" s="1241">
        <f t="shared" si="10"/>
        <v>0</v>
      </c>
      <c r="X40" s="1241">
        <f t="shared" si="11"/>
        <v>0</v>
      </c>
      <c r="Y40" s="1243"/>
      <c r="Z40" s="1243"/>
      <c r="AA40" s="1243"/>
    </row>
    <row r="41" spans="1:27" s="1231" customFormat="1" ht="24.6" customHeight="1" x14ac:dyDescent="0.25">
      <c r="A41" s="1239">
        <v>8</v>
      </c>
      <c r="B41" s="1247" t="s">
        <v>2303</v>
      </c>
      <c r="C41" s="1243">
        <f>SUM(C42:C44)</f>
        <v>1.2</v>
      </c>
      <c r="D41" s="1243">
        <f t="shared" ref="D41:AA41" si="22">SUM(D42:D44)</f>
        <v>0</v>
      </c>
      <c r="E41" s="1243">
        <f t="shared" si="22"/>
        <v>0</v>
      </c>
      <c r="F41" s="1243">
        <f t="shared" si="22"/>
        <v>1.2</v>
      </c>
      <c r="G41" s="1243">
        <f t="shared" si="22"/>
        <v>0</v>
      </c>
      <c r="H41" s="1243">
        <f t="shared" si="22"/>
        <v>0</v>
      </c>
      <c r="I41" s="1243">
        <f t="shared" si="22"/>
        <v>0</v>
      </c>
      <c r="J41" s="1243">
        <f t="shared" si="22"/>
        <v>0</v>
      </c>
      <c r="K41" s="1243">
        <f t="shared" si="22"/>
        <v>0</v>
      </c>
      <c r="L41" s="1243">
        <f t="shared" si="22"/>
        <v>0</v>
      </c>
      <c r="M41" s="1243">
        <f t="shared" si="22"/>
        <v>0</v>
      </c>
      <c r="N41" s="1243">
        <f t="shared" si="22"/>
        <v>0</v>
      </c>
      <c r="O41" s="1243">
        <f t="shared" si="22"/>
        <v>0</v>
      </c>
      <c r="P41" s="1243">
        <f t="shared" si="22"/>
        <v>0</v>
      </c>
      <c r="Q41" s="1243">
        <f t="shared" si="22"/>
        <v>0</v>
      </c>
      <c r="R41" s="1243">
        <f t="shared" si="22"/>
        <v>0</v>
      </c>
      <c r="S41" s="1243">
        <f t="shared" si="22"/>
        <v>1.2</v>
      </c>
      <c r="T41" s="1243">
        <f t="shared" si="22"/>
        <v>0</v>
      </c>
      <c r="U41" s="1243">
        <f t="shared" si="22"/>
        <v>1.2</v>
      </c>
      <c r="V41" s="1243">
        <f t="shared" si="22"/>
        <v>0</v>
      </c>
      <c r="W41" s="1243">
        <f t="shared" si="22"/>
        <v>0</v>
      </c>
      <c r="X41" s="1243">
        <f t="shared" si="22"/>
        <v>0</v>
      </c>
      <c r="Y41" s="1243">
        <f t="shared" si="22"/>
        <v>0</v>
      </c>
      <c r="Z41" s="1243">
        <f t="shared" si="22"/>
        <v>0</v>
      </c>
      <c r="AA41" s="1243">
        <f t="shared" si="22"/>
        <v>0</v>
      </c>
    </row>
    <row r="42" spans="1:27" s="1242" customFormat="1" ht="21.6" customHeight="1" x14ac:dyDescent="0.25">
      <c r="A42" s="1239"/>
      <c r="B42" s="1240" t="s">
        <v>341</v>
      </c>
      <c r="C42" s="1241">
        <f t="shared" ref="C42:C65" si="23">D42+E42+F42+G42</f>
        <v>1.2</v>
      </c>
      <c r="D42" s="1241"/>
      <c r="E42" s="1241"/>
      <c r="F42" s="1543">
        <v>1.2</v>
      </c>
      <c r="G42" s="1241"/>
      <c r="H42" s="1241">
        <f t="shared" ref="H42:H65" si="24">SUM(I42:J42)</f>
        <v>0</v>
      </c>
      <c r="I42" s="1241"/>
      <c r="J42" s="1241"/>
      <c r="K42" s="1241">
        <f>SUM(L42:M42)</f>
        <v>0</v>
      </c>
      <c r="L42" s="1241">
        <f t="shared" si="6"/>
        <v>0</v>
      </c>
      <c r="M42" s="1241">
        <f>G42+J42</f>
        <v>0</v>
      </c>
      <c r="N42" s="1241">
        <f>SUM(O42:R42)</f>
        <v>0</v>
      </c>
      <c r="O42" s="1241"/>
      <c r="P42" s="1241"/>
      <c r="Q42" s="1241"/>
      <c r="R42" s="1241"/>
      <c r="S42" s="1241">
        <f t="shared" ref="S42:S52" si="25">T42+U42</f>
        <v>1.2</v>
      </c>
      <c r="T42" s="1241"/>
      <c r="U42" s="1241">
        <f>F42</f>
        <v>1.2</v>
      </c>
      <c r="V42" s="1241">
        <f t="shared" ref="V42:V52" si="26">W42+X42+Y42+Z42+AA42</f>
        <v>0</v>
      </c>
      <c r="W42" s="1241">
        <f t="shared" si="10"/>
        <v>0</v>
      </c>
      <c r="X42" s="1241">
        <f t="shared" si="11"/>
        <v>0</v>
      </c>
      <c r="Y42" s="1241"/>
      <c r="Z42" s="1241">
        <f>K42-N42</f>
        <v>0</v>
      </c>
      <c r="AA42" s="1241"/>
    </row>
    <row r="43" spans="1:27" s="1231" customFormat="1" ht="21.6" customHeight="1" x14ac:dyDescent="0.25">
      <c r="A43" s="1239"/>
      <c r="B43" s="1240" t="s">
        <v>2298</v>
      </c>
      <c r="C43" s="1243">
        <f t="shared" si="23"/>
        <v>0</v>
      </c>
      <c r="D43" s="1243"/>
      <c r="E43" s="1243"/>
      <c r="F43" s="1243"/>
      <c r="G43" s="1243"/>
      <c r="H43" s="1243">
        <f t="shared" si="24"/>
        <v>0</v>
      </c>
      <c r="I43" s="1243"/>
      <c r="J43" s="1243"/>
      <c r="K43" s="1243">
        <f>SUM(L43:M43)</f>
        <v>0</v>
      </c>
      <c r="L43" s="1241">
        <f t="shared" si="6"/>
        <v>0</v>
      </c>
      <c r="M43" s="1241">
        <f>G43+J43</f>
        <v>0</v>
      </c>
      <c r="N43" s="1244">
        <f>SUM(O43:R43)</f>
        <v>0</v>
      </c>
      <c r="O43" s="1243"/>
      <c r="P43" s="1243"/>
      <c r="Q43" s="1243"/>
      <c r="R43" s="1243"/>
      <c r="S43" s="1244">
        <f t="shared" si="25"/>
        <v>0</v>
      </c>
      <c r="T43" s="1243"/>
      <c r="U43" s="1243"/>
      <c r="V43" s="1244">
        <f t="shared" si="26"/>
        <v>0</v>
      </c>
      <c r="W43" s="1241">
        <f t="shared" si="10"/>
        <v>0</v>
      </c>
      <c r="X43" s="1241">
        <f t="shared" si="11"/>
        <v>0</v>
      </c>
      <c r="Y43" s="1243"/>
      <c r="Z43" s="1243"/>
      <c r="AA43" s="1243"/>
    </row>
    <row r="44" spans="1:27" s="1231" customFormat="1" ht="21.6" customHeight="1" x14ac:dyDescent="0.25">
      <c r="A44" s="1239"/>
      <c r="B44" s="1240" t="s">
        <v>1719</v>
      </c>
      <c r="C44" s="1243">
        <f t="shared" si="23"/>
        <v>0</v>
      </c>
      <c r="D44" s="1243"/>
      <c r="E44" s="1243"/>
      <c r="F44" s="1243"/>
      <c r="G44" s="1243"/>
      <c r="H44" s="1243">
        <f t="shared" si="24"/>
        <v>0</v>
      </c>
      <c r="I44" s="1243"/>
      <c r="J44" s="1243"/>
      <c r="K44" s="1243">
        <f>SUM(L44:M44)</f>
        <v>0</v>
      </c>
      <c r="L44" s="1241">
        <f t="shared" si="6"/>
        <v>0</v>
      </c>
      <c r="M44" s="1241">
        <f>G44+J44</f>
        <v>0</v>
      </c>
      <c r="N44" s="1244">
        <f>SUM(O44:R44)</f>
        <v>0</v>
      </c>
      <c r="O44" s="1243"/>
      <c r="P44" s="1243"/>
      <c r="Q44" s="1243"/>
      <c r="R44" s="1243"/>
      <c r="S44" s="1244">
        <f t="shared" si="25"/>
        <v>0</v>
      </c>
      <c r="T44" s="1243"/>
      <c r="U44" s="1243"/>
      <c r="V44" s="1244">
        <f t="shared" si="26"/>
        <v>0</v>
      </c>
      <c r="W44" s="1241">
        <f t="shared" si="10"/>
        <v>0</v>
      </c>
      <c r="X44" s="1241">
        <f t="shared" si="11"/>
        <v>0</v>
      </c>
      <c r="Y44" s="1243"/>
      <c r="Z44" s="1243"/>
      <c r="AA44" s="1243"/>
    </row>
    <row r="45" spans="1:27" s="1231" customFormat="1" ht="28.9" customHeight="1" x14ac:dyDescent="0.25">
      <c r="A45" s="1239">
        <v>9</v>
      </c>
      <c r="B45" s="1247" t="s">
        <v>2304</v>
      </c>
      <c r="C45" s="1243">
        <f t="shared" ref="C45:J45" si="27">SUM(C46:C48)</f>
        <v>12.484</v>
      </c>
      <c r="D45" s="1243">
        <f t="shared" si="27"/>
        <v>0</v>
      </c>
      <c r="E45" s="1243">
        <f t="shared" si="27"/>
        <v>0</v>
      </c>
      <c r="F45" s="1243">
        <f t="shared" si="27"/>
        <v>12.484</v>
      </c>
      <c r="G45" s="1243">
        <f t="shared" si="27"/>
        <v>0</v>
      </c>
      <c r="H45" s="1243">
        <f t="shared" si="27"/>
        <v>0</v>
      </c>
      <c r="I45" s="1243">
        <f t="shared" si="27"/>
        <v>0</v>
      </c>
      <c r="J45" s="1243">
        <f t="shared" si="27"/>
        <v>0</v>
      </c>
      <c r="K45" s="1243">
        <f>SUM(K46:K48)</f>
        <v>0</v>
      </c>
      <c r="L45" s="1241">
        <f t="shared" si="6"/>
        <v>0</v>
      </c>
      <c r="M45" s="1241">
        <f>F45+J45</f>
        <v>12.484</v>
      </c>
      <c r="N45" s="1243">
        <f>SUM(N46:N48)</f>
        <v>0</v>
      </c>
      <c r="O45" s="1243">
        <f t="shared" ref="O45:AA45" si="28">SUM(O46:O48)</f>
        <v>0</v>
      </c>
      <c r="P45" s="1243">
        <f t="shared" si="28"/>
        <v>0</v>
      </c>
      <c r="Q45" s="1243">
        <f t="shared" si="28"/>
        <v>0</v>
      </c>
      <c r="R45" s="1243">
        <f t="shared" si="28"/>
        <v>0</v>
      </c>
      <c r="S45" s="1243">
        <f t="shared" si="28"/>
        <v>12.484</v>
      </c>
      <c r="T45" s="1243">
        <f t="shared" si="28"/>
        <v>0</v>
      </c>
      <c r="U45" s="1243">
        <f t="shared" si="28"/>
        <v>12.484</v>
      </c>
      <c r="V45" s="1243">
        <f t="shared" si="28"/>
        <v>0</v>
      </c>
      <c r="W45" s="1241">
        <f t="shared" si="10"/>
        <v>0</v>
      </c>
      <c r="X45" s="1241">
        <f t="shared" si="11"/>
        <v>0</v>
      </c>
      <c r="Y45" s="1243">
        <f t="shared" si="28"/>
        <v>0</v>
      </c>
      <c r="Z45" s="1243">
        <f t="shared" si="28"/>
        <v>0</v>
      </c>
      <c r="AA45" s="1243">
        <f t="shared" si="28"/>
        <v>0</v>
      </c>
    </row>
    <row r="46" spans="1:27" s="1242" customFormat="1" ht="19.899999999999999" customHeight="1" x14ac:dyDescent="0.25">
      <c r="A46" s="1239"/>
      <c r="B46" s="1240" t="s">
        <v>341</v>
      </c>
      <c r="C46" s="1241">
        <f t="shared" si="23"/>
        <v>12.484</v>
      </c>
      <c r="D46" s="1241"/>
      <c r="E46" s="1241"/>
      <c r="F46" s="1241">
        <v>12.484</v>
      </c>
      <c r="G46" s="1241"/>
      <c r="H46" s="1241">
        <f t="shared" si="24"/>
        <v>0</v>
      </c>
      <c r="I46" s="1241"/>
      <c r="J46" s="1241"/>
      <c r="K46" s="1241">
        <f>SUM(L46:M46)</f>
        <v>0</v>
      </c>
      <c r="L46" s="1241">
        <f t="shared" si="6"/>
        <v>0</v>
      </c>
      <c r="M46" s="1241">
        <f>G46+J46</f>
        <v>0</v>
      </c>
      <c r="N46" s="1241">
        <f>SUM(O46:R46)</f>
        <v>0</v>
      </c>
      <c r="O46" s="1241"/>
      <c r="P46" s="1241"/>
      <c r="Q46" s="1241"/>
      <c r="R46" s="1241"/>
      <c r="S46" s="1241">
        <f t="shared" si="25"/>
        <v>12.484</v>
      </c>
      <c r="T46" s="1241"/>
      <c r="U46" s="1241">
        <f>F46</f>
        <v>12.484</v>
      </c>
      <c r="V46" s="1241">
        <f t="shared" si="26"/>
        <v>0</v>
      </c>
      <c r="W46" s="1241">
        <f t="shared" si="10"/>
        <v>0</v>
      </c>
      <c r="X46" s="1241">
        <f t="shared" si="11"/>
        <v>0</v>
      </c>
      <c r="Y46" s="1241"/>
      <c r="Z46" s="1241">
        <f>K46-R46</f>
        <v>0</v>
      </c>
      <c r="AA46" s="1241"/>
    </row>
    <row r="47" spans="1:27" s="1231" customFormat="1" ht="19.899999999999999" customHeight="1" x14ac:dyDescent="0.25">
      <c r="A47" s="1239"/>
      <c r="B47" s="1240" t="s">
        <v>2298</v>
      </c>
      <c r="C47" s="1243">
        <f t="shared" si="23"/>
        <v>0</v>
      </c>
      <c r="D47" s="1243"/>
      <c r="E47" s="1243"/>
      <c r="F47" s="1243"/>
      <c r="G47" s="1243"/>
      <c r="H47" s="1243">
        <f t="shared" si="24"/>
        <v>0</v>
      </c>
      <c r="I47" s="1243"/>
      <c r="J47" s="1243"/>
      <c r="K47" s="1243">
        <f>SUM(L47:M47)</f>
        <v>0</v>
      </c>
      <c r="L47" s="1241">
        <f t="shared" si="6"/>
        <v>0</v>
      </c>
      <c r="M47" s="1241">
        <f>G47+J47</f>
        <v>0</v>
      </c>
      <c r="N47" s="1244">
        <f>SUM(O47:R47)</f>
        <v>0</v>
      </c>
      <c r="O47" s="1243"/>
      <c r="P47" s="1243"/>
      <c r="Q47" s="1243"/>
      <c r="R47" s="1243"/>
      <c r="S47" s="1244">
        <f t="shared" si="25"/>
        <v>0</v>
      </c>
      <c r="T47" s="1243"/>
      <c r="U47" s="1243"/>
      <c r="V47" s="1244">
        <f t="shared" si="26"/>
        <v>0</v>
      </c>
      <c r="W47" s="1241">
        <f t="shared" si="10"/>
        <v>0</v>
      </c>
      <c r="X47" s="1241">
        <f t="shared" si="11"/>
        <v>0</v>
      </c>
      <c r="Y47" s="1243"/>
      <c r="Z47" s="1243"/>
      <c r="AA47" s="1243"/>
    </row>
    <row r="48" spans="1:27" s="1231" customFormat="1" ht="19.899999999999999" customHeight="1" x14ac:dyDescent="0.25">
      <c r="A48" s="1239"/>
      <c r="B48" s="1240" t="s">
        <v>1719</v>
      </c>
      <c r="C48" s="1243">
        <f t="shared" si="23"/>
        <v>0</v>
      </c>
      <c r="D48" s="1243"/>
      <c r="E48" s="1243"/>
      <c r="F48" s="1243"/>
      <c r="G48" s="1243"/>
      <c r="H48" s="1243">
        <f t="shared" si="24"/>
        <v>0</v>
      </c>
      <c r="I48" s="1243"/>
      <c r="J48" s="1243"/>
      <c r="K48" s="1243">
        <f>SUM(L48:M48)</f>
        <v>0</v>
      </c>
      <c r="L48" s="1241">
        <f t="shared" si="6"/>
        <v>0</v>
      </c>
      <c r="M48" s="1241">
        <f>G48+J48</f>
        <v>0</v>
      </c>
      <c r="N48" s="1244">
        <f>SUM(O48:R48)</f>
        <v>0</v>
      </c>
      <c r="O48" s="1243"/>
      <c r="P48" s="1243"/>
      <c r="Q48" s="1243"/>
      <c r="R48" s="1243"/>
      <c r="S48" s="1244">
        <f t="shared" si="25"/>
        <v>0</v>
      </c>
      <c r="T48" s="1243"/>
      <c r="U48" s="1243"/>
      <c r="V48" s="1244">
        <f t="shared" si="26"/>
        <v>0</v>
      </c>
      <c r="W48" s="1241">
        <f t="shared" si="10"/>
        <v>0</v>
      </c>
      <c r="X48" s="1241">
        <f t="shared" si="11"/>
        <v>0</v>
      </c>
      <c r="Y48" s="1243"/>
      <c r="Z48" s="1243"/>
      <c r="AA48" s="1243"/>
    </row>
    <row r="49" spans="1:27" s="1231" customFormat="1" ht="18" x14ac:dyDescent="0.25">
      <c r="A49" s="1239">
        <v>10</v>
      </c>
      <c r="B49" s="1247" t="s">
        <v>2305</v>
      </c>
      <c r="C49" s="1243">
        <f>SUM(C50:C52)</f>
        <v>10.749537999999999</v>
      </c>
      <c r="D49" s="1243">
        <f t="shared" ref="D49:AA49" si="29">SUM(D50:D52)</f>
        <v>0</v>
      </c>
      <c r="E49" s="1243">
        <f t="shared" si="29"/>
        <v>0</v>
      </c>
      <c r="F49" s="1243">
        <f t="shared" si="29"/>
        <v>10.749537999999999</v>
      </c>
      <c r="G49" s="1243">
        <f t="shared" si="29"/>
        <v>0</v>
      </c>
      <c r="H49" s="1243">
        <f t="shared" si="29"/>
        <v>0</v>
      </c>
      <c r="I49" s="1243">
        <f t="shared" si="29"/>
        <v>0</v>
      </c>
      <c r="J49" s="1243">
        <f t="shared" si="29"/>
        <v>0</v>
      </c>
      <c r="K49" s="1243">
        <f t="shared" si="29"/>
        <v>0</v>
      </c>
      <c r="L49" s="1243">
        <f t="shared" si="29"/>
        <v>0</v>
      </c>
      <c r="M49" s="1243">
        <f t="shared" si="29"/>
        <v>0</v>
      </c>
      <c r="N49" s="1243">
        <f t="shared" si="29"/>
        <v>0</v>
      </c>
      <c r="O49" s="1243">
        <f t="shared" si="29"/>
        <v>0</v>
      </c>
      <c r="P49" s="1243">
        <f t="shared" si="29"/>
        <v>0</v>
      </c>
      <c r="Q49" s="1243">
        <f t="shared" si="29"/>
        <v>0</v>
      </c>
      <c r="R49" s="1243">
        <f t="shared" si="29"/>
        <v>0</v>
      </c>
      <c r="S49" s="1243">
        <f t="shared" si="29"/>
        <v>10.749537999999999</v>
      </c>
      <c r="T49" s="1243">
        <f t="shared" si="29"/>
        <v>0</v>
      </c>
      <c r="U49" s="1243">
        <f t="shared" si="29"/>
        <v>10.749537999999999</v>
      </c>
      <c r="V49" s="1243">
        <f t="shared" si="29"/>
        <v>0</v>
      </c>
      <c r="W49" s="1243">
        <f t="shared" si="29"/>
        <v>0</v>
      </c>
      <c r="X49" s="1243">
        <f t="shared" si="29"/>
        <v>0</v>
      </c>
      <c r="Y49" s="1243">
        <f t="shared" si="29"/>
        <v>0</v>
      </c>
      <c r="Z49" s="1243">
        <f t="shared" si="29"/>
        <v>0</v>
      </c>
      <c r="AA49" s="1243">
        <f t="shared" si="29"/>
        <v>0</v>
      </c>
    </row>
    <row r="50" spans="1:27" s="1231" customFormat="1" ht="17.45" customHeight="1" x14ac:dyDescent="0.25">
      <c r="A50" s="1239"/>
      <c r="B50" s="1240" t="s">
        <v>341</v>
      </c>
      <c r="C50" s="1243">
        <f t="shared" si="23"/>
        <v>10.749537999999999</v>
      </c>
      <c r="D50" s="1243"/>
      <c r="E50" s="1243"/>
      <c r="F50" s="1243">
        <v>10.749537999999999</v>
      </c>
      <c r="G50" s="1243"/>
      <c r="H50" s="1243">
        <f t="shared" si="24"/>
        <v>0</v>
      </c>
      <c r="I50" s="1243"/>
      <c r="J50" s="1243"/>
      <c r="K50" s="1243">
        <f>SUM(L50:M50)</f>
        <v>0</v>
      </c>
      <c r="L50" s="1241">
        <f t="shared" si="6"/>
        <v>0</v>
      </c>
      <c r="M50" s="1241">
        <f>G50+J50</f>
        <v>0</v>
      </c>
      <c r="N50" s="1244">
        <f>SUM(O50:R50)</f>
        <v>0</v>
      </c>
      <c r="O50" s="1243"/>
      <c r="P50" s="1243"/>
      <c r="Q50" s="1243"/>
      <c r="R50" s="1243"/>
      <c r="S50" s="1244">
        <f t="shared" si="25"/>
        <v>10.749537999999999</v>
      </c>
      <c r="T50" s="1243"/>
      <c r="U50" s="1243">
        <f>F50</f>
        <v>10.749537999999999</v>
      </c>
      <c r="V50" s="1244">
        <f t="shared" si="26"/>
        <v>0</v>
      </c>
      <c r="W50" s="1241">
        <f t="shared" si="10"/>
        <v>0</v>
      </c>
      <c r="X50" s="1241">
        <f t="shared" si="11"/>
        <v>0</v>
      </c>
      <c r="Y50" s="1243"/>
      <c r="Z50" s="1243">
        <f>K50-N50</f>
        <v>0</v>
      </c>
      <c r="AA50" s="1243"/>
    </row>
    <row r="51" spans="1:27" s="1231" customFormat="1" ht="17.45" customHeight="1" x14ac:dyDescent="0.25">
      <c r="A51" s="1239"/>
      <c r="B51" s="1240" t="s">
        <v>2298</v>
      </c>
      <c r="C51" s="1243">
        <f t="shared" si="23"/>
        <v>0</v>
      </c>
      <c r="D51" s="1243"/>
      <c r="E51" s="1243"/>
      <c r="F51" s="1243"/>
      <c r="G51" s="1243"/>
      <c r="H51" s="1243">
        <f t="shared" si="24"/>
        <v>0</v>
      </c>
      <c r="I51" s="1243"/>
      <c r="J51" s="1243"/>
      <c r="K51" s="1243">
        <f>SUM(L51:M51)</f>
        <v>0</v>
      </c>
      <c r="L51" s="1241">
        <f t="shared" si="6"/>
        <v>0</v>
      </c>
      <c r="M51" s="1241">
        <f>G51+J51</f>
        <v>0</v>
      </c>
      <c r="N51" s="1244">
        <f>SUM(O51:R51)</f>
        <v>0</v>
      </c>
      <c r="O51" s="1243"/>
      <c r="P51" s="1243"/>
      <c r="Q51" s="1243"/>
      <c r="R51" s="1243"/>
      <c r="S51" s="1244">
        <f t="shared" si="25"/>
        <v>0</v>
      </c>
      <c r="T51" s="1243"/>
      <c r="U51" s="1243"/>
      <c r="V51" s="1244">
        <f t="shared" si="26"/>
        <v>0</v>
      </c>
      <c r="W51" s="1241">
        <f t="shared" si="10"/>
        <v>0</v>
      </c>
      <c r="X51" s="1241">
        <f t="shared" si="11"/>
        <v>0</v>
      </c>
      <c r="Y51" s="1243"/>
      <c r="Z51" s="1243"/>
      <c r="AA51" s="1243"/>
    </row>
    <row r="52" spans="1:27" s="1231" customFormat="1" ht="17.45" customHeight="1" x14ac:dyDescent="0.25">
      <c r="A52" s="1239"/>
      <c r="B52" s="1240" t="s">
        <v>1719</v>
      </c>
      <c r="C52" s="1243">
        <f t="shared" si="23"/>
        <v>0</v>
      </c>
      <c r="D52" s="1243"/>
      <c r="E52" s="1243"/>
      <c r="F52" s="1243"/>
      <c r="G52" s="1243"/>
      <c r="H52" s="1243">
        <f t="shared" si="24"/>
        <v>0</v>
      </c>
      <c r="I52" s="1243"/>
      <c r="J52" s="1243"/>
      <c r="K52" s="1243">
        <f>SUM(L52:M52)</f>
        <v>0</v>
      </c>
      <c r="L52" s="1241">
        <f t="shared" si="6"/>
        <v>0</v>
      </c>
      <c r="M52" s="1241">
        <f>G52+J52</f>
        <v>0</v>
      </c>
      <c r="N52" s="1244">
        <f>SUM(O52:R52)</f>
        <v>0</v>
      </c>
      <c r="O52" s="1243"/>
      <c r="P52" s="1243"/>
      <c r="Q52" s="1243"/>
      <c r="R52" s="1243"/>
      <c r="S52" s="1244">
        <f t="shared" si="25"/>
        <v>0</v>
      </c>
      <c r="T52" s="1243"/>
      <c r="U52" s="1243"/>
      <c r="V52" s="1244">
        <f t="shared" si="26"/>
        <v>0</v>
      </c>
      <c r="W52" s="1241">
        <f t="shared" si="10"/>
        <v>0</v>
      </c>
      <c r="X52" s="1241">
        <f t="shared" si="11"/>
        <v>0</v>
      </c>
      <c r="Y52" s="1243"/>
      <c r="Z52" s="1243"/>
      <c r="AA52" s="1243"/>
    </row>
    <row r="53" spans="1:27" s="1231" customFormat="1" ht="17.45" customHeight="1" x14ac:dyDescent="0.25">
      <c r="A53" s="1239"/>
      <c r="B53" s="1247" t="s">
        <v>2306</v>
      </c>
      <c r="C53" s="1243">
        <f>SUM(C54:C56)</f>
        <v>0</v>
      </c>
      <c r="D53" s="1243">
        <f t="shared" ref="D53:AA53" si="30">SUM(D54:D56)</f>
        <v>0</v>
      </c>
      <c r="E53" s="1243">
        <f t="shared" si="30"/>
        <v>0</v>
      </c>
      <c r="F53" s="1243">
        <f t="shared" si="30"/>
        <v>0</v>
      </c>
      <c r="G53" s="1243">
        <f t="shared" si="30"/>
        <v>0</v>
      </c>
      <c r="H53" s="1243">
        <f t="shared" si="30"/>
        <v>0</v>
      </c>
      <c r="I53" s="1243">
        <f t="shared" si="30"/>
        <v>0</v>
      </c>
      <c r="J53" s="1243">
        <f t="shared" si="30"/>
        <v>0</v>
      </c>
      <c r="K53" s="1243">
        <f t="shared" si="30"/>
        <v>0</v>
      </c>
      <c r="L53" s="1243">
        <f t="shared" si="30"/>
        <v>0</v>
      </c>
      <c r="M53" s="1243">
        <f t="shared" si="30"/>
        <v>0</v>
      </c>
      <c r="N53" s="1243">
        <f t="shared" si="30"/>
        <v>0</v>
      </c>
      <c r="O53" s="1243">
        <f t="shared" si="30"/>
        <v>0</v>
      </c>
      <c r="P53" s="1243">
        <f t="shared" si="30"/>
        <v>0</v>
      </c>
      <c r="Q53" s="1243">
        <f t="shared" si="30"/>
        <v>0</v>
      </c>
      <c r="R53" s="1243">
        <f t="shared" si="30"/>
        <v>0</v>
      </c>
      <c r="S53" s="1243">
        <f t="shared" si="30"/>
        <v>0</v>
      </c>
      <c r="T53" s="1243">
        <f t="shared" si="30"/>
        <v>0</v>
      </c>
      <c r="U53" s="1243">
        <f t="shared" si="30"/>
        <v>0</v>
      </c>
      <c r="V53" s="1243">
        <f t="shared" si="30"/>
        <v>0</v>
      </c>
      <c r="W53" s="1243">
        <f t="shared" si="30"/>
        <v>0</v>
      </c>
      <c r="X53" s="1243">
        <f t="shared" si="30"/>
        <v>0</v>
      </c>
      <c r="Y53" s="1243">
        <f t="shared" si="30"/>
        <v>0</v>
      </c>
      <c r="Z53" s="1243">
        <f t="shared" si="30"/>
        <v>0</v>
      </c>
      <c r="AA53" s="1243">
        <f t="shared" si="30"/>
        <v>0</v>
      </c>
    </row>
    <row r="54" spans="1:27" s="1242" customFormat="1" ht="17.45" customHeight="1" x14ac:dyDescent="0.25">
      <c r="A54" s="1239"/>
      <c r="B54" s="1240" t="s">
        <v>341</v>
      </c>
      <c r="C54" s="1241">
        <f t="shared" si="23"/>
        <v>0</v>
      </c>
      <c r="D54" s="1241"/>
      <c r="E54" s="1241"/>
      <c r="F54" s="1241"/>
      <c r="G54" s="1241"/>
      <c r="H54" s="1241">
        <f t="shared" si="24"/>
        <v>0</v>
      </c>
      <c r="I54" s="1241"/>
      <c r="J54" s="1241"/>
      <c r="K54" s="1241">
        <f t="shared" ref="K54:K64" si="31">SUM(L54:M54)</f>
        <v>0</v>
      </c>
      <c r="L54" s="1241">
        <f t="shared" si="6"/>
        <v>0</v>
      </c>
      <c r="M54" s="1241">
        <f>G54+J54</f>
        <v>0</v>
      </c>
      <c r="N54" s="1244">
        <f>SUM(O54:R54)</f>
        <v>0</v>
      </c>
      <c r="O54" s="1241"/>
      <c r="P54" s="1241"/>
      <c r="Q54" s="1241"/>
      <c r="R54" s="1241"/>
      <c r="S54" s="1244">
        <f t="shared" ref="S54:S65" si="32">T54+U54</f>
        <v>0</v>
      </c>
      <c r="T54" s="1241"/>
      <c r="U54" s="1241"/>
      <c r="V54" s="1244">
        <f t="shared" ref="V54:V65" si="33">W54+X54+Y54+Z54+AA54</f>
        <v>0</v>
      </c>
      <c r="W54" s="1241">
        <f t="shared" si="10"/>
        <v>0</v>
      </c>
      <c r="X54" s="1241">
        <f t="shared" si="11"/>
        <v>0</v>
      </c>
      <c r="Y54" s="1241"/>
      <c r="Z54" s="1241">
        <f>K54-N54</f>
        <v>0</v>
      </c>
      <c r="AA54" s="1241"/>
    </row>
    <row r="55" spans="1:27" s="1242" customFormat="1" ht="17.45" customHeight="1" x14ac:dyDescent="0.25">
      <c r="A55" s="1239"/>
      <c r="B55" s="1240" t="s">
        <v>2298</v>
      </c>
      <c r="C55" s="1241">
        <f t="shared" si="23"/>
        <v>0</v>
      </c>
      <c r="D55" s="1241"/>
      <c r="E55" s="1241"/>
      <c r="F55" s="1241"/>
      <c r="G55" s="1241"/>
      <c r="H55" s="1241">
        <f t="shared" si="24"/>
        <v>0</v>
      </c>
      <c r="I55" s="1241"/>
      <c r="J55" s="1241"/>
      <c r="K55" s="1241">
        <f t="shared" si="31"/>
        <v>0</v>
      </c>
      <c r="L55" s="1241">
        <f t="shared" si="6"/>
        <v>0</v>
      </c>
      <c r="M55" s="1241">
        <f>G55+J55</f>
        <v>0</v>
      </c>
      <c r="N55" s="1244">
        <f>SUM(O55:R55)</f>
        <v>0</v>
      </c>
      <c r="O55" s="1241"/>
      <c r="P55" s="1241"/>
      <c r="Q55" s="1241"/>
      <c r="R55" s="1241"/>
      <c r="S55" s="1244">
        <f t="shared" si="32"/>
        <v>0</v>
      </c>
      <c r="T55" s="1241"/>
      <c r="U55" s="1241"/>
      <c r="V55" s="1244">
        <f t="shared" si="33"/>
        <v>0</v>
      </c>
      <c r="W55" s="1241">
        <f t="shared" si="10"/>
        <v>0</v>
      </c>
      <c r="X55" s="1241">
        <f t="shared" si="11"/>
        <v>0</v>
      </c>
      <c r="Y55" s="1241"/>
      <c r="Z55" s="1241">
        <f>K55-N55</f>
        <v>0</v>
      </c>
      <c r="AA55" s="1241"/>
    </row>
    <row r="56" spans="1:27" s="1231" customFormat="1" ht="17.45" customHeight="1" x14ac:dyDescent="0.25">
      <c r="A56" s="1239"/>
      <c r="B56" s="1240" t="s">
        <v>1719</v>
      </c>
      <c r="C56" s="1243">
        <f t="shared" si="23"/>
        <v>0</v>
      </c>
      <c r="D56" s="1243"/>
      <c r="E56" s="1243"/>
      <c r="F56" s="1243"/>
      <c r="G56" s="1243"/>
      <c r="H56" s="1243">
        <f t="shared" si="24"/>
        <v>0</v>
      </c>
      <c r="I56" s="1243"/>
      <c r="J56" s="1243"/>
      <c r="K56" s="1243">
        <f t="shared" si="31"/>
        <v>0</v>
      </c>
      <c r="L56" s="1241">
        <f t="shared" si="6"/>
        <v>0</v>
      </c>
      <c r="M56" s="1241">
        <f>G56+J56</f>
        <v>0</v>
      </c>
      <c r="N56" s="1244"/>
      <c r="O56" s="1243"/>
      <c r="P56" s="1243"/>
      <c r="Q56" s="1243"/>
      <c r="R56" s="1243"/>
      <c r="S56" s="1244">
        <f t="shared" si="32"/>
        <v>0</v>
      </c>
      <c r="T56" s="1243"/>
      <c r="U56" s="1243"/>
      <c r="V56" s="1244">
        <f t="shared" si="33"/>
        <v>0</v>
      </c>
      <c r="W56" s="1241">
        <f t="shared" si="10"/>
        <v>0</v>
      </c>
      <c r="X56" s="1241">
        <f t="shared" si="11"/>
        <v>0</v>
      </c>
      <c r="Y56" s="1243"/>
      <c r="Z56" s="1243"/>
      <c r="AA56" s="1243"/>
    </row>
    <row r="57" spans="1:27" s="1231" customFormat="1" ht="36.6" customHeight="1" x14ac:dyDescent="0.25">
      <c r="A57" s="1239"/>
      <c r="B57" s="1247" t="s">
        <v>2307</v>
      </c>
      <c r="C57" s="1243">
        <f>SUM(C58:C60)</f>
        <v>0</v>
      </c>
      <c r="D57" s="1243">
        <f t="shared" ref="D57:AA57" si="34">SUM(D58:D60)</f>
        <v>0</v>
      </c>
      <c r="E57" s="1243">
        <f t="shared" si="34"/>
        <v>0</v>
      </c>
      <c r="F57" s="1243">
        <f t="shared" si="34"/>
        <v>0</v>
      </c>
      <c r="G57" s="1243">
        <f t="shared" si="34"/>
        <v>0</v>
      </c>
      <c r="H57" s="1243">
        <f t="shared" si="34"/>
        <v>0</v>
      </c>
      <c r="I57" s="1243">
        <f t="shared" si="34"/>
        <v>0</v>
      </c>
      <c r="J57" s="1243">
        <f t="shared" si="34"/>
        <v>0</v>
      </c>
      <c r="K57" s="1243">
        <f t="shared" si="34"/>
        <v>0</v>
      </c>
      <c r="L57" s="1243">
        <f t="shared" si="34"/>
        <v>0</v>
      </c>
      <c r="M57" s="1243">
        <f t="shared" si="34"/>
        <v>0</v>
      </c>
      <c r="N57" s="1243">
        <f t="shared" si="34"/>
        <v>0</v>
      </c>
      <c r="O57" s="1243">
        <f t="shared" si="34"/>
        <v>0</v>
      </c>
      <c r="P57" s="1243">
        <f t="shared" si="34"/>
        <v>0</v>
      </c>
      <c r="Q57" s="1243">
        <f t="shared" si="34"/>
        <v>0</v>
      </c>
      <c r="R57" s="1243">
        <f t="shared" si="34"/>
        <v>0</v>
      </c>
      <c r="S57" s="1243">
        <f t="shared" si="34"/>
        <v>0</v>
      </c>
      <c r="T57" s="1243">
        <f t="shared" si="34"/>
        <v>0</v>
      </c>
      <c r="U57" s="1243">
        <f t="shared" si="34"/>
        <v>0</v>
      </c>
      <c r="V57" s="1243">
        <f t="shared" si="34"/>
        <v>0</v>
      </c>
      <c r="W57" s="1243">
        <f t="shared" si="34"/>
        <v>0</v>
      </c>
      <c r="X57" s="1243">
        <f t="shared" si="34"/>
        <v>0</v>
      </c>
      <c r="Y57" s="1243">
        <f t="shared" si="34"/>
        <v>0</v>
      </c>
      <c r="Z57" s="1243">
        <f t="shared" si="34"/>
        <v>0</v>
      </c>
      <c r="AA57" s="1243">
        <f t="shared" si="34"/>
        <v>0</v>
      </c>
    </row>
    <row r="58" spans="1:27" s="1249" customFormat="1" ht="20.45" customHeight="1" x14ac:dyDescent="0.25">
      <c r="A58" s="1248"/>
      <c r="B58" s="1250" t="s">
        <v>341</v>
      </c>
      <c r="C58" s="1244">
        <f t="shared" si="23"/>
        <v>0</v>
      </c>
      <c r="D58" s="1244"/>
      <c r="E58" s="1244"/>
      <c r="F58" s="1244"/>
      <c r="G58" s="1244"/>
      <c r="H58" s="1244">
        <f t="shared" si="24"/>
        <v>0</v>
      </c>
      <c r="I58" s="1244"/>
      <c r="J58" s="1244"/>
      <c r="K58" s="1244">
        <f t="shared" si="31"/>
        <v>0</v>
      </c>
      <c r="L58" s="1241">
        <f t="shared" si="6"/>
        <v>0</v>
      </c>
      <c r="M58" s="1241">
        <f t="shared" ref="M58:M65" si="35">G58+J58</f>
        <v>0</v>
      </c>
      <c r="N58" s="1244"/>
      <c r="O58" s="1244"/>
      <c r="P58" s="1244"/>
      <c r="Q58" s="1244"/>
      <c r="R58" s="1244"/>
      <c r="S58" s="1244">
        <f t="shared" si="32"/>
        <v>0</v>
      </c>
      <c r="T58" s="1244"/>
      <c r="U58" s="1244"/>
      <c r="V58" s="1244">
        <f t="shared" si="33"/>
        <v>0</v>
      </c>
      <c r="W58" s="1241">
        <f t="shared" si="10"/>
        <v>0</v>
      </c>
      <c r="X58" s="1241">
        <f t="shared" si="11"/>
        <v>0</v>
      </c>
      <c r="Y58" s="1244"/>
      <c r="Z58" s="1244">
        <f>K58-R58</f>
        <v>0</v>
      </c>
      <c r="AA58" s="1244"/>
    </row>
    <row r="59" spans="1:27" s="1231" customFormat="1" ht="20.45" customHeight="1" x14ac:dyDescent="0.25">
      <c r="A59" s="1239"/>
      <c r="B59" s="1240" t="s">
        <v>2298</v>
      </c>
      <c r="C59" s="1243">
        <f t="shared" si="23"/>
        <v>0</v>
      </c>
      <c r="D59" s="1243"/>
      <c r="E59" s="1243"/>
      <c r="F59" s="1243"/>
      <c r="G59" s="1243"/>
      <c r="H59" s="1243">
        <f t="shared" si="24"/>
        <v>0</v>
      </c>
      <c r="I59" s="1243"/>
      <c r="J59" s="1243"/>
      <c r="K59" s="1243">
        <f t="shared" si="31"/>
        <v>0</v>
      </c>
      <c r="L59" s="1241">
        <f t="shared" si="6"/>
        <v>0</v>
      </c>
      <c r="M59" s="1241">
        <f t="shared" si="35"/>
        <v>0</v>
      </c>
      <c r="N59" s="1244"/>
      <c r="O59" s="1243"/>
      <c r="P59" s="1243"/>
      <c r="Q59" s="1243"/>
      <c r="R59" s="1243"/>
      <c r="S59" s="1244">
        <f t="shared" si="32"/>
        <v>0</v>
      </c>
      <c r="T59" s="1243"/>
      <c r="U59" s="1243"/>
      <c r="V59" s="1244">
        <f t="shared" si="33"/>
        <v>0</v>
      </c>
      <c r="W59" s="1243"/>
      <c r="X59" s="1241">
        <f t="shared" si="11"/>
        <v>0</v>
      </c>
      <c r="Y59" s="1243"/>
      <c r="Z59" s="1243"/>
      <c r="AA59" s="1243"/>
    </row>
    <row r="60" spans="1:27" s="1231" customFormat="1" ht="20.45" customHeight="1" x14ac:dyDescent="0.25">
      <c r="A60" s="1239"/>
      <c r="B60" s="1240" t="s">
        <v>1719</v>
      </c>
      <c r="C60" s="1243">
        <f t="shared" si="23"/>
        <v>0</v>
      </c>
      <c r="D60" s="1243"/>
      <c r="E60" s="1243"/>
      <c r="F60" s="1243"/>
      <c r="G60" s="1243"/>
      <c r="H60" s="1243">
        <f t="shared" si="24"/>
        <v>0</v>
      </c>
      <c r="I60" s="1243"/>
      <c r="J60" s="1243"/>
      <c r="K60" s="1243">
        <f t="shared" si="31"/>
        <v>0</v>
      </c>
      <c r="L60" s="1243">
        <f t="shared" ref="L60:L65" si="36">E60+I60</f>
        <v>0</v>
      </c>
      <c r="M60" s="1243">
        <f t="shared" si="35"/>
        <v>0</v>
      </c>
      <c r="N60" s="1244"/>
      <c r="O60" s="1243"/>
      <c r="P60" s="1243"/>
      <c r="Q60" s="1243"/>
      <c r="R60" s="1243"/>
      <c r="S60" s="1244">
        <f t="shared" si="32"/>
        <v>0</v>
      </c>
      <c r="T60" s="1243"/>
      <c r="U60" s="1243"/>
      <c r="V60" s="1244">
        <f t="shared" si="33"/>
        <v>0</v>
      </c>
      <c r="W60" s="1243"/>
      <c r="X60" s="1243"/>
      <c r="Y60" s="1243"/>
      <c r="Z60" s="1243"/>
      <c r="AA60" s="1243"/>
    </row>
    <row r="61" spans="1:27" s="1231" customFormat="1" ht="9" x14ac:dyDescent="0.25">
      <c r="A61" s="1239"/>
      <c r="B61" s="1240"/>
      <c r="C61" s="1243">
        <f t="shared" si="23"/>
        <v>0</v>
      </c>
      <c r="D61" s="1243"/>
      <c r="E61" s="1243"/>
      <c r="F61" s="1243"/>
      <c r="G61" s="1243"/>
      <c r="H61" s="1243">
        <f t="shared" si="24"/>
        <v>0</v>
      </c>
      <c r="I61" s="1243"/>
      <c r="J61" s="1243"/>
      <c r="K61" s="1243">
        <f t="shared" si="31"/>
        <v>0</v>
      </c>
      <c r="L61" s="1243">
        <f t="shared" si="36"/>
        <v>0</v>
      </c>
      <c r="M61" s="1243">
        <f t="shared" si="35"/>
        <v>0</v>
      </c>
      <c r="N61" s="1244"/>
      <c r="O61" s="1243"/>
      <c r="P61" s="1243"/>
      <c r="Q61" s="1243"/>
      <c r="R61" s="1243"/>
      <c r="S61" s="1244">
        <f t="shared" si="32"/>
        <v>0</v>
      </c>
      <c r="T61" s="1243"/>
      <c r="U61" s="1243"/>
      <c r="V61" s="1244">
        <f t="shared" si="33"/>
        <v>0</v>
      </c>
      <c r="W61" s="1243"/>
      <c r="X61" s="1243"/>
      <c r="Y61" s="1243"/>
      <c r="Z61" s="1243"/>
      <c r="AA61" s="1243"/>
    </row>
    <row r="62" spans="1:27" s="1231" customFormat="1" ht="9" x14ac:dyDescent="0.25">
      <c r="A62" s="1239"/>
      <c r="B62" s="1240"/>
      <c r="C62" s="1243">
        <f t="shared" si="23"/>
        <v>0</v>
      </c>
      <c r="D62" s="1243"/>
      <c r="E62" s="1243"/>
      <c r="F62" s="1243"/>
      <c r="G62" s="1243"/>
      <c r="H62" s="1243">
        <f t="shared" si="24"/>
        <v>0</v>
      </c>
      <c r="I62" s="1243"/>
      <c r="J62" s="1243"/>
      <c r="K62" s="1243">
        <f t="shared" si="31"/>
        <v>0</v>
      </c>
      <c r="L62" s="1243">
        <f t="shared" si="36"/>
        <v>0</v>
      </c>
      <c r="M62" s="1243">
        <f t="shared" si="35"/>
        <v>0</v>
      </c>
      <c r="N62" s="1244"/>
      <c r="O62" s="1243"/>
      <c r="P62" s="1243"/>
      <c r="Q62" s="1243"/>
      <c r="R62" s="1243"/>
      <c r="S62" s="1244">
        <f t="shared" si="32"/>
        <v>0</v>
      </c>
      <c r="T62" s="1243"/>
      <c r="U62" s="1243"/>
      <c r="V62" s="1244">
        <f t="shared" si="33"/>
        <v>0</v>
      </c>
      <c r="W62" s="1243"/>
      <c r="X62" s="1243"/>
      <c r="Y62" s="1243"/>
      <c r="Z62" s="1243"/>
      <c r="AA62" s="1243"/>
    </row>
    <row r="63" spans="1:27" s="1231" customFormat="1" ht="9" x14ac:dyDescent="0.25">
      <c r="A63" s="1239"/>
      <c r="B63" s="1240"/>
      <c r="C63" s="1243">
        <f t="shared" si="23"/>
        <v>0</v>
      </c>
      <c r="D63" s="1243"/>
      <c r="E63" s="1243"/>
      <c r="F63" s="1243"/>
      <c r="G63" s="1243"/>
      <c r="H63" s="1243">
        <f t="shared" si="24"/>
        <v>0</v>
      </c>
      <c r="I63" s="1243"/>
      <c r="J63" s="1243"/>
      <c r="K63" s="1243">
        <f t="shared" si="31"/>
        <v>0</v>
      </c>
      <c r="L63" s="1243">
        <f t="shared" si="36"/>
        <v>0</v>
      </c>
      <c r="M63" s="1243">
        <f t="shared" si="35"/>
        <v>0</v>
      </c>
      <c r="N63" s="1244"/>
      <c r="O63" s="1243"/>
      <c r="P63" s="1243"/>
      <c r="Q63" s="1243"/>
      <c r="R63" s="1243"/>
      <c r="S63" s="1244">
        <f t="shared" si="32"/>
        <v>0</v>
      </c>
      <c r="T63" s="1243"/>
      <c r="U63" s="1243"/>
      <c r="V63" s="1244">
        <f t="shared" si="33"/>
        <v>0</v>
      </c>
      <c r="W63" s="1243"/>
      <c r="X63" s="1243"/>
      <c r="Y63" s="1243"/>
      <c r="Z63" s="1243"/>
      <c r="AA63" s="1243"/>
    </row>
    <row r="64" spans="1:27" s="1231" customFormat="1" ht="9" x14ac:dyDescent="0.25">
      <c r="A64" s="1239"/>
      <c r="B64" s="1240"/>
      <c r="C64" s="1243">
        <f t="shared" si="23"/>
        <v>0</v>
      </c>
      <c r="D64" s="1243"/>
      <c r="E64" s="1243"/>
      <c r="F64" s="1243"/>
      <c r="G64" s="1243"/>
      <c r="H64" s="1243">
        <f t="shared" si="24"/>
        <v>0</v>
      </c>
      <c r="I64" s="1243"/>
      <c r="J64" s="1243"/>
      <c r="K64" s="1243">
        <f t="shared" si="31"/>
        <v>0</v>
      </c>
      <c r="L64" s="1243">
        <f t="shared" si="36"/>
        <v>0</v>
      </c>
      <c r="M64" s="1243">
        <f t="shared" si="35"/>
        <v>0</v>
      </c>
      <c r="N64" s="1244"/>
      <c r="O64" s="1243"/>
      <c r="P64" s="1243"/>
      <c r="Q64" s="1243"/>
      <c r="R64" s="1243"/>
      <c r="S64" s="1244">
        <f t="shared" si="32"/>
        <v>0</v>
      </c>
      <c r="T64" s="1243"/>
      <c r="U64" s="1243"/>
      <c r="V64" s="1244">
        <f t="shared" si="33"/>
        <v>0</v>
      </c>
      <c r="W64" s="1243"/>
      <c r="X64" s="1243"/>
      <c r="Y64" s="1243"/>
      <c r="Z64" s="1243"/>
      <c r="AA64" s="1243"/>
    </row>
    <row r="65" spans="1:27" s="1231" customFormat="1" ht="9" x14ac:dyDescent="0.25">
      <c r="A65" s="1239"/>
      <c r="B65" s="1240"/>
      <c r="C65" s="1243">
        <f t="shared" si="23"/>
        <v>0</v>
      </c>
      <c r="D65" s="1243"/>
      <c r="E65" s="1243"/>
      <c r="F65" s="1243"/>
      <c r="G65" s="1243"/>
      <c r="H65" s="1243">
        <f t="shared" si="24"/>
        <v>0</v>
      </c>
      <c r="I65" s="1243"/>
      <c r="J65" s="1243"/>
      <c r="K65" s="1243">
        <f>SUM(L65:M65)</f>
        <v>0</v>
      </c>
      <c r="L65" s="1243">
        <f t="shared" si="36"/>
        <v>0</v>
      </c>
      <c r="M65" s="1243">
        <f t="shared" si="35"/>
        <v>0</v>
      </c>
      <c r="N65" s="1244">
        <f>SUM(O65:R65)</f>
        <v>0</v>
      </c>
      <c r="O65" s="1243"/>
      <c r="P65" s="1243"/>
      <c r="Q65" s="1243"/>
      <c r="R65" s="1243"/>
      <c r="S65" s="1244">
        <f t="shared" si="32"/>
        <v>0</v>
      </c>
      <c r="T65" s="1243"/>
      <c r="U65" s="1243"/>
      <c r="V65" s="1244">
        <f t="shared" si="33"/>
        <v>0</v>
      </c>
      <c r="W65" s="1243"/>
      <c r="X65" s="1243"/>
      <c r="Y65" s="1243"/>
      <c r="Z65" s="1243"/>
      <c r="AA65" s="1243"/>
    </row>
    <row r="66" spans="1:27" s="1249" customFormat="1" ht="9" x14ac:dyDescent="0.25">
      <c r="A66" s="1251" t="s">
        <v>890</v>
      </c>
      <c r="B66" s="1252" t="s">
        <v>890</v>
      </c>
      <c r="C66" s="1253"/>
      <c r="D66" s="1253"/>
      <c r="E66" s="1253"/>
      <c r="F66" s="1253"/>
      <c r="G66" s="1253"/>
      <c r="H66" s="1253"/>
      <c r="I66" s="1253"/>
      <c r="J66" s="1253"/>
      <c r="K66" s="1253"/>
      <c r="L66" s="1253"/>
      <c r="M66" s="1253"/>
      <c r="N66" s="1253">
        <f>SUM(N67:N70)</f>
        <v>0</v>
      </c>
      <c r="O66" s="1253"/>
      <c r="P66" s="1253"/>
      <c r="Q66" s="1253"/>
      <c r="R66" s="1253"/>
      <c r="S66" s="1253"/>
      <c r="T66" s="1253"/>
      <c r="U66" s="1253"/>
      <c r="V66" s="1253"/>
      <c r="W66" s="1253"/>
      <c r="X66" s="1253"/>
      <c r="Y66" s="1253"/>
      <c r="Z66" s="1253"/>
      <c r="AA66" s="1253"/>
    </row>
    <row r="67" spans="1:27" s="1249" customFormat="1" ht="9" x14ac:dyDescent="0.25">
      <c r="A67" s="4098" t="s">
        <v>2308</v>
      </c>
      <c r="B67" s="4098"/>
      <c r="C67" s="4098"/>
      <c r="D67" s="4098"/>
      <c r="E67" s="4098"/>
      <c r="F67" s="4098"/>
      <c r="G67" s="4098"/>
      <c r="H67" s="4098"/>
      <c r="I67" s="4098"/>
      <c r="J67" s="4098"/>
      <c r="K67" s="4098"/>
      <c r="L67" s="4098"/>
      <c r="M67" s="4098"/>
      <c r="N67" s="4098"/>
      <c r="O67" s="4098"/>
      <c r="P67" s="4098"/>
      <c r="Q67" s="4098"/>
      <c r="R67" s="4098"/>
      <c r="S67" s="4098"/>
      <c r="T67" s="4098"/>
      <c r="U67" s="4098"/>
      <c r="V67" s="4098"/>
      <c r="W67" s="4098"/>
      <c r="X67" s="4098"/>
      <c r="Y67" s="4098"/>
      <c r="Z67" s="4098"/>
      <c r="AA67" s="4098"/>
    </row>
    <row r="68" spans="1:27" s="1340" customFormat="1" x14ac:dyDescent="0.25">
      <c r="C68" s="1341"/>
      <c r="D68" s="1341"/>
      <c r="E68" s="1341">
        <f>D11+E11</f>
        <v>9349.3856639999995</v>
      </c>
      <c r="F68" s="1341"/>
      <c r="G68" s="1341"/>
      <c r="H68" s="1341"/>
      <c r="I68" s="1341"/>
      <c r="J68" s="1341"/>
      <c r="K68" s="1341"/>
      <c r="L68" s="1341"/>
      <c r="M68" s="1341"/>
      <c r="N68" s="1341"/>
      <c r="O68" s="1341"/>
      <c r="P68" s="1341"/>
      <c r="Q68" s="4099"/>
      <c r="R68" s="4099"/>
      <c r="S68" s="4099"/>
      <c r="T68" s="4099"/>
      <c r="U68" s="4099"/>
      <c r="V68" s="4099"/>
      <c r="W68" s="4099"/>
      <c r="X68" s="4099"/>
      <c r="Y68" s="4099"/>
      <c r="Z68" s="4099"/>
      <c r="AA68" s="4099"/>
    </row>
    <row r="69" spans="1:27" s="1340" customFormat="1" ht="15" x14ac:dyDescent="0.25">
      <c r="C69" s="1341"/>
      <c r="D69" s="1341"/>
      <c r="E69" s="1341"/>
      <c r="F69" s="1341"/>
      <c r="G69" s="1341"/>
      <c r="H69" s="1341"/>
      <c r="I69" s="1341"/>
      <c r="J69" s="1341"/>
      <c r="K69" s="1341"/>
      <c r="L69" s="1341"/>
      <c r="M69" s="1341"/>
      <c r="N69" s="1341"/>
      <c r="O69" s="1341"/>
      <c r="P69" s="1341"/>
      <c r="Q69" s="1341"/>
      <c r="R69" s="4068" t="s">
        <v>2480</v>
      </c>
      <c r="S69" s="4068"/>
      <c r="T69" s="4068"/>
      <c r="U69" s="4068"/>
      <c r="V69" s="4068"/>
      <c r="W69" s="1341"/>
      <c r="X69" s="1341"/>
      <c r="Y69" s="1341"/>
      <c r="Z69" s="1341"/>
      <c r="AA69" s="1341"/>
    </row>
    <row r="70" spans="1:27" s="1340" customFormat="1" ht="15.75" x14ac:dyDescent="0.25">
      <c r="C70" s="1341"/>
      <c r="D70" s="1341"/>
      <c r="E70" s="1341"/>
      <c r="F70" s="1341"/>
      <c r="G70" s="1341"/>
      <c r="H70" s="1341"/>
      <c r="I70" s="1341"/>
      <c r="J70" s="1341"/>
      <c r="K70" s="1341"/>
      <c r="L70" s="1341"/>
      <c r="M70" s="1341"/>
      <c r="N70" s="1341"/>
      <c r="O70" s="1341"/>
      <c r="P70" s="1341"/>
      <c r="Q70" s="1341"/>
      <c r="R70" s="4069" t="s">
        <v>1442</v>
      </c>
      <c r="S70" s="4069"/>
      <c r="T70" s="4069"/>
      <c r="U70" s="4069"/>
      <c r="V70" s="4069"/>
      <c r="W70" s="1341"/>
      <c r="X70" s="1341"/>
      <c r="Y70" s="1341"/>
      <c r="Z70" s="1341"/>
      <c r="AA70" s="1341"/>
    </row>
    <row r="71" spans="1:27" s="1340" customFormat="1" ht="15.75" x14ac:dyDescent="0.25">
      <c r="C71" s="1341"/>
      <c r="D71" s="1341"/>
      <c r="E71" s="1341"/>
      <c r="F71" s="1341"/>
      <c r="G71" s="1341"/>
      <c r="H71" s="1341"/>
      <c r="I71" s="1341"/>
      <c r="J71" s="1341"/>
      <c r="K71" s="1341"/>
      <c r="L71" s="1341"/>
      <c r="M71" s="1341"/>
      <c r="N71" s="1341"/>
      <c r="O71" s="1341"/>
      <c r="P71" s="1341"/>
      <c r="Q71" s="1341"/>
      <c r="R71" s="4069" t="s">
        <v>807</v>
      </c>
      <c r="S71" s="4069"/>
      <c r="T71" s="4069"/>
      <c r="U71" s="4069"/>
      <c r="V71" s="4069"/>
      <c r="W71" s="1341"/>
      <c r="X71" s="1341"/>
      <c r="Y71" s="1341"/>
      <c r="Z71" s="1341"/>
      <c r="AA71" s="1341"/>
    </row>
    <row r="72" spans="1:27" s="1340" customFormat="1" ht="15.75" x14ac:dyDescent="0.25">
      <c r="C72" s="1341"/>
      <c r="D72" s="1341"/>
      <c r="E72" s="1341"/>
      <c r="F72" s="1341"/>
      <c r="G72" s="1341"/>
      <c r="H72" s="1341"/>
      <c r="I72" s="1341"/>
      <c r="J72" s="1341">
        <f>E11+D11</f>
        <v>9349.3856639999995</v>
      </c>
      <c r="K72" s="1341"/>
      <c r="L72" s="1341"/>
      <c r="M72" s="1341"/>
      <c r="N72" s="1341"/>
      <c r="O72" s="1341"/>
      <c r="P72" s="1341"/>
      <c r="Q72" s="1341"/>
      <c r="R72" s="1335"/>
      <c r="S72" s="1336"/>
      <c r="T72" s="1337"/>
      <c r="U72" s="1341"/>
      <c r="V72" s="1341"/>
      <c r="W72" s="1341"/>
      <c r="X72" s="1341"/>
      <c r="Y72" s="1341"/>
      <c r="Z72" s="1341"/>
      <c r="AA72" s="1341"/>
    </row>
    <row r="73" spans="1:27" s="1340" customFormat="1" ht="15.75" x14ac:dyDescent="0.25">
      <c r="C73" s="1341"/>
      <c r="D73" s="1341"/>
      <c r="E73" s="1341"/>
      <c r="F73" s="1341"/>
      <c r="G73" s="1341"/>
      <c r="H73" s="1341"/>
      <c r="I73" s="1341"/>
      <c r="J73" s="1341"/>
      <c r="K73" s="1341"/>
      <c r="L73" s="1341"/>
      <c r="M73" s="1341"/>
      <c r="N73" s="1341"/>
      <c r="O73" s="1341"/>
      <c r="P73" s="1341"/>
      <c r="Q73" s="1341"/>
      <c r="R73" s="1335"/>
      <c r="S73" s="1336"/>
      <c r="T73" s="1337"/>
      <c r="U73" s="1341"/>
      <c r="V73" s="1341"/>
      <c r="W73" s="1341"/>
      <c r="X73" s="1341"/>
      <c r="Y73" s="1341"/>
      <c r="Z73" s="1341"/>
      <c r="AA73" s="1341"/>
    </row>
    <row r="74" spans="1:27" s="1340" customFormat="1" ht="15.75" x14ac:dyDescent="0.25">
      <c r="C74" s="1341"/>
      <c r="D74" s="1341"/>
      <c r="E74" s="1341"/>
      <c r="F74" s="1341"/>
      <c r="G74" s="1341"/>
      <c r="H74" s="1341"/>
      <c r="I74" s="1341"/>
      <c r="J74" s="1341"/>
      <c r="K74" s="1341"/>
      <c r="L74" s="1341"/>
      <c r="M74" s="1341"/>
      <c r="N74" s="1341"/>
      <c r="O74" s="1341"/>
      <c r="P74" s="1341"/>
      <c r="Q74" s="1341"/>
      <c r="R74" s="1335"/>
      <c r="S74" s="1336"/>
      <c r="T74" s="1337"/>
      <c r="U74" s="1341"/>
      <c r="V74" s="1341"/>
      <c r="W74" s="1341"/>
      <c r="X74" s="1341"/>
      <c r="Y74" s="1341"/>
      <c r="Z74" s="1341"/>
      <c r="AA74" s="1341"/>
    </row>
    <row r="75" spans="1:27" s="1340" customFormat="1" ht="15.75" x14ac:dyDescent="0.25">
      <c r="C75" s="1341"/>
      <c r="D75" s="1341"/>
      <c r="E75" s="1341"/>
      <c r="F75" s="1341"/>
      <c r="G75" s="1341"/>
      <c r="H75" s="1341"/>
      <c r="I75" s="1341"/>
      <c r="J75" s="1341"/>
      <c r="K75" s="1341"/>
      <c r="L75" s="1341"/>
      <c r="M75" s="1341"/>
      <c r="N75" s="1341"/>
      <c r="O75" s="1341"/>
      <c r="P75" s="1341"/>
      <c r="Q75" s="1341"/>
      <c r="R75" s="1335"/>
      <c r="S75" s="1336"/>
      <c r="T75" s="1335"/>
      <c r="U75" s="1341"/>
      <c r="V75" s="1341"/>
      <c r="W75" s="1341"/>
      <c r="X75" s="1341"/>
      <c r="Y75" s="1341"/>
      <c r="Z75" s="1341"/>
      <c r="AA75" s="1341"/>
    </row>
    <row r="76" spans="1:27" s="1340" customFormat="1" ht="15.75" x14ac:dyDescent="0.25">
      <c r="C76" s="1341"/>
      <c r="D76" s="1341"/>
      <c r="E76" s="1341"/>
      <c r="F76" s="1341"/>
      <c r="G76" s="1341"/>
      <c r="H76" s="1341"/>
      <c r="I76" s="1341"/>
      <c r="J76" s="1341"/>
      <c r="K76" s="1341"/>
      <c r="L76" s="1341"/>
      <c r="M76" s="1341"/>
      <c r="N76" s="1341"/>
      <c r="O76" s="1341"/>
      <c r="P76" s="1341"/>
      <c r="Q76" s="1341"/>
      <c r="R76" s="1335"/>
      <c r="S76" s="1336"/>
      <c r="T76" s="1335"/>
      <c r="U76" s="1341"/>
      <c r="V76" s="1341"/>
      <c r="W76" s="1341"/>
      <c r="X76" s="1341"/>
      <c r="Y76" s="1341"/>
      <c r="Z76" s="1341"/>
      <c r="AA76" s="1341"/>
    </row>
    <row r="77" spans="1:27" s="1340" customFormat="1" ht="15" x14ac:dyDescent="0.25">
      <c r="C77" s="1341"/>
      <c r="D77" s="1341"/>
      <c r="E77" s="1341"/>
      <c r="F77" s="1341"/>
      <c r="G77" s="1341"/>
      <c r="H77" s="1341"/>
      <c r="I77" s="1341"/>
      <c r="J77" s="1341"/>
      <c r="K77" s="1341"/>
      <c r="L77" s="1341"/>
      <c r="M77" s="1341"/>
      <c r="N77" s="1341"/>
      <c r="O77" s="1341"/>
      <c r="P77" s="1341"/>
      <c r="Q77" s="1341"/>
      <c r="R77" s="1336"/>
      <c r="S77" s="1336"/>
      <c r="T77" s="1336"/>
      <c r="U77" s="1341"/>
      <c r="V77" s="1341"/>
      <c r="W77" s="1341"/>
      <c r="X77" s="1341"/>
      <c r="Y77" s="1341"/>
      <c r="Z77" s="1341"/>
      <c r="AA77" s="1341"/>
    </row>
    <row r="78" spans="1:27" s="1340" customFormat="1" ht="15.75" x14ac:dyDescent="0.25">
      <c r="C78" s="1341"/>
      <c r="D78" s="1341"/>
      <c r="E78" s="1341"/>
      <c r="F78" s="1341"/>
      <c r="G78" s="1341"/>
      <c r="H78" s="1341"/>
      <c r="I78" s="1341"/>
      <c r="J78" s="1341"/>
      <c r="K78" s="1341"/>
      <c r="L78" s="1341"/>
      <c r="M78" s="1341"/>
      <c r="N78" s="1341"/>
      <c r="O78" s="1341"/>
      <c r="P78" s="1341"/>
      <c r="Q78" s="1341"/>
      <c r="R78" s="4065" t="s">
        <v>808</v>
      </c>
      <c r="S78" s="4065"/>
      <c r="T78" s="4065"/>
      <c r="U78" s="4065"/>
      <c r="V78" s="4065"/>
      <c r="W78" s="1341"/>
      <c r="X78" s="1341"/>
      <c r="Y78" s="1341"/>
      <c r="Z78" s="1341"/>
      <c r="AA78" s="1341"/>
    </row>
  </sheetData>
  <mergeCells count="39">
    <mergeCell ref="W4:AA4"/>
    <mergeCell ref="A1:C1"/>
    <mergeCell ref="S1:U1"/>
    <mergeCell ref="V1:AA1"/>
    <mergeCell ref="A2:AA2"/>
    <mergeCell ref="A3:AA3"/>
    <mergeCell ref="U6:U7"/>
    <mergeCell ref="V6:V7"/>
    <mergeCell ref="L6:L7"/>
    <mergeCell ref="N5:R5"/>
    <mergeCell ref="N6:N7"/>
    <mergeCell ref="O6:P6"/>
    <mergeCell ref="Q6:R6"/>
    <mergeCell ref="M6:M7"/>
    <mergeCell ref="S5:U5"/>
    <mergeCell ref="V5:AA5"/>
    <mergeCell ref="W6:Y6"/>
    <mergeCell ref="Z6:AA6"/>
    <mergeCell ref="T6:T7"/>
    <mergeCell ref="R78:V78"/>
    <mergeCell ref="A67:AA67"/>
    <mergeCell ref="Q68:V68"/>
    <mergeCell ref="W68:AA68"/>
    <mergeCell ref="R69:V69"/>
    <mergeCell ref="R70:V70"/>
    <mergeCell ref="R71:V71"/>
    <mergeCell ref="A5:A7"/>
    <mergeCell ref="B5:B7"/>
    <mergeCell ref="H5:J5"/>
    <mergeCell ref="K5:M5"/>
    <mergeCell ref="S6:S7"/>
    <mergeCell ref="C5:G5"/>
    <mergeCell ref="J6:J7"/>
    <mergeCell ref="K6:K7"/>
    <mergeCell ref="C6:C7"/>
    <mergeCell ref="D6:E6"/>
    <mergeCell ref="F6:G6"/>
    <mergeCell ref="H6:H7"/>
    <mergeCell ref="I6:I7"/>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B61"/>
  <sheetViews>
    <sheetView workbookViewId="0">
      <pane xSplit="2" ySplit="15" topLeftCell="K16" activePane="bottomRight" state="frozen"/>
      <selection pane="topRight" activeCell="C1" sqref="C1"/>
      <selection pane="bottomLeft" activeCell="A15" sqref="A15"/>
      <selection pane="bottomRight" activeCell="B18" sqref="B18"/>
    </sheetView>
  </sheetViews>
  <sheetFormatPr defaultRowHeight="11.25" x14ac:dyDescent="0.25"/>
  <cols>
    <col min="1" max="1" width="5.5703125" style="1257" customWidth="1"/>
    <col min="2" max="2" width="25" style="1257" customWidth="1"/>
    <col min="3" max="3" width="12.28515625" style="1257" customWidth="1"/>
    <col min="4" max="4" width="12.28515625" style="1257" bestFit="1" customWidth="1"/>
    <col min="5" max="5" width="12.140625" style="1257" bestFit="1" customWidth="1"/>
    <col min="6" max="6" width="11" style="1257" bestFit="1" customWidth="1"/>
    <col min="7" max="7" width="6.5703125" style="1257" customWidth="1"/>
    <col min="8" max="9" width="13.140625" style="1257" bestFit="1" customWidth="1"/>
    <col min="10" max="10" width="12.28515625" style="1257" bestFit="1" customWidth="1"/>
    <col min="11" max="12" width="13.140625" style="1257" bestFit="1" customWidth="1"/>
    <col min="13" max="13" width="12.28515625" style="1257" bestFit="1" customWidth="1"/>
    <col min="14" max="14" width="13.140625" style="1257" bestFit="1" customWidth="1"/>
    <col min="15" max="15" width="11.140625" style="1257" customWidth="1"/>
    <col min="16" max="16" width="12.7109375" style="1257" customWidth="1"/>
    <col min="17" max="17" width="8.140625" style="1257" customWidth="1"/>
    <col min="18" max="18" width="12.7109375" style="1257" customWidth="1"/>
    <col min="19" max="19" width="11.42578125" style="1257" customWidth="1"/>
    <col min="20" max="20" width="11" style="1257" customWidth="1"/>
    <col min="21" max="21" width="12.5703125" style="1257" customWidth="1"/>
    <col min="22" max="23" width="12.7109375" style="1257" customWidth="1"/>
    <col min="24" max="24" width="12" style="1257" customWidth="1"/>
    <col min="25" max="25" width="11" style="1257" customWidth="1"/>
    <col min="26" max="26" width="12.42578125" style="1257" customWidth="1"/>
    <col min="27" max="27" width="6.5703125" style="1257" customWidth="1"/>
    <col min="28" max="28" width="29.28515625" style="1284" customWidth="1"/>
    <col min="29" max="243" width="9.140625" style="1257"/>
    <col min="244" max="244" width="5.5703125" style="1257" customWidth="1"/>
    <col min="245" max="245" width="29" style="1257" customWidth="1"/>
    <col min="246" max="260" width="9.7109375" style="1257" customWidth="1"/>
    <col min="261" max="263" width="8.28515625" style="1257" customWidth="1"/>
    <col min="264" max="499" width="9.140625" style="1257"/>
    <col min="500" max="500" width="5.5703125" style="1257" customWidth="1"/>
    <col min="501" max="501" width="29" style="1257" customWidth="1"/>
    <col min="502" max="516" width="9.7109375" style="1257" customWidth="1"/>
    <col min="517" max="519" width="8.28515625" style="1257" customWidth="1"/>
    <col min="520" max="755" width="9.140625" style="1257"/>
    <col min="756" max="756" width="5.5703125" style="1257" customWidth="1"/>
    <col min="757" max="757" width="29" style="1257" customWidth="1"/>
    <col min="758" max="772" width="9.7109375" style="1257" customWidth="1"/>
    <col min="773" max="775" width="8.28515625" style="1257" customWidth="1"/>
    <col min="776" max="1011" width="9.140625" style="1257"/>
    <col min="1012" max="1012" width="5.5703125" style="1257" customWidth="1"/>
    <col min="1013" max="1013" width="29" style="1257" customWidth="1"/>
    <col min="1014" max="1028" width="9.7109375" style="1257" customWidth="1"/>
    <col min="1029" max="1031" width="8.28515625" style="1257" customWidth="1"/>
    <col min="1032" max="1267" width="9.140625" style="1257"/>
    <col min="1268" max="1268" width="5.5703125" style="1257" customWidth="1"/>
    <col min="1269" max="1269" width="29" style="1257" customWidth="1"/>
    <col min="1270" max="1284" width="9.7109375" style="1257" customWidth="1"/>
    <col min="1285" max="1287" width="8.28515625" style="1257" customWidth="1"/>
    <col min="1288" max="1523" width="9.140625" style="1257"/>
    <col min="1524" max="1524" width="5.5703125" style="1257" customWidth="1"/>
    <col min="1525" max="1525" width="29" style="1257" customWidth="1"/>
    <col min="1526" max="1540" width="9.7109375" style="1257" customWidth="1"/>
    <col min="1541" max="1543" width="8.28515625" style="1257" customWidth="1"/>
    <col min="1544" max="1779" width="9.140625" style="1257"/>
    <col min="1780" max="1780" width="5.5703125" style="1257" customWidth="1"/>
    <col min="1781" max="1781" width="29" style="1257" customWidth="1"/>
    <col min="1782" max="1796" width="9.7109375" style="1257" customWidth="1"/>
    <col min="1797" max="1799" width="8.28515625" style="1257" customWidth="1"/>
    <col min="1800" max="2035" width="9.140625" style="1257"/>
    <col min="2036" max="2036" width="5.5703125" style="1257" customWidth="1"/>
    <col min="2037" max="2037" width="29" style="1257" customWidth="1"/>
    <col min="2038" max="2052" width="9.7109375" style="1257" customWidth="1"/>
    <col min="2053" max="2055" width="8.28515625" style="1257" customWidth="1"/>
    <col min="2056" max="2291" width="9.140625" style="1257"/>
    <col min="2292" max="2292" width="5.5703125" style="1257" customWidth="1"/>
    <col min="2293" max="2293" width="29" style="1257" customWidth="1"/>
    <col min="2294" max="2308" width="9.7109375" style="1257" customWidth="1"/>
    <col min="2309" max="2311" width="8.28515625" style="1257" customWidth="1"/>
    <col min="2312" max="2547" width="9.140625" style="1257"/>
    <col min="2548" max="2548" width="5.5703125" style="1257" customWidth="1"/>
    <col min="2549" max="2549" width="29" style="1257" customWidth="1"/>
    <col min="2550" max="2564" width="9.7109375" style="1257" customWidth="1"/>
    <col min="2565" max="2567" width="8.28515625" style="1257" customWidth="1"/>
    <col min="2568" max="2803" width="9.140625" style="1257"/>
    <col min="2804" max="2804" width="5.5703125" style="1257" customWidth="1"/>
    <col min="2805" max="2805" width="29" style="1257" customWidth="1"/>
    <col min="2806" max="2820" width="9.7109375" style="1257" customWidth="1"/>
    <col min="2821" max="2823" width="8.28515625" style="1257" customWidth="1"/>
    <col min="2824" max="3059" width="9.140625" style="1257"/>
    <col min="3060" max="3060" width="5.5703125" style="1257" customWidth="1"/>
    <col min="3061" max="3061" width="29" style="1257" customWidth="1"/>
    <col min="3062" max="3076" width="9.7109375" style="1257" customWidth="1"/>
    <col min="3077" max="3079" width="8.28515625" style="1257" customWidth="1"/>
    <col min="3080" max="3315" width="9.140625" style="1257"/>
    <col min="3316" max="3316" width="5.5703125" style="1257" customWidth="1"/>
    <col min="3317" max="3317" width="29" style="1257" customWidth="1"/>
    <col min="3318" max="3332" width="9.7109375" style="1257" customWidth="1"/>
    <col min="3333" max="3335" width="8.28515625" style="1257" customWidth="1"/>
    <col min="3336" max="3571" width="9.140625" style="1257"/>
    <col min="3572" max="3572" width="5.5703125" style="1257" customWidth="1"/>
    <col min="3573" max="3573" width="29" style="1257" customWidth="1"/>
    <col min="3574" max="3588" width="9.7109375" style="1257" customWidth="1"/>
    <col min="3589" max="3591" width="8.28515625" style="1257" customWidth="1"/>
    <col min="3592" max="3827" width="9.140625" style="1257"/>
    <col min="3828" max="3828" width="5.5703125" style="1257" customWidth="1"/>
    <col min="3829" max="3829" width="29" style="1257" customWidth="1"/>
    <col min="3830" max="3844" width="9.7109375" style="1257" customWidth="1"/>
    <col min="3845" max="3847" width="8.28515625" style="1257" customWidth="1"/>
    <col min="3848" max="4083" width="9.140625" style="1257"/>
    <col min="4084" max="4084" width="5.5703125" style="1257" customWidth="1"/>
    <col min="4085" max="4085" width="29" style="1257" customWidth="1"/>
    <col min="4086" max="4100" width="9.7109375" style="1257" customWidth="1"/>
    <col min="4101" max="4103" width="8.28515625" style="1257" customWidth="1"/>
    <col min="4104" max="4339" width="9.140625" style="1257"/>
    <col min="4340" max="4340" width="5.5703125" style="1257" customWidth="1"/>
    <col min="4341" max="4341" width="29" style="1257" customWidth="1"/>
    <col min="4342" max="4356" width="9.7109375" style="1257" customWidth="1"/>
    <col min="4357" max="4359" width="8.28515625" style="1257" customWidth="1"/>
    <col min="4360" max="4595" width="9.140625" style="1257"/>
    <col min="4596" max="4596" width="5.5703125" style="1257" customWidth="1"/>
    <col min="4597" max="4597" width="29" style="1257" customWidth="1"/>
    <col min="4598" max="4612" width="9.7109375" style="1257" customWidth="1"/>
    <col min="4613" max="4615" width="8.28515625" style="1257" customWidth="1"/>
    <col min="4616" max="4851" width="9.140625" style="1257"/>
    <col min="4852" max="4852" width="5.5703125" style="1257" customWidth="1"/>
    <col min="4853" max="4853" width="29" style="1257" customWidth="1"/>
    <col min="4854" max="4868" width="9.7109375" style="1257" customWidth="1"/>
    <col min="4869" max="4871" width="8.28515625" style="1257" customWidth="1"/>
    <col min="4872" max="5107" width="9.140625" style="1257"/>
    <col min="5108" max="5108" width="5.5703125" style="1257" customWidth="1"/>
    <col min="5109" max="5109" width="29" style="1257" customWidth="1"/>
    <col min="5110" max="5124" width="9.7109375" style="1257" customWidth="1"/>
    <col min="5125" max="5127" width="8.28515625" style="1257" customWidth="1"/>
    <col min="5128" max="5363" width="9.140625" style="1257"/>
    <col min="5364" max="5364" width="5.5703125" style="1257" customWidth="1"/>
    <col min="5365" max="5365" width="29" style="1257" customWidth="1"/>
    <col min="5366" max="5380" width="9.7109375" style="1257" customWidth="1"/>
    <col min="5381" max="5383" width="8.28515625" style="1257" customWidth="1"/>
    <col min="5384" max="5619" width="9.140625" style="1257"/>
    <col min="5620" max="5620" width="5.5703125" style="1257" customWidth="1"/>
    <col min="5621" max="5621" width="29" style="1257" customWidth="1"/>
    <col min="5622" max="5636" width="9.7109375" style="1257" customWidth="1"/>
    <col min="5637" max="5639" width="8.28515625" style="1257" customWidth="1"/>
    <col min="5640" max="5875" width="9.140625" style="1257"/>
    <col min="5876" max="5876" width="5.5703125" style="1257" customWidth="1"/>
    <col min="5877" max="5877" width="29" style="1257" customWidth="1"/>
    <col min="5878" max="5892" width="9.7109375" style="1257" customWidth="1"/>
    <col min="5893" max="5895" width="8.28515625" style="1257" customWidth="1"/>
    <col min="5896" max="6131" width="9.140625" style="1257"/>
    <col min="6132" max="6132" width="5.5703125" style="1257" customWidth="1"/>
    <col min="6133" max="6133" width="29" style="1257" customWidth="1"/>
    <col min="6134" max="6148" width="9.7109375" style="1257" customWidth="1"/>
    <col min="6149" max="6151" width="8.28515625" style="1257" customWidth="1"/>
    <col min="6152" max="6387" width="9.140625" style="1257"/>
    <col min="6388" max="6388" width="5.5703125" style="1257" customWidth="1"/>
    <col min="6389" max="6389" width="29" style="1257" customWidth="1"/>
    <col min="6390" max="6404" width="9.7109375" style="1257" customWidth="1"/>
    <col min="6405" max="6407" width="8.28515625" style="1257" customWidth="1"/>
    <col min="6408" max="6643" width="9.140625" style="1257"/>
    <col min="6644" max="6644" width="5.5703125" style="1257" customWidth="1"/>
    <col min="6645" max="6645" width="29" style="1257" customWidth="1"/>
    <col min="6646" max="6660" width="9.7109375" style="1257" customWidth="1"/>
    <col min="6661" max="6663" width="8.28515625" style="1257" customWidth="1"/>
    <col min="6664" max="6899" width="9.140625" style="1257"/>
    <col min="6900" max="6900" width="5.5703125" style="1257" customWidth="1"/>
    <col min="6901" max="6901" width="29" style="1257" customWidth="1"/>
    <col min="6902" max="6916" width="9.7109375" style="1257" customWidth="1"/>
    <col min="6917" max="6919" width="8.28515625" style="1257" customWidth="1"/>
    <col min="6920" max="7155" width="9.140625" style="1257"/>
    <col min="7156" max="7156" width="5.5703125" style="1257" customWidth="1"/>
    <col min="7157" max="7157" width="29" style="1257" customWidth="1"/>
    <col min="7158" max="7172" width="9.7109375" style="1257" customWidth="1"/>
    <col min="7173" max="7175" width="8.28515625" style="1257" customWidth="1"/>
    <col min="7176" max="7411" width="9.140625" style="1257"/>
    <col min="7412" max="7412" width="5.5703125" style="1257" customWidth="1"/>
    <col min="7413" max="7413" width="29" style="1257" customWidth="1"/>
    <col min="7414" max="7428" width="9.7109375" style="1257" customWidth="1"/>
    <col min="7429" max="7431" width="8.28515625" style="1257" customWidth="1"/>
    <col min="7432" max="7667" width="9.140625" style="1257"/>
    <col min="7668" max="7668" width="5.5703125" style="1257" customWidth="1"/>
    <col min="7669" max="7669" width="29" style="1257" customWidth="1"/>
    <col min="7670" max="7684" width="9.7109375" style="1257" customWidth="1"/>
    <col min="7685" max="7687" width="8.28515625" style="1257" customWidth="1"/>
    <col min="7688" max="7923" width="9.140625" style="1257"/>
    <col min="7924" max="7924" width="5.5703125" style="1257" customWidth="1"/>
    <col min="7925" max="7925" width="29" style="1257" customWidth="1"/>
    <col min="7926" max="7940" width="9.7109375" style="1257" customWidth="1"/>
    <col min="7941" max="7943" width="8.28515625" style="1257" customWidth="1"/>
    <col min="7944" max="8179" width="9.140625" style="1257"/>
    <col min="8180" max="8180" width="5.5703125" style="1257" customWidth="1"/>
    <col min="8181" max="8181" width="29" style="1257" customWidth="1"/>
    <col min="8182" max="8196" width="9.7109375" style="1257" customWidth="1"/>
    <col min="8197" max="8199" width="8.28515625" style="1257" customWidth="1"/>
    <col min="8200" max="8435" width="9.140625" style="1257"/>
    <col min="8436" max="8436" width="5.5703125" style="1257" customWidth="1"/>
    <col min="8437" max="8437" width="29" style="1257" customWidth="1"/>
    <col min="8438" max="8452" width="9.7109375" style="1257" customWidth="1"/>
    <col min="8453" max="8455" width="8.28515625" style="1257" customWidth="1"/>
    <col min="8456" max="8691" width="9.140625" style="1257"/>
    <col min="8692" max="8692" width="5.5703125" style="1257" customWidth="1"/>
    <col min="8693" max="8693" width="29" style="1257" customWidth="1"/>
    <col min="8694" max="8708" width="9.7109375" style="1257" customWidth="1"/>
    <col min="8709" max="8711" width="8.28515625" style="1257" customWidth="1"/>
    <col min="8712" max="8947" width="9.140625" style="1257"/>
    <col min="8948" max="8948" width="5.5703125" style="1257" customWidth="1"/>
    <col min="8949" max="8949" width="29" style="1257" customWidth="1"/>
    <col min="8950" max="8964" width="9.7109375" style="1257" customWidth="1"/>
    <col min="8965" max="8967" width="8.28515625" style="1257" customWidth="1"/>
    <col min="8968" max="9203" width="9.140625" style="1257"/>
    <col min="9204" max="9204" width="5.5703125" style="1257" customWidth="1"/>
    <col min="9205" max="9205" width="29" style="1257" customWidth="1"/>
    <col min="9206" max="9220" width="9.7109375" style="1257" customWidth="1"/>
    <col min="9221" max="9223" width="8.28515625" style="1257" customWidth="1"/>
    <col min="9224" max="9459" width="9.140625" style="1257"/>
    <col min="9460" max="9460" width="5.5703125" style="1257" customWidth="1"/>
    <col min="9461" max="9461" width="29" style="1257" customWidth="1"/>
    <col min="9462" max="9476" width="9.7109375" style="1257" customWidth="1"/>
    <col min="9477" max="9479" width="8.28515625" style="1257" customWidth="1"/>
    <col min="9480" max="9715" width="9.140625" style="1257"/>
    <col min="9716" max="9716" width="5.5703125" style="1257" customWidth="1"/>
    <col min="9717" max="9717" width="29" style="1257" customWidth="1"/>
    <col min="9718" max="9732" width="9.7109375" style="1257" customWidth="1"/>
    <col min="9733" max="9735" width="8.28515625" style="1257" customWidth="1"/>
    <col min="9736" max="9971" width="9.140625" style="1257"/>
    <col min="9972" max="9972" width="5.5703125" style="1257" customWidth="1"/>
    <col min="9973" max="9973" width="29" style="1257" customWidth="1"/>
    <col min="9974" max="9988" width="9.7109375" style="1257" customWidth="1"/>
    <col min="9989" max="9991" width="8.28515625" style="1257" customWidth="1"/>
    <col min="9992" max="10227" width="9.140625" style="1257"/>
    <col min="10228" max="10228" width="5.5703125" style="1257" customWidth="1"/>
    <col min="10229" max="10229" width="29" style="1257" customWidth="1"/>
    <col min="10230" max="10244" width="9.7109375" style="1257" customWidth="1"/>
    <col min="10245" max="10247" width="8.28515625" style="1257" customWidth="1"/>
    <col min="10248" max="10483" width="9.140625" style="1257"/>
    <col min="10484" max="10484" width="5.5703125" style="1257" customWidth="1"/>
    <col min="10485" max="10485" width="29" style="1257" customWidth="1"/>
    <col min="10486" max="10500" width="9.7109375" style="1257" customWidth="1"/>
    <col min="10501" max="10503" width="8.28515625" style="1257" customWidth="1"/>
    <col min="10504" max="10739" width="9.140625" style="1257"/>
    <col min="10740" max="10740" width="5.5703125" style="1257" customWidth="1"/>
    <col min="10741" max="10741" width="29" style="1257" customWidth="1"/>
    <col min="10742" max="10756" width="9.7109375" style="1257" customWidth="1"/>
    <col min="10757" max="10759" width="8.28515625" style="1257" customWidth="1"/>
    <col min="10760" max="10995" width="9.140625" style="1257"/>
    <col min="10996" max="10996" width="5.5703125" style="1257" customWidth="1"/>
    <col min="10997" max="10997" width="29" style="1257" customWidth="1"/>
    <col min="10998" max="11012" width="9.7109375" style="1257" customWidth="1"/>
    <col min="11013" max="11015" width="8.28515625" style="1257" customWidth="1"/>
    <col min="11016" max="11251" width="9.140625" style="1257"/>
    <col min="11252" max="11252" width="5.5703125" style="1257" customWidth="1"/>
    <col min="11253" max="11253" width="29" style="1257" customWidth="1"/>
    <col min="11254" max="11268" width="9.7109375" style="1257" customWidth="1"/>
    <col min="11269" max="11271" width="8.28515625" style="1257" customWidth="1"/>
    <col min="11272" max="11507" width="9.140625" style="1257"/>
    <col min="11508" max="11508" width="5.5703125" style="1257" customWidth="1"/>
    <col min="11509" max="11509" width="29" style="1257" customWidth="1"/>
    <col min="11510" max="11524" width="9.7109375" style="1257" customWidth="1"/>
    <col min="11525" max="11527" width="8.28515625" style="1257" customWidth="1"/>
    <col min="11528" max="11763" width="9.140625" style="1257"/>
    <col min="11764" max="11764" width="5.5703125" style="1257" customWidth="1"/>
    <col min="11765" max="11765" width="29" style="1257" customWidth="1"/>
    <col min="11766" max="11780" width="9.7109375" style="1257" customWidth="1"/>
    <col min="11781" max="11783" width="8.28515625" style="1257" customWidth="1"/>
    <col min="11784" max="12019" width="9.140625" style="1257"/>
    <col min="12020" max="12020" width="5.5703125" style="1257" customWidth="1"/>
    <col min="12021" max="12021" width="29" style="1257" customWidth="1"/>
    <col min="12022" max="12036" width="9.7109375" style="1257" customWidth="1"/>
    <col min="12037" max="12039" width="8.28515625" style="1257" customWidth="1"/>
    <col min="12040" max="12275" width="9.140625" style="1257"/>
    <col min="12276" max="12276" width="5.5703125" style="1257" customWidth="1"/>
    <col min="12277" max="12277" width="29" style="1257" customWidth="1"/>
    <col min="12278" max="12292" width="9.7109375" style="1257" customWidth="1"/>
    <col min="12293" max="12295" width="8.28515625" style="1257" customWidth="1"/>
    <col min="12296" max="12531" width="9.140625" style="1257"/>
    <col min="12532" max="12532" width="5.5703125" style="1257" customWidth="1"/>
    <col min="12533" max="12533" width="29" style="1257" customWidth="1"/>
    <col min="12534" max="12548" width="9.7109375" style="1257" customWidth="1"/>
    <col min="12549" max="12551" width="8.28515625" style="1257" customWidth="1"/>
    <col min="12552" max="12787" width="9.140625" style="1257"/>
    <col min="12788" max="12788" width="5.5703125" style="1257" customWidth="1"/>
    <col min="12789" max="12789" width="29" style="1257" customWidth="1"/>
    <col min="12790" max="12804" width="9.7109375" style="1257" customWidth="1"/>
    <col min="12805" max="12807" width="8.28515625" style="1257" customWidth="1"/>
    <col min="12808" max="13043" width="9.140625" style="1257"/>
    <col min="13044" max="13044" width="5.5703125" style="1257" customWidth="1"/>
    <col min="13045" max="13045" width="29" style="1257" customWidth="1"/>
    <col min="13046" max="13060" width="9.7109375" style="1257" customWidth="1"/>
    <col min="13061" max="13063" width="8.28515625" style="1257" customWidth="1"/>
    <col min="13064" max="13299" width="9.140625" style="1257"/>
    <col min="13300" max="13300" width="5.5703125" style="1257" customWidth="1"/>
    <col min="13301" max="13301" width="29" style="1257" customWidth="1"/>
    <col min="13302" max="13316" width="9.7109375" style="1257" customWidth="1"/>
    <col min="13317" max="13319" width="8.28515625" style="1257" customWidth="1"/>
    <col min="13320" max="13555" width="9.140625" style="1257"/>
    <col min="13556" max="13556" width="5.5703125" style="1257" customWidth="1"/>
    <col min="13557" max="13557" width="29" style="1257" customWidth="1"/>
    <col min="13558" max="13572" width="9.7109375" style="1257" customWidth="1"/>
    <col min="13573" max="13575" width="8.28515625" style="1257" customWidth="1"/>
    <col min="13576" max="13811" width="9.140625" style="1257"/>
    <col min="13812" max="13812" width="5.5703125" style="1257" customWidth="1"/>
    <col min="13813" max="13813" width="29" style="1257" customWidth="1"/>
    <col min="13814" max="13828" width="9.7109375" style="1257" customWidth="1"/>
    <col min="13829" max="13831" width="8.28515625" style="1257" customWidth="1"/>
    <col min="13832" max="14067" width="9.140625" style="1257"/>
    <col min="14068" max="14068" width="5.5703125" style="1257" customWidth="1"/>
    <col min="14069" max="14069" width="29" style="1257" customWidth="1"/>
    <col min="14070" max="14084" width="9.7109375" style="1257" customWidth="1"/>
    <col min="14085" max="14087" width="8.28515625" style="1257" customWidth="1"/>
    <col min="14088" max="14323" width="9.140625" style="1257"/>
    <col min="14324" max="14324" width="5.5703125" style="1257" customWidth="1"/>
    <col min="14325" max="14325" width="29" style="1257" customWidth="1"/>
    <col min="14326" max="14340" width="9.7109375" style="1257" customWidth="1"/>
    <col min="14341" max="14343" width="8.28515625" style="1257" customWidth="1"/>
    <col min="14344" max="14579" width="9.140625" style="1257"/>
    <col min="14580" max="14580" width="5.5703125" style="1257" customWidth="1"/>
    <col min="14581" max="14581" width="29" style="1257" customWidth="1"/>
    <col min="14582" max="14596" width="9.7109375" style="1257" customWidth="1"/>
    <col min="14597" max="14599" width="8.28515625" style="1257" customWidth="1"/>
    <col min="14600" max="14835" width="9.140625" style="1257"/>
    <col min="14836" max="14836" width="5.5703125" style="1257" customWidth="1"/>
    <col min="14837" max="14837" width="29" style="1257" customWidth="1"/>
    <col min="14838" max="14852" width="9.7109375" style="1257" customWidth="1"/>
    <col min="14853" max="14855" width="8.28515625" style="1257" customWidth="1"/>
    <col min="14856" max="15091" width="9.140625" style="1257"/>
    <col min="15092" max="15092" width="5.5703125" style="1257" customWidth="1"/>
    <col min="15093" max="15093" width="29" style="1257" customWidth="1"/>
    <col min="15094" max="15108" width="9.7109375" style="1257" customWidth="1"/>
    <col min="15109" max="15111" width="8.28515625" style="1257" customWidth="1"/>
    <col min="15112" max="15347" width="9.140625" style="1257"/>
    <col min="15348" max="15348" width="5.5703125" style="1257" customWidth="1"/>
    <col min="15349" max="15349" width="29" style="1257" customWidth="1"/>
    <col min="15350" max="15364" width="9.7109375" style="1257" customWidth="1"/>
    <col min="15365" max="15367" width="8.28515625" style="1257" customWidth="1"/>
    <col min="15368" max="15603" width="9.140625" style="1257"/>
    <col min="15604" max="15604" width="5.5703125" style="1257" customWidth="1"/>
    <col min="15605" max="15605" width="29" style="1257" customWidth="1"/>
    <col min="15606" max="15620" width="9.7109375" style="1257" customWidth="1"/>
    <col min="15621" max="15623" width="8.28515625" style="1257" customWidth="1"/>
    <col min="15624" max="15859" width="9.140625" style="1257"/>
    <col min="15860" max="15860" width="5.5703125" style="1257" customWidth="1"/>
    <col min="15861" max="15861" width="29" style="1257" customWidth="1"/>
    <col min="15862" max="15876" width="9.7109375" style="1257" customWidth="1"/>
    <col min="15877" max="15879" width="8.28515625" style="1257" customWidth="1"/>
    <col min="15880" max="16115" width="9.140625" style="1257"/>
    <col min="16116" max="16116" width="5.5703125" style="1257" customWidth="1"/>
    <col min="16117" max="16117" width="29" style="1257" customWidth="1"/>
    <col min="16118" max="16132" width="9.7109375" style="1257" customWidth="1"/>
    <col min="16133" max="16135" width="8.28515625" style="1257" customWidth="1"/>
    <col min="16136" max="16384" width="9.140625" style="1257"/>
  </cols>
  <sheetData>
    <row r="1" spans="1:28" ht="15.75" x14ac:dyDescent="0.25">
      <c r="A1" s="4072"/>
      <c r="B1" s="4072"/>
      <c r="C1" s="4072"/>
      <c r="D1" s="1255"/>
      <c r="E1" s="1255"/>
      <c r="F1" s="1255"/>
      <c r="G1" s="1255"/>
      <c r="H1" s="1255"/>
      <c r="I1" s="1255"/>
      <c r="J1" s="1255"/>
      <c r="K1" s="1255"/>
      <c r="L1" s="1255"/>
      <c r="M1" s="1255"/>
      <c r="N1" s="1255"/>
      <c r="O1" s="1255"/>
      <c r="P1" s="1255"/>
      <c r="Q1" s="1255"/>
      <c r="R1" s="1255"/>
      <c r="S1" s="4067"/>
      <c r="T1" s="4067"/>
      <c r="U1" s="4067"/>
      <c r="V1" s="4073" t="s">
        <v>2549</v>
      </c>
      <c r="W1" s="4073"/>
      <c r="X1" s="4073"/>
      <c r="Y1" s="4073"/>
      <c r="Z1" s="4073"/>
      <c r="AA1" s="4073"/>
      <c r="AB1" s="1256"/>
    </row>
    <row r="2" spans="1:28" ht="15.75" x14ac:dyDescent="0.25">
      <c r="A2" s="3998" t="s">
        <v>2270</v>
      </c>
      <c r="B2" s="3998"/>
      <c r="C2" s="3998"/>
      <c r="D2" s="3998"/>
      <c r="E2" s="3998"/>
      <c r="F2" s="3998"/>
      <c r="G2" s="3998"/>
      <c r="H2" s="3998"/>
      <c r="I2" s="3998"/>
      <c r="J2" s="3998"/>
      <c r="K2" s="3998"/>
      <c r="L2" s="3998"/>
      <c r="M2" s="3998"/>
      <c r="N2" s="3998"/>
      <c r="O2" s="3998"/>
      <c r="P2" s="3998"/>
      <c r="Q2" s="3998"/>
      <c r="R2" s="3998"/>
      <c r="S2" s="3998"/>
      <c r="T2" s="3998"/>
      <c r="U2" s="3998"/>
      <c r="V2" s="3998"/>
      <c r="W2" s="3998"/>
      <c r="X2" s="3998"/>
      <c r="Y2" s="3998"/>
      <c r="Z2" s="3998"/>
      <c r="AA2" s="3998"/>
      <c r="AB2" s="1256"/>
    </row>
    <row r="3" spans="1:28" ht="15.75" x14ac:dyDescent="0.25">
      <c r="A3" s="3997" t="str">
        <f>'CTnông thôn mới 2020'!A3:AA3</f>
        <v>(Kèm theo Quyết định số         /QĐ-UBND ngày      tháng 4 năm 2026 của UBND xã Phong Quang)</v>
      </c>
      <c r="B3" s="3997"/>
      <c r="C3" s="3997"/>
      <c r="D3" s="3997"/>
      <c r="E3" s="3997"/>
      <c r="F3" s="3997"/>
      <c r="G3" s="3997"/>
      <c r="H3" s="3997"/>
      <c r="I3" s="3997"/>
      <c r="J3" s="3997"/>
      <c r="K3" s="3997"/>
      <c r="L3" s="3997"/>
      <c r="M3" s="3997"/>
      <c r="N3" s="3997"/>
      <c r="O3" s="3997"/>
      <c r="P3" s="3997"/>
      <c r="Q3" s="3997"/>
      <c r="R3" s="3997"/>
      <c r="S3" s="3997"/>
      <c r="T3" s="3997"/>
      <c r="U3" s="3997"/>
      <c r="V3" s="3997"/>
      <c r="W3" s="3997"/>
      <c r="X3" s="3997"/>
      <c r="Y3" s="3997"/>
      <c r="Z3" s="3997"/>
      <c r="AA3" s="3997"/>
      <c r="AB3" s="1256"/>
    </row>
    <row r="4" spans="1:28" x14ac:dyDescent="0.25">
      <c r="A4" s="1285"/>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56"/>
    </row>
    <row r="5" spans="1:28" x14ac:dyDescent="0.25">
      <c r="A5" s="1255"/>
      <c r="B5" s="1255"/>
      <c r="C5" s="1255"/>
      <c r="D5" s="1255"/>
      <c r="E5" s="1449"/>
      <c r="F5" s="1255"/>
      <c r="G5" s="1255"/>
      <c r="H5" s="1256"/>
      <c r="I5" s="1255"/>
      <c r="J5" s="1255"/>
      <c r="K5" s="1255"/>
      <c r="L5" s="1255"/>
      <c r="M5" s="1255"/>
      <c r="N5" s="1255"/>
      <c r="O5" s="1255"/>
      <c r="P5" s="1255"/>
      <c r="Q5" s="1255"/>
      <c r="R5" s="1255"/>
      <c r="T5" s="1258"/>
      <c r="U5" s="1258"/>
      <c r="V5" s="1258"/>
      <c r="W5" s="4071" t="s">
        <v>147</v>
      </c>
      <c r="X5" s="4071"/>
      <c r="Y5" s="4071"/>
      <c r="Z5" s="4071"/>
      <c r="AA5" s="4071"/>
      <c r="AB5" s="1256"/>
    </row>
    <row r="6" spans="1:28" s="1260" customFormat="1" x14ac:dyDescent="0.25">
      <c r="A6" s="4064" t="s">
        <v>1579</v>
      </c>
      <c r="B6" s="4064" t="s">
        <v>193</v>
      </c>
      <c r="C6" s="4064" t="s">
        <v>2271</v>
      </c>
      <c r="D6" s="4064"/>
      <c r="E6" s="4064"/>
      <c r="F6" s="4064"/>
      <c r="G6" s="4064"/>
      <c r="H6" s="4064" t="s">
        <v>2272</v>
      </c>
      <c r="I6" s="4064"/>
      <c r="J6" s="4064"/>
      <c r="K6" s="4064" t="s">
        <v>2273</v>
      </c>
      <c r="L6" s="4064"/>
      <c r="M6" s="4064"/>
      <c r="N6" s="4070" t="s">
        <v>2274</v>
      </c>
      <c r="O6" s="4070"/>
      <c r="P6" s="4070"/>
      <c r="Q6" s="4070"/>
      <c r="R6" s="4070"/>
      <c r="S6" s="4064" t="s">
        <v>2275</v>
      </c>
      <c r="T6" s="4064"/>
      <c r="U6" s="4064"/>
      <c r="V6" s="4064" t="s">
        <v>2276</v>
      </c>
      <c r="W6" s="4064"/>
      <c r="X6" s="4064"/>
      <c r="Y6" s="4064"/>
      <c r="Z6" s="4064"/>
      <c r="AA6" s="4064"/>
      <c r="AB6" s="1259"/>
    </row>
    <row r="7" spans="1:28" s="1260" customFormat="1" x14ac:dyDescent="0.25">
      <c r="A7" s="4064"/>
      <c r="B7" s="4064"/>
      <c r="C7" s="4064" t="s">
        <v>1114</v>
      </c>
      <c r="D7" s="4064" t="s">
        <v>707</v>
      </c>
      <c r="E7" s="4064"/>
      <c r="F7" s="4064" t="s">
        <v>1471</v>
      </c>
      <c r="G7" s="4064"/>
      <c r="H7" s="4064" t="s">
        <v>1114</v>
      </c>
      <c r="I7" s="4064" t="s">
        <v>707</v>
      </c>
      <c r="J7" s="4064" t="s">
        <v>1471</v>
      </c>
      <c r="K7" s="4064" t="s">
        <v>1114</v>
      </c>
      <c r="L7" s="4064" t="s">
        <v>707</v>
      </c>
      <c r="M7" s="4064" t="s">
        <v>1471</v>
      </c>
      <c r="N7" s="4064" t="s">
        <v>1114</v>
      </c>
      <c r="O7" s="4064" t="s">
        <v>707</v>
      </c>
      <c r="P7" s="4064"/>
      <c r="Q7" s="4064" t="s">
        <v>1471</v>
      </c>
      <c r="R7" s="4064"/>
      <c r="S7" s="4064" t="s">
        <v>1114</v>
      </c>
      <c r="T7" s="4064" t="s">
        <v>707</v>
      </c>
      <c r="U7" s="4064" t="s">
        <v>1471</v>
      </c>
      <c r="V7" s="4064" t="s">
        <v>1114</v>
      </c>
      <c r="W7" s="4064" t="s">
        <v>707</v>
      </c>
      <c r="X7" s="4064"/>
      <c r="Y7" s="4064"/>
      <c r="Z7" s="4064" t="s">
        <v>1471</v>
      </c>
      <c r="AA7" s="4064"/>
      <c r="AB7" s="1259"/>
    </row>
    <row r="8" spans="1:28" s="1260" customFormat="1" ht="63" x14ac:dyDescent="0.25">
      <c r="A8" s="4064"/>
      <c r="B8" s="4064"/>
      <c r="C8" s="4064"/>
      <c r="D8" s="1181" t="s">
        <v>34</v>
      </c>
      <c r="E8" s="1181" t="s">
        <v>2158</v>
      </c>
      <c r="F8" s="1181" t="s">
        <v>34</v>
      </c>
      <c r="G8" s="1181" t="s">
        <v>2158</v>
      </c>
      <c r="H8" s="4064"/>
      <c r="I8" s="4064"/>
      <c r="J8" s="4064"/>
      <c r="K8" s="4064"/>
      <c r="L8" s="4064"/>
      <c r="M8" s="4064"/>
      <c r="N8" s="4064"/>
      <c r="O8" s="1181" t="s">
        <v>2277</v>
      </c>
      <c r="P8" s="1181" t="s">
        <v>2278</v>
      </c>
      <c r="Q8" s="1181" t="s">
        <v>2277</v>
      </c>
      <c r="R8" s="1181" t="s">
        <v>2278</v>
      </c>
      <c r="S8" s="4064"/>
      <c r="T8" s="4064"/>
      <c r="U8" s="4064"/>
      <c r="V8" s="4064"/>
      <c r="W8" s="1181" t="s">
        <v>2279</v>
      </c>
      <c r="X8" s="1181" t="s">
        <v>2280</v>
      </c>
      <c r="Y8" s="1181" t="s">
        <v>2281</v>
      </c>
      <c r="Z8" s="1181" t="s">
        <v>34</v>
      </c>
      <c r="AA8" s="1181" t="s">
        <v>2158</v>
      </c>
      <c r="AB8" s="1259"/>
    </row>
    <row r="9" spans="1:28" s="1260" customFormat="1" x14ac:dyDescent="0.25">
      <c r="A9" s="1261" t="s">
        <v>847</v>
      </c>
      <c r="B9" s="1261" t="s">
        <v>848</v>
      </c>
      <c r="C9" s="1261">
        <v>1</v>
      </c>
      <c r="D9" s="1261" t="s">
        <v>902</v>
      </c>
      <c r="E9" s="1261" t="s">
        <v>903</v>
      </c>
      <c r="F9" s="1261" t="s">
        <v>174</v>
      </c>
      <c r="G9" s="1261" t="s">
        <v>796</v>
      </c>
      <c r="H9" s="1261">
        <v>4</v>
      </c>
      <c r="I9" s="1261">
        <v>5</v>
      </c>
      <c r="J9" s="1261">
        <v>6</v>
      </c>
      <c r="K9" s="1261">
        <v>7</v>
      </c>
      <c r="L9" s="1261" t="s">
        <v>2282</v>
      </c>
      <c r="M9" s="1261" t="s">
        <v>2283</v>
      </c>
      <c r="N9" s="1261">
        <v>10</v>
      </c>
      <c r="O9" s="1261">
        <v>11</v>
      </c>
      <c r="P9" s="1261">
        <v>12</v>
      </c>
      <c r="Q9" s="1261">
        <v>13</v>
      </c>
      <c r="R9" s="1261">
        <v>14</v>
      </c>
      <c r="S9" s="1261">
        <v>15</v>
      </c>
      <c r="T9" s="1261">
        <v>16</v>
      </c>
      <c r="U9" s="1261">
        <v>17</v>
      </c>
      <c r="V9" s="1261">
        <v>18</v>
      </c>
      <c r="W9" s="1261">
        <v>19</v>
      </c>
      <c r="X9" s="1261">
        <v>20</v>
      </c>
      <c r="Y9" s="1261">
        <v>21</v>
      </c>
      <c r="Z9" s="1261">
        <v>22</v>
      </c>
      <c r="AA9" s="1261">
        <v>23</v>
      </c>
      <c r="AB9" s="1259"/>
    </row>
    <row r="10" spans="1:28" s="1265" customFormat="1" ht="10.5" x14ac:dyDescent="0.25">
      <c r="A10" s="1262"/>
      <c r="B10" s="1262" t="s">
        <v>1114</v>
      </c>
      <c r="C10" s="1263"/>
      <c r="D10" s="1263"/>
      <c r="E10" s="1263"/>
      <c r="F10" s="1263"/>
      <c r="G10" s="1263"/>
      <c r="H10" s="1263"/>
      <c r="I10" s="1263"/>
      <c r="J10" s="1263"/>
      <c r="K10" s="1263"/>
      <c r="L10" s="1263"/>
      <c r="M10" s="1263"/>
      <c r="N10" s="1263"/>
      <c r="O10" s="1263"/>
      <c r="P10" s="1263"/>
      <c r="Q10" s="1263"/>
      <c r="R10" s="1263"/>
      <c r="S10" s="1263"/>
      <c r="T10" s="1263"/>
      <c r="U10" s="1263"/>
      <c r="V10" s="1263"/>
      <c r="W10" s="1263"/>
      <c r="X10" s="1263"/>
      <c r="Y10" s="1263"/>
      <c r="Z10" s="1263"/>
      <c r="AA10" s="1263"/>
      <c r="AB10" s="1264"/>
    </row>
    <row r="11" spans="1:28" s="1265" customFormat="1" ht="10.5" x14ac:dyDescent="0.25">
      <c r="A11" s="1266">
        <v>1</v>
      </c>
      <c r="B11" s="1267" t="s">
        <v>2284</v>
      </c>
      <c r="C11" s="1268"/>
      <c r="D11" s="1269"/>
      <c r="E11" s="1269"/>
      <c r="F11" s="1269"/>
      <c r="G11" s="1269"/>
      <c r="H11" s="1268"/>
      <c r="I11" s="1269"/>
      <c r="J11" s="1269"/>
      <c r="K11" s="1268"/>
      <c r="L11" s="1268"/>
      <c r="M11" s="1268"/>
      <c r="N11" s="1268"/>
      <c r="O11" s="1269"/>
      <c r="P11" s="1269"/>
      <c r="Q11" s="1269"/>
      <c r="R11" s="1269"/>
      <c r="S11" s="1268"/>
      <c r="T11" s="1269"/>
      <c r="U11" s="1269"/>
      <c r="V11" s="1268"/>
      <c r="W11" s="1268"/>
      <c r="X11" s="1268"/>
      <c r="Y11" s="1268"/>
      <c r="Z11" s="1268"/>
      <c r="AA11" s="1268"/>
      <c r="AB11" s="1264"/>
    </row>
    <row r="12" spans="1:28" s="1265" customFormat="1" ht="45" x14ac:dyDescent="0.25">
      <c r="A12" s="1270" t="s">
        <v>851</v>
      </c>
      <c r="B12" s="1271" t="s">
        <v>2285</v>
      </c>
      <c r="C12" s="1269">
        <f>SUM(D12:G12)</f>
        <v>0</v>
      </c>
      <c r="D12" s="1269"/>
      <c r="E12" s="1269"/>
      <c r="F12" s="1269"/>
      <c r="G12" s="1269"/>
      <c r="H12" s="1269"/>
      <c r="I12" s="1269"/>
      <c r="J12" s="1269"/>
      <c r="K12" s="1269"/>
      <c r="L12" s="1269"/>
      <c r="M12" s="1269"/>
      <c r="N12" s="1269"/>
      <c r="O12" s="1269"/>
      <c r="P12" s="1269"/>
      <c r="Q12" s="1269"/>
      <c r="R12" s="1269"/>
      <c r="S12" s="1269"/>
      <c r="T12" s="1269"/>
      <c r="U12" s="1269"/>
      <c r="V12" s="1269"/>
      <c r="W12" s="1269"/>
      <c r="X12" s="1269"/>
      <c r="Y12" s="1269"/>
      <c r="Z12" s="1269"/>
      <c r="AA12" s="1269"/>
      <c r="AB12" s="1264"/>
    </row>
    <row r="13" spans="1:28" s="1276" customFormat="1" x14ac:dyDescent="0.25">
      <c r="A13" s="1272" t="s">
        <v>882</v>
      </c>
      <c r="B13" s="1273" t="s">
        <v>341</v>
      </c>
      <c r="C13" s="1269">
        <f>SUM(D13:G13)</f>
        <v>0</v>
      </c>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5"/>
    </row>
    <row r="14" spans="1:28" s="1276" customFormat="1" x14ac:dyDescent="0.25">
      <c r="A14" s="1272" t="s">
        <v>882</v>
      </c>
      <c r="B14" s="1273" t="s">
        <v>546</v>
      </c>
      <c r="C14" s="1269">
        <f>SUM(D14:G14)</f>
        <v>0</v>
      </c>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5"/>
    </row>
    <row r="15" spans="1:28" s="1276" customFormat="1" x14ac:dyDescent="0.25">
      <c r="A15" s="1272" t="s">
        <v>882</v>
      </c>
      <c r="B15" s="1273" t="s">
        <v>129</v>
      </c>
      <c r="C15" s="1269">
        <f>SUM(D15:G15)</f>
        <v>0</v>
      </c>
      <c r="D15" s="1274"/>
      <c r="E15" s="1274"/>
      <c r="F15" s="1274"/>
      <c r="G15" s="1274"/>
      <c r="H15" s="1274"/>
      <c r="I15" s="1274"/>
      <c r="J15" s="1274"/>
      <c r="K15" s="1274"/>
      <c r="L15" s="1274"/>
      <c r="M15" s="1274"/>
      <c r="N15" s="1274"/>
      <c r="O15" s="1274"/>
      <c r="P15" s="1274"/>
      <c r="Q15" s="1274"/>
      <c r="R15" s="1274"/>
      <c r="S15" s="1274"/>
      <c r="T15" s="1274"/>
      <c r="U15" s="1274"/>
      <c r="V15" s="1274"/>
      <c r="W15" s="1274"/>
      <c r="X15" s="1274"/>
      <c r="Y15" s="1274"/>
      <c r="Z15" s="1274"/>
      <c r="AA15" s="1274"/>
      <c r="AB15" s="1275"/>
    </row>
    <row r="16" spans="1:28" s="1276" customFormat="1" x14ac:dyDescent="0.25">
      <c r="A16" s="1272"/>
      <c r="B16" s="1267" t="s">
        <v>1114</v>
      </c>
      <c r="C16" s="1269">
        <f>SUM(C17:C19)</f>
        <v>2168680833</v>
      </c>
      <c r="D16" s="1269">
        <f t="shared" ref="D16:AA16" si="0">SUM(D17:D19)</f>
        <v>1159483687</v>
      </c>
      <c r="E16" s="1269">
        <f t="shared" si="0"/>
        <v>802961146</v>
      </c>
      <c r="F16" s="1269">
        <f t="shared" si="0"/>
        <v>206236000</v>
      </c>
      <c r="G16" s="1269">
        <f t="shared" si="0"/>
        <v>0</v>
      </c>
      <c r="H16" s="1269">
        <f t="shared" si="0"/>
        <v>18802000000</v>
      </c>
      <c r="I16" s="1269">
        <f t="shared" si="0"/>
        <v>14011000000</v>
      </c>
      <c r="J16" s="1269">
        <f t="shared" si="0"/>
        <v>4791000000</v>
      </c>
      <c r="K16" s="1269">
        <f t="shared" si="0"/>
        <v>20970680833</v>
      </c>
      <c r="L16" s="1269">
        <f t="shared" si="0"/>
        <v>15973444833</v>
      </c>
      <c r="M16" s="1269">
        <f t="shared" si="0"/>
        <v>4997236000</v>
      </c>
      <c r="N16" s="1269">
        <f t="shared" si="0"/>
        <v>18220386336</v>
      </c>
      <c r="O16" s="1269">
        <f t="shared" si="0"/>
        <v>440192410</v>
      </c>
      <c r="P16" s="1269">
        <f t="shared" si="0"/>
        <v>13184192474</v>
      </c>
      <c r="Q16" s="1269">
        <f t="shared" si="0"/>
        <v>0</v>
      </c>
      <c r="R16" s="1269">
        <f t="shared" si="0"/>
        <v>4596001452</v>
      </c>
      <c r="S16" s="1269">
        <f t="shared" si="0"/>
        <v>347384000</v>
      </c>
      <c r="T16" s="1269">
        <f t="shared" si="0"/>
        <v>141148000</v>
      </c>
      <c r="U16" s="1269">
        <f t="shared" si="0"/>
        <v>206236000</v>
      </c>
      <c r="V16" s="1269">
        <f t="shared" si="0"/>
        <v>2402910497</v>
      </c>
      <c r="W16" s="1269">
        <f t="shared" si="0"/>
        <v>1381104423</v>
      </c>
      <c r="X16" s="1269">
        <f t="shared" si="0"/>
        <v>712853159</v>
      </c>
      <c r="Y16" s="1269">
        <f t="shared" si="0"/>
        <v>113954367</v>
      </c>
      <c r="Z16" s="1269">
        <f t="shared" si="0"/>
        <v>194998548</v>
      </c>
      <c r="AA16" s="1269">
        <f t="shared" si="0"/>
        <v>0</v>
      </c>
      <c r="AB16" s="1275"/>
    </row>
    <row r="17" spans="1:28" s="1276" customFormat="1" x14ac:dyDescent="0.25">
      <c r="A17" s="1272" t="s">
        <v>882</v>
      </c>
      <c r="B17" s="1273" t="s">
        <v>341</v>
      </c>
      <c r="C17" s="1269">
        <f>C22+C26+C30+C34+C38</f>
        <v>2168680833</v>
      </c>
      <c r="D17" s="1269">
        <f t="shared" ref="D17:AA17" si="1">D22+D26+D30+D34+D38</f>
        <v>1159483687</v>
      </c>
      <c r="E17" s="1269">
        <f t="shared" si="1"/>
        <v>802961146</v>
      </c>
      <c r="F17" s="1269">
        <f t="shared" si="1"/>
        <v>206236000</v>
      </c>
      <c r="G17" s="1269">
        <f t="shared" si="1"/>
        <v>0</v>
      </c>
      <c r="H17" s="1269">
        <f t="shared" si="1"/>
        <v>18802000000</v>
      </c>
      <c r="I17" s="1269">
        <f t="shared" si="1"/>
        <v>14011000000</v>
      </c>
      <c r="J17" s="1269">
        <f t="shared" si="1"/>
        <v>4791000000</v>
      </c>
      <c r="K17" s="1269">
        <f t="shared" si="1"/>
        <v>20970680833</v>
      </c>
      <c r="L17" s="1269">
        <f t="shared" si="1"/>
        <v>15973444833</v>
      </c>
      <c r="M17" s="1269">
        <f t="shared" si="1"/>
        <v>4997236000</v>
      </c>
      <c r="N17" s="1269">
        <f>N22+N26+N30+N34+N38</f>
        <v>18220386336</v>
      </c>
      <c r="O17" s="1269">
        <f t="shared" si="1"/>
        <v>440192410</v>
      </c>
      <c r="P17" s="1269">
        <f t="shared" si="1"/>
        <v>13184192474</v>
      </c>
      <c r="Q17" s="1269">
        <f t="shared" si="1"/>
        <v>0</v>
      </c>
      <c r="R17" s="1269">
        <f>R22+R26+R30+R34+R38</f>
        <v>4596001452</v>
      </c>
      <c r="S17" s="1269">
        <f t="shared" si="1"/>
        <v>347384000</v>
      </c>
      <c r="T17" s="1269">
        <f t="shared" si="1"/>
        <v>141148000</v>
      </c>
      <c r="U17" s="1269">
        <f t="shared" si="1"/>
        <v>206236000</v>
      </c>
      <c r="V17" s="1277">
        <f t="shared" ref="V17:V22" si="2">SUM(W17:AA17)</f>
        <v>2402910497</v>
      </c>
      <c r="W17" s="1269">
        <f t="shared" si="1"/>
        <v>1381104423</v>
      </c>
      <c r="X17" s="1269">
        <f t="shared" si="1"/>
        <v>712853159</v>
      </c>
      <c r="Y17" s="1269">
        <f t="shared" si="1"/>
        <v>113954367</v>
      </c>
      <c r="Z17" s="1269">
        <f t="shared" si="1"/>
        <v>194998548</v>
      </c>
      <c r="AA17" s="1269">
        <f t="shared" si="1"/>
        <v>0</v>
      </c>
      <c r="AB17" s="1275"/>
    </row>
    <row r="18" spans="1:28" s="1276" customFormat="1" x14ac:dyDescent="0.25">
      <c r="A18" s="1272" t="s">
        <v>882</v>
      </c>
      <c r="B18" s="1273" t="s">
        <v>546</v>
      </c>
      <c r="C18" s="1269">
        <f>C23+C27+C31</f>
        <v>0</v>
      </c>
      <c r="D18" s="1269">
        <f t="shared" ref="D18:AA19" si="3">D23+D27+D31</f>
        <v>0</v>
      </c>
      <c r="E18" s="1269">
        <f t="shared" si="3"/>
        <v>0</v>
      </c>
      <c r="F18" s="1269">
        <f t="shared" si="3"/>
        <v>0</v>
      </c>
      <c r="G18" s="1269">
        <f t="shared" si="3"/>
        <v>0</v>
      </c>
      <c r="H18" s="1269">
        <f t="shared" si="3"/>
        <v>0</v>
      </c>
      <c r="I18" s="1269">
        <f t="shared" si="3"/>
        <v>0</v>
      </c>
      <c r="J18" s="1269">
        <f t="shared" si="3"/>
        <v>0</v>
      </c>
      <c r="K18" s="1269">
        <f t="shared" si="3"/>
        <v>0</v>
      </c>
      <c r="L18" s="1269">
        <f t="shared" si="3"/>
        <v>0</v>
      </c>
      <c r="M18" s="1269">
        <f t="shared" si="3"/>
        <v>0</v>
      </c>
      <c r="N18" s="1269">
        <f t="shared" si="3"/>
        <v>0</v>
      </c>
      <c r="O18" s="1269">
        <f t="shared" si="3"/>
        <v>0</v>
      </c>
      <c r="P18" s="1269">
        <f t="shared" si="3"/>
        <v>0</v>
      </c>
      <c r="Q18" s="1269">
        <f t="shared" si="3"/>
        <v>0</v>
      </c>
      <c r="R18" s="1269">
        <f t="shared" si="3"/>
        <v>0</v>
      </c>
      <c r="S18" s="1269">
        <f t="shared" si="3"/>
        <v>0</v>
      </c>
      <c r="T18" s="1269">
        <f t="shared" si="3"/>
        <v>0</v>
      </c>
      <c r="U18" s="1269">
        <f t="shared" si="3"/>
        <v>0</v>
      </c>
      <c r="V18" s="1278">
        <f t="shared" si="2"/>
        <v>0</v>
      </c>
      <c r="W18" s="1269">
        <f t="shared" si="3"/>
        <v>0</v>
      </c>
      <c r="X18" s="1269">
        <f t="shared" si="3"/>
        <v>0</v>
      </c>
      <c r="Y18" s="1269">
        <f t="shared" si="3"/>
        <v>0</v>
      </c>
      <c r="Z18" s="1269">
        <f t="shared" si="3"/>
        <v>0</v>
      </c>
      <c r="AA18" s="1269">
        <f t="shared" si="3"/>
        <v>0</v>
      </c>
      <c r="AB18" s="1275">
        <v>4596001452</v>
      </c>
    </row>
    <row r="19" spans="1:28" s="1276" customFormat="1" x14ac:dyDescent="0.25">
      <c r="A19" s="1272" t="s">
        <v>882</v>
      </c>
      <c r="B19" s="1273" t="s">
        <v>129</v>
      </c>
      <c r="C19" s="1269">
        <f>C24+C28+C32</f>
        <v>0</v>
      </c>
      <c r="D19" s="1269">
        <f t="shared" si="3"/>
        <v>0</v>
      </c>
      <c r="E19" s="1269">
        <f t="shared" si="3"/>
        <v>0</v>
      </c>
      <c r="F19" s="1269">
        <f t="shared" si="3"/>
        <v>0</v>
      </c>
      <c r="G19" s="1269">
        <f t="shared" si="3"/>
        <v>0</v>
      </c>
      <c r="H19" s="1269">
        <f t="shared" si="3"/>
        <v>0</v>
      </c>
      <c r="I19" s="1269">
        <f t="shared" si="3"/>
        <v>0</v>
      </c>
      <c r="J19" s="1269">
        <f t="shared" si="3"/>
        <v>0</v>
      </c>
      <c r="K19" s="1269">
        <f t="shared" si="3"/>
        <v>0</v>
      </c>
      <c r="L19" s="1269">
        <f t="shared" si="3"/>
        <v>0</v>
      </c>
      <c r="M19" s="1269">
        <f t="shared" si="3"/>
        <v>0</v>
      </c>
      <c r="N19" s="1269">
        <f t="shared" si="3"/>
        <v>0</v>
      </c>
      <c r="O19" s="1269">
        <f t="shared" si="3"/>
        <v>0</v>
      </c>
      <c r="P19" s="1269">
        <f t="shared" si="3"/>
        <v>0</v>
      </c>
      <c r="Q19" s="1269">
        <f t="shared" si="3"/>
        <v>0</v>
      </c>
      <c r="R19" s="1269">
        <f t="shared" si="3"/>
        <v>0</v>
      </c>
      <c r="S19" s="1269">
        <f t="shared" si="3"/>
        <v>0</v>
      </c>
      <c r="T19" s="1269">
        <f t="shared" si="3"/>
        <v>0</v>
      </c>
      <c r="U19" s="1269">
        <f t="shared" si="3"/>
        <v>0</v>
      </c>
      <c r="V19" s="1278">
        <f t="shared" si="2"/>
        <v>0</v>
      </c>
      <c r="W19" s="1269">
        <f t="shared" si="3"/>
        <v>0</v>
      </c>
      <c r="X19" s="1269">
        <f t="shared" si="3"/>
        <v>0</v>
      </c>
      <c r="Y19" s="1269">
        <f t="shared" si="3"/>
        <v>0</v>
      </c>
      <c r="Z19" s="1269">
        <f t="shared" si="3"/>
        <v>0</v>
      </c>
      <c r="AA19" s="1269">
        <f t="shared" si="3"/>
        <v>0</v>
      </c>
      <c r="AB19" s="1275"/>
    </row>
    <row r="20" spans="1:28" s="1265" customFormat="1" x14ac:dyDescent="0.25">
      <c r="A20" s="1266">
        <v>2</v>
      </c>
      <c r="B20" s="1267" t="s">
        <v>2286</v>
      </c>
      <c r="C20" s="1269">
        <f>C21+C25+C29+C33+C37</f>
        <v>2168680833</v>
      </c>
      <c r="D20" s="1269">
        <f t="shared" ref="D20:AA20" si="4">D21+D25+D29+D33+D37</f>
        <v>1159483687</v>
      </c>
      <c r="E20" s="1269">
        <f t="shared" si="4"/>
        <v>802961146</v>
      </c>
      <c r="F20" s="1269">
        <f t="shared" si="4"/>
        <v>206236000</v>
      </c>
      <c r="G20" s="1269">
        <f t="shared" si="4"/>
        <v>0</v>
      </c>
      <c r="H20" s="1269">
        <f t="shared" si="4"/>
        <v>18802000000</v>
      </c>
      <c r="I20" s="1269">
        <f t="shared" si="4"/>
        <v>14011000000</v>
      </c>
      <c r="J20" s="1269">
        <f t="shared" si="4"/>
        <v>4791000000</v>
      </c>
      <c r="K20" s="1269">
        <f t="shared" si="4"/>
        <v>20970680833</v>
      </c>
      <c r="L20" s="1269">
        <f t="shared" si="4"/>
        <v>15973444833</v>
      </c>
      <c r="M20" s="1269">
        <f t="shared" si="4"/>
        <v>4997236000</v>
      </c>
      <c r="N20" s="1269">
        <f t="shared" si="4"/>
        <v>18220386336</v>
      </c>
      <c r="O20" s="1269">
        <f t="shared" si="4"/>
        <v>440192410</v>
      </c>
      <c r="P20" s="1269">
        <f t="shared" si="4"/>
        <v>13184192474</v>
      </c>
      <c r="Q20" s="1269">
        <f t="shared" si="4"/>
        <v>0</v>
      </c>
      <c r="R20" s="1269">
        <f t="shared" si="4"/>
        <v>4596001452</v>
      </c>
      <c r="S20" s="1269">
        <f t="shared" si="4"/>
        <v>347384000</v>
      </c>
      <c r="T20" s="1269">
        <f t="shared" si="4"/>
        <v>141148000</v>
      </c>
      <c r="U20" s="1269">
        <f t="shared" si="4"/>
        <v>206236000</v>
      </c>
      <c r="V20" s="1277">
        <f t="shared" si="2"/>
        <v>2402910497</v>
      </c>
      <c r="W20" s="1269">
        <f t="shared" si="4"/>
        <v>1381104423</v>
      </c>
      <c r="X20" s="1269">
        <f t="shared" si="4"/>
        <v>712853159</v>
      </c>
      <c r="Y20" s="1269">
        <f t="shared" si="4"/>
        <v>113954367</v>
      </c>
      <c r="Z20" s="1269">
        <f t="shared" si="4"/>
        <v>194998548</v>
      </c>
      <c r="AA20" s="1269">
        <f t="shared" si="4"/>
        <v>0</v>
      </c>
      <c r="AB20" s="1264">
        <f>AB18-R16</f>
        <v>0</v>
      </c>
    </row>
    <row r="21" spans="1:28" s="1265" customFormat="1" ht="31.5" x14ac:dyDescent="0.25">
      <c r="A21" s="1266" t="s">
        <v>902</v>
      </c>
      <c r="B21" s="1267" t="s">
        <v>2287</v>
      </c>
      <c r="C21" s="1269">
        <f>SUM(C22:C24)</f>
        <v>1985409833</v>
      </c>
      <c r="D21" s="1269">
        <f t="shared" ref="D21:M21" si="5">SUM(D22:D24)</f>
        <v>1159483687</v>
      </c>
      <c r="E21" s="1269">
        <f t="shared" si="5"/>
        <v>802961146</v>
      </c>
      <c r="F21" s="1269">
        <f t="shared" si="5"/>
        <v>22965000</v>
      </c>
      <c r="G21" s="1269">
        <f t="shared" si="5"/>
        <v>0</v>
      </c>
      <c r="H21" s="1269">
        <f t="shared" si="5"/>
        <v>14955000000</v>
      </c>
      <c r="I21" s="1269">
        <f t="shared" si="5"/>
        <v>14011000000</v>
      </c>
      <c r="J21" s="1269">
        <f t="shared" si="5"/>
        <v>944000000</v>
      </c>
      <c r="K21" s="1269">
        <f t="shared" si="5"/>
        <v>16940409833</v>
      </c>
      <c r="L21" s="1269">
        <f t="shared" si="5"/>
        <v>15973444833</v>
      </c>
      <c r="M21" s="1269">
        <f t="shared" si="5"/>
        <v>966965000</v>
      </c>
      <c r="N21" s="1269">
        <f>SUM(N22:N24)</f>
        <v>14551418445</v>
      </c>
      <c r="O21" s="1269">
        <f t="shared" ref="O21:Z21" si="6">SUM(O22:O24)</f>
        <v>440192410</v>
      </c>
      <c r="P21" s="1269">
        <f t="shared" si="6"/>
        <v>13184192474</v>
      </c>
      <c r="Q21" s="1269">
        <f t="shared" si="6"/>
        <v>0</v>
      </c>
      <c r="R21" s="1269">
        <f t="shared" si="6"/>
        <v>927033561</v>
      </c>
      <c r="S21" s="1269">
        <f t="shared" si="6"/>
        <v>164113000</v>
      </c>
      <c r="T21" s="1269">
        <f t="shared" si="6"/>
        <v>141148000</v>
      </c>
      <c r="U21" s="1269">
        <f t="shared" si="6"/>
        <v>22965000</v>
      </c>
      <c r="V21" s="1277">
        <f t="shared" si="2"/>
        <v>2224878388</v>
      </c>
      <c r="W21" s="1269">
        <f t="shared" si="6"/>
        <v>1381104423</v>
      </c>
      <c r="X21" s="1269">
        <f t="shared" si="6"/>
        <v>712853159</v>
      </c>
      <c r="Y21" s="1269">
        <f t="shared" si="6"/>
        <v>113954367</v>
      </c>
      <c r="Z21" s="1269">
        <f t="shared" si="6"/>
        <v>16966439</v>
      </c>
      <c r="AA21" s="1269">
        <f>SUM(AA22:AA24)*0.3</f>
        <v>0</v>
      </c>
      <c r="AB21" s="1264"/>
    </row>
    <row r="22" spans="1:28" s="1454" customFormat="1" x14ac:dyDescent="0.25">
      <c r="A22" s="1450" t="s">
        <v>882</v>
      </c>
      <c r="B22" s="1451" t="s">
        <v>341</v>
      </c>
      <c r="C22" s="1452">
        <f>SUM(D22:G22)</f>
        <v>1985409833</v>
      </c>
      <c r="D22" s="1452">
        <v>1159483687</v>
      </c>
      <c r="E22" s="1452">
        <v>802961146</v>
      </c>
      <c r="F22" s="1452">
        <v>22965000</v>
      </c>
      <c r="G22" s="1452"/>
      <c r="H22" s="1452">
        <f>I22+J22</f>
        <v>14955000000</v>
      </c>
      <c r="I22" s="1452">
        <v>14011000000</v>
      </c>
      <c r="J22" s="1452">
        <f>849000000+95000000</f>
        <v>944000000</v>
      </c>
      <c r="K22" s="1452">
        <f>L22+M22</f>
        <v>16940409833</v>
      </c>
      <c r="L22" s="1452">
        <f>I22+D22+E22</f>
        <v>15973444833</v>
      </c>
      <c r="M22" s="1452">
        <f>F22+G22+J22</f>
        <v>966965000</v>
      </c>
      <c r="N22" s="1452">
        <f t="shared" ref="N22:N32" si="7">O22+P22+Q22+R22</f>
        <v>14551418445</v>
      </c>
      <c r="O22" s="1452">
        <v>440192410</v>
      </c>
      <c r="P22" s="1452">
        <v>13184192474</v>
      </c>
      <c r="Q22" s="1452"/>
      <c r="R22" s="1452">
        <v>927033561</v>
      </c>
      <c r="S22" s="1452">
        <f t="shared" ref="S22:S32" si="8">T22+U22</f>
        <v>164113000</v>
      </c>
      <c r="T22" s="1452">
        <v>141148000</v>
      </c>
      <c r="U22" s="1452">
        <v>22965000</v>
      </c>
      <c r="V22" s="1452">
        <f t="shared" si="2"/>
        <v>2224878388</v>
      </c>
      <c r="W22" s="1452">
        <f>D22+E22-O22-T22</f>
        <v>1381104423</v>
      </c>
      <c r="X22" s="1452">
        <f>I22-P22-Y22</f>
        <v>712853159</v>
      </c>
      <c r="Y22" s="1452">
        <v>113954367</v>
      </c>
      <c r="Z22" s="1452">
        <f>J22-R22</f>
        <v>16966439</v>
      </c>
      <c r="AA22" s="1452"/>
      <c r="AB22" s="1453">
        <f>E22-O22</f>
        <v>362768736</v>
      </c>
    </row>
    <row r="23" spans="1:28" s="1276" customFormat="1" x14ac:dyDescent="0.25">
      <c r="A23" s="1272" t="s">
        <v>882</v>
      </c>
      <c r="B23" s="1273" t="s">
        <v>546</v>
      </c>
      <c r="C23" s="1269">
        <f>SUM(D23:G23)</f>
        <v>0</v>
      </c>
      <c r="D23" s="1274"/>
      <c r="E23" s="1274"/>
      <c r="F23" s="1274"/>
      <c r="G23" s="1274"/>
      <c r="H23" s="1269">
        <f>I23+J23</f>
        <v>0</v>
      </c>
      <c r="I23" s="1274"/>
      <c r="J23" s="1274"/>
      <c r="K23" s="1269">
        <f>L23+M23</f>
        <v>0</v>
      </c>
      <c r="L23" s="1278">
        <f t="shared" ref="L23:L38" si="9">I23+D23+E23</f>
        <v>0</v>
      </c>
      <c r="M23" s="1278">
        <f t="shared" ref="M23:M38" si="10">F23+G23+J23</f>
        <v>0</v>
      </c>
      <c r="N23" s="1269">
        <f t="shared" si="7"/>
        <v>0</v>
      </c>
      <c r="O23" s="1274"/>
      <c r="P23" s="1274"/>
      <c r="Q23" s="1274"/>
      <c r="R23" s="1274"/>
      <c r="S23" s="1269">
        <f t="shared" si="8"/>
        <v>0</v>
      </c>
      <c r="T23" s="1274"/>
      <c r="U23" s="1274"/>
      <c r="V23" s="1278">
        <f t="shared" ref="V23:V40" si="11">SUM(W23:AA23)</f>
        <v>0</v>
      </c>
      <c r="W23" s="1278">
        <f t="shared" ref="W23:W38" si="12">D23+E23-O23-T23</f>
        <v>0</v>
      </c>
      <c r="X23" s="1278">
        <f t="shared" ref="X23:X38" si="13">I23-P23-Y23</f>
        <v>0</v>
      </c>
      <c r="Y23" s="1274"/>
      <c r="Z23" s="1278">
        <f t="shared" ref="Z23:Z37" si="14">J23-R23</f>
        <v>0</v>
      </c>
      <c r="AA23" s="1274"/>
      <c r="AB23" s="1275"/>
    </row>
    <row r="24" spans="1:28" s="1276" customFormat="1" x14ac:dyDescent="0.25">
      <c r="A24" s="1272" t="s">
        <v>882</v>
      </c>
      <c r="B24" s="1273" t="s">
        <v>129</v>
      </c>
      <c r="C24" s="1269">
        <f>SUM(D24:G24)</f>
        <v>0</v>
      </c>
      <c r="D24" s="1274"/>
      <c r="E24" s="1274"/>
      <c r="F24" s="1274"/>
      <c r="G24" s="1274"/>
      <c r="H24" s="1269">
        <f>I24+J24</f>
        <v>0</v>
      </c>
      <c r="I24" s="1274"/>
      <c r="J24" s="1274"/>
      <c r="K24" s="1269">
        <f>L24+M24</f>
        <v>0</v>
      </c>
      <c r="L24" s="1278">
        <f t="shared" si="9"/>
        <v>0</v>
      </c>
      <c r="M24" s="1278">
        <f t="shared" si="10"/>
        <v>0</v>
      </c>
      <c r="N24" s="1269">
        <f t="shared" si="7"/>
        <v>0</v>
      </c>
      <c r="O24" s="1274"/>
      <c r="P24" s="1274"/>
      <c r="Q24" s="1274"/>
      <c r="R24" s="1274"/>
      <c r="S24" s="1269">
        <f t="shared" si="8"/>
        <v>0</v>
      </c>
      <c r="T24" s="1274"/>
      <c r="U24" s="1274"/>
      <c r="V24" s="1278">
        <f t="shared" si="11"/>
        <v>0</v>
      </c>
      <c r="W24" s="1278">
        <f t="shared" si="12"/>
        <v>0</v>
      </c>
      <c r="X24" s="1278">
        <f t="shared" si="13"/>
        <v>0</v>
      </c>
      <c r="Y24" s="1274"/>
      <c r="Z24" s="1278">
        <f t="shared" si="14"/>
        <v>0</v>
      </c>
      <c r="AA24" s="1274"/>
      <c r="AB24" s="1275"/>
    </row>
    <row r="25" spans="1:28" s="1265" customFormat="1" ht="63" x14ac:dyDescent="0.25">
      <c r="A25" s="1266" t="s">
        <v>903</v>
      </c>
      <c r="B25" s="1267" t="s">
        <v>2288</v>
      </c>
      <c r="C25" s="1269">
        <f>SUM(C26:C28)</f>
        <v>176289000</v>
      </c>
      <c r="D25" s="1269">
        <f t="shared" ref="D25:AA25" si="15">SUM(D26:D28)</f>
        <v>0</v>
      </c>
      <c r="E25" s="1269">
        <f t="shared" si="15"/>
        <v>0</v>
      </c>
      <c r="F25" s="1269">
        <f t="shared" si="15"/>
        <v>176289000</v>
      </c>
      <c r="G25" s="1269">
        <f t="shared" si="15"/>
        <v>0</v>
      </c>
      <c r="H25" s="1269">
        <f t="shared" si="15"/>
        <v>3552000000</v>
      </c>
      <c r="I25" s="1269">
        <f t="shared" si="15"/>
        <v>0</v>
      </c>
      <c r="J25" s="1269">
        <f t="shared" si="15"/>
        <v>3552000000</v>
      </c>
      <c r="K25" s="1269">
        <f t="shared" si="15"/>
        <v>3728289000</v>
      </c>
      <c r="L25" s="1278">
        <f t="shared" si="9"/>
        <v>0</v>
      </c>
      <c r="M25" s="1278">
        <f t="shared" si="10"/>
        <v>3728289000</v>
      </c>
      <c r="N25" s="1269">
        <f t="shared" si="15"/>
        <v>3391723789</v>
      </c>
      <c r="O25" s="1269">
        <f t="shared" si="15"/>
        <v>0</v>
      </c>
      <c r="P25" s="1269">
        <f t="shared" si="15"/>
        <v>0</v>
      </c>
      <c r="Q25" s="1269">
        <f t="shared" si="15"/>
        <v>0</v>
      </c>
      <c r="R25" s="1269">
        <f t="shared" si="15"/>
        <v>3391723789</v>
      </c>
      <c r="S25" s="1269">
        <f t="shared" si="15"/>
        <v>176289000</v>
      </c>
      <c r="T25" s="1269">
        <f t="shared" si="15"/>
        <v>0</v>
      </c>
      <c r="U25" s="1269">
        <f t="shared" si="15"/>
        <v>176289000</v>
      </c>
      <c r="V25" s="1277">
        <f t="shared" si="11"/>
        <v>160276211</v>
      </c>
      <c r="W25" s="1278">
        <f t="shared" si="12"/>
        <v>0</v>
      </c>
      <c r="X25" s="1278">
        <f t="shared" si="13"/>
        <v>0</v>
      </c>
      <c r="Y25" s="1269">
        <f t="shared" si="15"/>
        <v>0</v>
      </c>
      <c r="Z25" s="1278">
        <f>J25-R25</f>
        <v>160276211</v>
      </c>
      <c r="AA25" s="1269">
        <f t="shared" si="15"/>
        <v>0</v>
      </c>
      <c r="AB25" s="1264"/>
    </row>
    <row r="26" spans="1:28" s="1276" customFormat="1" x14ac:dyDescent="0.25">
      <c r="A26" s="1272" t="s">
        <v>882</v>
      </c>
      <c r="B26" s="1273" t="s">
        <v>341</v>
      </c>
      <c r="C26" s="1269">
        <f>SUM(D26:G26)</f>
        <v>176289000</v>
      </c>
      <c r="D26" s="1274"/>
      <c r="E26" s="1274"/>
      <c r="F26" s="1274">
        <f>176289000</f>
        <v>176289000</v>
      </c>
      <c r="G26" s="1274"/>
      <c r="H26" s="1269">
        <f>I26+J26</f>
        <v>3552000000</v>
      </c>
      <c r="I26" s="1274"/>
      <c r="J26" s="1274">
        <f>244000000+3308000000</f>
        <v>3552000000</v>
      </c>
      <c r="K26" s="1269">
        <f>L26+M26</f>
        <v>3728289000</v>
      </c>
      <c r="L26" s="1278">
        <f t="shared" si="9"/>
        <v>0</v>
      </c>
      <c r="M26" s="1278">
        <f t="shared" si="10"/>
        <v>3728289000</v>
      </c>
      <c r="N26" s="1269">
        <f t="shared" si="7"/>
        <v>3391723789</v>
      </c>
      <c r="O26" s="1274"/>
      <c r="P26" s="1274"/>
      <c r="Q26" s="1274"/>
      <c r="R26" s="1274">
        <f>3264563789+127160000</f>
        <v>3391723789</v>
      </c>
      <c r="S26" s="1269">
        <f t="shared" si="8"/>
        <v>176289000</v>
      </c>
      <c r="T26" s="1274"/>
      <c r="U26" s="1274">
        <f>C26</f>
        <v>176289000</v>
      </c>
      <c r="V26" s="1278">
        <f t="shared" si="11"/>
        <v>160276211</v>
      </c>
      <c r="W26" s="1278">
        <f t="shared" si="12"/>
        <v>0</v>
      </c>
      <c r="X26" s="1278">
        <f t="shared" si="13"/>
        <v>0</v>
      </c>
      <c r="Y26" s="1274"/>
      <c r="Z26" s="1278">
        <f t="shared" si="14"/>
        <v>160276211</v>
      </c>
      <c r="AA26" s="1274"/>
      <c r="AB26" s="1275"/>
    </row>
    <row r="27" spans="1:28" s="1276" customFormat="1" x14ac:dyDescent="0.25">
      <c r="A27" s="1272" t="s">
        <v>882</v>
      </c>
      <c r="B27" s="1273" t="s">
        <v>546</v>
      </c>
      <c r="C27" s="1269">
        <f>SUM(D27:G27)</f>
        <v>0</v>
      </c>
      <c r="D27" s="1274"/>
      <c r="E27" s="1274"/>
      <c r="F27" s="1274"/>
      <c r="G27" s="1274"/>
      <c r="H27" s="1269">
        <f>I27+J27</f>
        <v>0</v>
      </c>
      <c r="I27" s="1274"/>
      <c r="J27" s="1274"/>
      <c r="K27" s="1269">
        <f>L27+M27</f>
        <v>0</v>
      </c>
      <c r="L27" s="1278">
        <f t="shared" si="9"/>
        <v>0</v>
      </c>
      <c r="M27" s="1278">
        <f t="shared" si="10"/>
        <v>0</v>
      </c>
      <c r="N27" s="1269">
        <f t="shared" si="7"/>
        <v>0</v>
      </c>
      <c r="O27" s="1274"/>
      <c r="P27" s="1274"/>
      <c r="Q27" s="1274"/>
      <c r="R27" s="1274"/>
      <c r="S27" s="1269">
        <f t="shared" si="8"/>
        <v>0</v>
      </c>
      <c r="T27" s="1274"/>
      <c r="U27" s="1274"/>
      <c r="V27" s="1278">
        <f t="shared" si="11"/>
        <v>0</v>
      </c>
      <c r="W27" s="1278">
        <f t="shared" si="12"/>
        <v>0</v>
      </c>
      <c r="X27" s="1278">
        <f t="shared" si="13"/>
        <v>0</v>
      </c>
      <c r="Y27" s="1274"/>
      <c r="Z27" s="1278">
        <f t="shared" si="14"/>
        <v>0</v>
      </c>
      <c r="AA27" s="1274"/>
      <c r="AB27" s="1275"/>
    </row>
    <row r="28" spans="1:28" s="1276" customFormat="1" x14ac:dyDescent="0.25">
      <c r="A28" s="1272" t="s">
        <v>882</v>
      </c>
      <c r="B28" s="1273" t="s">
        <v>129</v>
      </c>
      <c r="C28" s="1269">
        <f>SUM(D28:G28)</f>
        <v>0</v>
      </c>
      <c r="D28" s="1274"/>
      <c r="E28" s="1274"/>
      <c r="F28" s="1274"/>
      <c r="G28" s="1274"/>
      <c r="H28" s="1269">
        <f>I28+J28</f>
        <v>0</v>
      </c>
      <c r="I28" s="1274"/>
      <c r="J28" s="1274"/>
      <c r="K28" s="1269">
        <f>L28+M28</f>
        <v>0</v>
      </c>
      <c r="L28" s="1278">
        <f t="shared" si="9"/>
        <v>0</v>
      </c>
      <c r="M28" s="1278">
        <f t="shared" si="10"/>
        <v>0</v>
      </c>
      <c r="N28" s="1269">
        <f t="shared" si="7"/>
        <v>0</v>
      </c>
      <c r="O28" s="1274"/>
      <c r="P28" s="1274"/>
      <c r="Q28" s="1274"/>
      <c r="R28" s="1274"/>
      <c r="S28" s="1269">
        <f t="shared" si="8"/>
        <v>0</v>
      </c>
      <c r="T28" s="1274"/>
      <c r="U28" s="1274"/>
      <c r="V28" s="1278">
        <f t="shared" si="11"/>
        <v>0</v>
      </c>
      <c r="W28" s="1278">
        <f t="shared" si="12"/>
        <v>0</v>
      </c>
      <c r="X28" s="1278">
        <f t="shared" si="13"/>
        <v>0</v>
      </c>
      <c r="Y28" s="1274"/>
      <c r="Z28" s="1278">
        <f t="shared" si="14"/>
        <v>0</v>
      </c>
      <c r="AA28" s="1274"/>
      <c r="AB28" s="1275"/>
    </row>
    <row r="29" spans="1:28" s="1265" customFormat="1" ht="52.5" x14ac:dyDescent="0.15">
      <c r="A29" s="1270" t="s">
        <v>910</v>
      </c>
      <c r="B29" s="1279" t="s">
        <v>2289</v>
      </c>
      <c r="C29" s="1269">
        <f>SUM(C30:C32)</f>
        <v>40000</v>
      </c>
      <c r="D29" s="1269">
        <f t="shared" ref="D29:AA29" si="16">SUM(D30:D32)</f>
        <v>0</v>
      </c>
      <c r="E29" s="1269">
        <f t="shared" si="16"/>
        <v>0</v>
      </c>
      <c r="F29" s="1269">
        <f t="shared" si="16"/>
        <v>40000</v>
      </c>
      <c r="G29" s="1269">
        <f t="shared" si="16"/>
        <v>0</v>
      </c>
      <c r="H29" s="1269">
        <f t="shared" si="16"/>
        <v>160000000</v>
      </c>
      <c r="I29" s="1269">
        <f t="shared" si="16"/>
        <v>0</v>
      </c>
      <c r="J29" s="1269">
        <f t="shared" si="16"/>
        <v>160000000</v>
      </c>
      <c r="K29" s="1269">
        <f t="shared" si="16"/>
        <v>160040000</v>
      </c>
      <c r="L29" s="1278">
        <f t="shared" si="9"/>
        <v>0</v>
      </c>
      <c r="M29" s="1278">
        <f t="shared" si="10"/>
        <v>160040000</v>
      </c>
      <c r="N29" s="1269">
        <f t="shared" si="16"/>
        <v>160000000</v>
      </c>
      <c r="O29" s="1269">
        <f t="shared" si="16"/>
        <v>0</v>
      </c>
      <c r="P29" s="1269">
        <f t="shared" si="16"/>
        <v>0</v>
      </c>
      <c r="Q29" s="1269">
        <f t="shared" si="16"/>
        <v>0</v>
      </c>
      <c r="R29" s="1269">
        <f>SUM(R30:R32)</f>
        <v>160000000</v>
      </c>
      <c r="S29" s="1269">
        <f t="shared" si="16"/>
        <v>40000</v>
      </c>
      <c r="T29" s="1269">
        <f>SUM(T30:T32)</f>
        <v>0</v>
      </c>
      <c r="U29" s="1269">
        <f t="shared" si="16"/>
        <v>40000</v>
      </c>
      <c r="V29" s="1278">
        <f t="shared" si="11"/>
        <v>0</v>
      </c>
      <c r="W29" s="1278">
        <f t="shared" si="12"/>
        <v>0</v>
      </c>
      <c r="X29" s="1278">
        <f t="shared" si="13"/>
        <v>0</v>
      </c>
      <c r="Y29" s="1269">
        <f t="shared" si="16"/>
        <v>0</v>
      </c>
      <c r="Z29" s="1278">
        <f t="shared" si="14"/>
        <v>0</v>
      </c>
      <c r="AA29" s="1269">
        <f t="shared" si="16"/>
        <v>0</v>
      </c>
      <c r="AB29" s="1264"/>
    </row>
    <row r="30" spans="1:28" s="1276" customFormat="1" x14ac:dyDescent="0.25">
      <c r="A30" s="1272" t="s">
        <v>882</v>
      </c>
      <c r="B30" s="1273" t="s">
        <v>341</v>
      </c>
      <c r="C30" s="1269">
        <f>SUM(D30:G30)</f>
        <v>40000</v>
      </c>
      <c r="D30" s="1274"/>
      <c r="E30" s="1274"/>
      <c r="F30" s="1274">
        <f>0.04*1000000</f>
        <v>40000</v>
      </c>
      <c r="G30" s="1274"/>
      <c r="H30" s="1269">
        <f>I30+J30</f>
        <v>160000000</v>
      </c>
      <c r="I30" s="1274"/>
      <c r="J30" s="1274">
        <v>160000000</v>
      </c>
      <c r="K30" s="1269">
        <f>L30+M30</f>
        <v>160040000</v>
      </c>
      <c r="L30" s="1278">
        <f t="shared" si="9"/>
        <v>0</v>
      </c>
      <c r="M30" s="1278">
        <f t="shared" si="10"/>
        <v>160040000</v>
      </c>
      <c r="N30" s="1269">
        <f t="shared" si="7"/>
        <v>160000000</v>
      </c>
      <c r="O30" s="1274"/>
      <c r="P30" s="1274"/>
      <c r="Q30" s="1274"/>
      <c r="R30" s="1274">
        <v>160000000</v>
      </c>
      <c r="S30" s="1269">
        <f t="shared" si="8"/>
        <v>40000</v>
      </c>
      <c r="T30" s="1274"/>
      <c r="U30" s="1274">
        <v>40000</v>
      </c>
      <c r="V30" s="1278">
        <f t="shared" si="11"/>
        <v>0</v>
      </c>
      <c r="W30" s="1278">
        <f t="shared" si="12"/>
        <v>0</v>
      </c>
      <c r="X30" s="1278">
        <f t="shared" si="13"/>
        <v>0</v>
      </c>
      <c r="Y30" s="1274"/>
      <c r="Z30" s="1278">
        <f t="shared" si="14"/>
        <v>0</v>
      </c>
      <c r="AA30" s="1274"/>
      <c r="AB30" s="1275"/>
    </row>
    <row r="31" spans="1:28" s="1276" customFormat="1" x14ac:dyDescent="0.25">
      <c r="A31" s="1272" t="s">
        <v>882</v>
      </c>
      <c r="B31" s="1273" t="s">
        <v>546</v>
      </c>
      <c r="C31" s="1269">
        <f>SUM(D31:G31)</f>
        <v>0</v>
      </c>
      <c r="D31" s="1274"/>
      <c r="E31" s="1274"/>
      <c r="F31" s="1274"/>
      <c r="G31" s="1274"/>
      <c r="H31" s="1269">
        <f>I31+J31</f>
        <v>0</v>
      </c>
      <c r="I31" s="1274"/>
      <c r="J31" s="1274"/>
      <c r="K31" s="1269">
        <f>L31+M31</f>
        <v>0</v>
      </c>
      <c r="L31" s="1278">
        <f t="shared" si="9"/>
        <v>0</v>
      </c>
      <c r="M31" s="1278">
        <f t="shared" si="10"/>
        <v>0</v>
      </c>
      <c r="N31" s="1269">
        <f t="shared" si="7"/>
        <v>0</v>
      </c>
      <c r="O31" s="1274"/>
      <c r="P31" s="1274"/>
      <c r="Q31" s="1274"/>
      <c r="R31" s="1274"/>
      <c r="S31" s="1269">
        <f t="shared" si="8"/>
        <v>0</v>
      </c>
      <c r="T31" s="1274"/>
      <c r="U31" s="1274"/>
      <c r="V31" s="1278">
        <f t="shared" si="11"/>
        <v>0</v>
      </c>
      <c r="W31" s="1278">
        <f t="shared" si="12"/>
        <v>0</v>
      </c>
      <c r="X31" s="1278">
        <f t="shared" si="13"/>
        <v>0</v>
      </c>
      <c r="Y31" s="1274"/>
      <c r="Z31" s="1278">
        <f t="shared" si="14"/>
        <v>0</v>
      </c>
      <c r="AA31" s="1274"/>
      <c r="AB31" s="1275"/>
    </row>
    <row r="32" spans="1:28" s="1276" customFormat="1" x14ac:dyDescent="0.25">
      <c r="A32" s="1272" t="s">
        <v>882</v>
      </c>
      <c r="B32" s="1273" t="s">
        <v>129</v>
      </c>
      <c r="C32" s="1269">
        <f>SUM(D32:G32)</f>
        <v>0</v>
      </c>
      <c r="D32" s="1274"/>
      <c r="E32" s="1274"/>
      <c r="F32" s="1274"/>
      <c r="G32" s="1274"/>
      <c r="H32" s="1269">
        <f>I32+J32</f>
        <v>0</v>
      </c>
      <c r="I32" s="1274"/>
      <c r="J32" s="1274"/>
      <c r="K32" s="1269">
        <f>L32+M32</f>
        <v>0</v>
      </c>
      <c r="L32" s="1278">
        <f t="shared" si="9"/>
        <v>0</v>
      </c>
      <c r="M32" s="1278">
        <f t="shared" si="10"/>
        <v>0</v>
      </c>
      <c r="N32" s="1269">
        <f t="shared" si="7"/>
        <v>0</v>
      </c>
      <c r="O32" s="1274"/>
      <c r="P32" s="1274"/>
      <c r="Q32" s="1274"/>
      <c r="R32" s="1274"/>
      <c r="S32" s="1269">
        <f t="shared" si="8"/>
        <v>0</v>
      </c>
      <c r="T32" s="1274"/>
      <c r="U32" s="1274"/>
      <c r="V32" s="1278">
        <f t="shared" si="11"/>
        <v>0</v>
      </c>
      <c r="W32" s="1278">
        <f t="shared" si="12"/>
        <v>0</v>
      </c>
      <c r="X32" s="1278">
        <f t="shared" si="13"/>
        <v>0</v>
      </c>
      <c r="Y32" s="1274"/>
      <c r="Z32" s="1278">
        <f t="shared" si="14"/>
        <v>0</v>
      </c>
      <c r="AA32" s="1274"/>
      <c r="AB32" s="1275"/>
    </row>
    <row r="33" spans="1:28" s="1276" customFormat="1" ht="21" x14ac:dyDescent="0.15">
      <c r="A33" s="1272"/>
      <c r="B33" s="1279" t="s">
        <v>2290</v>
      </c>
      <c r="C33" s="1269">
        <f>SUM(C34:C36)</f>
        <v>942000</v>
      </c>
      <c r="D33" s="1269">
        <f t="shared" ref="D33:AA33" si="17">SUM(D34:D36)</f>
        <v>0</v>
      </c>
      <c r="E33" s="1269">
        <f t="shared" si="17"/>
        <v>0</v>
      </c>
      <c r="F33" s="1269">
        <f t="shared" si="17"/>
        <v>942000</v>
      </c>
      <c r="G33" s="1269">
        <f t="shared" si="17"/>
        <v>0</v>
      </c>
      <c r="H33" s="1269">
        <f t="shared" si="17"/>
        <v>39000000</v>
      </c>
      <c r="I33" s="1269">
        <f t="shared" si="17"/>
        <v>0</v>
      </c>
      <c r="J33" s="1269">
        <f t="shared" si="17"/>
        <v>39000000</v>
      </c>
      <c r="K33" s="1269">
        <f t="shared" si="17"/>
        <v>39942000</v>
      </c>
      <c r="L33" s="1278">
        <f t="shared" si="9"/>
        <v>0</v>
      </c>
      <c r="M33" s="1278">
        <f t="shared" si="10"/>
        <v>39942000</v>
      </c>
      <c r="N33" s="1269">
        <f t="shared" si="17"/>
        <v>30177000</v>
      </c>
      <c r="O33" s="1269">
        <f t="shared" si="17"/>
        <v>0</v>
      </c>
      <c r="P33" s="1269">
        <f t="shared" si="17"/>
        <v>0</v>
      </c>
      <c r="Q33" s="1269">
        <f t="shared" si="17"/>
        <v>0</v>
      </c>
      <c r="R33" s="1269">
        <f t="shared" si="17"/>
        <v>30177000</v>
      </c>
      <c r="S33" s="1269">
        <f t="shared" si="17"/>
        <v>942000</v>
      </c>
      <c r="T33" s="1269">
        <f t="shared" si="17"/>
        <v>0</v>
      </c>
      <c r="U33" s="1269">
        <f t="shared" si="17"/>
        <v>942000</v>
      </c>
      <c r="V33" s="1278">
        <f t="shared" si="11"/>
        <v>8823000</v>
      </c>
      <c r="W33" s="1278">
        <f t="shared" si="12"/>
        <v>0</v>
      </c>
      <c r="X33" s="1278">
        <f t="shared" si="13"/>
        <v>0</v>
      </c>
      <c r="Y33" s="1269">
        <f t="shared" si="17"/>
        <v>0</v>
      </c>
      <c r="Z33" s="1278">
        <f t="shared" si="14"/>
        <v>8823000</v>
      </c>
      <c r="AA33" s="1269">
        <f t="shared" si="17"/>
        <v>0</v>
      </c>
      <c r="AB33" s="1275"/>
    </row>
    <row r="34" spans="1:28" s="1276" customFormat="1" x14ac:dyDescent="0.25">
      <c r="A34" s="1272"/>
      <c r="B34" s="1273" t="s">
        <v>341</v>
      </c>
      <c r="C34" s="1269">
        <f t="shared" ref="C34:C40" si="18">SUM(D34:G34)</f>
        <v>942000</v>
      </c>
      <c r="D34" s="1274"/>
      <c r="E34" s="1274"/>
      <c r="F34" s="1274">
        <f>0.942*1000000</f>
        <v>942000</v>
      </c>
      <c r="G34" s="1274"/>
      <c r="H34" s="1269">
        <f t="shared" ref="H34:H40" si="19">I34+J34</f>
        <v>39000000</v>
      </c>
      <c r="I34" s="1274"/>
      <c r="J34" s="1274">
        <v>39000000</v>
      </c>
      <c r="K34" s="1269">
        <f t="shared" ref="K34:K40" si="20">L34+M34</f>
        <v>39942000</v>
      </c>
      <c r="L34" s="1278">
        <f t="shared" si="9"/>
        <v>0</v>
      </c>
      <c r="M34" s="1278">
        <f t="shared" si="10"/>
        <v>39942000</v>
      </c>
      <c r="N34" s="1269">
        <f t="shared" ref="N34:N40" si="21">O34+P34+Q34+R34</f>
        <v>30177000</v>
      </c>
      <c r="O34" s="1274"/>
      <c r="P34" s="1274"/>
      <c r="Q34" s="1274"/>
      <c r="R34" s="1274">
        <v>30177000</v>
      </c>
      <c r="S34" s="1269">
        <f t="shared" ref="S34:S39" si="22">T34+U34</f>
        <v>942000</v>
      </c>
      <c r="T34" s="1274"/>
      <c r="U34" s="1274">
        <v>942000</v>
      </c>
      <c r="V34" s="1278">
        <f t="shared" si="11"/>
        <v>8823000</v>
      </c>
      <c r="W34" s="1278">
        <f t="shared" si="12"/>
        <v>0</v>
      </c>
      <c r="X34" s="1278">
        <f t="shared" si="13"/>
        <v>0</v>
      </c>
      <c r="Y34" s="1274"/>
      <c r="Z34" s="1278">
        <f t="shared" si="14"/>
        <v>8823000</v>
      </c>
      <c r="AA34" s="1274"/>
      <c r="AB34" s="1275"/>
    </row>
    <row r="35" spans="1:28" s="1276" customFormat="1" x14ac:dyDescent="0.25">
      <c r="A35" s="1272"/>
      <c r="B35" s="1273" t="s">
        <v>546</v>
      </c>
      <c r="C35" s="1269">
        <f t="shared" si="18"/>
        <v>0</v>
      </c>
      <c r="D35" s="1274"/>
      <c r="E35" s="1274"/>
      <c r="F35" s="1274"/>
      <c r="G35" s="1274"/>
      <c r="H35" s="1269">
        <f t="shared" si="19"/>
        <v>0</v>
      </c>
      <c r="I35" s="1274"/>
      <c r="J35" s="1274"/>
      <c r="K35" s="1269">
        <f t="shared" si="20"/>
        <v>0</v>
      </c>
      <c r="L35" s="1278">
        <f t="shared" si="9"/>
        <v>0</v>
      </c>
      <c r="M35" s="1278">
        <f t="shared" si="10"/>
        <v>0</v>
      </c>
      <c r="N35" s="1269">
        <f t="shared" si="21"/>
        <v>0</v>
      </c>
      <c r="O35" s="1274"/>
      <c r="P35" s="1274"/>
      <c r="Q35" s="1274"/>
      <c r="R35" s="1274"/>
      <c r="S35" s="1269">
        <f t="shared" si="22"/>
        <v>0</v>
      </c>
      <c r="T35" s="1274"/>
      <c r="U35" s="1274"/>
      <c r="V35" s="1278">
        <f t="shared" si="11"/>
        <v>0</v>
      </c>
      <c r="W35" s="1278">
        <f t="shared" si="12"/>
        <v>0</v>
      </c>
      <c r="X35" s="1278">
        <f t="shared" si="13"/>
        <v>0</v>
      </c>
      <c r="Y35" s="1274"/>
      <c r="Z35" s="1278">
        <f t="shared" si="14"/>
        <v>0</v>
      </c>
      <c r="AA35" s="1274"/>
      <c r="AB35" s="1275"/>
    </row>
    <row r="36" spans="1:28" s="1276" customFormat="1" x14ac:dyDescent="0.25">
      <c r="A36" s="1272"/>
      <c r="B36" s="1273" t="s">
        <v>129</v>
      </c>
      <c r="C36" s="1269">
        <f t="shared" si="18"/>
        <v>0</v>
      </c>
      <c r="D36" s="1274"/>
      <c r="E36" s="1274"/>
      <c r="F36" s="1274"/>
      <c r="G36" s="1274"/>
      <c r="H36" s="1269">
        <f t="shared" si="19"/>
        <v>0</v>
      </c>
      <c r="I36" s="1274"/>
      <c r="J36" s="1274"/>
      <c r="K36" s="1269">
        <f t="shared" si="20"/>
        <v>0</v>
      </c>
      <c r="L36" s="1278">
        <f t="shared" si="9"/>
        <v>0</v>
      </c>
      <c r="M36" s="1278">
        <f t="shared" si="10"/>
        <v>0</v>
      </c>
      <c r="N36" s="1269">
        <f t="shared" si="21"/>
        <v>0</v>
      </c>
      <c r="O36" s="1274"/>
      <c r="P36" s="1274"/>
      <c r="Q36" s="1274"/>
      <c r="R36" s="1274"/>
      <c r="S36" s="1269">
        <f t="shared" si="22"/>
        <v>0</v>
      </c>
      <c r="T36" s="1274"/>
      <c r="U36" s="1274"/>
      <c r="V36" s="1278">
        <f t="shared" si="11"/>
        <v>0</v>
      </c>
      <c r="W36" s="1278">
        <f t="shared" si="12"/>
        <v>0</v>
      </c>
      <c r="X36" s="1278">
        <f t="shared" si="13"/>
        <v>0</v>
      </c>
      <c r="Y36" s="1274"/>
      <c r="Z36" s="1278">
        <f t="shared" si="14"/>
        <v>0</v>
      </c>
      <c r="AA36" s="1274"/>
      <c r="AB36" s="1275"/>
    </row>
    <row r="37" spans="1:28" s="1276" customFormat="1" ht="31.5" x14ac:dyDescent="0.15">
      <c r="A37" s="1272"/>
      <c r="B37" s="1280" t="s">
        <v>2291</v>
      </c>
      <c r="C37" s="1269">
        <f>SUM(C38:C40)</f>
        <v>6000000</v>
      </c>
      <c r="D37" s="1269">
        <f t="shared" ref="D37:AA37" si="23">SUM(D38:D40)</f>
        <v>0</v>
      </c>
      <c r="E37" s="1269">
        <f t="shared" si="23"/>
        <v>0</v>
      </c>
      <c r="F37" s="1269">
        <f t="shared" si="23"/>
        <v>6000000</v>
      </c>
      <c r="G37" s="1269">
        <f t="shared" si="23"/>
        <v>0</v>
      </c>
      <c r="H37" s="1269">
        <f t="shared" si="23"/>
        <v>96000000</v>
      </c>
      <c r="I37" s="1269">
        <f t="shared" si="23"/>
        <v>0</v>
      </c>
      <c r="J37" s="1269">
        <f t="shared" si="23"/>
        <v>96000000</v>
      </c>
      <c r="K37" s="1269">
        <f t="shared" si="23"/>
        <v>102000000</v>
      </c>
      <c r="L37" s="1278">
        <f t="shared" si="9"/>
        <v>0</v>
      </c>
      <c r="M37" s="1278">
        <f t="shared" si="10"/>
        <v>102000000</v>
      </c>
      <c r="N37" s="1269">
        <f t="shared" si="23"/>
        <v>87067102</v>
      </c>
      <c r="O37" s="1269">
        <f t="shared" si="23"/>
        <v>0</v>
      </c>
      <c r="P37" s="1269">
        <f t="shared" si="23"/>
        <v>0</v>
      </c>
      <c r="Q37" s="1269">
        <f t="shared" si="23"/>
        <v>0</v>
      </c>
      <c r="R37" s="1269">
        <f t="shared" si="23"/>
        <v>87067102</v>
      </c>
      <c r="S37" s="1269">
        <f t="shared" si="23"/>
        <v>6000000</v>
      </c>
      <c r="T37" s="1269">
        <f t="shared" si="23"/>
        <v>0</v>
      </c>
      <c r="U37" s="1269">
        <f t="shared" si="23"/>
        <v>6000000</v>
      </c>
      <c r="V37" s="1278">
        <f t="shared" si="11"/>
        <v>8932898</v>
      </c>
      <c r="W37" s="1278">
        <f t="shared" si="12"/>
        <v>0</v>
      </c>
      <c r="X37" s="1278">
        <f t="shared" si="13"/>
        <v>0</v>
      </c>
      <c r="Y37" s="1269">
        <f t="shared" si="23"/>
        <v>0</v>
      </c>
      <c r="Z37" s="1278">
        <f t="shared" si="14"/>
        <v>8932898</v>
      </c>
      <c r="AA37" s="1269">
        <f t="shared" si="23"/>
        <v>0</v>
      </c>
      <c r="AB37" s="1275"/>
    </row>
    <row r="38" spans="1:28" s="1276" customFormat="1" x14ac:dyDescent="0.25">
      <c r="A38" s="1272"/>
      <c r="B38" s="1273" t="s">
        <v>341</v>
      </c>
      <c r="C38" s="1269">
        <f t="shared" si="18"/>
        <v>6000000</v>
      </c>
      <c r="D38" s="1274"/>
      <c r="E38" s="1274"/>
      <c r="F38" s="1274">
        <v>6000000</v>
      </c>
      <c r="G38" s="1274"/>
      <c r="H38" s="1269">
        <f t="shared" si="19"/>
        <v>96000000</v>
      </c>
      <c r="I38" s="1274"/>
      <c r="J38" s="1274">
        <v>96000000</v>
      </c>
      <c r="K38" s="1269">
        <f t="shared" si="20"/>
        <v>102000000</v>
      </c>
      <c r="L38" s="1278">
        <f t="shared" si="9"/>
        <v>0</v>
      </c>
      <c r="M38" s="1278">
        <f t="shared" si="10"/>
        <v>102000000</v>
      </c>
      <c r="N38" s="1269">
        <f t="shared" si="21"/>
        <v>87067102</v>
      </c>
      <c r="O38" s="1274"/>
      <c r="P38" s="1274"/>
      <c r="Q38" s="1274"/>
      <c r="R38" s="1274">
        <v>87067102</v>
      </c>
      <c r="S38" s="1269">
        <f t="shared" si="22"/>
        <v>6000000</v>
      </c>
      <c r="T38" s="1274"/>
      <c r="U38" s="1274">
        <v>6000000</v>
      </c>
      <c r="V38" s="1278">
        <f t="shared" si="11"/>
        <v>8932898</v>
      </c>
      <c r="W38" s="1278">
        <f t="shared" si="12"/>
        <v>0</v>
      </c>
      <c r="X38" s="1278">
        <f t="shared" si="13"/>
        <v>0</v>
      </c>
      <c r="Y38" s="1274"/>
      <c r="Z38" s="1278">
        <f>J38-R38</f>
        <v>8932898</v>
      </c>
      <c r="AA38" s="1274"/>
      <c r="AB38" s="1275"/>
    </row>
    <row r="39" spans="1:28" s="1276" customFormat="1" x14ac:dyDescent="0.25">
      <c r="A39" s="1272"/>
      <c r="B39" s="1273" t="s">
        <v>546</v>
      </c>
      <c r="C39" s="1269">
        <f t="shared" si="18"/>
        <v>0</v>
      </c>
      <c r="D39" s="1274"/>
      <c r="E39" s="1274"/>
      <c r="F39" s="1274"/>
      <c r="G39" s="1274"/>
      <c r="H39" s="1269">
        <f t="shared" si="19"/>
        <v>0</v>
      </c>
      <c r="I39" s="1274"/>
      <c r="J39" s="1274"/>
      <c r="K39" s="1269">
        <f t="shared" si="20"/>
        <v>0</v>
      </c>
      <c r="L39" s="1278">
        <f>E39+I39</f>
        <v>0</v>
      </c>
      <c r="M39" s="1278">
        <f>G39+J39</f>
        <v>0</v>
      </c>
      <c r="N39" s="1269">
        <f t="shared" si="21"/>
        <v>0</v>
      </c>
      <c r="O39" s="1274"/>
      <c r="P39" s="1274"/>
      <c r="Q39" s="1274"/>
      <c r="R39" s="1274"/>
      <c r="S39" s="1269">
        <f t="shared" si="22"/>
        <v>0</v>
      </c>
      <c r="T39" s="1274"/>
      <c r="U39" s="1274"/>
      <c r="V39" s="1269">
        <f t="shared" si="11"/>
        <v>0</v>
      </c>
      <c r="W39" s="1274"/>
      <c r="X39" s="1274"/>
      <c r="Y39" s="1274"/>
      <c r="Z39" s="1274"/>
      <c r="AA39" s="1274"/>
      <c r="AB39" s="1275"/>
    </row>
    <row r="40" spans="1:28" s="1276" customFormat="1" x14ac:dyDescent="0.25">
      <c r="A40" s="1272"/>
      <c r="B40" s="1273" t="s">
        <v>129</v>
      </c>
      <c r="C40" s="1269">
        <f t="shared" si="18"/>
        <v>0</v>
      </c>
      <c r="D40" s="1274"/>
      <c r="E40" s="1274"/>
      <c r="F40" s="1274"/>
      <c r="G40" s="1274"/>
      <c r="H40" s="1269">
        <f t="shared" si="19"/>
        <v>0</v>
      </c>
      <c r="I40" s="1274"/>
      <c r="J40" s="1274"/>
      <c r="K40" s="1269">
        <f t="shared" si="20"/>
        <v>0</v>
      </c>
      <c r="L40" s="1278">
        <f>E40+I40</f>
        <v>0</v>
      </c>
      <c r="M40" s="1278">
        <f>G40+J40</f>
        <v>0</v>
      </c>
      <c r="N40" s="1269">
        <f t="shared" si="21"/>
        <v>0</v>
      </c>
      <c r="O40" s="1274"/>
      <c r="P40" s="1274"/>
      <c r="Q40" s="1274"/>
      <c r="R40" s="1274"/>
      <c r="S40" s="1269">
        <f>T40+U40</f>
        <v>0</v>
      </c>
      <c r="T40" s="1274"/>
      <c r="U40" s="1274"/>
      <c r="V40" s="1269">
        <f t="shared" si="11"/>
        <v>0</v>
      </c>
      <c r="W40" s="1274"/>
      <c r="X40" s="1274"/>
      <c r="Y40" s="1274"/>
      <c r="Z40" s="1274"/>
      <c r="AA40" s="1274"/>
      <c r="AB40" s="1275"/>
    </row>
    <row r="41" spans="1:28" s="1276" customFormat="1" x14ac:dyDescent="0.25">
      <c r="A41" s="1272"/>
      <c r="B41" s="1273"/>
      <c r="C41" s="1269"/>
      <c r="D41" s="1274"/>
      <c r="E41" s="1274"/>
      <c r="F41" s="1274"/>
      <c r="G41" s="1274"/>
      <c r="H41" s="1269"/>
      <c r="I41" s="1274"/>
      <c r="J41" s="1274"/>
      <c r="K41" s="1269"/>
      <c r="L41" s="1278"/>
      <c r="M41" s="1278"/>
      <c r="N41" s="1269"/>
      <c r="O41" s="1274"/>
      <c r="P41" s="1274"/>
      <c r="Q41" s="1274"/>
      <c r="R41" s="1274"/>
      <c r="S41" s="1269"/>
      <c r="T41" s="1274"/>
      <c r="U41" s="1274"/>
      <c r="V41" s="1269"/>
      <c r="W41" s="1274"/>
      <c r="X41" s="1274"/>
      <c r="Y41" s="1274"/>
      <c r="Z41" s="1274"/>
      <c r="AA41" s="1274"/>
      <c r="AB41" s="1275"/>
    </row>
    <row r="42" spans="1:28" s="1276" customFormat="1" x14ac:dyDescent="0.25">
      <c r="A42" s="1272"/>
      <c r="B42" s="1273"/>
      <c r="C42" s="1269"/>
      <c r="D42" s="1274"/>
      <c r="E42" s="1274"/>
      <c r="F42" s="1274"/>
      <c r="G42" s="1274"/>
      <c r="H42" s="1269"/>
      <c r="I42" s="1274"/>
      <c r="J42" s="1274"/>
      <c r="K42" s="1269"/>
      <c r="L42" s="1278"/>
      <c r="M42" s="1278"/>
      <c r="N42" s="1269"/>
      <c r="O42" s="1274"/>
      <c r="P42" s="1274"/>
      <c r="Q42" s="1274"/>
      <c r="R42" s="1274"/>
      <c r="S42" s="1269"/>
      <c r="T42" s="1274"/>
      <c r="U42" s="1274"/>
      <c r="V42" s="1269"/>
      <c r="W42" s="1274"/>
      <c r="X42" s="1274"/>
      <c r="Y42" s="1274"/>
      <c r="Z42" s="1274"/>
      <c r="AA42" s="1274"/>
      <c r="AB42" s="1275"/>
    </row>
    <row r="43" spans="1:28" s="1276" customFormat="1" x14ac:dyDescent="0.25">
      <c r="A43" s="1272"/>
      <c r="B43" s="1273"/>
      <c r="C43" s="1269"/>
      <c r="D43" s="1274"/>
      <c r="E43" s="1274"/>
      <c r="F43" s="1274"/>
      <c r="G43" s="1274"/>
      <c r="H43" s="1269"/>
      <c r="I43" s="1274"/>
      <c r="J43" s="1274"/>
      <c r="K43" s="1269"/>
      <c r="L43" s="1278"/>
      <c r="M43" s="1278"/>
      <c r="N43" s="1269"/>
      <c r="O43" s="1274"/>
      <c r="P43" s="1274"/>
      <c r="Q43" s="1274"/>
      <c r="R43" s="1274"/>
      <c r="S43" s="1269"/>
      <c r="T43" s="1274"/>
      <c r="U43" s="1274"/>
      <c r="V43" s="1269"/>
      <c r="W43" s="1274"/>
      <c r="X43" s="1274"/>
      <c r="Y43" s="1274"/>
      <c r="Z43" s="1274"/>
      <c r="AA43" s="1274"/>
      <c r="AB43" s="1275"/>
    </row>
    <row r="44" spans="1:28" s="1276" customFormat="1" x14ac:dyDescent="0.25">
      <c r="A44" s="1272"/>
      <c r="B44" s="1273"/>
      <c r="C44" s="1269"/>
      <c r="D44" s="1274"/>
      <c r="E44" s="1274"/>
      <c r="F44" s="1274"/>
      <c r="G44" s="1274"/>
      <c r="H44" s="1269"/>
      <c r="I44" s="1274"/>
      <c r="J44" s="1274"/>
      <c r="K44" s="1269"/>
      <c r="L44" s="1278"/>
      <c r="M44" s="1278"/>
      <c r="N44" s="1269"/>
      <c r="O44" s="1274"/>
      <c r="P44" s="1274"/>
      <c r="Q44" s="1274"/>
      <c r="R44" s="1274"/>
      <c r="S44" s="1269"/>
      <c r="T44" s="1274"/>
      <c r="U44" s="1274"/>
      <c r="V44" s="1269"/>
      <c r="W44" s="1274"/>
      <c r="X44" s="1274"/>
      <c r="Y44" s="1274"/>
      <c r="Z44" s="1274"/>
      <c r="AA44" s="1274"/>
      <c r="AB44" s="1275"/>
    </row>
    <row r="45" spans="1:28" s="1276" customFormat="1" x14ac:dyDescent="0.25">
      <c r="A45" s="1272"/>
      <c r="B45" s="1273"/>
      <c r="C45" s="1269"/>
      <c r="D45" s="1274"/>
      <c r="E45" s="1274"/>
      <c r="F45" s="1274"/>
      <c r="G45" s="1274"/>
      <c r="H45" s="1269"/>
      <c r="I45" s="1274"/>
      <c r="J45" s="1274"/>
      <c r="K45" s="1269"/>
      <c r="L45" s="1278"/>
      <c r="M45" s="1278"/>
      <c r="N45" s="1269"/>
      <c r="O45" s="1274"/>
      <c r="P45" s="1274"/>
      <c r="Q45" s="1274"/>
      <c r="R45" s="1274"/>
      <c r="S45" s="1269"/>
      <c r="T45" s="1274"/>
      <c r="U45" s="1274"/>
      <c r="V45" s="1269"/>
      <c r="W45" s="1274"/>
      <c r="X45" s="1274"/>
      <c r="Y45" s="1274"/>
      <c r="Z45" s="1274"/>
      <c r="AA45" s="1274"/>
      <c r="AB45" s="1275"/>
    </row>
    <row r="46" spans="1:28" x14ac:dyDescent="0.25">
      <c r="A46" s="1281" t="s">
        <v>890</v>
      </c>
      <c r="B46" s="1282" t="s">
        <v>890</v>
      </c>
      <c r="C46" s="1269">
        <f>SUM(D46:G46)</f>
        <v>0</v>
      </c>
      <c r="D46" s="1283"/>
      <c r="E46" s="1283"/>
      <c r="F46" s="1283"/>
      <c r="G46" s="1283"/>
      <c r="H46" s="1269">
        <f>I46+J46</f>
        <v>0</v>
      </c>
      <c r="I46" s="1283"/>
      <c r="J46" s="1283"/>
      <c r="K46" s="1269">
        <f>L46+M46</f>
        <v>0</v>
      </c>
      <c r="L46" s="1283"/>
      <c r="M46" s="1283"/>
      <c r="N46" s="1283"/>
      <c r="O46" s="1283"/>
      <c r="P46" s="1283"/>
      <c r="Q46" s="1283"/>
      <c r="R46" s="1283"/>
      <c r="S46" s="1283"/>
      <c r="T46" s="1283"/>
      <c r="U46" s="1283"/>
      <c r="V46" s="1283"/>
      <c r="W46" s="1283"/>
      <c r="X46" s="1283"/>
      <c r="Y46" s="1283"/>
      <c r="Z46" s="1283"/>
      <c r="AA46" s="1283"/>
      <c r="AB46" s="1256"/>
    </row>
    <row r="47" spans="1:28" x14ac:dyDescent="0.25">
      <c r="A47" s="4066" t="s">
        <v>2292</v>
      </c>
      <c r="B47" s="4066"/>
      <c r="C47" s="4066"/>
      <c r="D47" s="4066"/>
      <c r="E47" s="4066"/>
      <c r="F47" s="4066"/>
      <c r="G47" s="4066"/>
      <c r="H47" s="4066"/>
      <c r="I47" s="4066"/>
      <c r="J47" s="4066"/>
      <c r="K47" s="4066"/>
      <c r="L47" s="4066"/>
      <c r="M47" s="4066"/>
      <c r="N47" s="4066"/>
      <c r="O47" s="4066"/>
      <c r="P47" s="4066"/>
      <c r="Q47" s="4066"/>
      <c r="R47" s="4066"/>
      <c r="S47" s="4066"/>
      <c r="T47" s="4066"/>
      <c r="U47" s="4066"/>
      <c r="V47" s="4066"/>
      <c r="W47" s="4066"/>
      <c r="X47" s="4066"/>
      <c r="Y47" s="4066"/>
      <c r="Z47" s="4066"/>
      <c r="AA47" s="4066"/>
    </row>
    <row r="48" spans="1:28" x14ac:dyDescent="0.25">
      <c r="Q48" s="4067"/>
      <c r="R48" s="4067"/>
      <c r="S48" s="4067"/>
      <c r="T48" s="4067"/>
      <c r="U48" s="4067"/>
      <c r="V48" s="4067"/>
      <c r="W48" s="4067"/>
      <c r="X48" s="4067"/>
      <c r="Y48" s="4067"/>
      <c r="Z48" s="4067"/>
      <c r="AA48" s="4067"/>
    </row>
    <row r="51" spans="19:28" s="1342" customFormat="1" x14ac:dyDescent="0.25">
      <c r="AB51" s="1343"/>
    </row>
    <row r="52" spans="19:28" s="1342" customFormat="1" ht="15" x14ac:dyDescent="0.25">
      <c r="S52" s="4068" t="s">
        <v>2480</v>
      </c>
      <c r="T52" s="4068"/>
      <c r="U52" s="4068"/>
      <c r="V52" s="4068"/>
      <c r="W52" s="4068"/>
      <c r="AB52" s="1343"/>
    </row>
    <row r="53" spans="19:28" s="1342" customFormat="1" ht="15.75" x14ac:dyDescent="0.25">
      <c r="S53" s="4069" t="s">
        <v>1442</v>
      </c>
      <c r="T53" s="4069"/>
      <c r="U53" s="4069"/>
      <c r="V53" s="4069"/>
      <c r="W53" s="4069"/>
      <c r="AB53" s="1343"/>
    </row>
    <row r="54" spans="19:28" s="1342" customFormat="1" ht="15.75" x14ac:dyDescent="0.25">
      <c r="S54" s="4069" t="s">
        <v>807</v>
      </c>
      <c r="T54" s="4069"/>
      <c r="U54" s="4069"/>
      <c r="V54" s="4069"/>
      <c r="W54" s="4069"/>
      <c r="AB54" s="1343"/>
    </row>
    <row r="55" spans="19:28" s="1342" customFormat="1" ht="15.75" x14ac:dyDescent="0.25">
      <c r="S55" s="1335"/>
      <c r="T55" s="1336"/>
      <c r="U55" s="1337"/>
      <c r="V55" s="1341"/>
      <c r="W55" s="1341"/>
      <c r="AB55" s="1343"/>
    </row>
    <row r="56" spans="19:28" s="1342" customFormat="1" ht="15.75" x14ac:dyDescent="0.25">
      <c r="S56" s="1335"/>
      <c r="T56" s="1336"/>
      <c r="U56" s="1337"/>
      <c r="V56" s="1341"/>
      <c r="W56" s="1341"/>
      <c r="AB56" s="1343"/>
    </row>
    <row r="57" spans="19:28" s="1342" customFormat="1" ht="15.75" x14ac:dyDescent="0.25">
      <c r="S57" s="1335"/>
      <c r="T57" s="1336"/>
      <c r="U57" s="1337"/>
      <c r="V57" s="1341"/>
      <c r="W57" s="1341"/>
      <c r="AB57" s="1343"/>
    </row>
    <row r="58" spans="19:28" s="1342" customFormat="1" ht="15.75" x14ac:dyDescent="0.25">
      <c r="S58" s="1335"/>
      <c r="T58" s="1336"/>
      <c r="U58" s="1335"/>
      <c r="V58" s="1341"/>
      <c r="W58" s="1341"/>
      <c r="AB58" s="1343"/>
    </row>
    <row r="59" spans="19:28" s="1342" customFormat="1" ht="15.75" x14ac:dyDescent="0.25">
      <c r="S59" s="1335"/>
      <c r="T59" s="1336"/>
      <c r="U59" s="1335"/>
      <c r="V59" s="1341"/>
      <c r="W59" s="1341"/>
      <c r="AB59" s="1343"/>
    </row>
    <row r="60" spans="19:28" s="1342" customFormat="1" ht="15" x14ac:dyDescent="0.25">
      <c r="S60" s="1336"/>
      <c r="T60" s="1336"/>
      <c r="U60" s="1336"/>
      <c r="V60" s="1341"/>
      <c r="W60" s="1341"/>
      <c r="AB60" s="1343"/>
    </row>
    <row r="61" spans="19:28" s="1342" customFormat="1" ht="15.75" x14ac:dyDescent="0.25">
      <c r="S61" s="4065" t="s">
        <v>808</v>
      </c>
      <c r="T61" s="4065"/>
      <c r="U61" s="4065"/>
      <c r="V61" s="4065"/>
      <c r="W61" s="4065"/>
      <c r="AB61" s="1343"/>
    </row>
  </sheetData>
  <mergeCells count="39">
    <mergeCell ref="Q7:R7"/>
    <mergeCell ref="N6:R6"/>
    <mergeCell ref="H6:J6"/>
    <mergeCell ref="K6:M6"/>
    <mergeCell ref="D7:E7"/>
    <mergeCell ref="F7:G7"/>
    <mergeCell ref="O7:P7"/>
    <mergeCell ref="S53:W53"/>
    <mergeCell ref="S54:W54"/>
    <mergeCell ref="A1:C1"/>
    <mergeCell ref="S1:U1"/>
    <mergeCell ref="V1:AA1"/>
    <mergeCell ref="A2:AA2"/>
    <mergeCell ref="A3:AA3"/>
    <mergeCell ref="S6:U6"/>
    <mergeCell ref="V6:AA6"/>
    <mergeCell ref="C7:C8"/>
    <mergeCell ref="H7:H8"/>
    <mergeCell ref="I7:I8"/>
    <mergeCell ref="J7:J8"/>
    <mergeCell ref="K7:K8"/>
    <mergeCell ref="L7:L8"/>
    <mergeCell ref="C6:G6"/>
    <mergeCell ref="S61:W61"/>
    <mergeCell ref="W5:AA5"/>
    <mergeCell ref="A47:AA47"/>
    <mergeCell ref="Q48:V48"/>
    <mergeCell ref="W48:AA48"/>
    <mergeCell ref="S7:S8"/>
    <mergeCell ref="T7:T8"/>
    <mergeCell ref="U7:U8"/>
    <mergeCell ref="V7:V8"/>
    <mergeCell ref="W7:Y7"/>
    <mergeCell ref="Z7:AA7"/>
    <mergeCell ref="A6:A8"/>
    <mergeCell ref="B6:B8"/>
    <mergeCell ref="M7:M8"/>
    <mergeCell ref="N7:N8"/>
    <mergeCell ref="S52:W52"/>
  </mergeCells>
  <pageMargins left="0.11811023622047245" right="0" top="0.35433070866141736" bottom="0.35433070866141736" header="0.31496062992125984" footer="0.31496062992125984"/>
  <pageSetup paperSize="9" scale="45" orientation="landscape" verticalDpi="0"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J168"/>
  <sheetViews>
    <sheetView zoomScale="85" zoomScaleNormal="85" workbookViewId="0">
      <pane xSplit="2" ySplit="9" topLeftCell="C10" activePane="bottomRight" state="frozen"/>
      <selection pane="topRight" activeCell="C1" sqref="C1"/>
      <selection pane="bottomLeft" activeCell="A10" sqref="A10"/>
      <selection pane="bottomRight" activeCell="B24" sqref="B24"/>
    </sheetView>
  </sheetViews>
  <sheetFormatPr defaultColWidth="10.140625" defaultRowHeight="15.75" x14ac:dyDescent="0.25"/>
  <cols>
    <col min="1" max="1" width="2.42578125" style="591" customWidth="1"/>
    <col min="2" max="2" width="34.5703125" style="1004" customWidth="1"/>
    <col min="3" max="3" width="10" style="626" customWidth="1"/>
    <col min="4" max="4" width="10.42578125" style="626" customWidth="1"/>
    <col min="5" max="5" width="8.28515625" style="626" customWidth="1"/>
    <col min="6" max="6" width="10.28515625" style="626" customWidth="1"/>
    <col min="7" max="7" width="8.85546875" style="626" customWidth="1"/>
    <col min="8" max="8" width="10.42578125" style="626" customWidth="1"/>
    <col min="9" max="9" width="9.140625" style="626" customWidth="1"/>
    <col min="10" max="10" width="9.42578125" style="626" customWidth="1"/>
    <col min="11" max="11" width="12.5703125" style="626" customWidth="1"/>
    <col min="12" max="12" width="9.42578125" style="626" hidden="1" customWidth="1"/>
    <col min="13" max="13" width="7.28515625" style="626" customWidth="1"/>
    <col min="14" max="14" width="7.140625" style="626" customWidth="1"/>
    <col min="15" max="15" width="7.28515625" style="626" customWidth="1"/>
    <col min="16" max="16" width="10" style="626" customWidth="1"/>
    <col min="17" max="17" width="7.140625" style="626" customWidth="1"/>
    <col min="18" max="18" width="7.42578125" style="626" customWidth="1"/>
    <col min="19" max="19" width="6.7109375" style="626" customWidth="1"/>
    <col min="20" max="20" width="7" style="626" customWidth="1"/>
    <col min="21" max="21" width="7.5703125" style="626" customWidth="1"/>
    <col min="22" max="22" width="12.5703125" style="626" customWidth="1"/>
    <col min="23" max="23" width="8.7109375" style="626" customWidth="1"/>
    <col min="24" max="24" width="20.85546875" style="591" customWidth="1"/>
    <col min="25" max="25" width="13.85546875" style="591" customWidth="1"/>
    <col min="26" max="26" width="17.28515625" style="591" customWidth="1"/>
    <col min="27" max="27" width="16.7109375" style="591" bestFit="1" customWidth="1"/>
    <col min="28" max="28" width="19.42578125" style="591" customWidth="1"/>
    <col min="29" max="16384" width="10.140625" style="591"/>
  </cols>
  <sheetData>
    <row r="1" spans="1:36" x14ac:dyDescent="0.25">
      <c r="A1" s="545" t="s">
        <v>1205</v>
      </c>
      <c r="T1" s="4020" t="s">
        <v>2548</v>
      </c>
      <c r="U1" s="4020"/>
      <c r="V1" s="4020"/>
      <c r="W1" s="4020"/>
    </row>
    <row r="2" spans="1:36" x14ac:dyDescent="0.25">
      <c r="A2" s="3998" t="s">
        <v>2269</v>
      </c>
      <c r="B2" s="3998"/>
      <c r="C2" s="3998"/>
      <c r="D2" s="3998"/>
      <c r="E2" s="3998"/>
      <c r="F2" s="3998"/>
      <c r="G2" s="3998"/>
      <c r="H2" s="3998"/>
      <c r="I2" s="3998"/>
      <c r="J2" s="3998"/>
      <c r="K2" s="3998"/>
      <c r="L2" s="3998"/>
      <c r="M2" s="3998"/>
      <c r="N2" s="3998"/>
      <c r="O2" s="3998"/>
      <c r="P2" s="3998"/>
      <c r="Q2" s="3998"/>
      <c r="R2" s="3998"/>
      <c r="S2" s="3998"/>
      <c r="T2" s="3998"/>
      <c r="U2" s="3998"/>
      <c r="V2" s="3998"/>
      <c r="W2" s="3998"/>
    </row>
    <row r="3" spans="1:36" x14ac:dyDescent="0.25">
      <c r="A3" s="3997" t="str">
        <f>'B49'!A4:E4</f>
        <v>(Kèm theo Quyết định số         /QĐ-UBND ngày      tháng 4 năm 2026 của UBND xã Phong Quang)</v>
      </c>
      <c r="B3" s="3997"/>
      <c r="C3" s="3997"/>
      <c r="D3" s="3997"/>
      <c r="E3" s="3997"/>
      <c r="F3" s="3997"/>
      <c r="G3" s="3997"/>
      <c r="H3" s="3997"/>
      <c r="I3" s="3997"/>
      <c r="J3" s="3997"/>
      <c r="K3" s="3997"/>
      <c r="L3" s="3997"/>
      <c r="M3" s="3997"/>
      <c r="N3" s="3997"/>
      <c r="O3" s="3997"/>
      <c r="P3" s="3997"/>
      <c r="Q3" s="3997"/>
      <c r="R3" s="3997"/>
      <c r="S3" s="3997"/>
      <c r="T3" s="3997"/>
      <c r="U3" s="3997"/>
      <c r="V3" s="3997"/>
      <c r="W3" s="3997"/>
    </row>
    <row r="4" spans="1:36" x14ac:dyDescent="0.25">
      <c r="N4" s="4112" t="s">
        <v>1461</v>
      </c>
      <c r="O4" s="4112"/>
      <c r="P4" s="4112"/>
      <c r="Q4" s="4112"/>
      <c r="R4" s="4112"/>
      <c r="S4" s="4112"/>
      <c r="T4" s="4112"/>
      <c r="U4" s="4112"/>
      <c r="V4" s="4112"/>
      <c r="W4" s="4112"/>
    </row>
    <row r="5" spans="1:36" s="733" customFormat="1" ht="12.75" x14ac:dyDescent="0.25">
      <c r="A5" s="4111" t="s">
        <v>844</v>
      </c>
      <c r="B5" s="4111" t="s">
        <v>12</v>
      </c>
      <c r="C5" s="4108" t="s">
        <v>1206</v>
      </c>
      <c r="D5" s="4108"/>
      <c r="E5" s="4108"/>
      <c r="F5" s="4108" t="s">
        <v>1207</v>
      </c>
      <c r="G5" s="4108"/>
      <c r="H5" s="4108"/>
      <c r="I5" s="4061" t="s">
        <v>13</v>
      </c>
      <c r="J5" s="4062"/>
      <c r="K5" s="4062"/>
      <c r="L5" s="4113" t="s">
        <v>1208</v>
      </c>
      <c r="M5" s="4113" t="s">
        <v>1725</v>
      </c>
      <c r="N5" s="4114" t="s">
        <v>1209</v>
      </c>
      <c r="O5" s="4115"/>
      <c r="P5" s="4115"/>
      <c r="Q5" s="4115"/>
      <c r="R5" s="4115"/>
      <c r="S5" s="4115"/>
      <c r="T5" s="4115"/>
      <c r="U5" s="4115"/>
      <c r="V5" s="4115"/>
      <c r="W5" s="4116"/>
      <c r="AJ5" s="733">
        <v>0</v>
      </c>
    </row>
    <row r="6" spans="1:36" s="733" customFormat="1" ht="12.75" x14ac:dyDescent="0.25">
      <c r="A6" s="4111"/>
      <c r="B6" s="4111"/>
      <c r="C6" s="4108" t="s">
        <v>868</v>
      </c>
      <c r="D6" s="4108" t="s">
        <v>907</v>
      </c>
      <c r="E6" s="4108"/>
      <c r="F6" s="4108" t="s">
        <v>868</v>
      </c>
      <c r="G6" s="4108" t="s">
        <v>907</v>
      </c>
      <c r="H6" s="4108"/>
      <c r="I6" s="4110" t="s">
        <v>868</v>
      </c>
      <c r="J6" s="4110" t="s">
        <v>907</v>
      </c>
      <c r="K6" s="4110"/>
      <c r="L6" s="4109"/>
      <c r="M6" s="4109"/>
      <c r="N6" s="4113" t="s">
        <v>868</v>
      </c>
      <c r="O6" s="4108" t="s">
        <v>756</v>
      </c>
      <c r="P6" s="4108"/>
      <c r="Q6" s="4108"/>
      <c r="R6" s="4108"/>
      <c r="S6" s="4108"/>
      <c r="T6" s="4061" t="s">
        <v>757</v>
      </c>
      <c r="U6" s="4062"/>
      <c r="V6" s="4062"/>
      <c r="W6" s="4063"/>
    </row>
    <row r="7" spans="1:36" s="733" customFormat="1" ht="12.75" x14ac:dyDescent="0.25">
      <c r="A7" s="4111"/>
      <c r="B7" s="4111"/>
      <c r="C7" s="4108"/>
      <c r="D7" s="4108" t="s">
        <v>756</v>
      </c>
      <c r="E7" s="4108" t="s">
        <v>757</v>
      </c>
      <c r="F7" s="4108"/>
      <c r="G7" s="4108" t="s">
        <v>756</v>
      </c>
      <c r="H7" s="4108" t="s">
        <v>757</v>
      </c>
      <c r="I7" s="4108"/>
      <c r="J7" s="4108" t="s">
        <v>756</v>
      </c>
      <c r="K7" s="4108" t="s">
        <v>757</v>
      </c>
      <c r="L7" s="4109"/>
      <c r="M7" s="4109"/>
      <c r="N7" s="4109"/>
      <c r="O7" s="4109" t="s">
        <v>1592</v>
      </c>
      <c r="P7" s="4109" t="s">
        <v>1593</v>
      </c>
      <c r="Q7" s="4109" t="s">
        <v>1594</v>
      </c>
      <c r="R7" s="4117" t="s">
        <v>577</v>
      </c>
      <c r="S7" s="4118"/>
      <c r="T7" s="4113" t="s">
        <v>1210</v>
      </c>
      <c r="U7" s="4108" t="s">
        <v>577</v>
      </c>
      <c r="V7" s="4108"/>
      <c r="W7" s="4108"/>
    </row>
    <row r="8" spans="1:36" s="733" customFormat="1" ht="12.75" x14ac:dyDescent="0.25">
      <c r="A8" s="4111"/>
      <c r="B8" s="4111"/>
      <c r="C8" s="4108"/>
      <c r="D8" s="4108"/>
      <c r="E8" s="4108"/>
      <c r="F8" s="4108"/>
      <c r="G8" s="4108"/>
      <c r="H8" s="4108"/>
      <c r="I8" s="4108"/>
      <c r="J8" s="4108"/>
      <c r="K8" s="4108"/>
      <c r="L8" s="4109"/>
      <c r="M8" s="4109"/>
      <c r="N8" s="4109"/>
      <c r="O8" s="4109"/>
      <c r="P8" s="4109"/>
      <c r="Q8" s="4109"/>
      <c r="R8" s="4108" t="s">
        <v>1590</v>
      </c>
      <c r="S8" s="4113" t="s">
        <v>1591</v>
      </c>
      <c r="T8" s="4109"/>
      <c r="U8" s="4113" t="s">
        <v>868</v>
      </c>
      <c r="V8" s="4113" t="s">
        <v>1590</v>
      </c>
      <c r="W8" s="4113" t="s">
        <v>1591</v>
      </c>
    </row>
    <row r="9" spans="1:36" s="733" customFormat="1" ht="55.5" customHeight="1" x14ac:dyDescent="0.25">
      <c r="A9" s="4111"/>
      <c r="B9" s="4111"/>
      <c r="C9" s="4108"/>
      <c r="D9" s="4108"/>
      <c r="E9" s="4108"/>
      <c r="F9" s="4108"/>
      <c r="G9" s="4108"/>
      <c r="H9" s="4108"/>
      <c r="I9" s="4108"/>
      <c r="J9" s="4108"/>
      <c r="K9" s="4108"/>
      <c r="L9" s="4110"/>
      <c r="M9" s="4110"/>
      <c r="N9" s="4110"/>
      <c r="O9" s="4110"/>
      <c r="P9" s="4110"/>
      <c r="Q9" s="4110"/>
      <c r="R9" s="4108"/>
      <c r="S9" s="4110"/>
      <c r="T9" s="4110"/>
      <c r="U9" s="4110"/>
      <c r="V9" s="4110"/>
      <c r="W9" s="4110"/>
    </row>
    <row r="10" spans="1:36" s="732" customFormat="1" ht="25.5" x14ac:dyDescent="0.25">
      <c r="A10" s="1184" t="s">
        <v>847</v>
      </c>
      <c r="B10" s="1184" t="s">
        <v>848</v>
      </c>
      <c r="C10" s="1184">
        <v>1</v>
      </c>
      <c r="D10" s="1184">
        <v>2</v>
      </c>
      <c r="E10" s="1184">
        <v>3</v>
      </c>
      <c r="F10" s="1184">
        <v>4</v>
      </c>
      <c r="G10" s="1184">
        <v>5</v>
      </c>
      <c r="H10" s="1184">
        <v>6</v>
      </c>
      <c r="I10" s="1184">
        <v>8</v>
      </c>
      <c r="J10" s="1184">
        <v>9</v>
      </c>
      <c r="K10" s="1184">
        <v>10</v>
      </c>
      <c r="L10" s="1184">
        <v>13</v>
      </c>
      <c r="M10" s="1184"/>
      <c r="N10" s="1184">
        <v>14</v>
      </c>
      <c r="O10" s="1184">
        <v>15</v>
      </c>
      <c r="P10" s="1184">
        <v>16</v>
      </c>
      <c r="Q10" s="1184">
        <v>17</v>
      </c>
      <c r="R10" s="1184">
        <v>18</v>
      </c>
      <c r="S10" s="1184">
        <v>19</v>
      </c>
      <c r="T10" s="1184">
        <v>20</v>
      </c>
      <c r="U10" s="1184">
        <v>21</v>
      </c>
      <c r="V10" s="1184">
        <v>22</v>
      </c>
      <c r="W10" s="1184">
        <v>23</v>
      </c>
    </row>
    <row r="11" spans="1:36" s="733" customFormat="1" ht="12.75" x14ac:dyDescent="0.25">
      <c r="A11" s="1191"/>
      <c r="B11" s="1191" t="s">
        <v>886</v>
      </c>
      <c r="C11" s="1209">
        <f t="shared" ref="C11:W11" si="0">C12+C77</f>
        <v>12536.109649</v>
      </c>
      <c r="D11" s="1209">
        <f t="shared" si="0"/>
        <v>12189.769649</v>
      </c>
      <c r="E11" s="1209">
        <f t="shared" si="0"/>
        <v>346.34</v>
      </c>
      <c r="F11" s="1209">
        <f t="shared" si="0"/>
        <v>158654.14677200001</v>
      </c>
      <c r="G11" s="1209">
        <f t="shared" si="0"/>
        <v>74760.883000000002</v>
      </c>
      <c r="H11" s="1209">
        <f t="shared" si="0"/>
        <v>84629.923772000009</v>
      </c>
      <c r="I11" s="1209">
        <f t="shared" si="0"/>
        <v>155188.1515721</v>
      </c>
      <c r="J11" s="1209">
        <f t="shared" si="0"/>
        <v>76854.726685000001</v>
      </c>
      <c r="K11" s="1209">
        <f t="shared" si="0"/>
        <v>78512.355249100015</v>
      </c>
      <c r="L11" s="1209" t="e">
        <f t="shared" si="0"/>
        <v>#REF!</v>
      </c>
      <c r="M11" s="1209">
        <f t="shared" si="0"/>
        <v>2450.6906230000004</v>
      </c>
      <c r="N11" s="1209">
        <f t="shared" si="0"/>
        <v>3693.2809660000021</v>
      </c>
      <c r="O11" s="1209">
        <f t="shared" si="0"/>
        <v>7628.2195869999987</v>
      </c>
      <c r="P11" s="1209">
        <f t="shared" si="0"/>
        <v>6881.6797349999997</v>
      </c>
      <c r="Q11" s="1209">
        <f t="shared" si="0"/>
        <v>593.54895399999998</v>
      </c>
      <c r="R11" s="1209">
        <f t="shared" si="0"/>
        <v>2204.695913999999</v>
      </c>
      <c r="S11" s="1209">
        <f t="shared" si="0"/>
        <v>1916.3958430000021</v>
      </c>
      <c r="T11" s="1209">
        <f t="shared" si="0"/>
        <v>110.476</v>
      </c>
      <c r="U11" s="1209">
        <f t="shared" si="0"/>
        <v>3894.9578998999996</v>
      </c>
      <c r="V11" s="1209">
        <f t="shared" si="0"/>
        <v>1485.4454098999993</v>
      </c>
      <c r="W11" s="1209">
        <f t="shared" si="0"/>
        <v>2417.4678520000002</v>
      </c>
      <c r="X11" s="1286"/>
    </row>
    <row r="12" spans="1:36" s="733" customFormat="1" ht="12.75" x14ac:dyDescent="0.25">
      <c r="A12" s="1174" t="s">
        <v>847</v>
      </c>
      <c r="B12" s="1174" t="s">
        <v>725</v>
      </c>
      <c r="C12" s="1170">
        <f t="shared" ref="C12:W12" si="1">C13+C35</f>
        <v>12536.109649</v>
      </c>
      <c r="D12" s="1170">
        <f t="shared" si="1"/>
        <v>12189.769649</v>
      </c>
      <c r="E12" s="1170">
        <f t="shared" si="1"/>
        <v>346.34</v>
      </c>
      <c r="F12" s="1170">
        <f t="shared" si="1"/>
        <v>65437.246640999998</v>
      </c>
      <c r="G12" s="1170">
        <f t="shared" si="1"/>
        <v>16205.752</v>
      </c>
      <c r="H12" s="1170">
        <f t="shared" si="1"/>
        <v>49968.154641000001</v>
      </c>
      <c r="I12" s="1170">
        <f t="shared" si="1"/>
        <v>65508.745608100005</v>
      </c>
      <c r="J12" s="1170">
        <f t="shared" si="1"/>
        <v>19309.146000000001</v>
      </c>
      <c r="K12" s="1170">
        <f t="shared" si="1"/>
        <v>46378.35860810001</v>
      </c>
      <c r="L12" s="1170" t="e">
        <f t="shared" si="1"/>
        <v>#REF!</v>
      </c>
      <c r="M12" s="1170">
        <f t="shared" si="1"/>
        <v>2450.6906230000004</v>
      </c>
      <c r="N12" s="1170">
        <f t="shared" si="1"/>
        <v>1183.33617</v>
      </c>
      <c r="O12" s="1170">
        <f t="shared" si="1"/>
        <v>7168.6249999999991</v>
      </c>
      <c r="P12" s="1170">
        <f t="shared" si="1"/>
        <v>6881.6797349999997</v>
      </c>
      <c r="Q12" s="1170">
        <f t="shared" si="1"/>
        <v>0</v>
      </c>
      <c r="R12" s="1170">
        <f t="shared" si="1"/>
        <v>2204.695913999999</v>
      </c>
      <c r="S12" s="1170">
        <f t="shared" si="1"/>
        <v>0</v>
      </c>
      <c r="T12" s="1170">
        <f t="shared" si="1"/>
        <v>0</v>
      </c>
      <c r="U12" s="1170">
        <f t="shared" si="1"/>
        <v>1477.6614098999996</v>
      </c>
      <c r="V12" s="1170">
        <f t="shared" si="1"/>
        <v>1485.4454098999993</v>
      </c>
      <c r="W12" s="1170">
        <f t="shared" si="1"/>
        <v>0</v>
      </c>
      <c r="X12" s="1286"/>
    </row>
    <row r="13" spans="1:36" s="733" customFormat="1" ht="12.75" x14ac:dyDescent="0.25">
      <c r="A13" s="1174"/>
      <c r="B13" s="1174" t="s">
        <v>1211</v>
      </c>
      <c r="C13" s="1170">
        <f>C14+C20</f>
        <v>12189.769649</v>
      </c>
      <c r="D13" s="1170">
        <f t="shared" ref="D13:W13" si="2">D14+D20</f>
        <v>12189.769649</v>
      </c>
      <c r="E13" s="1170">
        <f t="shared" si="2"/>
        <v>0</v>
      </c>
      <c r="F13" s="1170">
        <f t="shared" si="2"/>
        <v>19229.752</v>
      </c>
      <c r="G13" s="1170">
        <f t="shared" si="2"/>
        <v>16205.752</v>
      </c>
      <c r="H13" s="1170">
        <f t="shared" si="2"/>
        <v>3024</v>
      </c>
      <c r="I13" s="1170">
        <f t="shared" si="2"/>
        <v>22158.825036000002</v>
      </c>
      <c r="J13" s="1170">
        <f t="shared" si="2"/>
        <v>19309.146000000001</v>
      </c>
      <c r="K13" s="1170">
        <f t="shared" si="2"/>
        <v>2849.679036</v>
      </c>
      <c r="L13" s="1170">
        <f t="shared" si="2"/>
        <v>0</v>
      </c>
      <c r="M13" s="1170">
        <f t="shared" si="2"/>
        <v>0</v>
      </c>
      <c r="N13" s="1170">
        <f t="shared" si="2"/>
        <v>1183.33617</v>
      </c>
      <c r="O13" s="1170">
        <f t="shared" si="2"/>
        <v>7168.6249999999991</v>
      </c>
      <c r="P13" s="1170">
        <f t="shared" si="2"/>
        <v>6881.6797349999997</v>
      </c>
      <c r="Q13" s="1170">
        <f t="shared" si="2"/>
        <v>0</v>
      </c>
      <c r="R13" s="1170">
        <f t="shared" si="2"/>
        <v>2204.695913999999</v>
      </c>
      <c r="S13" s="1170">
        <f t="shared" si="2"/>
        <v>0</v>
      </c>
      <c r="T13" s="1170">
        <f t="shared" si="2"/>
        <v>0</v>
      </c>
      <c r="U13" s="1170">
        <f t="shared" si="2"/>
        <v>174.32096400000006</v>
      </c>
      <c r="V13" s="1170">
        <f t="shared" si="2"/>
        <v>174.32096400000006</v>
      </c>
      <c r="W13" s="1170">
        <f t="shared" si="2"/>
        <v>0</v>
      </c>
      <c r="X13" s="1286"/>
    </row>
    <row r="14" spans="1:36" s="1289" customFormat="1" ht="25.5" x14ac:dyDescent="0.2">
      <c r="A14" s="1174" t="s">
        <v>849</v>
      </c>
      <c r="B14" s="1287" t="s">
        <v>1212</v>
      </c>
      <c r="C14" s="1170">
        <f>C15</f>
        <v>1018.33617</v>
      </c>
      <c r="D14" s="1170">
        <f>D15</f>
        <v>1018.33617</v>
      </c>
      <c r="E14" s="1170">
        <f t="shared" ref="E14:W14" si="3">E15</f>
        <v>0</v>
      </c>
      <c r="F14" s="1170">
        <f t="shared" si="3"/>
        <v>417</v>
      </c>
      <c r="G14" s="1170">
        <f t="shared" si="3"/>
        <v>282</v>
      </c>
      <c r="H14" s="1170">
        <f t="shared" si="3"/>
        <v>135</v>
      </c>
      <c r="I14" s="1170">
        <f t="shared" si="3"/>
        <v>234.244102</v>
      </c>
      <c r="J14" s="1170">
        <f t="shared" si="3"/>
        <v>117</v>
      </c>
      <c r="K14" s="1170">
        <f t="shared" si="3"/>
        <v>117.244102</v>
      </c>
      <c r="L14" s="1170">
        <f t="shared" si="3"/>
        <v>0</v>
      </c>
      <c r="M14" s="1170">
        <f t="shared" si="3"/>
        <v>0</v>
      </c>
      <c r="N14" s="1170">
        <f t="shared" si="3"/>
        <v>1183.33617</v>
      </c>
      <c r="O14" s="1170">
        <f t="shared" si="3"/>
        <v>0</v>
      </c>
      <c r="P14" s="1170">
        <f t="shared" si="3"/>
        <v>0</v>
      </c>
      <c r="Q14" s="1170">
        <f t="shared" si="3"/>
        <v>0</v>
      </c>
      <c r="R14" s="1170">
        <f t="shared" si="3"/>
        <v>1183.33617</v>
      </c>
      <c r="S14" s="1170">
        <f t="shared" si="3"/>
        <v>0</v>
      </c>
      <c r="T14" s="1170">
        <f t="shared" si="3"/>
        <v>0</v>
      </c>
      <c r="U14" s="1170">
        <f t="shared" si="3"/>
        <v>17.755897999999995</v>
      </c>
      <c r="V14" s="1170">
        <f t="shared" si="3"/>
        <v>17.755897999999995</v>
      </c>
      <c r="W14" s="1170">
        <f t="shared" si="3"/>
        <v>0</v>
      </c>
      <c r="X14" s="1288"/>
    </row>
    <row r="15" spans="1:36" s="1289" customFormat="1" ht="12.75" x14ac:dyDescent="0.2">
      <c r="A15" s="1174">
        <v>1</v>
      </c>
      <c r="B15" s="1287" t="s">
        <v>170</v>
      </c>
      <c r="C15" s="1170">
        <f t="shared" ref="C15:H15" si="4">C16</f>
        <v>1018.33617</v>
      </c>
      <c r="D15" s="1170">
        <f>D16</f>
        <v>1018.33617</v>
      </c>
      <c r="E15" s="1170">
        <f t="shared" si="4"/>
        <v>0</v>
      </c>
      <c r="F15" s="1170">
        <f t="shared" si="4"/>
        <v>417</v>
      </c>
      <c r="G15" s="1170">
        <f t="shared" si="4"/>
        <v>282</v>
      </c>
      <c r="H15" s="1170">
        <f t="shared" si="4"/>
        <v>135</v>
      </c>
      <c r="I15" s="1170">
        <f>I16</f>
        <v>234.244102</v>
      </c>
      <c r="J15" s="1170">
        <f t="shared" ref="J15:W15" si="5">J16</f>
        <v>117</v>
      </c>
      <c r="K15" s="1170">
        <f t="shared" si="5"/>
        <v>117.244102</v>
      </c>
      <c r="L15" s="1170">
        <f t="shared" si="5"/>
        <v>0</v>
      </c>
      <c r="M15" s="1170">
        <f t="shared" si="5"/>
        <v>0</v>
      </c>
      <c r="N15" s="1170">
        <f t="shared" si="5"/>
        <v>1183.33617</v>
      </c>
      <c r="O15" s="1170">
        <f t="shared" si="5"/>
        <v>0</v>
      </c>
      <c r="P15" s="1170">
        <f t="shared" si="5"/>
        <v>0</v>
      </c>
      <c r="Q15" s="1170">
        <f t="shared" si="5"/>
        <v>0</v>
      </c>
      <c r="R15" s="1170">
        <f t="shared" si="5"/>
        <v>1183.33617</v>
      </c>
      <c r="S15" s="1170">
        <f t="shared" si="5"/>
        <v>0</v>
      </c>
      <c r="T15" s="1170">
        <f t="shared" si="5"/>
        <v>0</v>
      </c>
      <c r="U15" s="1170">
        <f t="shared" si="5"/>
        <v>17.755897999999995</v>
      </c>
      <c r="V15" s="1170">
        <f t="shared" si="5"/>
        <v>17.755897999999995</v>
      </c>
      <c r="W15" s="1170">
        <f t="shared" si="5"/>
        <v>0</v>
      </c>
      <c r="X15" s="1288"/>
    </row>
    <row r="16" spans="1:36" s="733" customFormat="1" ht="25.5" x14ac:dyDescent="0.2">
      <c r="A16" s="1172"/>
      <c r="B16" s="1290" t="s">
        <v>2312</v>
      </c>
      <c r="C16" s="1211">
        <f>C17+C18+C19</f>
        <v>1018.33617</v>
      </c>
      <c r="D16" s="1211">
        <f>D17+D18+D19</f>
        <v>1018.33617</v>
      </c>
      <c r="E16" s="1211">
        <f t="shared" ref="E16:W16" si="6">E17+E18+E19</f>
        <v>0</v>
      </c>
      <c r="F16" s="1211">
        <f t="shared" si="6"/>
        <v>417</v>
      </c>
      <c r="G16" s="1211">
        <f t="shared" si="6"/>
        <v>282</v>
      </c>
      <c r="H16" s="1211">
        <f t="shared" si="6"/>
        <v>135</v>
      </c>
      <c r="I16" s="1211">
        <f t="shared" si="6"/>
        <v>234.244102</v>
      </c>
      <c r="J16" s="1211">
        <f t="shared" si="6"/>
        <v>117</v>
      </c>
      <c r="K16" s="1211">
        <f t="shared" si="6"/>
        <v>117.244102</v>
      </c>
      <c r="L16" s="1211">
        <f t="shared" si="6"/>
        <v>0</v>
      </c>
      <c r="M16" s="1211">
        <f t="shared" si="6"/>
        <v>0</v>
      </c>
      <c r="N16" s="1211">
        <f t="shared" si="6"/>
        <v>1183.33617</v>
      </c>
      <c r="O16" s="1211">
        <f t="shared" si="6"/>
        <v>0</v>
      </c>
      <c r="P16" s="1211">
        <f t="shared" si="6"/>
        <v>0</v>
      </c>
      <c r="Q16" s="1211">
        <f t="shared" si="6"/>
        <v>0</v>
      </c>
      <c r="R16" s="1211">
        <f t="shared" si="6"/>
        <v>1183.33617</v>
      </c>
      <c r="S16" s="1211">
        <f t="shared" si="6"/>
        <v>0</v>
      </c>
      <c r="T16" s="1211">
        <f t="shared" si="6"/>
        <v>0</v>
      </c>
      <c r="U16" s="1211">
        <f t="shared" si="6"/>
        <v>17.755897999999995</v>
      </c>
      <c r="V16" s="1211">
        <f t="shared" si="6"/>
        <v>17.755897999999995</v>
      </c>
      <c r="W16" s="1211">
        <f t="shared" si="6"/>
        <v>0</v>
      </c>
      <c r="X16" s="1286"/>
    </row>
    <row r="17" spans="1:25" s="733" customFormat="1" ht="12.75" x14ac:dyDescent="0.2">
      <c r="A17" s="1172"/>
      <c r="B17" s="1290" t="s">
        <v>1599</v>
      </c>
      <c r="C17" s="1211">
        <f>D17+E17</f>
        <v>0</v>
      </c>
      <c r="D17" s="1211"/>
      <c r="E17" s="1211"/>
      <c r="F17" s="1291">
        <f>G17+H17</f>
        <v>39</v>
      </c>
      <c r="G17" s="1291"/>
      <c r="H17" s="1291">
        <v>39</v>
      </c>
      <c r="I17" s="1211">
        <f>J17+K17</f>
        <v>30.177</v>
      </c>
      <c r="J17" s="1211"/>
      <c r="K17" s="1211">
        <v>30.177</v>
      </c>
      <c r="L17" s="1211"/>
      <c r="M17" s="1211"/>
      <c r="N17" s="1211">
        <f>O17+R17+S17</f>
        <v>0</v>
      </c>
      <c r="O17" s="1211">
        <f>P17+Q17</f>
        <v>0</v>
      </c>
      <c r="P17" s="1211"/>
      <c r="Q17" s="1211"/>
      <c r="R17" s="1211"/>
      <c r="S17" s="1211"/>
      <c r="T17" s="1211"/>
      <c r="U17" s="1211">
        <f>V17+W17</f>
        <v>8.8230000000000004</v>
      </c>
      <c r="V17" s="1211">
        <f>F17-I17</f>
        <v>8.8230000000000004</v>
      </c>
      <c r="W17" s="1211"/>
      <c r="X17" s="1286"/>
    </row>
    <row r="18" spans="1:25" s="733" customFormat="1" ht="25.5" x14ac:dyDescent="0.2">
      <c r="A18" s="1172"/>
      <c r="B18" s="1290" t="s">
        <v>1221</v>
      </c>
      <c r="C18" s="1211">
        <f>D18+E18</f>
        <v>0</v>
      </c>
      <c r="D18" s="1211"/>
      <c r="E18" s="1211"/>
      <c r="F18" s="1291">
        <f>G18+H18</f>
        <v>96</v>
      </c>
      <c r="G18" s="1291"/>
      <c r="H18" s="1291">
        <v>96</v>
      </c>
      <c r="I18" s="1211">
        <f>J18+K18</f>
        <v>87.067102000000006</v>
      </c>
      <c r="J18" s="1211"/>
      <c r="K18" s="1211">
        <v>87.067102000000006</v>
      </c>
      <c r="L18" s="1211"/>
      <c r="M18" s="1211"/>
      <c r="N18" s="1211">
        <f>O18+R18+S18</f>
        <v>0</v>
      </c>
      <c r="O18" s="1211">
        <f>P18+Q18</f>
        <v>0</v>
      </c>
      <c r="P18" s="1211"/>
      <c r="Q18" s="1211"/>
      <c r="R18" s="1211"/>
      <c r="S18" s="1211"/>
      <c r="T18" s="1211"/>
      <c r="U18" s="1211">
        <f>V18+W18</f>
        <v>8.9328979999999945</v>
      </c>
      <c r="V18" s="1211">
        <f>F18-I18</f>
        <v>8.9328979999999945</v>
      </c>
      <c r="W18" s="1211"/>
      <c r="X18" s="1286"/>
    </row>
    <row r="19" spans="1:25" s="733" customFormat="1" ht="12.75" x14ac:dyDescent="0.2">
      <c r="A19" s="1172"/>
      <c r="B19" s="1290" t="s">
        <v>707</v>
      </c>
      <c r="C19" s="1211">
        <f>D19+E19</f>
        <v>1018.33617</v>
      </c>
      <c r="D19" s="1211">
        <v>1018.33617</v>
      </c>
      <c r="E19" s="1211"/>
      <c r="F19" s="1291">
        <f>G19</f>
        <v>282</v>
      </c>
      <c r="G19" s="1291">
        <f>117+165</f>
        <v>282</v>
      </c>
      <c r="H19" s="1291"/>
      <c r="I19" s="1211">
        <f>J19</f>
        <v>117</v>
      </c>
      <c r="J19" s="1211">
        <v>117</v>
      </c>
      <c r="K19" s="1211"/>
      <c r="L19" s="1211"/>
      <c r="M19" s="1211"/>
      <c r="N19" s="1211">
        <f>O19+R19+S19</f>
        <v>1183.33617</v>
      </c>
      <c r="O19" s="1211"/>
      <c r="P19" s="1211"/>
      <c r="Q19" s="1211"/>
      <c r="R19" s="1211">
        <f>D19+G19-J19</f>
        <v>1183.33617</v>
      </c>
      <c r="S19" s="1211"/>
      <c r="T19" s="1211"/>
      <c r="U19" s="1211"/>
      <c r="V19" s="1211"/>
      <c r="W19" s="1211"/>
      <c r="X19" s="1286"/>
    </row>
    <row r="20" spans="1:25" s="733" customFormat="1" ht="12.75" x14ac:dyDescent="0.25">
      <c r="A20" s="1174" t="s">
        <v>866</v>
      </c>
      <c r="B20" s="1175" t="s">
        <v>1757</v>
      </c>
      <c r="C20" s="1170">
        <f t="shared" ref="C20:W20" si="7">C21+C28</f>
        <v>11171.433478999999</v>
      </c>
      <c r="D20" s="1170">
        <f t="shared" si="7"/>
        <v>11171.433478999999</v>
      </c>
      <c r="E20" s="1170">
        <f t="shared" si="7"/>
        <v>0</v>
      </c>
      <c r="F20" s="1170">
        <f t="shared" si="7"/>
        <v>18812.752</v>
      </c>
      <c r="G20" s="1170">
        <f t="shared" si="7"/>
        <v>15923.752</v>
      </c>
      <c r="H20" s="1170">
        <f t="shared" si="7"/>
        <v>2889</v>
      </c>
      <c r="I20" s="1170">
        <f t="shared" si="7"/>
        <v>21924.580934000001</v>
      </c>
      <c r="J20" s="1170">
        <f t="shared" si="7"/>
        <v>19192.146000000001</v>
      </c>
      <c r="K20" s="1170">
        <f t="shared" si="7"/>
        <v>2732.4349339999999</v>
      </c>
      <c r="L20" s="1170">
        <f t="shared" si="7"/>
        <v>0</v>
      </c>
      <c r="M20" s="1170">
        <f t="shared" si="7"/>
        <v>0</v>
      </c>
      <c r="N20" s="1170">
        <f t="shared" si="7"/>
        <v>0</v>
      </c>
      <c r="O20" s="1170">
        <f t="shared" si="7"/>
        <v>7168.6249999999991</v>
      </c>
      <c r="P20" s="1170">
        <f t="shared" si="7"/>
        <v>6881.6797349999997</v>
      </c>
      <c r="Q20" s="1170">
        <f t="shared" si="7"/>
        <v>0</v>
      </c>
      <c r="R20" s="1170">
        <f t="shared" si="7"/>
        <v>1021.3597439999991</v>
      </c>
      <c r="S20" s="1170">
        <f t="shared" si="7"/>
        <v>0</v>
      </c>
      <c r="T20" s="1170">
        <f t="shared" si="7"/>
        <v>0</v>
      </c>
      <c r="U20" s="1170">
        <f t="shared" si="7"/>
        <v>156.56506600000006</v>
      </c>
      <c r="V20" s="1170">
        <f t="shared" si="7"/>
        <v>156.56506600000006</v>
      </c>
      <c r="W20" s="1170">
        <f t="shared" si="7"/>
        <v>0</v>
      </c>
      <c r="X20" s="1286"/>
    </row>
    <row r="21" spans="1:25" s="733" customFormat="1" ht="12.75" x14ac:dyDescent="0.25">
      <c r="A21" s="1174">
        <v>1</v>
      </c>
      <c r="B21" s="1175" t="s">
        <v>707</v>
      </c>
      <c r="C21" s="1170">
        <f>C22+C23+C24+C25+C26+C27</f>
        <v>11171.433478999999</v>
      </c>
      <c r="D21" s="1170">
        <f t="shared" ref="D21:W21" si="8">D22+D23+D24+D25+D26+D27</f>
        <v>11171.433478999999</v>
      </c>
      <c r="E21" s="1170">
        <f t="shared" si="8"/>
        <v>0</v>
      </c>
      <c r="F21" s="1170">
        <f t="shared" si="8"/>
        <v>15923.752</v>
      </c>
      <c r="G21" s="1170">
        <f t="shared" si="8"/>
        <v>15923.752</v>
      </c>
      <c r="H21" s="1170">
        <f t="shared" si="8"/>
        <v>0</v>
      </c>
      <c r="I21" s="1170">
        <f t="shared" si="8"/>
        <v>19192.146000000001</v>
      </c>
      <c r="J21" s="1170">
        <f t="shared" si="8"/>
        <v>19192.146000000001</v>
      </c>
      <c r="K21" s="1170">
        <f t="shared" si="8"/>
        <v>0</v>
      </c>
      <c r="L21" s="1170">
        <f t="shared" si="8"/>
        <v>0</v>
      </c>
      <c r="M21" s="1170">
        <f t="shared" si="8"/>
        <v>0</v>
      </c>
      <c r="N21" s="1170">
        <f t="shared" si="8"/>
        <v>0</v>
      </c>
      <c r="O21" s="1170">
        <f t="shared" si="8"/>
        <v>7168.6249999999991</v>
      </c>
      <c r="P21" s="1170">
        <f t="shared" si="8"/>
        <v>6881.6797349999997</v>
      </c>
      <c r="Q21" s="1170">
        <f t="shared" si="8"/>
        <v>0</v>
      </c>
      <c r="R21" s="1170">
        <f t="shared" si="8"/>
        <v>1021.3597439999991</v>
      </c>
      <c r="S21" s="1170">
        <f t="shared" si="8"/>
        <v>0</v>
      </c>
      <c r="T21" s="1170">
        <f t="shared" si="8"/>
        <v>0</v>
      </c>
      <c r="U21" s="1170">
        <f t="shared" si="8"/>
        <v>0</v>
      </c>
      <c r="V21" s="1170">
        <f t="shared" si="8"/>
        <v>0</v>
      </c>
      <c r="W21" s="1170">
        <f t="shared" si="8"/>
        <v>0</v>
      </c>
      <c r="X21" s="1286"/>
    </row>
    <row r="22" spans="1:25" s="733" customFormat="1" ht="12.75" x14ac:dyDescent="0.2">
      <c r="A22" s="1172" t="s">
        <v>711</v>
      </c>
      <c r="B22" s="1290" t="s">
        <v>1754</v>
      </c>
      <c r="C22" s="1211">
        <f>D22+E22</f>
        <v>11171.433478999999</v>
      </c>
      <c r="D22" s="1211">
        <v>11171.433478999999</v>
      </c>
      <c r="E22" s="1211"/>
      <c r="F22" s="1211">
        <f>G22</f>
        <v>0</v>
      </c>
      <c r="G22" s="1211"/>
      <c r="H22" s="1211"/>
      <c r="I22" s="1211">
        <f>J22</f>
        <v>10437.019</v>
      </c>
      <c r="J22" s="1211">
        <v>10437.019</v>
      </c>
      <c r="K22" s="1211"/>
      <c r="L22" s="1211"/>
      <c r="M22" s="1211"/>
      <c r="N22" s="1211"/>
      <c r="O22" s="1211">
        <f>P22+Q22</f>
        <v>0</v>
      </c>
      <c r="P22" s="1211"/>
      <c r="Q22" s="1211"/>
      <c r="R22" s="1211">
        <f>C22-I22</f>
        <v>734.41447899999912</v>
      </c>
      <c r="S22" s="1211"/>
      <c r="T22" s="1211"/>
      <c r="U22" s="1211"/>
      <c r="V22" s="1211"/>
      <c r="W22" s="1211"/>
      <c r="X22" s="1286"/>
    </row>
    <row r="23" spans="1:25" s="733" customFormat="1" ht="12.75" x14ac:dyDescent="0.2">
      <c r="A23" s="1172"/>
      <c r="B23" s="1290" t="s">
        <v>2310</v>
      </c>
      <c r="C23" s="1211">
        <f>D23+E23</f>
        <v>0</v>
      </c>
      <c r="D23" s="1211"/>
      <c r="E23" s="1211"/>
      <c r="F23" s="1211">
        <f>G23+H23</f>
        <v>7465.8649999999998</v>
      </c>
      <c r="G23" s="1211">
        <f>6990.865+475</f>
        <v>7465.8649999999998</v>
      </c>
      <c r="H23" s="1211"/>
      <c r="I23" s="1211">
        <f>J23+K23</f>
        <v>4072</v>
      </c>
      <c r="J23" s="1211">
        <f>4072</f>
        <v>4072</v>
      </c>
      <c r="K23" s="1211"/>
      <c r="L23" s="1211"/>
      <c r="M23" s="1211"/>
      <c r="N23" s="1211"/>
      <c r="O23" s="1211">
        <f>P23+Q23</f>
        <v>3393.8649999999998</v>
      </c>
      <c r="P23" s="1211">
        <f>G23-J23</f>
        <v>3393.8649999999998</v>
      </c>
      <c r="Q23" s="1211"/>
      <c r="R23" s="1211"/>
      <c r="S23" s="1211"/>
      <c r="T23" s="1211"/>
      <c r="U23" s="1211"/>
      <c r="V23" s="1211"/>
      <c r="W23" s="1211"/>
      <c r="X23" s="1286"/>
      <c r="Y23" s="1293"/>
    </row>
    <row r="24" spans="1:25" s="1297" customFormat="1" ht="12.75" x14ac:dyDescent="0.2">
      <c r="A24" s="1200"/>
      <c r="B24" s="1294" t="s">
        <v>2311</v>
      </c>
      <c r="C24" s="1295"/>
      <c r="D24" s="1295"/>
      <c r="E24" s="1295"/>
      <c r="F24" s="1295">
        <f>G24+H24</f>
        <v>8170.9417350000003</v>
      </c>
      <c r="G24" s="1295">
        <v>8170.9417350000003</v>
      </c>
      <c r="H24" s="1295"/>
      <c r="I24" s="1295">
        <f>J24</f>
        <v>4683.1270000000004</v>
      </c>
      <c r="J24" s="1295">
        <v>4683.1270000000004</v>
      </c>
      <c r="K24" s="1295"/>
      <c r="L24" s="1295"/>
      <c r="M24" s="1295"/>
      <c r="N24" s="1295"/>
      <c r="O24" s="1295">
        <f>P24+Q24</f>
        <v>3487.8147349999999</v>
      </c>
      <c r="P24" s="1295">
        <f>G24-J24</f>
        <v>3487.8147349999999</v>
      </c>
      <c r="Q24" s="1295"/>
      <c r="R24" s="1295"/>
      <c r="S24" s="1295"/>
      <c r="T24" s="1295"/>
      <c r="U24" s="1295"/>
      <c r="V24" s="1295"/>
      <c r="W24" s="1295"/>
      <c r="X24" s="1296"/>
    </row>
    <row r="25" spans="1:25" s="733" customFormat="1" ht="25.5" x14ac:dyDescent="0.2">
      <c r="A25" s="1172"/>
      <c r="B25" s="1290" t="s">
        <v>2316</v>
      </c>
      <c r="C25" s="1211"/>
      <c r="D25" s="1211"/>
      <c r="E25" s="1211"/>
      <c r="F25" s="1291">
        <f>G25</f>
        <v>57.164999999999999</v>
      </c>
      <c r="G25" s="1291">
        <v>57.164999999999999</v>
      </c>
      <c r="H25" s="1211"/>
      <c r="I25" s="1211"/>
      <c r="J25" s="1211"/>
      <c r="K25" s="1211"/>
      <c r="L25" s="1211"/>
      <c r="M25" s="1211"/>
      <c r="N25" s="1211"/>
      <c r="O25" s="1211">
        <f>R25</f>
        <v>57.164999999999999</v>
      </c>
      <c r="P25" s="1211"/>
      <c r="Q25" s="1211"/>
      <c r="R25" s="1211">
        <v>57.164999999999999</v>
      </c>
      <c r="S25" s="1211"/>
      <c r="T25" s="1211"/>
      <c r="U25" s="1211"/>
      <c r="V25" s="1211"/>
      <c r="W25" s="1211"/>
      <c r="X25" s="1286"/>
    </row>
    <row r="26" spans="1:25" s="733" customFormat="1" ht="25.5" x14ac:dyDescent="0.2">
      <c r="A26" s="1172"/>
      <c r="B26" s="1290" t="s">
        <v>2317</v>
      </c>
      <c r="C26" s="1211"/>
      <c r="D26" s="1211"/>
      <c r="E26" s="1211"/>
      <c r="F26" s="1291">
        <f>G26</f>
        <v>43.722000000000001</v>
      </c>
      <c r="G26" s="1291">
        <v>43.722000000000001</v>
      </c>
      <c r="H26" s="1211"/>
      <c r="I26" s="1211"/>
      <c r="J26" s="1211"/>
      <c r="K26" s="1211"/>
      <c r="L26" s="1211"/>
      <c r="M26" s="1211"/>
      <c r="N26" s="1211"/>
      <c r="O26" s="1211">
        <f>R26</f>
        <v>43.722000000000001</v>
      </c>
      <c r="P26" s="1211"/>
      <c r="Q26" s="1211"/>
      <c r="R26" s="1211">
        <v>43.722000000000001</v>
      </c>
      <c r="S26" s="1211"/>
      <c r="T26" s="1211"/>
      <c r="U26" s="1211"/>
      <c r="V26" s="1211"/>
      <c r="W26" s="1211"/>
      <c r="X26" s="1286"/>
    </row>
    <row r="27" spans="1:25" s="733" customFormat="1" ht="25.5" x14ac:dyDescent="0.2">
      <c r="A27" s="1172"/>
      <c r="B27" s="1290" t="s">
        <v>2318</v>
      </c>
      <c r="C27" s="1211"/>
      <c r="D27" s="1211"/>
      <c r="E27" s="1211"/>
      <c r="F27" s="1291">
        <f>G27</f>
        <v>186.05826500000001</v>
      </c>
      <c r="G27" s="1291">
        <v>186.05826500000001</v>
      </c>
      <c r="H27" s="1211"/>
      <c r="I27" s="1211"/>
      <c r="J27" s="1211"/>
      <c r="K27" s="1211"/>
      <c r="L27" s="1211"/>
      <c r="M27" s="1211"/>
      <c r="N27" s="1211"/>
      <c r="O27" s="1211">
        <f>R27</f>
        <v>186.05826500000001</v>
      </c>
      <c r="P27" s="1211"/>
      <c r="Q27" s="1211"/>
      <c r="R27" s="1211">
        <v>186.05826500000001</v>
      </c>
      <c r="S27" s="1211"/>
      <c r="T27" s="1211"/>
      <c r="U27" s="1211"/>
      <c r="V27" s="1211"/>
      <c r="W27" s="1211"/>
      <c r="X27" s="1286"/>
    </row>
    <row r="28" spans="1:25" s="1289" customFormat="1" ht="12.75" x14ac:dyDescent="0.2">
      <c r="A28" s="1174">
        <v>2</v>
      </c>
      <c r="B28" s="1287" t="s">
        <v>1471</v>
      </c>
      <c r="C28" s="1170">
        <f>SUM(C29:C34)</f>
        <v>0</v>
      </c>
      <c r="D28" s="1170">
        <f t="shared" ref="D28:K28" si="9">SUM(D29:D34)</f>
        <v>0</v>
      </c>
      <c r="E28" s="1298">
        <f t="shared" si="9"/>
        <v>0</v>
      </c>
      <c r="F28" s="1170">
        <f>SUM(F29:F34)</f>
        <v>2889</v>
      </c>
      <c r="G28" s="1170">
        <f t="shared" si="9"/>
        <v>0</v>
      </c>
      <c r="H28" s="1170">
        <f t="shared" si="9"/>
        <v>2889</v>
      </c>
      <c r="I28" s="1170">
        <f>SUM(I29:I34)</f>
        <v>2732.4349339999999</v>
      </c>
      <c r="J28" s="1170">
        <f t="shared" si="9"/>
        <v>0</v>
      </c>
      <c r="K28" s="1170">
        <f t="shared" si="9"/>
        <v>2732.4349339999999</v>
      </c>
      <c r="L28" s="1170">
        <f t="shared" ref="L28:W28" si="10">SUM(L29:L34)</f>
        <v>0</v>
      </c>
      <c r="M28" s="1170">
        <f t="shared" si="10"/>
        <v>0</v>
      </c>
      <c r="N28" s="1170">
        <f t="shared" si="10"/>
        <v>0</v>
      </c>
      <c r="O28" s="1170">
        <f t="shared" si="10"/>
        <v>0</v>
      </c>
      <c r="P28" s="1170">
        <f t="shared" si="10"/>
        <v>0</v>
      </c>
      <c r="Q28" s="1170">
        <f t="shared" si="10"/>
        <v>0</v>
      </c>
      <c r="R28" s="1170">
        <f t="shared" si="10"/>
        <v>0</v>
      </c>
      <c r="S28" s="1170">
        <f t="shared" si="10"/>
        <v>0</v>
      </c>
      <c r="T28" s="1170">
        <f t="shared" si="10"/>
        <v>0</v>
      </c>
      <c r="U28" s="1170">
        <f t="shared" si="10"/>
        <v>156.56506600000006</v>
      </c>
      <c r="V28" s="1170">
        <f t="shared" si="10"/>
        <v>156.56506600000006</v>
      </c>
      <c r="W28" s="1170">
        <f t="shared" si="10"/>
        <v>0</v>
      </c>
      <c r="X28" s="1288"/>
      <c r="Y28" s="1299"/>
    </row>
    <row r="29" spans="1:25" s="733" customFormat="1" ht="25.5" x14ac:dyDescent="0.2">
      <c r="A29" s="1172" t="s">
        <v>711</v>
      </c>
      <c r="B29" s="1290" t="s">
        <v>1756</v>
      </c>
      <c r="C29" s="1211"/>
      <c r="D29" s="1211"/>
      <c r="E29" s="1211"/>
      <c r="F29" s="1300">
        <f>G29+H29</f>
        <v>816</v>
      </c>
      <c r="G29" s="1211"/>
      <c r="H29" s="1211">
        <v>816</v>
      </c>
      <c r="I29" s="1211">
        <f>J29+K29</f>
        <v>691.59972000000005</v>
      </c>
      <c r="J29" s="1211"/>
      <c r="K29" s="1211">
        <v>691.59972000000005</v>
      </c>
      <c r="L29" s="1211"/>
      <c r="M29" s="1211"/>
      <c r="N29" s="1211"/>
      <c r="O29" s="1211"/>
      <c r="P29" s="1211"/>
      <c r="Q29" s="1211"/>
      <c r="R29" s="1211"/>
      <c r="S29" s="1211"/>
      <c r="T29" s="1211"/>
      <c r="U29" s="1211">
        <f>V29+W29</f>
        <v>124.40027999999995</v>
      </c>
      <c r="V29" s="1211">
        <f>F29-I29</f>
        <v>124.40027999999995</v>
      </c>
      <c r="W29" s="1211"/>
      <c r="X29" s="1301"/>
    </row>
    <row r="30" spans="1:25" s="733" customFormat="1" ht="25.5" x14ac:dyDescent="0.2">
      <c r="A30" s="1172"/>
      <c r="B30" s="1290" t="s">
        <v>2307</v>
      </c>
      <c r="C30" s="1211"/>
      <c r="D30" s="1211"/>
      <c r="E30" s="1211"/>
      <c r="F30" s="1300">
        <f>G30+H30</f>
        <v>100</v>
      </c>
      <c r="G30" s="1211"/>
      <c r="H30" s="1211">
        <v>100</v>
      </c>
      <c r="I30" s="1211">
        <f>J30+K30</f>
        <v>95.648213999999996</v>
      </c>
      <c r="J30" s="1211"/>
      <c r="K30" s="1211">
        <f>100-4.351786</f>
        <v>95.648213999999996</v>
      </c>
      <c r="L30" s="1211"/>
      <c r="M30" s="1211"/>
      <c r="N30" s="1211"/>
      <c r="O30" s="1211"/>
      <c r="P30" s="1211"/>
      <c r="Q30" s="1211"/>
      <c r="R30" s="1211"/>
      <c r="S30" s="1211"/>
      <c r="T30" s="1211"/>
      <c r="U30" s="1211">
        <f>V30</f>
        <v>4.3517860000000042</v>
      </c>
      <c r="V30" s="1211">
        <f>F30-I30</f>
        <v>4.3517860000000042</v>
      </c>
      <c r="W30" s="1211"/>
      <c r="X30" s="1301"/>
    </row>
    <row r="31" spans="1:25" s="733" customFormat="1" ht="12.75" x14ac:dyDescent="0.2">
      <c r="A31" s="1172"/>
      <c r="B31" s="1290" t="s">
        <v>2313</v>
      </c>
      <c r="C31" s="1211"/>
      <c r="D31" s="1211"/>
      <c r="E31" s="1211"/>
      <c r="F31" s="1300">
        <f>G31+H31</f>
        <v>1670</v>
      </c>
      <c r="G31" s="1211"/>
      <c r="H31" s="1211">
        <v>1670</v>
      </c>
      <c r="I31" s="1211">
        <f>J31+K31</f>
        <v>1642.1869999999999</v>
      </c>
      <c r="J31" s="1211"/>
      <c r="K31" s="1211">
        <v>1642.1869999999999</v>
      </c>
      <c r="L31" s="1211"/>
      <c r="M31" s="1211"/>
      <c r="N31" s="1211"/>
      <c r="O31" s="1211"/>
      <c r="P31" s="1211"/>
      <c r="Q31" s="1211"/>
      <c r="R31" s="1211"/>
      <c r="S31" s="1211"/>
      <c r="T31" s="1211"/>
      <c r="U31" s="1211">
        <f>V31+W31</f>
        <v>27.813000000000102</v>
      </c>
      <c r="V31" s="1211">
        <f>H31-K31</f>
        <v>27.813000000000102</v>
      </c>
      <c r="W31" s="1211"/>
      <c r="X31" s="1301"/>
    </row>
    <row r="32" spans="1:25" s="733" customFormat="1" ht="12.75" x14ac:dyDescent="0.2">
      <c r="A32" s="1172" t="s">
        <v>711</v>
      </c>
      <c r="B32" s="1290" t="s">
        <v>1758</v>
      </c>
      <c r="C32" s="1211"/>
      <c r="D32" s="1211"/>
      <c r="E32" s="1211"/>
      <c r="F32" s="1300">
        <f>H32</f>
        <v>115</v>
      </c>
      <c r="G32" s="1211"/>
      <c r="H32" s="1211">
        <v>115</v>
      </c>
      <c r="I32" s="1211">
        <f>K32</f>
        <v>115</v>
      </c>
      <c r="J32" s="1211"/>
      <c r="K32" s="1211">
        <v>115</v>
      </c>
      <c r="L32" s="1211"/>
      <c r="M32" s="1211"/>
      <c r="N32" s="1211"/>
      <c r="O32" s="1211"/>
      <c r="P32" s="1211"/>
      <c r="Q32" s="1211"/>
      <c r="R32" s="1211"/>
      <c r="S32" s="1211"/>
      <c r="T32" s="1211"/>
      <c r="U32" s="1211">
        <f>V32+W32</f>
        <v>0</v>
      </c>
      <c r="V32" s="1211">
        <f>F32-I32</f>
        <v>0</v>
      </c>
      <c r="W32" s="1211"/>
      <c r="X32" s="1286"/>
    </row>
    <row r="33" spans="1:26" s="733" customFormat="1" ht="25.5" x14ac:dyDescent="0.25">
      <c r="A33" s="1172" t="s">
        <v>711</v>
      </c>
      <c r="B33" s="1173" t="s">
        <v>2303</v>
      </c>
      <c r="C33" s="1211">
        <f>E33</f>
        <v>0</v>
      </c>
      <c r="D33" s="1211"/>
      <c r="E33" s="1211"/>
      <c r="F33" s="1300">
        <v>180</v>
      </c>
      <c r="G33" s="1211"/>
      <c r="H33" s="1211">
        <v>180</v>
      </c>
      <c r="I33" s="1211">
        <f>K33</f>
        <v>180</v>
      </c>
      <c r="J33" s="1211"/>
      <c r="K33" s="1211">
        <v>180</v>
      </c>
      <c r="L33" s="1211"/>
      <c r="M33" s="1211"/>
      <c r="N33" s="1211"/>
      <c r="O33" s="1211"/>
      <c r="P33" s="1211"/>
      <c r="Q33" s="1211"/>
      <c r="R33" s="1211"/>
      <c r="S33" s="1211"/>
      <c r="T33" s="1211"/>
      <c r="U33" s="1211">
        <f>V33+W33</f>
        <v>0</v>
      </c>
      <c r="V33" s="1211">
        <f>C33+F33-K33</f>
        <v>0</v>
      </c>
      <c r="W33" s="1211"/>
      <c r="X33" s="1286"/>
    </row>
    <row r="34" spans="1:26" s="733" customFormat="1" ht="25.5" x14ac:dyDescent="0.2">
      <c r="A34" s="1172" t="s">
        <v>711</v>
      </c>
      <c r="B34" s="1290" t="s">
        <v>1759</v>
      </c>
      <c r="C34" s="1211"/>
      <c r="D34" s="1211"/>
      <c r="E34" s="1211"/>
      <c r="F34" s="1300">
        <f>H34</f>
        <v>8</v>
      </c>
      <c r="G34" s="1211"/>
      <c r="H34" s="1211">
        <v>8</v>
      </c>
      <c r="I34" s="1211">
        <f>K34</f>
        <v>8</v>
      </c>
      <c r="J34" s="1211"/>
      <c r="K34" s="1211">
        <v>8</v>
      </c>
      <c r="L34" s="1211"/>
      <c r="M34" s="1211"/>
      <c r="N34" s="1211"/>
      <c r="O34" s="1211"/>
      <c r="P34" s="1211"/>
      <c r="Q34" s="1211"/>
      <c r="R34" s="1211"/>
      <c r="S34" s="1211"/>
      <c r="T34" s="1211"/>
      <c r="U34" s="1211">
        <f>V34+W34</f>
        <v>0</v>
      </c>
      <c r="V34" s="1211">
        <f>F34-I34</f>
        <v>0</v>
      </c>
      <c r="W34" s="1211"/>
      <c r="X34" s="1286"/>
    </row>
    <row r="35" spans="1:26" s="733" customFormat="1" ht="12.75" x14ac:dyDescent="0.2">
      <c r="A35" s="1174">
        <v>3</v>
      </c>
      <c r="B35" s="1287" t="s">
        <v>1231</v>
      </c>
      <c r="C35" s="1170">
        <f>SUM(C36:C67)</f>
        <v>346.34</v>
      </c>
      <c r="D35" s="1170">
        <f>SUM(D36:D67)</f>
        <v>0</v>
      </c>
      <c r="E35" s="1170">
        <f>SUM(E36:E67)</f>
        <v>346.34</v>
      </c>
      <c r="F35" s="1170">
        <f t="shared" ref="F35:W35" si="11">SUM(F36:F76)</f>
        <v>46207.494640999998</v>
      </c>
      <c r="G35" s="1170">
        <f t="shared" si="11"/>
        <v>0</v>
      </c>
      <c r="H35" s="1170">
        <f t="shared" si="11"/>
        <v>46944.154641000001</v>
      </c>
      <c r="I35" s="1170">
        <f t="shared" si="11"/>
        <v>43349.920572100003</v>
      </c>
      <c r="J35" s="1170">
        <f t="shared" si="11"/>
        <v>0</v>
      </c>
      <c r="K35" s="1170">
        <f t="shared" si="11"/>
        <v>43528.679572100009</v>
      </c>
      <c r="L35" s="1170" t="e">
        <f t="shared" si="11"/>
        <v>#REF!</v>
      </c>
      <c r="M35" s="1170">
        <f t="shared" si="11"/>
        <v>2450.6906230000004</v>
      </c>
      <c r="N35" s="1170">
        <f t="shared" si="11"/>
        <v>0</v>
      </c>
      <c r="O35" s="1170">
        <f t="shared" si="11"/>
        <v>0</v>
      </c>
      <c r="P35" s="1170">
        <f t="shared" si="11"/>
        <v>0</v>
      </c>
      <c r="Q35" s="1170">
        <f t="shared" si="11"/>
        <v>0</v>
      </c>
      <c r="R35" s="1170">
        <f t="shared" si="11"/>
        <v>0</v>
      </c>
      <c r="S35" s="1170">
        <f t="shared" si="11"/>
        <v>0</v>
      </c>
      <c r="T35" s="1170">
        <f t="shared" si="11"/>
        <v>0</v>
      </c>
      <c r="U35" s="1170">
        <f t="shared" si="11"/>
        <v>1303.3404458999996</v>
      </c>
      <c r="V35" s="1170">
        <f t="shared" si="11"/>
        <v>1311.1244458999993</v>
      </c>
      <c r="W35" s="1170">
        <f t="shared" si="11"/>
        <v>0</v>
      </c>
      <c r="X35" s="1286"/>
    </row>
    <row r="36" spans="1:26" s="733" customFormat="1" ht="12.75" x14ac:dyDescent="0.2">
      <c r="A36" s="1172" t="s">
        <v>711</v>
      </c>
      <c r="B36" s="1290" t="s">
        <v>1232</v>
      </c>
      <c r="C36" s="1211"/>
      <c r="D36" s="1211"/>
      <c r="E36" s="1211"/>
      <c r="F36" s="1211">
        <f>G36+H36</f>
        <v>9160</v>
      </c>
      <c r="G36" s="1211"/>
      <c r="H36" s="1211">
        <f>8660+500</f>
        <v>9160</v>
      </c>
      <c r="I36" s="1211">
        <f>J36+K36</f>
        <v>9061.1216000000004</v>
      </c>
      <c r="J36" s="1211"/>
      <c r="K36" s="1211">
        <v>9061.1216000000004</v>
      </c>
      <c r="L36" s="1211"/>
      <c r="M36" s="1211"/>
      <c r="N36" s="1211"/>
      <c r="O36" s="1211"/>
      <c r="P36" s="1211"/>
      <c r="Q36" s="1211"/>
      <c r="R36" s="1211"/>
      <c r="S36" s="1211"/>
      <c r="T36" s="1211"/>
      <c r="U36" s="1211">
        <f>V36+W36</f>
        <v>98.878399999999601</v>
      </c>
      <c r="V36" s="1211">
        <f>F36-I36</f>
        <v>98.878399999999601</v>
      </c>
      <c r="W36" s="1211"/>
      <c r="X36" s="1286"/>
      <c r="Y36" s="733" t="s">
        <v>846</v>
      </c>
      <c r="Z36" s="733" t="s">
        <v>2591</v>
      </c>
    </row>
    <row r="37" spans="1:26" s="733" customFormat="1" ht="12.75" x14ac:dyDescent="0.2">
      <c r="A37" s="1172"/>
      <c r="B37" s="1290" t="s">
        <v>2314</v>
      </c>
      <c r="C37" s="1211"/>
      <c r="D37" s="1211"/>
      <c r="E37" s="1211"/>
      <c r="F37" s="1211">
        <f>H37</f>
        <v>178.75899999999999</v>
      </c>
      <c r="G37" s="1211"/>
      <c r="H37" s="1211">
        <v>178.75899999999999</v>
      </c>
      <c r="I37" s="1211"/>
      <c r="J37" s="1211"/>
      <c r="K37" s="1211">
        <f>H37</f>
        <v>178.75899999999999</v>
      </c>
      <c r="L37" s="1211"/>
      <c r="M37" s="1211"/>
      <c r="N37" s="1211"/>
      <c r="O37" s="1211"/>
      <c r="P37" s="1211"/>
      <c r="Q37" s="1211"/>
      <c r="R37" s="1211"/>
      <c r="S37" s="1211"/>
      <c r="T37" s="1211"/>
      <c r="U37" s="1211"/>
      <c r="V37" s="1211"/>
      <c r="W37" s="1211"/>
      <c r="X37" s="1286"/>
    </row>
    <row r="38" spans="1:26" s="394" customFormat="1" ht="38.25" x14ac:dyDescent="0.2">
      <c r="A38" s="389" t="s">
        <v>711</v>
      </c>
      <c r="B38" s="1424" t="s">
        <v>1233</v>
      </c>
      <c r="C38" s="1425"/>
      <c r="D38" s="1425"/>
      <c r="E38" s="1425"/>
      <c r="F38" s="1425">
        <f>H38</f>
        <v>2759.076</v>
      </c>
      <c r="G38" s="1425"/>
      <c r="H38" s="1425">
        <f>2571+188.076</f>
        <v>2759.076</v>
      </c>
      <c r="I38" s="1425">
        <f>J38+K38+K39</f>
        <v>2593.2549400000003</v>
      </c>
      <c r="J38" s="1425"/>
      <c r="K38" s="1442">
        <v>2472.4751000000001</v>
      </c>
      <c r="L38" s="1425" t="e">
        <f>#REF!+L39+#REF!</f>
        <v>#REF!</v>
      </c>
      <c r="M38" s="1425"/>
      <c r="N38" s="1425"/>
      <c r="O38" s="1425"/>
      <c r="P38" s="1425"/>
      <c r="Q38" s="1425"/>
      <c r="R38" s="1425"/>
      <c r="S38" s="1425"/>
      <c r="T38" s="1425"/>
      <c r="U38" s="1425">
        <f t="shared" ref="U38:U47" si="12">V38+W38</f>
        <v>165.82105999999976</v>
      </c>
      <c r="V38" s="1441">
        <f>F38-I38</f>
        <v>165.82105999999976</v>
      </c>
      <c r="W38" s="1425"/>
      <c r="X38" s="1426">
        <v>86</v>
      </c>
      <c r="Y38" s="1443">
        <f>F38</f>
        <v>2759.076</v>
      </c>
    </row>
    <row r="39" spans="1:26" s="394" customFormat="1" ht="38.25" x14ac:dyDescent="0.2">
      <c r="A39" s="389"/>
      <c r="B39" s="1424" t="s">
        <v>2315</v>
      </c>
      <c r="C39" s="1425"/>
      <c r="D39" s="1425"/>
      <c r="E39" s="1425"/>
      <c r="F39" s="1425"/>
      <c r="G39" s="1425"/>
      <c r="H39" s="1425"/>
      <c r="I39" s="1425"/>
      <c r="J39" s="1425"/>
      <c r="K39" s="1442">
        <v>120.77983999999999</v>
      </c>
      <c r="L39" s="1425"/>
      <c r="M39" s="1425"/>
      <c r="N39" s="1425"/>
      <c r="O39" s="1425"/>
      <c r="P39" s="1425"/>
      <c r="Q39" s="1425"/>
      <c r="R39" s="1425"/>
      <c r="S39" s="1425"/>
      <c r="T39" s="1425"/>
      <c r="U39" s="1425">
        <f t="shared" si="12"/>
        <v>0</v>
      </c>
      <c r="V39" s="1425"/>
      <c r="W39" s="1425"/>
      <c r="X39" s="1426"/>
    </row>
    <row r="40" spans="1:26" s="733" customFormat="1" ht="38.25" x14ac:dyDescent="0.2">
      <c r="A40" s="1172" t="s">
        <v>711</v>
      </c>
      <c r="B40" s="1302" t="s">
        <v>1760</v>
      </c>
      <c r="C40" s="1211"/>
      <c r="D40" s="1211"/>
      <c r="E40" s="1211"/>
      <c r="F40" s="1211">
        <f t="shared" ref="F40:F47" si="13">H40</f>
        <v>4641</v>
      </c>
      <c r="G40" s="1211"/>
      <c r="H40" s="1211">
        <f>3575+1066</f>
        <v>4641</v>
      </c>
      <c r="I40" s="1211">
        <f t="shared" ref="I40:I45" si="14">K40</f>
        <v>3679.2570000000001</v>
      </c>
      <c r="J40" s="1211"/>
      <c r="K40" s="1211">
        <v>3679.2570000000001</v>
      </c>
      <c r="L40" s="1211"/>
      <c r="M40" s="1211">
        <v>945.65099999999995</v>
      </c>
      <c r="N40" s="1211"/>
      <c r="O40" s="1211"/>
      <c r="P40" s="1211"/>
      <c r="Q40" s="1211"/>
      <c r="R40" s="1211"/>
      <c r="S40" s="1211"/>
      <c r="T40" s="1211"/>
      <c r="U40" s="1211">
        <f t="shared" si="12"/>
        <v>16.091999999999985</v>
      </c>
      <c r="V40" s="1211">
        <f>F40-K40-M40</f>
        <v>16.091999999999985</v>
      </c>
      <c r="W40" s="1211"/>
      <c r="X40" s="1286">
        <f>3575+959-4503.98</f>
        <v>30.020000000000437</v>
      </c>
    </row>
    <row r="41" spans="1:26" s="733" customFormat="1" ht="25.5" x14ac:dyDescent="0.2">
      <c r="A41" s="1172" t="s">
        <v>711</v>
      </c>
      <c r="B41" s="1290" t="s">
        <v>1238</v>
      </c>
      <c r="C41" s="1211"/>
      <c r="D41" s="1211"/>
      <c r="E41" s="1211"/>
      <c r="F41" s="1211">
        <f t="shared" si="13"/>
        <v>668</v>
      </c>
      <c r="G41" s="1211"/>
      <c r="H41" s="1211">
        <f>311+357</f>
        <v>668</v>
      </c>
      <c r="I41" s="1211">
        <f t="shared" si="14"/>
        <v>501.92</v>
      </c>
      <c r="J41" s="1211"/>
      <c r="K41" s="1211">
        <v>501.92</v>
      </c>
      <c r="L41" s="1211"/>
      <c r="M41" s="1211">
        <v>172.54</v>
      </c>
      <c r="N41" s="1211"/>
      <c r="O41" s="1211"/>
      <c r="P41" s="1211"/>
      <c r="Q41" s="1211"/>
      <c r="R41" s="1211"/>
      <c r="S41" s="1211"/>
      <c r="T41" s="1211"/>
      <c r="U41" s="1211">
        <f t="shared" si="12"/>
        <v>-6.460000000000008</v>
      </c>
      <c r="V41" s="1211">
        <f t="shared" ref="V41:V47" si="15">F41-I41-M41</f>
        <v>-6.460000000000008</v>
      </c>
      <c r="W41" s="1211"/>
      <c r="X41" s="1286"/>
    </row>
    <row r="42" spans="1:26" s="733" customFormat="1" ht="25.5" x14ac:dyDescent="0.2">
      <c r="A42" s="1172" t="s">
        <v>711</v>
      </c>
      <c r="B42" s="1290" t="s">
        <v>1609</v>
      </c>
      <c r="C42" s="1211"/>
      <c r="D42" s="1211"/>
      <c r="E42" s="1211"/>
      <c r="F42" s="1211">
        <f t="shared" si="13"/>
        <v>1963</v>
      </c>
      <c r="G42" s="1211"/>
      <c r="H42" s="1211">
        <v>1963</v>
      </c>
      <c r="I42" s="1211">
        <f t="shared" si="14"/>
        <v>1465.2484999999999</v>
      </c>
      <c r="J42" s="1211"/>
      <c r="K42" s="1211">
        <f>1282.3235+182.925</f>
        <v>1465.2484999999999</v>
      </c>
      <c r="L42" s="1211"/>
      <c r="M42" s="1211">
        <v>486.178</v>
      </c>
      <c r="N42" s="1211"/>
      <c r="O42" s="1211"/>
      <c r="P42" s="1211"/>
      <c r="Q42" s="1211"/>
      <c r="R42" s="1211"/>
      <c r="S42" s="1211"/>
      <c r="T42" s="1211"/>
      <c r="U42" s="1211">
        <f t="shared" si="12"/>
        <v>11.573500000000081</v>
      </c>
      <c r="V42" s="1211">
        <f t="shared" si="15"/>
        <v>11.573500000000081</v>
      </c>
      <c r="W42" s="1211"/>
      <c r="X42" s="1286"/>
    </row>
    <row r="43" spans="1:26" s="733" customFormat="1" ht="25.5" x14ac:dyDescent="0.2">
      <c r="A43" s="1172" t="s">
        <v>711</v>
      </c>
      <c r="B43" s="1290" t="s">
        <v>1607</v>
      </c>
      <c r="C43" s="1211"/>
      <c r="D43" s="1211"/>
      <c r="E43" s="1211"/>
      <c r="F43" s="1211">
        <f t="shared" si="13"/>
        <v>58</v>
      </c>
      <c r="G43" s="1211"/>
      <c r="H43" s="1211">
        <v>58</v>
      </c>
      <c r="I43" s="1211">
        <f t="shared" si="14"/>
        <v>52.647024999999999</v>
      </c>
      <c r="J43" s="1211"/>
      <c r="K43" s="1211">
        <v>52.647024999999999</v>
      </c>
      <c r="L43" s="1211"/>
      <c r="M43" s="1211">
        <v>3.0369999999999999</v>
      </c>
      <c r="N43" s="1211"/>
      <c r="O43" s="1211"/>
      <c r="P43" s="1211"/>
      <c r="Q43" s="1211"/>
      <c r="R43" s="1211"/>
      <c r="S43" s="1211"/>
      <c r="T43" s="1211"/>
      <c r="U43" s="1211">
        <f t="shared" si="12"/>
        <v>2.3159750000000008</v>
      </c>
      <c r="V43" s="1211">
        <f t="shared" si="15"/>
        <v>2.3159750000000008</v>
      </c>
      <c r="W43" s="1211"/>
      <c r="X43" s="1286"/>
    </row>
    <row r="44" spans="1:26" s="733" customFormat="1" ht="38.25" x14ac:dyDescent="0.2">
      <c r="A44" s="1172" t="s">
        <v>711</v>
      </c>
      <c r="B44" s="1290" t="s">
        <v>1608</v>
      </c>
      <c r="C44" s="1211"/>
      <c r="D44" s="1211"/>
      <c r="E44" s="1211"/>
      <c r="F44" s="1211">
        <f t="shared" si="13"/>
        <v>63</v>
      </c>
      <c r="G44" s="1211"/>
      <c r="H44" s="1211">
        <v>63</v>
      </c>
      <c r="I44" s="1211">
        <f t="shared" si="14"/>
        <v>28.5335</v>
      </c>
      <c r="J44" s="1211"/>
      <c r="K44" s="1211">
        <v>28.5335</v>
      </c>
      <c r="L44" s="1211"/>
      <c r="M44" s="1211">
        <v>29.698</v>
      </c>
      <c r="N44" s="1211"/>
      <c r="O44" s="1211"/>
      <c r="P44" s="1211"/>
      <c r="Q44" s="1211"/>
      <c r="R44" s="1211"/>
      <c r="S44" s="1211"/>
      <c r="T44" s="1211"/>
      <c r="U44" s="1211">
        <f t="shared" si="12"/>
        <v>4.768499999999996</v>
      </c>
      <c r="V44" s="1211">
        <f t="shared" si="15"/>
        <v>4.768499999999996</v>
      </c>
      <c r="W44" s="1211"/>
      <c r="X44" s="1286"/>
    </row>
    <row r="45" spans="1:26" s="733" customFormat="1" ht="43.5" customHeight="1" x14ac:dyDescent="0.2">
      <c r="A45" s="1172"/>
      <c r="B45" s="1290" t="s">
        <v>2319</v>
      </c>
      <c r="C45" s="1211"/>
      <c r="D45" s="1211"/>
      <c r="E45" s="1211"/>
      <c r="F45" s="1211">
        <v>9</v>
      </c>
      <c r="G45" s="1211"/>
      <c r="H45" s="1211">
        <v>9</v>
      </c>
      <c r="I45" s="1291">
        <f t="shared" si="14"/>
        <v>0</v>
      </c>
      <c r="J45" s="1211"/>
      <c r="K45" s="1291"/>
      <c r="L45" s="1211"/>
      <c r="M45" s="1211"/>
      <c r="N45" s="1211"/>
      <c r="O45" s="1211"/>
      <c r="P45" s="1211"/>
      <c r="Q45" s="1211"/>
      <c r="R45" s="1211"/>
      <c r="S45" s="1211"/>
      <c r="T45" s="1211"/>
      <c r="U45" s="1291">
        <f t="shared" si="12"/>
        <v>9</v>
      </c>
      <c r="V45" s="1291">
        <f t="shared" si="15"/>
        <v>9</v>
      </c>
      <c r="W45" s="1211"/>
      <c r="X45" s="1286"/>
    </row>
    <row r="46" spans="1:26" s="733" customFormat="1" ht="51" x14ac:dyDescent="0.2">
      <c r="A46" s="1172"/>
      <c r="B46" s="1290" t="s">
        <v>2320</v>
      </c>
      <c r="C46" s="1211"/>
      <c r="D46" s="1211"/>
      <c r="E46" s="1211"/>
      <c r="F46" s="1211">
        <f t="shared" si="13"/>
        <v>1132.6759999999999</v>
      </c>
      <c r="G46" s="1211"/>
      <c r="H46" s="1211">
        <v>1132.6759999999999</v>
      </c>
      <c r="I46" s="1211">
        <f>K46</f>
        <v>999.80952000000002</v>
      </c>
      <c r="J46" s="1211"/>
      <c r="K46" s="1211">
        <v>999.80952000000002</v>
      </c>
      <c r="L46" s="1211"/>
      <c r="M46" s="1211">
        <v>132.86600000000001</v>
      </c>
      <c r="N46" s="1211"/>
      <c r="O46" s="1211"/>
      <c r="P46" s="1211"/>
      <c r="Q46" s="1211"/>
      <c r="R46" s="1211"/>
      <c r="S46" s="1211"/>
      <c r="T46" s="1211"/>
      <c r="U46" s="1211">
        <f t="shared" si="12"/>
        <v>4.7999999989656317E-4</v>
      </c>
      <c r="V46" s="1211">
        <f t="shared" si="15"/>
        <v>4.7999999989656317E-4</v>
      </c>
      <c r="W46" s="1211"/>
      <c r="X46" s="1286"/>
    </row>
    <row r="47" spans="1:26" s="733" customFormat="1" ht="12.75" x14ac:dyDescent="0.2">
      <c r="A47" s="1172"/>
      <c r="B47" s="1290" t="s">
        <v>2321</v>
      </c>
      <c r="C47" s="1211"/>
      <c r="D47" s="1211"/>
      <c r="E47" s="1211"/>
      <c r="F47" s="1211">
        <f t="shared" si="13"/>
        <v>831.219425</v>
      </c>
      <c r="G47" s="1211"/>
      <c r="H47" s="1211">
        <v>831.219425</v>
      </c>
      <c r="I47" s="1211">
        <f>K47</f>
        <v>596.73620000000005</v>
      </c>
      <c r="J47" s="1211"/>
      <c r="K47" s="1211">
        <v>596.73620000000005</v>
      </c>
      <c r="L47" s="1211"/>
      <c r="M47" s="1211"/>
      <c r="N47" s="1211"/>
      <c r="O47" s="1211"/>
      <c r="P47" s="1211"/>
      <c r="Q47" s="1211"/>
      <c r="R47" s="1211"/>
      <c r="S47" s="1211"/>
      <c r="T47" s="1211"/>
      <c r="U47" s="1211">
        <f t="shared" si="12"/>
        <v>234.48322499999995</v>
      </c>
      <c r="V47" s="1211">
        <f t="shared" si="15"/>
        <v>234.48322499999995</v>
      </c>
      <c r="W47" s="1211"/>
      <c r="X47" s="1286"/>
    </row>
    <row r="48" spans="1:26" s="733" customFormat="1" ht="25.5" x14ac:dyDescent="0.2">
      <c r="A48" s="1172" t="s">
        <v>711</v>
      </c>
      <c r="B48" s="1290" t="s">
        <v>1610</v>
      </c>
      <c r="C48" s="1211"/>
      <c r="D48" s="1211"/>
      <c r="E48" s="1211"/>
      <c r="F48" s="1211"/>
      <c r="G48" s="1211"/>
      <c r="H48" s="1211"/>
      <c r="I48" s="1211"/>
      <c r="J48" s="1211"/>
      <c r="K48" s="1211"/>
      <c r="L48" s="1211"/>
      <c r="M48" s="1211"/>
      <c r="N48" s="1211"/>
      <c r="O48" s="1211"/>
      <c r="P48" s="1211"/>
      <c r="Q48" s="1211"/>
      <c r="R48" s="1211"/>
      <c r="S48" s="1211"/>
      <c r="T48" s="1211"/>
      <c r="U48" s="1211"/>
      <c r="V48" s="1211"/>
      <c r="W48" s="1211"/>
      <c r="X48" s="1286"/>
    </row>
    <row r="49" spans="1:24" s="1306" customFormat="1" ht="25.5" x14ac:dyDescent="0.2">
      <c r="A49" s="1303" t="s">
        <v>1529</v>
      </c>
      <c r="B49" s="1304" t="s">
        <v>1612</v>
      </c>
      <c r="C49" s="1210"/>
      <c r="D49" s="1210"/>
      <c r="E49" s="1210"/>
      <c r="F49" s="1210">
        <f>H49</f>
        <v>5385</v>
      </c>
      <c r="G49" s="1210"/>
      <c r="H49" s="1210">
        <v>5385</v>
      </c>
      <c r="I49" s="1210">
        <f t="shared" ref="I49:I54" si="16">K49</f>
        <v>5377.2160000000003</v>
      </c>
      <c r="J49" s="1210"/>
      <c r="K49" s="1210">
        <v>5377.2160000000003</v>
      </c>
      <c r="L49" s="1210"/>
      <c r="M49" s="1210"/>
      <c r="N49" s="1210"/>
      <c r="O49" s="1210"/>
      <c r="P49" s="1210"/>
      <c r="Q49" s="1210"/>
      <c r="R49" s="1210"/>
      <c r="S49" s="1210"/>
      <c r="T49" s="1210"/>
      <c r="U49" s="1210"/>
      <c r="V49" s="1444">
        <f>H49-K49</f>
        <v>7.7839999999996508</v>
      </c>
      <c r="W49" s="1210"/>
      <c r="X49" s="1305"/>
    </row>
    <row r="50" spans="1:24" s="1306" customFormat="1" ht="25.5" x14ac:dyDescent="0.2">
      <c r="A50" s="1303" t="s">
        <v>1529</v>
      </c>
      <c r="B50" s="1304" t="s">
        <v>1611</v>
      </c>
      <c r="C50" s="1210"/>
      <c r="D50" s="1210"/>
      <c r="E50" s="1210"/>
      <c r="F50" s="1210">
        <f>H50</f>
        <v>377</v>
      </c>
      <c r="G50" s="1210"/>
      <c r="H50" s="1210">
        <v>377</v>
      </c>
      <c r="I50" s="1210">
        <f t="shared" si="16"/>
        <v>375.73518000000001</v>
      </c>
      <c r="J50" s="1210"/>
      <c r="K50" s="1210">
        <v>375.73518000000001</v>
      </c>
      <c r="L50" s="1210"/>
      <c r="M50" s="1210">
        <v>1.2648200000000001</v>
      </c>
      <c r="N50" s="1210"/>
      <c r="O50" s="1210"/>
      <c r="P50" s="1210"/>
      <c r="Q50" s="1210"/>
      <c r="R50" s="1210"/>
      <c r="S50" s="1210"/>
      <c r="T50" s="1210"/>
      <c r="U50" s="1210"/>
      <c r="V50" s="1210">
        <v>0</v>
      </c>
      <c r="W50" s="1210"/>
      <c r="X50" s="1305"/>
    </row>
    <row r="51" spans="1:24" s="1306" customFormat="1" ht="25.5" x14ac:dyDescent="0.2">
      <c r="A51" s="1303" t="s">
        <v>1529</v>
      </c>
      <c r="B51" s="1304" t="s">
        <v>1719</v>
      </c>
      <c r="C51" s="1210"/>
      <c r="D51" s="1210"/>
      <c r="E51" s="1210"/>
      <c r="F51" s="1210">
        <f>H51</f>
        <v>986.94132999999999</v>
      </c>
      <c r="G51" s="1210"/>
      <c r="H51" s="1210">
        <v>986.94132999999999</v>
      </c>
      <c r="I51" s="1210">
        <f t="shared" si="16"/>
        <v>986.94132999999999</v>
      </c>
      <c r="J51" s="1210"/>
      <c r="K51" s="1210">
        <v>986.94132999999999</v>
      </c>
      <c r="L51" s="1210"/>
      <c r="M51" s="1210"/>
      <c r="N51" s="1210"/>
      <c r="O51" s="1210"/>
      <c r="P51" s="1210"/>
      <c r="Q51" s="1210"/>
      <c r="R51" s="1210"/>
      <c r="S51" s="1210"/>
      <c r="T51" s="1210"/>
      <c r="U51" s="1210"/>
      <c r="V51" s="1210">
        <f>H51-K51</f>
        <v>0</v>
      </c>
      <c r="W51" s="1210"/>
      <c r="X51" s="1305"/>
    </row>
    <row r="52" spans="1:24" s="733" customFormat="1" ht="38.25" x14ac:dyDescent="0.2">
      <c r="A52" s="1172" t="s">
        <v>711</v>
      </c>
      <c r="B52" s="1290" t="s">
        <v>1717</v>
      </c>
      <c r="C52" s="1211"/>
      <c r="D52" s="1211"/>
      <c r="E52" s="1211"/>
      <c r="F52" s="1211">
        <f>H52</f>
        <v>202</v>
      </c>
      <c r="G52" s="1211"/>
      <c r="H52" s="1211">
        <v>202</v>
      </c>
      <c r="I52" s="1211">
        <f t="shared" si="16"/>
        <v>202</v>
      </c>
      <c r="J52" s="1211"/>
      <c r="K52" s="1211">
        <v>202</v>
      </c>
      <c r="L52" s="1211"/>
      <c r="M52" s="1211"/>
      <c r="N52" s="1211"/>
      <c r="O52" s="1211"/>
      <c r="P52" s="1211"/>
      <c r="Q52" s="1211"/>
      <c r="R52" s="1211"/>
      <c r="S52" s="1211"/>
      <c r="T52" s="1211"/>
      <c r="U52" s="1211"/>
      <c r="V52" s="1211"/>
      <c r="W52" s="1211"/>
      <c r="X52" s="1286"/>
    </row>
    <row r="53" spans="1:24" s="733" customFormat="1" ht="12.75" x14ac:dyDescent="0.2">
      <c r="A53" s="1172" t="s">
        <v>711</v>
      </c>
      <c r="B53" s="1290" t="s">
        <v>1551</v>
      </c>
      <c r="C53" s="1211"/>
      <c r="D53" s="1211"/>
      <c r="E53" s="1211"/>
      <c r="F53" s="1211">
        <v>130</v>
      </c>
      <c r="G53" s="1211"/>
      <c r="H53" s="1211">
        <v>130</v>
      </c>
      <c r="I53" s="1211">
        <f t="shared" si="16"/>
        <v>117.75722</v>
      </c>
      <c r="J53" s="1211"/>
      <c r="K53" s="1211">
        <v>117.75722</v>
      </c>
      <c r="L53" s="1211"/>
      <c r="M53" s="1211"/>
      <c r="N53" s="1211"/>
      <c r="O53" s="1211"/>
      <c r="P53" s="1211"/>
      <c r="Q53" s="1211"/>
      <c r="R53" s="1211"/>
      <c r="S53" s="1211"/>
      <c r="T53" s="1211"/>
      <c r="U53" s="1211">
        <f t="shared" ref="U53:U60" si="17">V53</f>
        <v>12.242779999999996</v>
      </c>
      <c r="V53" s="1211">
        <f>H53-I53</f>
        <v>12.242779999999996</v>
      </c>
      <c r="W53" s="1211"/>
      <c r="X53" s="1286" t="e">
        <f>#REF!+W105</f>
        <v>#REF!</v>
      </c>
    </row>
    <row r="54" spans="1:24" s="733" customFormat="1" ht="12.75" x14ac:dyDescent="0.2">
      <c r="A54" s="1172" t="s">
        <v>711</v>
      </c>
      <c r="B54" s="1290" t="s">
        <v>2325</v>
      </c>
      <c r="C54" s="1211"/>
      <c r="D54" s="1211"/>
      <c r="E54" s="1211"/>
      <c r="F54" s="1211">
        <v>250</v>
      </c>
      <c r="G54" s="1211"/>
      <c r="H54" s="1211">
        <v>250</v>
      </c>
      <c r="I54" s="1211">
        <f t="shared" si="16"/>
        <v>250</v>
      </c>
      <c r="J54" s="1211"/>
      <c r="K54" s="1211">
        <v>250</v>
      </c>
      <c r="L54" s="1211"/>
      <c r="M54" s="1211"/>
      <c r="N54" s="1211"/>
      <c r="O54" s="1211"/>
      <c r="P54" s="1211"/>
      <c r="Q54" s="1211"/>
      <c r="R54" s="1211"/>
      <c r="S54" s="1211"/>
      <c r="T54" s="1211"/>
      <c r="U54" s="1211">
        <f t="shared" si="17"/>
        <v>0</v>
      </c>
      <c r="V54" s="1211"/>
      <c r="W54" s="1211"/>
      <c r="X54" s="1286"/>
    </row>
    <row r="55" spans="1:24" s="733" customFormat="1" ht="25.5" x14ac:dyDescent="0.2">
      <c r="A55" s="1172" t="s">
        <v>711</v>
      </c>
      <c r="B55" s="1290" t="s">
        <v>2322</v>
      </c>
      <c r="C55" s="1211">
        <f>E55</f>
        <v>0</v>
      </c>
      <c r="D55" s="1211"/>
      <c r="E55" s="1211"/>
      <c r="F55" s="1211">
        <f t="shared" ref="F55:F63" si="18">H55</f>
        <v>1455</v>
      </c>
      <c r="G55" s="1211"/>
      <c r="H55" s="1211">
        <v>1455</v>
      </c>
      <c r="I55" s="1211">
        <f t="shared" ref="I55:I63" si="19">K55</f>
        <v>1401.1799891000001</v>
      </c>
      <c r="J55" s="1211"/>
      <c r="K55" s="1211">
        <v>1401.1799891000001</v>
      </c>
      <c r="L55" s="1211"/>
      <c r="M55" s="1211"/>
      <c r="N55" s="1211"/>
      <c r="O55" s="1211"/>
      <c r="P55" s="1211"/>
      <c r="Q55" s="1211"/>
      <c r="R55" s="1211"/>
      <c r="S55" s="1211"/>
      <c r="T55" s="1211"/>
      <c r="U55" s="1211">
        <f t="shared" si="17"/>
        <v>53.820010899999943</v>
      </c>
      <c r="V55" s="1211">
        <f>F55-I55+C55</f>
        <v>53.820010899999943</v>
      </c>
      <c r="W55" s="1211"/>
      <c r="X55" s="1286">
        <f>V55+V56+V57</f>
        <v>93.289279900000039</v>
      </c>
    </row>
    <row r="56" spans="1:24" s="733" customFormat="1" ht="25.5" x14ac:dyDescent="0.2">
      <c r="A56" s="1172"/>
      <c r="B56" s="1290" t="s">
        <v>2323</v>
      </c>
      <c r="C56" s="1211"/>
      <c r="D56" s="1211"/>
      <c r="E56" s="1211"/>
      <c r="F56" s="1211">
        <f t="shared" si="18"/>
        <v>108</v>
      </c>
      <c r="G56" s="1211"/>
      <c r="H56" s="1211">
        <v>108</v>
      </c>
      <c r="I56" s="1211">
        <f t="shared" si="19"/>
        <v>99.694417000000001</v>
      </c>
      <c r="J56" s="1211"/>
      <c r="K56" s="1211">
        <v>99.694417000000001</v>
      </c>
      <c r="L56" s="1211"/>
      <c r="M56" s="1211"/>
      <c r="N56" s="1211"/>
      <c r="O56" s="1211"/>
      <c r="P56" s="1211"/>
      <c r="Q56" s="1211"/>
      <c r="R56" s="1211"/>
      <c r="S56" s="1211"/>
      <c r="T56" s="1211"/>
      <c r="U56" s="1211">
        <f t="shared" si="17"/>
        <v>8.3055829999999986</v>
      </c>
      <c r="V56" s="1211">
        <f>F56-I56+C56</f>
        <v>8.3055829999999986</v>
      </c>
      <c r="W56" s="1211"/>
      <c r="X56" s="1286"/>
    </row>
    <row r="57" spans="1:24" s="733" customFormat="1" ht="25.5" x14ac:dyDescent="0.2">
      <c r="A57" s="1172"/>
      <c r="B57" s="1290" t="s">
        <v>2324</v>
      </c>
      <c r="C57" s="1211"/>
      <c r="D57" s="1211"/>
      <c r="E57" s="1211"/>
      <c r="F57" s="1211">
        <f t="shared" si="18"/>
        <v>1400</v>
      </c>
      <c r="G57" s="1211"/>
      <c r="H57" s="1211">
        <v>1400</v>
      </c>
      <c r="I57" s="1211">
        <f t="shared" si="19"/>
        <v>1368.8363139999999</v>
      </c>
      <c r="J57" s="1211"/>
      <c r="K57" s="1211">
        <v>1368.8363139999999</v>
      </c>
      <c r="L57" s="1211"/>
      <c r="M57" s="1211"/>
      <c r="N57" s="1211"/>
      <c r="O57" s="1211"/>
      <c r="P57" s="1211"/>
      <c r="Q57" s="1211"/>
      <c r="R57" s="1211"/>
      <c r="S57" s="1211"/>
      <c r="T57" s="1211"/>
      <c r="U57" s="1211">
        <f t="shared" si="17"/>
        <v>31.163686000000098</v>
      </c>
      <c r="V57" s="1211">
        <f>F57-I57+C57</f>
        <v>31.163686000000098</v>
      </c>
      <c r="W57" s="1211"/>
      <c r="X57" s="1286"/>
    </row>
    <row r="58" spans="1:24" s="733" customFormat="1" ht="12.75" x14ac:dyDescent="0.2">
      <c r="A58" s="1172" t="s">
        <v>711</v>
      </c>
      <c r="B58" s="1290" t="s">
        <v>1761</v>
      </c>
      <c r="C58" s="1211">
        <f>E58</f>
        <v>0</v>
      </c>
      <c r="D58" s="1211"/>
      <c r="E58" s="1291"/>
      <c r="F58" s="1211">
        <f t="shared" si="18"/>
        <v>744</v>
      </c>
      <c r="G58" s="1211"/>
      <c r="H58" s="1211">
        <v>744</v>
      </c>
      <c r="I58" s="1211">
        <f>K58</f>
        <v>1199.0609999999999</v>
      </c>
      <c r="J58" s="1211"/>
      <c r="K58" s="1211">
        <v>1199.0609999999999</v>
      </c>
      <c r="L58" s="1211"/>
      <c r="M58" s="1211"/>
      <c r="N58" s="1211"/>
      <c r="O58" s="1211"/>
      <c r="P58" s="1211"/>
      <c r="Q58" s="1211"/>
      <c r="R58" s="1211"/>
      <c r="S58" s="1211"/>
      <c r="T58" s="1211"/>
      <c r="U58" s="1211">
        <f t="shared" si="17"/>
        <v>-455.06099999999992</v>
      </c>
      <c r="V58" s="1211">
        <f>F58-I58+C58</f>
        <v>-455.06099999999992</v>
      </c>
      <c r="W58" s="1211"/>
      <c r="X58" s="1286"/>
    </row>
    <row r="59" spans="1:24" s="733" customFormat="1" ht="25.5" x14ac:dyDescent="0.25">
      <c r="A59" s="1172" t="s">
        <v>711</v>
      </c>
      <c r="B59" s="1198" t="s">
        <v>1764</v>
      </c>
      <c r="C59" s="1211"/>
      <c r="D59" s="1211"/>
      <c r="E59" s="1211"/>
      <c r="F59" s="1211">
        <f t="shared" si="18"/>
        <v>1892</v>
      </c>
      <c r="G59" s="1211"/>
      <c r="H59" s="1211">
        <f>951+941</f>
        <v>1892</v>
      </c>
      <c r="I59" s="1211">
        <f t="shared" si="19"/>
        <v>1529.199674</v>
      </c>
      <c r="J59" s="1211"/>
      <c r="K59" s="1211">
        <f>772.963025+756.236649</f>
        <v>1529.199674</v>
      </c>
      <c r="L59" s="1211"/>
      <c r="M59" s="1211"/>
      <c r="N59" s="1211"/>
      <c r="O59" s="1211"/>
      <c r="P59" s="1211"/>
      <c r="Q59" s="1211"/>
      <c r="R59" s="1211"/>
      <c r="S59" s="1211"/>
      <c r="T59" s="1211"/>
      <c r="U59" s="1211">
        <f t="shared" si="17"/>
        <v>362.80032600000004</v>
      </c>
      <c r="V59" s="1211">
        <f>F59-I59</f>
        <v>362.80032600000004</v>
      </c>
      <c r="W59" s="1211"/>
      <c r="X59" s="1286">
        <f>X55</f>
        <v>93.289279900000039</v>
      </c>
    </row>
    <row r="60" spans="1:24" s="733" customFormat="1" ht="25.5" x14ac:dyDescent="0.25">
      <c r="A60" s="1172" t="s">
        <v>711</v>
      </c>
      <c r="B60" s="1198" t="s">
        <v>1768</v>
      </c>
      <c r="C60" s="1211"/>
      <c r="D60" s="1211"/>
      <c r="E60" s="1211"/>
      <c r="F60" s="1211">
        <f t="shared" si="18"/>
        <v>25</v>
      </c>
      <c r="G60" s="1211"/>
      <c r="H60" s="1211">
        <v>25</v>
      </c>
      <c r="I60" s="1211">
        <f t="shared" si="19"/>
        <v>24.943000000000001</v>
      </c>
      <c r="J60" s="1211"/>
      <c r="K60" s="1211">
        <v>24.943000000000001</v>
      </c>
      <c r="L60" s="1211"/>
      <c r="M60" s="1211"/>
      <c r="N60" s="1211"/>
      <c r="O60" s="1211"/>
      <c r="P60" s="1211"/>
      <c r="Q60" s="1211"/>
      <c r="R60" s="1211"/>
      <c r="S60" s="1211"/>
      <c r="T60" s="1211"/>
      <c r="U60" s="1211">
        <f t="shared" si="17"/>
        <v>5.6999999999998607E-2</v>
      </c>
      <c r="V60" s="1211">
        <f>F60-I60</f>
        <v>5.6999999999998607E-2</v>
      </c>
      <c r="W60" s="1211"/>
      <c r="X60" s="1286">
        <f>V58</f>
        <v>-455.06099999999992</v>
      </c>
    </row>
    <row r="61" spans="1:24" s="733" customFormat="1" ht="25.5" x14ac:dyDescent="0.25">
      <c r="A61" s="1172" t="s">
        <v>711</v>
      </c>
      <c r="B61" s="1198" t="s">
        <v>1769</v>
      </c>
      <c r="C61" s="1211"/>
      <c r="D61" s="1211"/>
      <c r="E61" s="1211"/>
      <c r="F61" s="1211">
        <f t="shared" si="18"/>
        <v>30</v>
      </c>
      <c r="G61" s="1211"/>
      <c r="H61" s="1211">
        <v>30</v>
      </c>
      <c r="I61" s="1211">
        <f t="shared" si="19"/>
        <v>18.729900000000001</v>
      </c>
      <c r="J61" s="1211"/>
      <c r="K61" s="1211">
        <v>18.729900000000001</v>
      </c>
      <c r="L61" s="1211"/>
      <c r="M61" s="1211">
        <v>11.270099999999999</v>
      </c>
      <c r="N61" s="1211"/>
      <c r="O61" s="1211"/>
      <c r="P61" s="1211"/>
      <c r="Q61" s="1211"/>
      <c r="R61" s="1211"/>
      <c r="S61" s="1211"/>
      <c r="T61" s="1211"/>
      <c r="U61" s="1211"/>
      <c r="V61" s="1211"/>
      <c r="W61" s="1211"/>
      <c r="X61" s="1286"/>
    </row>
    <row r="62" spans="1:24" s="733" customFormat="1" ht="12.75" x14ac:dyDescent="0.25">
      <c r="A62" s="1172" t="s">
        <v>711</v>
      </c>
      <c r="B62" s="1198" t="s">
        <v>1770</v>
      </c>
      <c r="C62" s="1211"/>
      <c r="D62" s="1211"/>
      <c r="E62" s="1211"/>
      <c r="F62" s="1211">
        <f t="shared" si="18"/>
        <v>60</v>
      </c>
      <c r="G62" s="1211"/>
      <c r="H62" s="1211">
        <v>60</v>
      </c>
      <c r="I62" s="1211">
        <f t="shared" si="19"/>
        <v>0</v>
      </c>
      <c r="J62" s="1211"/>
      <c r="K62" s="1211"/>
      <c r="L62" s="1211"/>
      <c r="M62" s="1211">
        <v>60</v>
      </c>
      <c r="N62" s="1211"/>
      <c r="O62" s="1211"/>
      <c r="P62" s="1211"/>
      <c r="Q62" s="1211"/>
      <c r="R62" s="1211"/>
      <c r="S62" s="1211"/>
      <c r="T62" s="1211"/>
      <c r="U62" s="1211"/>
      <c r="V62" s="1211"/>
      <c r="W62" s="1211"/>
      <c r="X62" s="1286"/>
    </row>
    <row r="63" spans="1:24" s="733" customFormat="1" ht="12.75" x14ac:dyDescent="0.25">
      <c r="A63" s="1172" t="s">
        <v>711</v>
      </c>
      <c r="B63" s="1198" t="s">
        <v>1771</v>
      </c>
      <c r="C63" s="1211"/>
      <c r="D63" s="1211"/>
      <c r="E63" s="1211"/>
      <c r="F63" s="1211">
        <f t="shared" si="18"/>
        <v>700</v>
      </c>
      <c r="G63" s="1211"/>
      <c r="H63" s="1211">
        <v>700</v>
      </c>
      <c r="I63" s="1211">
        <f t="shared" si="19"/>
        <v>700</v>
      </c>
      <c r="J63" s="1211"/>
      <c r="K63" s="1211">
        <v>700</v>
      </c>
      <c r="L63" s="1211"/>
      <c r="M63" s="1211"/>
      <c r="N63" s="1211"/>
      <c r="O63" s="1211"/>
      <c r="P63" s="1211"/>
      <c r="Q63" s="1211"/>
      <c r="R63" s="1211"/>
      <c r="S63" s="1211"/>
      <c r="T63" s="1211"/>
      <c r="U63" s="1211"/>
      <c r="V63" s="1211"/>
      <c r="W63" s="1211"/>
      <c r="X63" s="1286"/>
    </row>
    <row r="64" spans="1:24" s="733" customFormat="1" ht="38.25" x14ac:dyDescent="0.25">
      <c r="A64" s="1172" t="s">
        <v>711</v>
      </c>
      <c r="B64" s="1198" t="s">
        <v>1772</v>
      </c>
      <c r="C64" s="1211">
        <f>E64+D64</f>
        <v>346.34</v>
      </c>
      <c r="D64" s="1211"/>
      <c r="E64" s="1211">
        <v>346.34</v>
      </c>
      <c r="F64" s="1211">
        <v>346.34</v>
      </c>
      <c r="G64" s="1211"/>
      <c r="H64" s="1211">
        <v>1083</v>
      </c>
      <c r="I64" s="1211">
        <f>K64</f>
        <v>1362.8042969999999</v>
      </c>
      <c r="J64" s="1211"/>
      <c r="K64" s="1211">
        <v>1362.8042969999999</v>
      </c>
      <c r="L64" s="1211"/>
      <c r="M64" s="1211">
        <v>66.535702999999998</v>
      </c>
      <c r="N64" s="1211"/>
      <c r="O64" s="1211"/>
      <c r="P64" s="1211"/>
      <c r="Q64" s="1211"/>
      <c r="R64" s="1211"/>
      <c r="S64" s="1211"/>
      <c r="T64" s="1211"/>
      <c r="U64" s="1211"/>
      <c r="V64" s="1211"/>
      <c r="W64" s="1211"/>
      <c r="X64" s="1286"/>
    </row>
    <row r="65" spans="1:24" s="733" customFormat="1" ht="12.75" x14ac:dyDescent="0.25">
      <c r="A65" s="1172"/>
      <c r="B65" s="1173" t="s">
        <v>2338</v>
      </c>
      <c r="C65" s="1211"/>
      <c r="D65" s="1211"/>
      <c r="E65" s="1316"/>
      <c r="F65" s="1211">
        <f>H65</f>
        <v>11.5</v>
      </c>
      <c r="G65" s="1211"/>
      <c r="H65" s="1211">
        <f>1025.2-1013.7</f>
        <v>11.5</v>
      </c>
      <c r="I65" s="1211"/>
      <c r="J65" s="1211"/>
      <c r="K65" s="1211"/>
      <c r="L65" s="1211"/>
      <c r="M65" s="1211"/>
      <c r="N65" s="1211"/>
      <c r="O65" s="1211"/>
      <c r="P65" s="1211"/>
      <c r="Q65" s="1211"/>
      <c r="R65" s="1211"/>
      <c r="S65" s="1211"/>
      <c r="T65" s="1211"/>
      <c r="U65" s="1211">
        <f>V65</f>
        <v>11.5</v>
      </c>
      <c r="V65" s="1211">
        <f>H65</f>
        <v>11.5</v>
      </c>
      <c r="W65" s="1211"/>
      <c r="X65" s="1286"/>
    </row>
    <row r="66" spans="1:24" s="733" customFormat="1" ht="38.25" x14ac:dyDescent="0.25">
      <c r="A66" s="1172"/>
      <c r="B66" s="1173" t="s">
        <v>1765</v>
      </c>
      <c r="C66" s="1211">
        <f>D66+E66</f>
        <v>0</v>
      </c>
      <c r="D66" s="1211"/>
      <c r="E66" s="1211"/>
      <c r="F66" s="1211">
        <f>H66</f>
        <v>40</v>
      </c>
      <c r="G66" s="1211"/>
      <c r="H66" s="1211">
        <f>525-485</f>
        <v>40</v>
      </c>
      <c r="I66" s="1211"/>
      <c r="J66" s="1211"/>
      <c r="K66" s="1211"/>
      <c r="L66" s="1211"/>
      <c r="M66" s="1211"/>
      <c r="N66" s="1211"/>
      <c r="O66" s="1211"/>
      <c r="P66" s="1211"/>
      <c r="Q66" s="1211"/>
      <c r="R66" s="1211"/>
      <c r="S66" s="1211"/>
      <c r="T66" s="1211"/>
      <c r="U66" s="1211">
        <f>V66</f>
        <v>40</v>
      </c>
      <c r="V66" s="1211">
        <f>H66</f>
        <v>40</v>
      </c>
      <c r="W66" s="1211"/>
      <c r="X66" s="1286"/>
    </row>
    <row r="67" spans="1:24" s="733" customFormat="1" ht="38.25" x14ac:dyDescent="0.25">
      <c r="A67" s="1172" t="s">
        <v>711</v>
      </c>
      <c r="B67" s="1198" t="s">
        <v>2327</v>
      </c>
      <c r="C67" s="1211"/>
      <c r="D67" s="1211"/>
      <c r="E67" s="1211"/>
      <c r="F67" s="1291">
        <f>H67</f>
        <v>7.4438219999999999</v>
      </c>
      <c r="G67" s="1291"/>
      <c r="H67" s="1307">
        <v>7.4438219999999999</v>
      </c>
      <c r="I67" s="1211">
        <f>K67</f>
        <v>7.4438219999999999</v>
      </c>
      <c r="J67" s="1211"/>
      <c r="K67" s="1211">
        <f>H67</f>
        <v>7.4438219999999999</v>
      </c>
      <c r="L67" s="1211"/>
      <c r="M67" s="1211"/>
      <c r="N67" s="1211"/>
      <c r="O67" s="1211"/>
      <c r="P67" s="1211"/>
      <c r="Q67" s="1211"/>
      <c r="R67" s="1211"/>
      <c r="S67" s="1211"/>
      <c r="T67" s="1211"/>
      <c r="U67" s="1211"/>
      <c r="V67" s="1211">
        <f>F67-I67</f>
        <v>0</v>
      </c>
      <c r="W67" s="1211"/>
      <c r="X67" s="1286"/>
    </row>
    <row r="68" spans="1:24" s="733" customFormat="1" ht="12.75" x14ac:dyDescent="0.25">
      <c r="A68" s="1172"/>
      <c r="B68" s="1198" t="s">
        <v>2159</v>
      </c>
      <c r="C68" s="1211"/>
      <c r="D68" s="1211"/>
      <c r="E68" s="1211"/>
      <c r="F68" s="1211">
        <f t="shared" ref="F68:F76" si="20">H68</f>
        <v>3392.0169999999998</v>
      </c>
      <c r="G68" s="1211"/>
      <c r="H68" s="1211">
        <v>3392.0169999999998</v>
      </c>
      <c r="I68" s="1211">
        <f t="shared" ref="I68:I76" si="21">K68</f>
        <v>3392.0169999999998</v>
      </c>
      <c r="J68" s="1211"/>
      <c r="K68" s="1211">
        <v>3392.0169999999998</v>
      </c>
      <c r="L68" s="1211"/>
      <c r="M68" s="1211"/>
      <c r="N68" s="1211"/>
      <c r="O68" s="1211"/>
      <c r="P68" s="1211"/>
      <c r="Q68" s="1211"/>
      <c r="R68" s="1211"/>
      <c r="S68" s="1211"/>
      <c r="T68" s="1211"/>
      <c r="U68" s="1211"/>
      <c r="V68" s="1211"/>
      <c r="W68" s="1211"/>
      <c r="X68" s="1286"/>
    </row>
    <row r="69" spans="1:24" s="733" customFormat="1" ht="12.75" x14ac:dyDescent="0.25">
      <c r="A69" s="1172"/>
      <c r="B69" s="1198" t="s">
        <v>2326</v>
      </c>
      <c r="C69" s="1211"/>
      <c r="D69" s="1211"/>
      <c r="E69" s="1211"/>
      <c r="F69" s="1211">
        <f t="shared" si="20"/>
        <v>186.28399999999999</v>
      </c>
      <c r="G69" s="1211"/>
      <c r="H69" s="1211">
        <v>186.28399999999999</v>
      </c>
      <c r="I69" s="1211">
        <f t="shared" si="21"/>
        <v>186.28399999999999</v>
      </c>
      <c r="J69" s="1211"/>
      <c r="K69" s="1211">
        <v>186.28399999999999</v>
      </c>
      <c r="L69" s="1211"/>
      <c r="M69" s="1211"/>
      <c r="N69" s="1211"/>
      <c r="O69" s="1211"/>
      <c r="P69" s="1211"/>
      <c r="Q69" s="1211"/>
      <c r="R69" s="1211"/>
      <c r="S69" s="1211"/>
      <c r="T69" s="1211"/>
      <c r="U69" s="1211"/>
      <c r="V69" s="1211"/>
      <c r="W69" s="1211"/>
      <c r="X69" s="1286"/>
    </row>
    <row r="70" spans="1:24" s="733" customFormat="1" ht="12.75" x14ac:dyDescent="0.25">
      <c r="A70" s="1172"/>
      <c r="B70" s="1198" t="s">
        <v>2328</v>
      </c>
      <c r="C70" s="1211"/>
      <c r="D70" s="1211"/>
      <c r="E70" s="1211"/>
      <c r="F70" s="1211">
        <f t="shared" si="20"/>
        <v>1671.560064</v>
      </c>
      <c r="G70" s="1211"/>
      <c r="H70" s="1211">
        <v>1671.560064</v>
      </c>
      <c r="I70" s="1211">
        <f t="shared" si="21"/>
        <v>1546.137172</v>
      </c>
      <c r="J70" s="1211"/>
      <c r="K70" s="1211">
        <v>1546.137172</v>
      </c>
      <c r="L70" s="1211"/>
      <c r="M70" s="1211"/>
      <c r="N70" s="1211"/>
      <c r="O70" s="1211"/>
      <c r="P70" s="1211"/>
      <c r="Q70" s="1211"/>
      <c r="R70" s="1211"/>
      <c r="S70" s="1211"/>
      <c r="T70" s="1211"/>
      <c r="U70" s="1211">
        <f>V70</f>
        <v>125.42289200000005</v>
      </c>
      <c r="V70" s="1211">
        <f>F70-I70-M70</f>
        <v>125.42289200000005</v>
      </c>
      <c r="W70" s="1211"/>
      <c r="X70" s="1286"/>
    </row>
    <row r="71" spans="1:24" s="733" customFormat="1" ht="38.25" x14ac:dyDescent="0.25">
      <c r="A71" s="1172"/>
      <c r="B71" s="1198" t="s">
        <v>2329</v>
      </c>
      <c r="C71" s="1211"/>
      <c r="D71" s="1211"/>
      <c r="E71" s="1211"/>
      <c r="F71" s="1211">
        <f t="shared" si="20"/>
        <v>582</v>
      </c>
      <c r="G71" s="1211"/>
      <c r="H71" s="1211">
        <v>582</v>
      </c>
      <c r="I71" s="1211">
        <f t="shared" si="21"/>
        <v>582</v>
      </c>
      <c r="J71" s="1211"/>
      <c r="K71" s="1211">
        <v>582</v>
      </c>
      <c r="L71" s="1211"/>
      <c r="M71" s="1211"/>
      <c r="N71" s="1211"/>
      <c r="O71" s="1211"/>
      <c r="P71" s="1211"/>
      <c r="Q71" s="1211"/>
      <c r="R71" s="1211"/>
      <c r="S71" s="1211"/>
      <c r="T71" s="1211"/>
      <c r="U71" s="1211">
        <f t="shared" ref="U71:U76" si="22">V71</f>
        <v>0</v>
      </c>
      <c r="V71" s="1211">
        <f t="shared" ref="V71:V76" si="23">F71-I71-M71</f>
        <v>0</v>
      </c>
      <c r="W71" s="1211"/>
      <c r="X71" s="1286"/>
    </row>
    <row r="72" spans="1:24" s="733" customFormat="1" ht="25.5" x14ac:dyDescent="0.25">
      <c r="A72" s="1172"/>
      <c r="B72" s="1198" t="s">
        <v>2330</v>
      </c>
      <c r="C72" s="1211"/>
      <c r="D72" s="1211"/>
      <c r="E72" s="1211"/>
      <c r="F72" s="1211">
        <f t="shared" si="20"/>
        <v>68</v>
      </c>
      <c r="G72" s="1211"/>
      <c r="H72" s="1211">
        <v>68</v>
      </c>
      <c r="I72" s="1211">
        <f t="shared" si="21"/>
        <v>68</v>
      </c>
      <c r="J72" s="1211"/>
      <c r="K72" s="1211">
        <v>68</v>
      </c>
      <c r="L72" s="1211"/>
      <c r="M72" s="1211"/>
      <c r="N72" s="1211"/>
      <c r="O72" s="1211"/>
      <c r="P72" s="1211"/>
      <c r="Q72" s="1211"/>
      <c r="R72" s="1211"/>
      <c r="S72" s="1211"/>
      <c r="T72" s="1211"/>
      <c r="U72" s="1211">
        <f t="shared" si="22"/>
        <v>0</v>
      </c>
      <c r="V72" s="1211">
        <f t="shared" si="23"/>
        <v>0</v>
      </c>
      <c r="W72" s="1211"/>
      <c r="X72" s="1286"/>
    </row>
    <row r="73" spans="1:24" s="733" customFormat="1" ht="38.25" x14ac:dyDescent="0.25">
      <c r="A73" s="1172"/>
      <c r="B73" s="1198" t="s">
        <v>2481</v>
      </c>
      <c r="C73" s="1211"/>
      <c r="D73" s="1211"/>
      <c r="E73" s="1211"/>
      <c r="F73" s="1211">
        <f>H73</f>
        <v>180.38</v>
      </c>
      <c r="G73" s="1211"/>
      <c r="H73" s="1211">
        <v>180.38</v>
      </c>
      <c r="I73" s="1211">
        <f>K73</f>
        <v>173.59800000000001</v>
      </c>
      <c r="J73" s="1211"/>
      <c r="K73" s="1211">
        <v>173.59800000000001</v>
      </c>
      <c r="L73" s="1211"/>
      <c r="M73" s="1211"/>
      <c r="N73" s="1211"/>
      <c r="O73" s="1211"/>
      <c r="P73" s="1211"/>
      <c r="Q73" s="1211"/>
      <c r="R73" s="1211"/>
      <c r="S73" s="1211"/>
      <c r="T73" s="1211"/>
      <c r="U73" s="1211">
        <f>V73</f>
        <v>6.7819999999999823</v>
      </c>
      <c r="V73" s="1445">
        <f>F73-I73-M73</f>
        <v>6.7819999999999823</v>
      </c>
      <c r="W73" s="1211"/>
      <c r="X73" s="1286"/>
    </row>
    <row r="74" spans="1:24" s="1297" customFormat="1" ht="12.75" x14ac:dyDescent="0.25">
      <c r="A74" s="1200"/>
      <c r="B74" s="1410" t="s">
        <v>2331</v>
      </c>
      <c r="C74" s="1295"/>
      <c r="D74" s="1295"/>
      <c r="E74" s="1295"/>
      <c r="F74" s="1295">
        <f t="shared" si="20"/>
        <v>265.548</v>
      </c>
      <c r="G74" s="1295"/>
      <c r="H74" s="1412">
        <f>136.973+128.575</f>
        <v>265.548</v>
      </c>
      <c r="I74" s="1295">
        <f t="shared" si="21"/>
        <v>265.548</v>
      </c>
      <c r="J74" s="1295"/>
      <c r="K74" s="1295">
        <v>265.548</v>
      </c>
      <c r="L74" s="1295"/>
      <c r="M74" s="1295"/>
      <c r="N74" s="1295"/>
      <c r="O74" s="1295"/>
      <c r="P74" s="1295"/>
      <c r="Q74" s="1295"/>
      <c r="R74" s="1295"/>
      <c r="S74" s="1295"/>
      <c r="T74" s="1295"/>
      <c r="U74" s="1295">
        <f t="shared" si="22"/>
        <v>0</v>
      </c>
      <c r="V74" s="1295">
        <f t="shared" si="23"/>
        <v>0</v>
      </c>
      <c r="W74" s="1295"/>
      <c r="X74" s="1296">
        <f>'Bổ sung MT tỉnh21'!P60</f>
        <v>0</v>
      </c>
    </row>
    <row r="75" spans="1:24" s="394" customFormat="1" ht="25.5" x14ac:dyDescent="0.25">
      <c r="A75" s="389"/>
      <c r="B75" s="1428" t="s">
        <v>2333</v>
      </c>
      <c r="C75" s="1425"/>
      <c r="D75" s="1425"/>
      <c r="E75" s="1425"/>
      <c r="F75" s="1425">
        <f t="shared" si="20"/>
        <v>3747.75</v>
      </c>
      <c r="G75" s="1425"/>
      <c r="H75" s="1425">
        <f>13093.35+541.65-9887.25</f>
        <v>3747.75</v>
      </c>
      <c r="I75" s="1425">
        <f t="shared" si="21"/>
        <v>2641.5</v>
      </c>
      <c r="J75" s="1425"/>
      <c r="K75" s="1425">
        <v>2641.5</v>
      </c>
      <c r="L75" s="1425"/>
      <c r="M75" s="1425">
        <v>541.65</v>
      </c>
      <c r="N75" s="1425"/>
      <c r="O75" s="1425"/>
      <c r="P75" s="1425"/>
      <c r="Q75" s="1425"/>
      <c r="R75" s="1425"/>
      <c r="S75" s="1425"/>
      <c r="T75" s="1425"/>
      <c r="U75" s="1427">
        <f>V75</f>
        <v>564.6</v>
      </c>
      <c r="V75" s="1427">
        <f>F75-I75-M75</f>
        <v>564.6</v>
      </c>
      <c r="W75" s="1425"/>
      <c r="X75" s="1426"/>
    </row>
    <row r="76" spans="1:24" s="733" customFormat="1" ht="12.75" x14ac:dyDescent="0.25">
      <c r="A76" s="1172"/>
      <c r="B76" s="1198" t="s">
        <v>2332</v>
      </c>
      <c r="C76" s="1211"/>
      <c r="D76" s="1211"/>
      <c r="E76" s="1211"/>
      <c r="F76" s="1211">
        <f t="shared" si="20"/>
        <v>500</v>
      </c>
      <c r="G76" s="1211"/>
      <c r="H76" s="1211">
        <v>500</v>
      </c>
      <c r="I76" s="1211">
        <f t="shared" si="21"/>
        <v>494.76597199999998</v>
      </c>
      <c r="J76" s="1211"/>
      <c r="K76" s="1211">
        <v>494.76597199999998</v>
      </c>
      <c r="L76" s="1211"/>
      <c r="M76" s="1211"/>
      <c r="N76" s="1211"/>
      <c r="O76" s="1211"/>
      <c r="P76" s="1211"/>
      <c r="Q76" s="1211"/>
      <c r="R76" s="1211"/>
      <c r="S76" s="1211"/>
      <c r="T76" s="1211"/>
      <c r="U76" s="1211">
        <f t="shared" si="22"/>
        <v>5.2340280000000234</v>
      </c>
      <c r="V76" s="1211">
        <f t="shared" si="23"/>
        <v>5.2340280000000234</v>
      </c>
      <c r="W76" s="1211"/>
      <c r="X76" s="1286">
        <v>832480000</v>
      </c>
    </row>
    <row r="77" spans="1:24" s="733" customFormat="1" ht="12.75" x14ac:dyDescent="0.25">
      <c r="A77" s="1174" t="s">
        <v>848</v>
      </c>
      <c r="B77" s="1174" t="s">
        <v>726</v>
      </c>
      <c r="C77" s="1170"/>
      <c r="D77" s="1170"/>
      <c r="E77" s="1170"/>
      <c r="F77" s="1312">
        <f t="shared" ref="F77:W77" si="24">F78+F101+F105+F118</f>
        <v>93216.900131000002</v>
      </c>
      <c r="G77" s="1312">
        <f t="shared" si="24"/>
        <v>58555.130999999994</v>
      </c>
      <c r="H77" s="1312">
        <f t="shared" si="24"/>
        <v>34661.769131000001</v>
      </c>
      <c r="I77" s="1170">
        <f t="shared" si="24"/>
        <v>89679.40596399999</v>
      </c>
      <c r="J77" s="1170">
        <f t="shared" si="24"/>
        <v>57545.580685000001</v>
      </c>
      <c r="K77" s="1170">
        <f t="shared" si="24"/>
        <v>32133.996641000002</v>
      </c>
      <c r="L77" s="1312">
        <f t="shared" si="24"/>
        <v>0</v>
      </c>
      <c r="M77" s="1170">
        <f t="shared" si="24"/>
        <v>0</v>
      </c>
      <c r="N77" s="1170">
        <f t="shared" si="24"/>
        <v>2509.944796000002</v>
      </c>
      <c r="O77" s="1170">
        <f t="shared" si="24"/>
        <v>459.59458699999999</v>
      </c>
      <c r="P77" s="1170">
        <f t="shared" si="24"/>
        <v>0</v>
      </c>
      <c r="Q77" s="1170">
        <f t="shared" si="24"/>
        <v>593.54895399999998</v>
      </c>
      <c r="R77" s="1170">
        <f t="shared" si="24"/>
        <v>0</v>
      </c>
      <c r="S77" s="1170">
        <f t="shared" si="24"/>
        <v>1916.3958430000021</v>
      </c>
      <c r="T77" s="1170">
        <f t="shared" si="24"/>
        <v>110.476</v>
      </c>
      <c r="U77" s="1170">
        <f t="shared" si="24"/>
        <v>2417.2964900000002</v>
      </c>
      <c r="V77" s="1170">
        <f t="shared" si="24"/>
        <v>0</v>
      </c>
      <c r="W77" s="1170">
        <f t="shared" si="24"/>
        <v>2417.4678520000002</v>
      </c>
      <c r="X77" s="1286">
        <f>F74*1000000</f>
        <v>265548000</v>
      </c>
    </row>
    <row r="78" spans="1:24" s="733" customFormat="1" ht="12.75" x14ac:dyDescent="0.25">
      <c r="A78" s="1174" t="s">
        <v>849</v>
      </c>
      <c r="B78" s="1317" t="s">
        <v>1211</v>
      </c>
      <c r="C78" s="1170">
        <f t="shared" ref="C78:W78" si="25">C79+C86</f>
        <v>1500.3944819999999</v>
      </c>
      <c r="D78" s="1170">
        <f t="shared" si="25"/>
        <v>1500.3944819999999</v>
      </c>
      <c r="E78" s="1170">
        <f t="shared" si="25"/>
        <v>0</v>
      </c>
      <c r="F78" s="1312">
        <f t="shared" si="25"/>
        <v>70962.772138</v>
      </c>
      <c r="G78" s="1312">
        <f>G79+G86</f>
        <v>57541.430999999997</v>
      </c>
      <c r="H78" s="1312">
        <f t="shared" si="25"/>
        <v>13421.341138</v>
      </c>
      <c r="I78" s="1170">
        <f t="shared" si="25"/>
        <v>69257.323357999994</v>
      </c>
      <c r="J78" s="1170">
        <f t="shared" si="25"/>
        <v>56570.900685000001</v>
      </c>
      <c r="K78" s="1170">
        <f t="shared" si="25"/>
        <v>12686.594035</v>
      </c>
      <c r="L78" s="1312">
        <f t="shared" si="25"/>
        <v>0</v>
      </c>
      <c r="M78" s="1170">
        <f t="shared" si="25"/>
        <v>0</v>
      </c>
      <c r="N78" s="1170">
        <f t="shared" si="25"/>
        <v>2470.9247960000021</v>
      </c>
      <c r="O78" s="1170">
        <f t="shared" si="25"/>
        <v>459.59458699999999</v>
      </c>
      <c r="P78" s="1170">
        <f t="shared" si="25"/>
        <v>0</v>
      </c>
      <c r="Q78" s="1170">
        <f t="shared" si="25"/>
        <v>573.54895399999998</v>
      </c>
      <c r="R78" s="1170">
        <f t="shared" si="25"/>
        <v>0</v>
      </c>
      <c r="S78" s="1170">
        <f t="shared" si="25"/>
        <v>1897.3758430000021</v>
      </c>
      <c r="T78" s="1170">
        <f t="shared" si="25"/>
        <v>0</v>
      </c>
      <c r="U78" s="1170">
        <f t="shared" si="25"/>
        <v>734.74710300000004</v>
      </c>
      <c r="V78" s="1170">
        <f t="shared" si="25"/>
        <v>0</v>
      </c>
      <c r="W78" s="1170">
        <f t="shared" si="25"/>
        <v>734.91846500000008</v>
      </c>
      <c r="X78" s="1286">
        <f>SUM(X76:X77)</f>
        <v>1098028000</v>
      </c>
    </row>
    <row r="79" spans="1:24" s="1289" customFormat="1" ht="25.5" x14ac:dyDescent="0.25">
      <c r="A79" s="1174">
        <v>1</v>
      </c>
      <c r="B79" s="1311" t="s">
        <v>1212</v>
      </c>
      <c r="C79" s="1170">
        <f t="shared" ref="C79:W79" si="26">C80</f>
        <v>802.96114599999987</v>
      </c>
      <c r="D79" s="1170">
        <f t="shared" si="26"/>
        <v>802.96114599999987</v>
      </c>
      <c r="E79" s="1170">
        <f t="shared" si="26"/>
        <v>0</v>
      </c>
      <c r="F79" s="1312">
        <f t="shared" si="26"/>
        <v>18385</v>
      </c>
      <c r="G79" s="1312">
        <f t="shared" si="26"/>
        <v>13729</v>
      </c>
      <c r="H79" s="1312">
        <f t="shared" si="26"/>
        <v>4656</v>
      </c>
      <c r="I79" s="1170">
        <f t="shared" si="26"/>
        <v>17986.142233999999</v>
      </c>
      <c r="J79" s="1170">
        <f t="shared" si="26"/>
        <v>13507.384883999997</v>
      </c>
      <c r="K79" s="1170">
        <f t="shared" si="26"/>
        <v>4478.7573499999999</v>
      </c>
      <c r="L79" s="1312">
        <f t="shared" si="26"/>
        <v>0</v>
      </c>
      <c r="M79" s="1170">
        <f t="shared" si="26"/>
        <v>0</v>
      </c>
      <c r="N79" s="1170">
        <f t="shared" si="26"/>
        <v>1024.5762620000023</v>
      </c>
      <c r="O79" s="1170">
        <f t="shared" si="26"/>
        <v>0</v>
      </c>
      <c r="P79" s="1170">
        <f t="shared" si="26"/>
        <v>0</v>
      </c>
      <c r="Q79" s="1170">
        <f t="shared" si="26"/>
        <v>113.954367</v>
      </c>
      <c r="R79" s="1170">
        <f t="shared" si="26"/>
        <v>0</v>
      </c>
      <c r="S79" s="1170">
        <f t="shared" si="26"/>
        <v>910.62189500000216</v>
      </c>
      <c r="T79" s="1170">
        <f t="shared" si="26"/>
        <v>0</v>
      </c>
      <c r="U79" s="1170">
        <f t="shared" si="26"/>
        <v>177.24264999999991</v>
      </c>
      <c r="V79" s="1170">
        <f t="shared" si="26"/>
        <v>0</v>
      </c>
      <c r="W79" s="1170">
        <f t="shared" si="26"/>
        <v>177.24264999999991</v>
      </c>
      <c r="X79" s="1288">
        <f>X78-X76</f>
        <v>265548000</v>
      </c>
    </row>
    <row r="80" spans="1:24" s="733" customFormat="1" ht="25.5" x14ac:dyDescent="0.25">
      <c r="A80" s="1172" t="s">
        <v>851</v>
      </c>
      <c r="B80" s="1197" t="s">
        <v>170</v>
      </c>
      <c r="C80" s="1211">
        <f>SUM(C81:C84)</f>
        <v>802.96114599999987</v>
      </c>
      <c r="D80" s="1211">
        <f>SUM(D81:D85)</f>
        <v>802.96114599999987</v>
      </c>
      <c r="E80" s="1211">
        <f t="shared" ref="E80:V80" si="27">SUM(E81:E85)</f>
        <v>0</v>
      </c>
      <c r="F80" s="1211">
        <f t="shared" si="27"/>
        <v>18385</v>
      </c>
      <c r="G80" s="1211">
        <f t="shared" si="27"/>
        <v>13729</v>
      </c>
      <c r="H80" s="1211">
        <f>SUM(H81:H85)</f>
        <v>4656</v>
      </c>
      <c r="I80" s="1211">
        <f t="shared" si="27"/>
        <v>17986.142233999999</v>
      </c>
      <c r="J80" s="1211">
        <f t="shared" si="27"/>
        <v>13507.384883999997</v>
      </c>
      <c r="K80" s="1211">
        <f t="shared" si="27"/>
        <v>4478.7573499999999</v>
      </c>
      <c r="L80" s="1211">
        <f t="shared" si="27"/>
        <v>0</v>
      </c>
      <c r="M80" s="1211">
        <f t="shared" si="27"/>
        <v>0</v>
      </c>
      <c r="N80" s="1211">
        <f t="shared" si="27"/>
        <v>1024.5762620000023</v>
      </c>
      <c r="O80" s="1211">
        <f t="shared" si="27"/>
        <v>0</v>
      </c>
      <c r="P80" s="1211">
        <f t="shared" si="27"/>
        <v>0</v>
      </c>
      <c r="Q80" s="1211">
        <f t="shared" si="27"/>
        <v>113.954367</v>
      </c>
      <c r="R80" s="1211">
        <f t="shared" si="27"/>
        <v>0</v>
      </c>
      <c r="S80" s="1211">
        <f t="shared" si="27"/>
        <v>910.62189500000216</v>
      </c>
      <c r="T80" s="1211">
        <f t="shared" si="27"/>
        <v>0</v>
      </c>
      <c r="U80" s="1211">
        <f t="shared" si="27"/>
        <v>177.24264999999991</v>
      </c>
      <c r="V80" s="1211">
        <f t="shared" si="27"/>
        <v>0</v>
      </c>
      <c r="W80" s="1211">
        <f>SUM(W81:W85)</f>
        <v>177.24264999999991</v>
      </c>
      <c r="X80" s="1286">
        <v>459272000</v>
      </c>
    </row>
    <row r="81" spans="1:28" s="733" customFormat="1" ht="12.75" x14ac:dyDescent="0.25">
      <c r="A81" s="1172" t="s">
        <v>711</v>
      </c>
      <c r="B81" s="1197" t="s">
        <v>2309</v>
      </c>
      <c r="C81" s="1211">
        <f>D81</f>
        <v>802.96114599999987</v>
      </c>
      <c r="D81" s="1300">
        <v>802.96114599999987</v>
      </c>
      <c r="E81" s="1211"/>
      <c r="F81" s="1310"/>
      <c r="G81" s="1310"/>
      <c r="H81" s="1310"/>
      <c r="I81" s="1211">
        <f>J81</f>
        <v>440.19241</v>
      </c>
      <c r="J81" s="1211">
        <v>440.19241</v>
      </c>
      <c r="K81" s="1211"/>
      <c r="L81" s="1310"/>
      <c r="M81" s="1211"/>
      <c r="N81" s="1211">
        <f>D81+G81-J81</f>
        <v>362.76873599999988</v>
      </c>
      <c r="O81" s="1211"/>
      <c r="P81" s="1211"/>
      <c r="Q81" s="1211"/>
      <c r="R81" s="1211"/>
      <c r="S81" s="1211">
        <f>C81-I81</f>
        <v>362.76873599999988</v>
      </c>
      <c r="T81" s="1211"/>
      <c r="U81" s="1211">
        <f>W81+V81</f>
        <v>0</v>
      </c>
      <c r="V81" s="1211"/>
      <c r="W81" s="1211">
        <f>H81-K81</f>
        <v>0</v>
      </c>
      <c r="X81" s="1286">
        <v>373210000</v>
      </c>
    </row>
    <row r="82" spans="1:28" s="733" customFormat="1" ht="12.75" x14ac:dyDescent="0.25">
      <c r="A82" s="1172" t="s">
        <v>882</v>
      </c>
      <c r="B82" s="1197" t="s">
        <v>2458</v>
      </c>
      <c r="C82" s="1211"/>
      <c r="D82" s="1292"/>
      <c r="E82" s="1211"/>
      <c r="F82" s="1310">
        <f>G82+H82</f>
        <v>13729</v>
      </c>
      <c r="G82" s="1310">
        <v>13729</v>
      </c>
      <c r="H82" s="1310"/>
      <c r="I82" s="1211">
        <f>J82</f>
        <v>13067.192473999998</v>
      </c>
      <c r="J82" s="1211">
        <v>13067.192473999998</v>
      </c>
      <c r="K82" s="1211"/>
      <c r="L82" s="1310"/>
      <c r="M82" s="1211"/>
      <c r="N82" s="1211">
        <f>D82+G82-J82</f>
        <v>661.80752600000233</v>
      </c>
      <c r="O82" s="1211"/>
      <c r="P82" s="1211"/>
      <c r="Q82" s="1211">
        <v>113.954367</v>
      </c>
      <c r="R82" s="1211"/>
      <c r="S82" s="1211">
        <f>N82-Q82</f>
        <v>547.85315900000228</v>
      </c>
      <c r="T82" s="1211"/>
      <c r="U82" s="1211">
        <f>W82+V82</f>
        <v>0</v>
      </c>
      <c r="V82" s="1211"/>
      <c r="W82" s="1211"/>
      <c r="X82" s="1286">
        <f>SUM(X80:X81)</f>
        <v>832482000</v>
      </c>
    </row>
    <row r="83" spans="1:28" s="1308" customFormat="1" x14ac:dyDescent="0.25">
      <c r="A83" s="1318" t="s">
        <v>711</v>
      </c>
      <c r="B83" s="1291" t="s">
        <v>804</v>
      </c>
      <c r="C83" s="1291"/>
      <c r="D83" s="1292"/>
      <c r="E83" s="1291"/>
      <c r="F83" s="1310">
        <f>G83+H83</f>
        <v>944</v>
      </c>
      <c r="G83" s="1310"/>
      <c r="H83" s="1310">
        <v>944</v>
      </c>
      <c r="I83" s="1211">
        <f>J83+K83</f>
        <v>927.03356099999996</v>
      </c>
      <c r="J83" s="1211"/>
      <c r="K83" s="1211">
        <v>927.03356099999996</v>
      </c>
      <c r="L83" s="1310"/>
      <c r="M83" s="1211"/>
      <c r="N83" s="1211"/>
      <c r="O83" s="1211"/>
      <c r="P83" s="1211"/>
      <c r="Q83" s="1211"/>
      <c r="R83" s="1211"/>
      <c r="S83" s="1211"/>
      <c r="T83" s="1211"/>
      <c r="U83" s="1211">
        <f>W83+V83</f>
        <v>16.966439000000037</v>
      </c>
      <c r="V83" s="1211"/>
      <c r="W83" s="1211">
        <f>H83-K83</f>
        <v>16.966439000000037</v>
      </c>
      <c r="X83" s="732">
        <f>X74-X82</f>
        <v>-832482000</v>
      </c>
      <c r="Y83" s="1414"/>
      <c r="Z83" s="1414" t="s">
        <v>846</v>
      </c>
      <c r="AA83" s="1414" t="s">
        <v>13</v>
      </c>
      <c r="AB83" s="1414"/>
    </row>
    <row r="84" spans="1:28" s="733" customFormat="1" ht="54" customHeight="1" x14ac:dyDescent="0.25">
      <c r="A84" s="1172" t="s">
        <v>711</v>
      </c>
      <c r="B84" s="1197" t="s">
        <v>2459</v>
      </c>
      <c r="C84" s="1211"/>
      <c r="D84" s="1292"/>
      <c r="E84" s="1211"/>
      <c r="F84" s="1310">
        <f>G84+H84</f>
        <v>3552</v>
      </c>
      <c r="G84" s="1310"/>
      <c r="H84" s="1310">
        <v>3552</v>
      </c>
      <c r="I84" s="1211">
        <f>J84+K84</f>
        <v>3391.7237890000001</v>
      </c>
      <c r="J84" s="1211"/>
      <c r="K84" s="1211">
        <v>3391.7237890000001</v>
      </c>
      <c r="L84" s="1310"/>
      <c r="M84" s="1211"/>
      <c r="N84" s="1211"/>
      <c r="O84" s="1211"/>
      <c r="P84" s="1211"/>
      <c r="Q84" s="1211"/>
      <c r="R84" s="1211"/>
      <c r="S84" s="1211"/>
      <c r="T84" s="1211"/>
      <c r="U84" s="1211">
        <f>W84+V84</f>
        <v>160.27621099999988</v>
      </c>
      <c r="V84" s="1211"/>
      <c r="W84" s="1211">
        <f>H84-K84</f>
        <v>160.27621099999988</v>
      </c>
      <c r="X84" s="1286">
        <f>X83-X79</f>
        <v>-1098030000</v>
      </c>
      <c r="Y84" s="1415" t="s">
        <v>725</v>
      </c>
      <c r="Z84" s="1416">
        <f>X84+X79</f>
        <v>-832482000</v>
      </c>
      <c r="AA84" s="1416">
        <f>Z84</f>
        <v>-832482000</v>
      </c>
      <c r="AB84" s="1420" t="s">
        <v>2588</v>
      </c>
    </row>
    <row r="85" spans="1:28" s="733" customFormat="1" x14ac:dyDescent="0.25">
      <c r="A85" s="1172"/>
      <c r="B85" s="1197" t="s">
        <v>2352</v>
      </c>
      <c r="C85" s="1211"/>
      <c r="D85" s="1292"/>
      <c r="E85" s="1211"/>
      <c r="F85" s="1310">
        <f>G85+H85</f>
        <v>160</v>
      </c>
      <c r="G85" s="1310"/>
      <c r="H85" s="1310">
        <v>160</v>
      </c>
      <c r="I85" s="1211">
        <f>J85+K85</f>
        <v>160</v>
      </c>
      <c r="J85" s="1211"/>
      <c r="K85" s="1211">
        <v>160</v>
      </c>
      <c r="L85" s="1310"/>
      <c r="M85" s="1211"/>
      <c r="N85" s="1211"/>
      <c r="O85" s="1211"/>
      <c r="P85" s="1211"/>
      <c r="Q85" s="1211"/>
      <c r="R85" s="1211"/>
      <c r="S85" s="1211"/>
      <c r="T85" s="1211"/>
      <c r="U85" s="1211">
        <f>W85+V85</f>
        <v>0</v>
      </c>
      <c r="V85" s="1211"/>
      <c r="W85" s="1211">
        <f>H85-K85</f>
        <v>0</v>
      </c>
      <c r="X85" s="1286"/>
      <c r="Y85" s="1415" t="s">
        <v>726</v>
      </c>
      <c r="Z85" s="1416">
        <f>X82</f>
        <v>832482000</v>
      </c>
      <c r="AA85" s="1416">
        <f>Z85</f>
        <v>832482000</v>
      </c>
      <c r="AB85" s="1415"/>
    </row>
    <row r="86" spans="1:28" s="1289" customFormat="1" ht="18.75" x14ac:dyDescent="0.25">
      <c r="A86" s="1174">
        <v>2</v>
      </c>
      <c r="B86" s="1174" t="s">
        <v>1528</v>
      </c>
      <c r="C86" s="1170">
        <f t="shared" ref="C86:W86" si="28">SUM(C87:C100)</f>
        <v>697.43333600000005</v>
      </c>
      <c r="D86" s="1170">
        <f t="shared" si="28"/>
        <v>697.43333600000005</v>
      </c>
      <c r="E86" s="1170">
        <f t="shared" si="28"/>
        <v>0</v>
      </c>
      <c r="F86" s="1170">
        <f t="shared" si="28"/>
        <v>52577.772138</v>
      </c>
      <c r="G86" s="1170">
        <f t="shared" si="28"/>
        <v>43812.430999999997</v>
      </c>
      <c r="H86" s="1170">
        <f t="shared" si="28"/>
        <v>8765.3411379999998</v>
      </c>
      <c r="I86" s="1170">
        <f t="shared" si="28"/>
        <v>51271.181123999995</v>
      </c>
      <c r="J86" s="1170">
        <f t="shared" si="28"/>
        <v>43063.515801000001</v>
      </c>
      <c r="K86" s="1170">
        <f t="shared" si="28"/>
        <v>8207.8366850000002</v>
      </c>
      <c r="L86" s="1170">
        <f t="shared" si="28"/>
        <v>0</v>
      </c>
      <c r="M86" s="1170">
        <f t="shared" si="28"/>
        <v>0</v>
      </c>
      <c r="N86" s="1170">
        <f t="shared" si="28"/>
        <v>1446.348534</v>
      </c>
      <c r="O86" s="1170">
        <f t="shared" si="28"/>
        <v>459.59458699999999</v>
      </c>
      <c r="P86" s="1170">
        <f t="shared" si="28"/>
        <v>0</v>
      </c>
      <c r="Q86" s="1170">
        <f t="shared" si="28"/>
        <v>459.59458699999999</v>
      </c>
      <c r="R86" s="1170">
        <f t="shared" si="28"/>
        <v>0</v>
      </c>
      <c r="S86" s="1170">
        <f t="shared" si="28"/>
        <v>986.75394800000004</v>
      </c>
      <c r="T86" s="1170">
        <f t="shared" si="28"/>
        <v>0</v>
      </c>
      <c r="U86" s="1170">
        <f t="shared" si="28"/>
        <v>557.50445300000013</v>
      </c>
      <c r="V86" s="1170">
        <f t="shared" si="28"/>
        <v>0</v>
      </c>
      <c r="W86" s="1170">
        <f t="shared" si="28"/>
        <v>557.67581500000017</v>
      </c>
      <c r="X86" s="1413">
        <v>128575000</v>
      </c>
      <c r="Y86" s="1417"/>
      <c r="Z86" s="1418">
        <f>SUM(Z84:Z85)</f>
        <v>0</v>
      </c>
      <c r="AA86" s="1419">
        <f>Z86</f>
        <v>0</v>
      </c>
      <c r="AB86" s="1417"/>
    </row>
    <row r="87" spans="1:28" s="733" customFormat="1" ht="12.75" x14ac:dyDescent="0.25">
      <c r="A87" s="1172" t="s">
        <v>882</v>
      </c>
      <c r="B87" s="1197" t="s">
        <v>2309</v>
      </c>
      <c r="C87" s="1291">
        <f>D87</f>
        <v>697.43333600000005</v>
      </c>
      <c r="D87" s="1291">
        <v>697.43333600000005</v>
      </c>
      <c r="E87" s="1211"/>
      <c r="F87" s="1310"/>
      <c r="G87" s="1310"/>
      <c r="H87" s="1310"/>
      <c r="I87" s="1211">
        <f>J87</f>
        <v>697.43333500000006</v>
      </c>
      <c r="J87" s="1211">
        <v>697.43333500000006</v>
      </c>
      <c r="K87" s="1211"/>
      <c r="L87" s="1310"/>
      <c r="M87" s="1211"/>
      <c r="N87" s="1211"/>
      <c r="O87" s="1211"/>
      <c r="P87" s="1211"/>
      <c r="Q87" s="1211"/>
      <c r="R87" s="1211"/>
      <c r="S87" s="1211">
        <f>C87-I87</f>
        <v>9.9999999747524271E-7</v>
      </c>
      <c r="T87" s="1211"/>
      <c r="U87" s="1211"/>
      <c r="V87" s="1211"/>
      <c r="W87" s="1211"/>
      <c r="X87" s="1286">
        <f>X86+X77+X82</f>
        <v>1226605000</v>
      </c>
    </row>
    <row r="88" spans="1:28" s="733" customFormat="1" ht="16.5" customHeight="1" x14ac:dyDescent="0.25">
      <c r="A88" s="1172" t="s">
        <v>882</v>
      </c>
      <c r="B88" s="1197" t="s">
        <v>2460</v>
      </c>
      <c r="C88" s="1211"/>
      <c r="D88" s="1211"/>
      <c r="E88" s="1211"/>
      <c r="F88" s="1310"/>
      <c r="G88" s="1310"/>
      <c r="H88" s="1310"/>
      <c r="I88" s="1211"/>
      <c r="J88" s="1211"/>
      <c r="K88" s="1211"/>
      <c r="L88" s="1310"/>
      <c r="M88" s="1211"/>
      <c r="N88" s="1211"/>
      <c r="O88" s="1211"/>
      <c r="P88" s="1211"/>
      <c r="Q88" s="1211"/>
      <c r="R88" s="1211"/>
      <c r="S88" s="1211"/>
      <c r="T88" s="1211"/>
      <c r="U88" s="1211"/>
      <c r="V88" s="1211"/>
      <c r="W88" s="1211"/>
      <c r="X88" s="1286">
        <f>X87-X74</f>
        <v>1226605000</v>
      </c>
    </row>
    <row r="89" spans="1:28" s="733" customFormat="1" ht="25.5" x14ac:dyDescent="0.25">
      <c r="A89" s="1172"/>
      <c r="B89" s="1197" t="s">
        <v>2461</v>
      </c>
      <c r="C89" s="1211"/>
      <c r="D89" s="1211"/>
      <c r="E89" s="1211"/>
      <c r="F89" s="1310">
        <f t="shared" ref="F89:F94" si="29">G89+H89</f>
        <v>43344.430999999997</v>
      </c>
      <c r="G89" s="1310">
        <v>43344.430999999997</v>
      </c>
      <c r="H89" s="1310"/>
      <c r="I89" s="1211">
        <f>J89</f>
        <v>41912.957843999997</v>
      </c>
      <c r="J89" s="1211">
        <v>41912.957843999997</v>
      </c>
      <c r="K89" s="1211"/>
      <c r="L89" s="1310"/>
      <c r="M89" s="1211"/>
      <c r="N89" s="1211">
        <f>F89-I89</f>
        <v>1431.473156</v>
      </c>
      <c r="O89" s="1211">
        <f>P89+Q89</f>
        <v>459.59458699999999</v>
      </c>
      <c r="P89" s="1211"/>
      <c r="Q89" s="1211">
        <v>459.59458699999999</v>
      </c>
      <c r="R89" s="1211"/>
      <c r="S89" s="1211">
        <f>N89-O89</f>
        <v>971.87856899999997</v>
      </c>
      <c r="T89" s="1211"/>
      <c r="U89" s="1211"/>
      <c r="V89" s="1211"/>
      <c r="W89" s="1211"/>
      <c r="X89" s="1286"/>
    </row>
    <row r="90" spans="1:28" s="733" customFormat="1" ht="12.75" x14ac:dyDescent="0.25">
      <c r="A90" s="1172"/>
      <c r="B90" s="1197" t="s">
        <v>2462</v>
      </c>
      <c r="C90" s="1211"/>
      <c r="D90" s="1211"/>
      <c r="E90" s="1211"/>
      <c r="F90" s="1310">
        <f t="shared" si="29"/>
        <v>468</v>
      </c>
      <c r="G90" s="1310">
        <v>468</v>
      </c>
      <c r="H90" s="1310"/>
      <c r="I90" s="1211">
        <f>J90</f>
        <v>453.12462199999999</v>
      </c>
      <c r="J90" s="1211">
        <v>453.12462199999999</v>
      </c>
      <c r="K90" s="1211"/>
      <c r="L90" s="1310"/>
      <c r="M90" s="1211"/>
      <c r="N90" s="1211">
        <f>F90-I90</f>
        <v>14.875378000000012</v>
      </c>
      <c r="O90" s="1211"/>
      <c r="P90" s="1211"/>
      <c r="Q90" s="1211"/>
      <c r="R90" s="1211"/>
      <c r="S90" s="1211">
        <f>N90-O90</f>
        <v>14.875378000000012</v>
      </c>
      <c r="T90" s="1211"/>
      <c r="U90" s="1211"/>
      <c r="V90" s="1211"/>
      <c r="W90" s="1211"/>
      <c r="X90" s="1286"/>
    </row>
    <row r="91" spans="1:28" s="733" customFormat="1" ht="12.75" x14ac:dyDescent="0.25">
      <c r="A91" s="1172" t="s">
        <v>882</v>
      </c>
      <c r="B91" s="1173" t="s">
        <v>2334</v>
      </c>
      <c r="C91" s="1211"/>
      <c r="D91" s="1211"/>
      <c r="E91" s="1211"/>
      <c r="F91" s="1310">
        <f t="shared" si="29"/>
        <v>2038</v>
      </c>
      <c r="G91" s="1310"/>
      <c r="H91" s="1310">
        <f>226+1041+474+135-208+370</f>
        <v>2038</v>
      </c>
      <c r="I91" s="1211">
        <f>J91+K91</f>
        <v>1565.172493</v>
      </c>
      <c r="J91" s="1211"/>
      <c r="K91" s="1211">
        <v>1565.172493</v>
      </c>
      <c r="L91" s="1310"/>
      <c r="M91" s="1211"/>
      <c r="N91" s="1211"/>
      <c r="O91" s="1211"/>
      <c r="P91" s="1211"/>
      <c r="Q91" s="1211"/>
      <c r="R91" s="1211"/>
      <c r="S91" s="1211"/>
      <c r="T91" s="1211"/>
      <c r="U91" s="1211">
        <f>H91-K91</f>
        <v>472.82750699999997</v>
      </c>
      <c r="V91" s="1211"/>
      <c r="W91" s="1211">
        <f>U91</f>
        <v>472.82750699999997</v>
      </c>
      <c r="X91" s="1286">
        <f>SUM(W91:W99)</f>
        <v>555.2127280000002</v>
      </c>
    </row>
    <row r="92" spans="1:28" s="733" customFormat="1" ht="12.75" x14ac:dyDescent="0.25">
      <c r="A92" s="1172" t="s">
        <v>882</v>
      </c>
      <c r="B92" s="1173" t="s">
        <v>2335</v>
      </c>
      <c r="C92" s="1211"/>
      <c r="D92" s="1211"/>
      <c r="E92" s="1211"/>
      <c r="F92" s="1310">
        <f t="shared" si="29"/>
        <v>200</v>
      </c>
      <c r="G92" s="1310"/>
      <c r="H92" s="1310">
        <v>200</v>
      </c>
      <c r="I92" s="1211">
        <f>J92+K92</f>
        <v>184.6</v>
      </c>
      <c r="J92" s="1211"/>
      <c r="K92" s="1211">
        <v>184.6</v>
      </c>
      <c r="L92" s="1310"/>
      <c r="M92" s="1211"/>
      <c r="N92" s="1211"/>
      <c r="O92" s="1211"/>
      <c r="P92" s="1211"/>
      <c r="Q92" s="1211"/>
      <c r="R92" s="1211"/>
      <c r="S92" s="1211"/>
      <c r="T92" s="1211"/>
      <c r="U92" s="1211">
        <f>H92-K92</f>
        <v>15.400000000000006</v>
      </c>
      <c r="V92" s="1211"/>
      <c r="W92" s="1211">
        <f t="shared" ref="W92:W97" si="30">U92</f>
        <v>15.400000000000006</v>
      </c>
      <c r="X92" s="1286"/>
    </row>
    <row r="93" spans="1:28" s="733" customFormat="1" ht="25.5" x14ac:dyDescent="0.25">
      <c r="A93" s="1172" t="s">
        <v>882</v>
      </c>
      <c r="B93" s="1173" t="s">
        <v>2303</v>
      </c>
      <c r="C93" s="1211"/>
      <c r="D93" s="1211"/>
      <c r="E93" s="1211"/>
      <c r="F93" s="1310">
        <f t="shared" si="29"/>
        <v>15</v>
      </c>
      <c r="G93" s="1310"/>
      <c r="H93" s="1310">
        <v>15</v>
      </c>
      <c r="I93" s="1211">
        <f>J93+K93</f>
        <v>13.8</v>
      </c>
      <c r="J93" s="1211"/>
      <c r="K93" s="1211">
        <v>13.8</v>
      </c>
      <c r="L93" s="1310"/>
      <c r="M93" s="1211"/>
      <c r="N93" s="1211"/>
      <c r="O93" s="1211"/>
      <c r="P93" s="1211"/>
      <c r="Q93" s="1211"/>
      <c r="R93" s="1211"/>
      <c r="S93" s="1211"/>
      <c r="T93" s="1211"/>
      <c r="U93" s="1211">
        <f>H93-K93</f>
        <v>1.1999999999999993</v>
      </c>
      <c r="V93" s="1211"/>
      <c r="W93" s="1211">
        <f t="shared" si="30"/>
        <v>1.1999999999999993</v>
      </c>
      <c r="X93" s="1286"/>
    </row>
    <row r="94" spans="1:28" s="733" customFormat="1" ht="25.5" x14ac:dyDescent="0.25">
      <c r="A94" s="1172" t="s">
        <v>882</v>
      </c>
      <c r="B94" s="1173" t="s">
        <v>2304</v>
      </c>
      <c r="C94" s="1211"/>
      <c r="D94" s="1211"/>
      <c r="E94" s="1211"/>
      <c r="F94" s="1310">
        <f t="shared" si="29"/>
        <v>1000</v>
      </c>
      <c r="G94" s="1310"/>
      <c r="H94" s="1310">
        <v>1000</v>
      </c>
      <c r="I94" s="1211">
        <f>J94+K94</f>
        <v>987.51599999999996</v>
      </c>
      <c r="J94" s="1211"/>
      <c r="K94" s="1211">
        <v>987.51599999999996</v>
      </c>
      <c r="L94" s="1310"/>
      <c r="M94" s="1211"/>
      <c r="N94" s="1211"/>
      <c r="O94" s="1211"/>
      <c r="P94" s="1211"/>
      <c r="Q94" s="1211"/>
      <c r="R94" s="1211"/>
      <c r="S94" s="1211"/>
      <c r="T94" s="1211"/>
      <c r="U94" s="1211">
        <f>H94-K94</f>
        <v>12.484000000000037</v>
      </c>
      <c r="V94" s="1211"/>
      <c r="W94" s="1211">
        <f t="shared" si="30"/>
        <v>12.484000000000037</v>
      </c>
      <c r="X94" s="1286"/>
    </row>
    <row r="95" spans="1:28" s="733" customFormat="1" ht="25.5" x14ac:dyDescent="0.25">
      <c r="A95" s="1172" t="s">
        <v>882</v>
      </c>
      <c r="B95" s="1173" t="s">
        <v>2305</v>
      </c>
      <c r="C95" s="1211"/>
      <c r="D95" s="1211"/>
      <c r="E95" s="1211"/>
      <c r="F95" s="1310">
        <f t="shared" ref="F95:F104" si="31">G95+H95</f>
        <v>1000</v>
      </c>
      <c r="G95" s="1310"/>
      <c r="H95" s="1310">
        <v>1000</v>
      </c>
      <c r="I95" s="1211">
        <f>J95+K95</f>
        <v>989.25046199999997</v>
      </c>
      <c r="J95" s="1211"/>
      <c r="K95" s="1211">
        <v>989.25046199999997</v>
      </c>
      <c r="L95" s="1310"/>
      <c r="M95" s="1211"/>
      <c r="N95" s="1211"/>
      <c r="O95" s="1211"/>
      <c r="P95" s="1211"/>
      <c r="Q95" s="1211"/>
      <c r="R95" s="1211"/>
      <c r="S95" s="1211"/>
      <c r="T95" s="1211"/>
      <c r="U95" s="1211">
        <f>H95-K95</f>
        <v>10.74953800000003</v>
      </c>
      <c r="V95" s="1211"/>
      <c r="W95" s="1211">
        <f t="shared" si="30"/>
        <v>10.74953800000003</v>
      </c>
      <c r="X95" s="1286"/>
    </row>
    <row r="96" spans="1:28" s="733" customFormat="1" ht="12.75" x14ac:dyDescent="0.25">
      <c r="A96" s="1172" t="s">
        <v>882</v>
      </c>
      <c r="B96" s="1173" t="s">
        <v>2306</v>
      </c>
      <c r="C96" s="1211"/>
      <c r="D96" s="1211"/>
      <c r="E96" s="1211"/>
      <c r="F96" s="1310"/>
      <c r="G96" s="1310"/>
      <c r="H96" s="1310"/>
      <c r="I96" s="1211"/>
      <c r="J96" s="1211"/>
      <c r="K96" s="1211"/>
      <c r="L96" s="1310"/>
      <c r="M96" s="1211"/>
      <c r="N96" s="1211"/>
      <c r="O96" s="1211"/>
      <c r="P96" s="1211"/>
      <c r="Q96" s="1211"/>
      <c r="R96" s="1211"/>
      <c r="S96" s="1211"/>
      <c r="T96" s="1211"/>
      <c r="U96" s="1211"/>
      <c r="V96" s="1211"/>
      <c r="W96" s="1211"/>
      <c r="X96" s="1286"/>
    </row>
    <row r="97" spans="1:25" s="1306" customFormat="1" ht="12.75" x14ac:dyDescent="0.25">
      <c r="A97" s="1303"/>
      <c r="B97" s="1319" t="s">
        <v>2463</v>
      </c>
      <c r="C97" s="1210"/>
      <c r="D97" s="1210"/>
      <c r="E97" s="1210"/>
      <c r="F97" s="1320">
        <f t="shared" si="31"/>
        <v>2675</v>
      </c>
      <c r="G97" s="1320"/>
      <c r="H97" s="1320">
        <v>2675</v>
      </c>
      <c r="I97" s="1210">
        <v>2634.3501719999999</v>
      </c>
      <c r="J97" s="1210"/>
      <c r="K97" s="1321">
        <f>2634.350172+0.171362</f>
        <v>2634.521534</v>
      </c>
      <c r="L97" s="1320"/>
      <c r="M97" s="1210"/>
      <c r="N97" s="1210"/>
      <c r="O97" s="1210"/>
      <c r="P97" s="1210"/>
      <c r="Q97" s="1210"/>
      <c r="R97" s="1210"/>
      <c r="S97" s="1210"/>
      <c r="T97" s="1210"/>
      <c r="U97" s="1210">
        <f>F97-I97</f>
        <v>40.64982800000007</v>
      </c>
      <c r="V97" s="1210"/>
      <c r="W97" s="1210">
        <f t="shared" si="30"/>
        <v>40.64982800000007</v>
      </c>
      <c r="X97" s="1305"/>
    </row>
    <row r="98" spans="1:25" s="1306" customFormat="1" ht="12.75" x14ac:dyDescent="0.25">
      <c r="A98" s="1303"/>
      <c r="B98" s="1319" t="s">
        <v>1611</v>
      </c>
      <c r="C98" s="1210"/>
      <c r="D98" s="1210"/>
      <c r="E98" s="1210"/>
      <c r="F98" s="1320">
        <f t="shared" si="31"/>
        <v>525</v>
      </c>
      <c r="G98" s="1320"/>
      <c r="H98" s="1320">
        <v>525</v>
      </c>
      <c r="I98" s="1210">
        <v>524.82863799999996</v>
      </c>
      <c r="J98" s="1210"/>
      <c r="K98" s="1321">
        <v>524.82863799999996</v>
      </c>
      <c r="L98" s="1320"/>
      <c r="M98" s="1210"/>
      <c r="N98" s="1210"/>
      <c r="O98" s="1210"/>
      <c r="P98" s="1210"/>
      <c r="Q98" s="1210"/>
      <c r="R98" s="1210"/>
      <c r="S98" s="1210"/>
      <c r="T98" s="1210"/>
      <c r="U98" s="1210">
        <v>0</v>
      </c>
      <c r="V98" s="1210"/>
      <c r="W98" s="1210">
        <f>F98-K98</f>
        <v>0.17136200000004465</v>
      </c>
      <c r="X98" s="1305"/>
    </row>
    <row r="99" spans="1:25" s="733" customFormat="1" ht="25.5" x14ac:dyDescent="0.25">
      <c r="A99" s="1172" t="s">
        <v>711</v>
      </c>
      <c r="B99" s="1173" t="s">
        <v>2344</v>
      </c>
      <c r="C99" s="1211"/>
      <c r="D99" s="1211"/>
      <c r="E99" s="1211"/>
      <c r="F99" s="1310">
        <f t="shared" si="31"/>
        <v>1010</v>
      </c>
      <c r="G99" s="1310"/>
      <c r="H99" s="1310">
        <f>1010</f>
        <v>1010</v>
      </c>
      <c r="I99" s="1211">
        <f>J99+K99</f>
        <v>1008.269507</v>
      </c>
      <c r="J99" s="1211"/>
      <c r="K99" s="1211">
        <f>1008.269507</f>
        <v>1008.269507</v>
      </c>
      <c r="L99" s="1310"/>
      <c r="M99" s="1211"/>
      <c r="N99" s="1211"/>
      <c r="O99" s="1211"/>
      <c r="P99" s="1211"/>
      <c r="Q99" s="1211"/>
      <c r="R99" s="1211"/>
      <c r="S99" s="1211"/>
      <c r="T99" s="1211"/>
      <c r="U99" s="1211">
        <f>H99-K99</f>
        <v>1.730493000000024</v>
      </c>
      <c r="V99" s="1211"/>
      <c r="W99" s="1211">
        <f>U99-V99</f>
        <v>1.730493000000024</v>
      </c>
      <c r="X99" s="1286"/>
    </row>
    <row r="100" spans="1:25" s="733" customFormat="1" ht="25.5" x14ac:dyDescent="0.25">
      <c r="A100" s="1172"/>
      <c r="B100" s="1173" t="s">
        <v>2464</v>
      </c>
      <c r="C100" s="1211"/>
      <c r="D100" s="1211"/>
      <c r="E100" s="1211"/>
      <c r="F100" s="1310">
        <f>H100</f>
        <v>302.341138</v>
      </c>
      <c r="G100" s="1310"/>
      <c r="H100" s="1310">
        <f>200+102.341138</f>
        <v>302.341138</v>
      </c>
      <c r="I100" s="1211">
        <f>K100</f>
        <v>299.87805100000003</v>
      </c>
      <c r="J100" s="1211"/>
      <c r="K100" s="1211">
        <v>299.87805100000003</v>
      </c>
      <c r="L100" s="1310"/>
      <c r="M100" s="1211"/>
      <c r="N100" s="1211"/>
      <c r="O100" s="1211"/>
      <c r="P100" s="1211"/>
      <c r="Q100" s="1211"/>
      <c r="R100" s="1211"/>
      <c r="S100" s="1211"/>
      <c r="T100" s="1211"/>
      <c r="U100" s="1211">
        <f>H100-K100-T100</f>
        <v>2.4630869999999732</v>
      </c>
      <c r="V100" s="1211"/>
      <c r="W100" s="1211">
        <f>U100-V100</f>
        <v>2.4630869999999732</v>
      </c>
      <c r="X100" s="1286">
        <v>492.56024200000002</v>
      </c>
    </row>
    <row r="101" spans="1:25" s="1289" customFormat="1" ht="25.5" x14ac:dyDescent="0.25">
      <c r="A101" s="1174" t="s">
        <v>866</v>
      </c>
      <c r="B101" s="1311" t="s">
        <v>2336</v>
      </c>
      <c r="C101" s="1170">
        <f>SUM(C102:C104)</f>
        <v>0</v>
      </c>
      <c r="D101" s="1170">
        <f t="shared" ref="D101:W101" si="32">SUM(D102:D104)</f>
        <v>0</v>
      </c>
      <c r="E101" s="1170">
        <f t="shared" si="32"/>
        <v>0</v>
      </c>
      <c r="F101" s="1170">
        <f t="shared" si="32"/>
        <v>1504.5720000000001</v>
      </c>
      <c r="G101" s="1170">
        <f t="shared" si="32"/>
        <v>1013.7</v>
      </c>
      <c r="H101" s="1170">
        <f t="shared" si="32"/>
        <v>490.87200000000007</v>
      </c>
      <c r="I101" s="1170">
        <f t="shared" si="32"/>
        <v>1465.5520000000001</v>
      </c>
      <c r="J101" s="1170">
        <f t="shared" si="32"/>
        <v>974.68</v>
      </c>
      <c r="K101" s="1170">
        <f t="shared" si="32"/>
        <v>490.87200000000007</v>
      </c>
      <c r="L101" s="1170">
        <f t="shared" si="32"/>
        <v>0</v>
      </c>
      <c r="M101" s="1170">
        <f t="shared" si="32"/>
        <v>0</v>
      </c>
      <c r="N101" s="1170">
        <f t="shared" si="32"/>
        <v>39.020000000000095</v>
      </c>
      <c r="O101" s="1170">
        <f t="shared" si="32"/>
        <v>0</v>
      </c>
      <c r="P101" s="1170">
        <f t="shared" si="32"/>
        <v>0</v>
      </c>
      <c r="Q101" s="1170">
        <f t="shared" si="32"/>
        <v>20</v>
      </c>
      <c r="R101" s="1170">
        <f t="shared" si="32"/>
        <v>0</v>
      </c>
      <c r="S101" s="1170">
        <f t="shared" si="32"/>
        <v>19.020000000000095</v>
      </c>
      <c r="T101" s="1170">
        <f t="shared" si="32"/>
        <v>0</v>
      </c>
      <c r="U101" s="1170">
        <f t="shared" si="32"/>
        <v>0</v>
      </c>
      <c r="V101" s="1170">
        <f t="shared" si="32"/>
        <v>0</v>
      </c>
      <c r="W101" s="1170">
        <f t="shared" si="32"/>
        <v>0</v>
      </c>
      <c r="X101" s="1288">
        <v>192.68219099999999</v>
      </c>
    </row>
    <row r="102" spans="1:25" s="733" customFormat="1" ht="51" x14ac:dyDescent="0.25">
      <c r="A102" s="1172" t="s">
        <v>882</v>
      </c>
      <c r="B102" s="1173" t="s">
        <v>2465</v>
      </c>
      <c r="C102" s="1211"/>
      <c r="D102" s="1211"/>
      <c r="E102" s="1211"/>
      <c r="F102" s="1310">
        <f t="shared" si="31"/>
        <v>459.27200000000005</v>
      </c>
      <c r="G102" s="1310"/>
      <c r="H102" s="1310">
        <f>132.734+242.621+83.917</f>
        <v>459.27200000000005</v>
      </c>
      <c r="I102" s="1211">
        <f>J102+K102</f>
        <v>459.27200000000005</v>
      </c>
      <c r="J102" s="1211"/>
      <c r="K102" s="1211">
        <f>132.734+242.621+83.917</f>
        <v>459.27200000000005</v>
      </c>
      <c r="L102" s="1310"/>
      <c r="M102" s="1211"/>
      <c r="N102" s="1211"/>
      <c r="O102" s="1211"/>
      <c r="P102" s="1211"/>
      <c r="Q102" s="1211"/>
      <c r="R102" s="1211"/>
      <c r="S102" s="1211"/>
      <c r="T102" s="1211"/>
      <c r="U102" s="1211">
        <f>H102-K102</f>
        <v>0</v>
      </c>
      <c r="V102" s="1211"/>
      <c r="W102" s="1211">
        <f>U102</f>
        <v>0</v>
      </c>
      <c r="X102" s="1286" t="e">
        <f>#REF!+X101</f>
        <v>#REF!</v>
      </c>
      <c r="Y102" s="1309" t="e">
        <f>X100-X102</f>
        <v>#REF!</v>
      </c>
    </row>
    <row r="103" spans="1:25" s="733" customFormat="1" ht="25.5" x14ac:dyDescent="0.25">
      <c r="A103" s="1172" t="s">
        <v>882</v>
      </c>
      <c r="B103" s="1173" t="s">
        <v>2337</v>
      </c>
      <c r="C103" s="1211"/>
      <c r="D103" s="1211"/>
      <c r="E103" s="1211"/>
      <c r="F103" s="1310">
        <f t="shared" si="31"/>
        <v>31.6</v>
      </c>
      <c r="G103" s="1310"/>
      <c r="H103" s="1310">
        <v>31.6</v>
      </c>
      <c r="I103" s="1211">
        <f>J103+K103</f>
        <v>31.6</v>
      </c>
      <c r="J103" s="1211"/>
      <c r="K103" s="1211">
        <v>31.6</v>
      </c>
      <c r="L103" s="1310"/>
      <c r="M103" s="1211"/>
      <c r="N103" s="1211"/>
      <c r="O103" s="1211"/>
      <c r="P103" s="1211"/>
      <c r="Q103" s="1211"/>
      <c r="R103" s="1211"/>
      <c r="S103" s="1211"/>
      <c r="T103" s="1211"/>
      <c r="U103" s="1211">
        <f>H103-K103</f>
        <v>0</v>
      </c>
      <c r="V103" s="1211"/>
      <c r="W103" s="1211">
        <f>U103</f>
        <v>0</v>
      </c>
      <c r="X103" s="1286"/>
    </row>
    <row r="104" spans="1:25" s="733" customFormat="1" ht="12.75" x14ac:dyDescent="0.25">
      <c r="A104" s="1172" t="s">
        <v>882</v>
      </c>
      <c r="B104" s="1173" t="s">
        <v>2338</v>
      </c>
      <c r="C104" s="1211"/>
      <c r="D104" s="1211"/>
      <c r="E104" s="1211"/>
      <c r="F104" s="1310">
        <f t="shared" si="31"/>
        <v>1013.7</v>
      </c>
      <c r="G104" s="1310">
        <v>1013.7</v>
      </c>
      <c r="H104" s="1310"/>
      <c r="I104" s="1211">
        <f>J104+K104</f>
        <v>974.68</v>
      </c>
      <c r="J104" s="1211">
        <v>974.68</v>
      </c>
      <c r="K104" s="1211"/>
      <c r="L104" s="1310"/>
      <c r="M104" s="1211"/>
      <c r="N104" s="1211">
        <f>G104-J104</f>
        <v>39.020000000000095</v>
      </c>
      <c r="O104" s="1211"/>
      <c r="P104" s="1211"/>
      <c r="Q104" s="1211">
        <v>20</v>
      </c>
      <c r="R104" s="1211"/>
      <c r="S104" s="1211">
        <f>G104-J104-Q104</f>
        <v>19.020000000000095</v>
      </c>
      <c r="T104" s="1211"/>
      <c r="U104" s="1211">
        <f>H104-K104</f>
        <v>0</v>
      </c>
      <c r="V104" s="1211"/>
      <c r="W104" s="1211">
        <f>U104</f>
        <v>0</v>
      </c>
      <c r="X104" s="1286"/>
    </row>
    <row r="105" spans="1:25" s="1289" customFormat="1" ht="25.5" x14ac:dyDescent="0.25">
      <c r="A105" s="1174" t="s">
        <v>872</v>
      </c>
      <c r="B105" s="1311" t="s">
        <v>2339</v>
      </c>
      <c r="C105" s="1312">
        <f>SUM(C106:C117)</f>
        <v>0</v>
      </c>
      <c r="D105" s="1312">
        <f>SUM(D106:D117)</f>
        <v>0</v>
      </c>
      <c r="E105" s="1312">
        <f>SUM(E106:E117)</f>
        <v>0</v>
      </c>
      <c r="F105" s="1312">
        <f>SUM(F106:F117)</f>
        <v>16238.326671000001</v>
      </c>
      <c r="G105" s="1312">
        <f t="shared" ref="G105:V105" si="33">SUM(G106:G117)</f>
        <v>0</v>
      </c>
      <c r="H105" s="1312">
        <f t="shared" si="33"/>
        <v>16238.326671000001</v>
      </c>
      <c r="I105" s="1170">
        <f t="shared" si="33"/>
        <v>14816.473707000001</v>
      </c>
      <c r="J105" s="1170">
        <f t="shared" si="33"/>
        <v>0</v>
      </c>
      <c r="K105" s="1170">
        <f t="shared" si="33"/>
        <v>14816.473707000001</v>
      </c>
      <c r="L105" s="1312">
        <f t="shared" si="33"/>
        <v>0</v>
      </c>
      <c r="M105" s="1170">
        <f t="shared" si="33"/>
        <v>0</v>
      </c>
      <c r="N105" s="1170">
        <f t="shared" si="33"/>
        <v>0</v>
      </c>
      <c r="O105" s="1170">
        <f t="shared" si="33"/>
        <v>0</v>
      </c>
      <c r="P105" s="1170">
        <f t="shared" si="33"/>
        <v>0</v>
      </c>
      <c r="Q105" s="1170">
        <f t="shared" si="33"/>
        <v>0</v>
      </c>
      <c r="R105" s="1170">
        <f t="shared" si="33"/>
        <v>0</v>
      </c>
      <c r="S105" s="1170">
        <f t="shared" si="33"/>
        <v>0</v>
      </c>
      <c r="T105" s="1170">
        <f t="shared" si="33"/>
        <v>80</v>
      </c>
      <c r="U105" s="1170">
        <f t="shared" si="33"/>
        <v>1341.8529640000002</v>
      </c>
      <c r="V105" s="1170">
        <f t="shared" si="33"/>
        <v>0</v>
      </c>
      <c r="W105" s="1170">
        <f>SUM(W106:W117)</f>
        <v>1341.8529640000002</v>
      </c>
      <c r="X105" s="1288"/>
    </row>
    <row r="106" spans="1:25" s="733" customFormat="1" ht="38.25" x14ac:dyDescent="0.25">
      <c r="A106" s="1172" t="s">
        <v>711</v>
      </c>
      <c r="B106" s="1313" t="s">
        <v>1765</v>
      </c>
      <c r="C106" s="1211"/>
      <c r="D106" s="1211"/>
      <c r="E106" s="1211"/>
      <c r="F106" s="1310">
        <f>H106</f>
        <v>485</v>
      </c>
      <c r="G106" s="1310"/>
      <c r="H106" s="1310">
        <v>485</v>
      </c>
      <c r="I106" s="1211">
        <f t="shared" ref="I106:I117" si="34">K106</f>
        <v>429.3655</v>
      </c>
      <c r="J106" s="1211"/>
      <c r="K106" s="1211">
        <v>429.3655</v>
      </c>
      <c r="L106" s="1310"/>
      <c r="M106" s="1211"/>
      <c r="N106" s="1211"/>
      <c r="O106" s="1211"/>
      <c r="P106" s="1211"/>
      <c r="Q106" s="1211"/>
      <c r="R106" s="1211"/>
      <c r="S106" s="1211"/>
      <c r="T106" s="1211"/>
      <c r="U106" s="1211">
        <f>H106-K106-T106</f>
        <v>55.634500000000003</v>
      </c>
      <c r="V106" s="1211"/>
      <c r="W106" s="1211">
        <f>U106-V106</f>
        <v>55.634500000000003</v>
      </c>
      <c r="X106" s="1286"/>
    </row>
    <row r="107" spans="1:25" s="733" customFormat="1" ht="12.75" x14ac:dyDescent="0.25">
      <c r="A107" s="1172" t="s">
        <v>711</v>
      </c>
      <c r="B107" s="1197" t="s">
        <v>2340</v>
      </c>
      <c r="C107" s="1211"/>
      <c r="D107" s="1211"/>
      <c r="E107" s="1211"/>
      <c r="F107" s="1310">
        <f t="shared" ref="F107:F113" si="35">H107</f>
        <v>32</v>
      </c>
      <c r="G107" s="1310"/>
      <c r="H107" s="1310">
        <v>32</v>
      </c>
      <c r="I107" s="1211">
        <f t="shared" si="34"/>
        <v>31.659600000000001</v>
      </c>
      <c r="J107" s="1211"/>
      <c r="K107" s="1211">
        <v>31.659600000000001</v>
      </c>
      <c r="L107" s="1310"/>
      <c r="M107" s="1211"/>
      <c r="N107" s="1211"/>
      <c r="O107" s="1211"/>
      <c r="P107" s="1211"/>
      <c r="Q107" s="1211"/>
      <c r="R107" s="1211"/>
      <c r="S107" s="1211"/>
      <c r="T107" s="1211"/>
      <c r="U107" s="1211">
        <f t="shared" ref="U107:U117" si="36">H107-K107-T107</f>
        <v>0.34039999999999893</v>
      </c>
      <c r="V107" s="1211"/>
      <c r="W107" s="1211">
        <f t="shared" ref="W107:W117" si="37">U107-V107</f>
        <v>0.34039999999999893</v>
      </c>
      <c r="X107" s="1286"/>
    </row>
    <row r="108" spans="1:25" s="733" customFormat="1" ht="12.75" x14ac:dyDescent="0.25">
      <c r="A108" s="1172" t="s">
        <v>711</v>
      </c>
      <c r="B108" s="1197" t="s">
        <v>2341</v>
      </c>
      <c r="C108" s="1211"/>
      <c r="D108" s="1211"/>
      <c r="E108" s="1211"/>
      <c r="F108" s="1310">
        <f t="shared" si="35"/>
        <v>1260</v>
      </c>
      <c r="G108" s="1310"/>
      <c r="H108" s="1310">
        <v>1260</v>
      </c>
      <c r="I108" s="1211">
        <f t="shared" si="34"/>
        <v>241.46700000000001</v>
      </c>
      <c r="J108" s="1211"/>
      <c r="K108" s="1211">
        <v>241.46700000000001</v>
      </c>
      <c r="L108" s="1310"/>
      <c r="M108" s="1211"/>
      <c r="N108" s="1211"/>
      <c r="O108" s="1211"/>
      <c r="P108" s="1211"/>
      <c r="Q108" s="1211"/>
      <c r="R108" s="1211"/>
      <c r="S108" s="1211"/>
      <c r="T108" s="1211"/>
      <c r="U108" s="1211">
        <f t="shared" si="36"/>
        <v>1018.533</v>
      </c>
      <c r="V108" s="1211"/>
      <c r="W108" s="1211">
        <f t="shared" si="37"/>
        <v>1018.533</v>
      </c>
      <c r="X108" s="1286"/>
    </row>
    <row r="109" spans="1:25" s="733" customFormat="1" ht="12.75" x14ac:dyDescent="0.25">
      <c r="A109" s="1172" t="s">
        <v>711</v>
      </c>
      <c r="B109" s="1197" t="s">
        <v>2342</v>
      </c>
      <c r="C109" s="1211"/>
      <c r="D109" s="1211"/>
      <c r="E109" s="1211"/>
      <c r="F109" s="1310">
        <f t="shared" si="35"/>
        <v>1822.075</v>
      </c>
      <c r="G109" s="1310"/>
      <c r="H109" s="1310">
        <v>1822.075</v>
      </c>
      <c r="I109" s="1211">
        <f t="shared" si="34"/>
        <v>1766.919936</v>
      </c>
      <c r="J109" s="1211"/>
      <c r="K109" s="1211">
        <v>1766.919936</v>
      </c>
      <c r="L109" s="1310"/>
      <c r="M109" s="1211"/>
      <c r="N109" s="1211"/>
      <c r="O109" s="1211"/>
      <c r="P109" s="1211"/>
      <c r="Q109" s="1211"/>
      <c r="R109" s="1211"/>
      <c r="S109" s="1211"/>
      <c r="T109" s="1211"/>
      <c r="U109" s="1211">
        <f t="shared" si="36"/>
        <v>55.155064000000039</v>
      </c>
      <c r="V109" s="1211"/>
      <c r="W109" s="1211">
        <f t="shared" si="37"/>
        <v>55.155064000000039</v>
      </c>
      <c r="X109" s="1286"/>
    </row>
    <row r="110" spans="1:25" s="733" customFormat="1" ht="12.75" x14ac:dyDescent="0.25">
      <c r="A110" s="1172" t="s">
        <v>711</v>
      </c>
      <c r="B110" s="1313" t="s">
        <v>1766</v>
      </c>
      <c r="C110" s="1211"/>
      <c r="D110" s="1211"/>
      <c r="E110" s="1211"/>
      <c r="F110" s="1310">
        <f>H110</f>
        <v>64</v>
      </c>
      <c r="G110" s="1310"/>
      <c r="H110" s="1310">
        <v>64</v>
      </c>
      <c r="I110" s="1211">
        <f t="shared" si="34"/>
        <v>51.81</v>
      </c>
      <c r="J110" s="1211"/>
      <c r="K110" s="1211">
        <v>51.81</v>
      </c>
      <c r="L110" s="1310"/>
      <c r="M110" s="1211"/>
      <c r="N110" s="1211"/>
      <c r="O110" s="1211"/>
      <c r="P110" s="1211"/>
      <c r="Q110" s="1211"/>
      <c r="R110" s="1211"/>
      <c r="S110" s="1211"/>
      <c r="T110" s="1211"/>
      <c r="U110" s="1211">
        <f t="shared" si="36"/>
        <v>12.189999999999998</v>
      </c>
      <c r="V110" s="1211"/>
      <c r="W110" s="1211">
        <f t="shared" si="37"/>
        <v>12.189999999999998</v>
      </c>
      <c r="X110" s="1286"/>
    </row>
    <row r="111" spans="1:25" s="733" customFormat="1" ht="51" x14ac:dyDescent="0.25">
      <c r="A111" s="1172"/>
      <c r="B111" s="1313" t="s">
        <v>2466</v>
      </c>
      <c r="C111" s="1211"/>
      <c r="D111" s="1211"/>
      <c r="E111" s="1211"/>
      <c r="F111" s="1310">
        <f>H111</f>
        <v>288.07400000000001</v>
      </c>
      <c r="G111" s="1310"/>
      <c r="H111" s="1310">
        <v>288.07400000000001</v>
      </c>
      <c r="I111" s="1211">
        <f t="shared" si="34"/>
        <v>288.07400000000001</v>
      </c>
      <c r="J111" s="1211"/>
      <c r="K111" s="1211">
        <v>288.07400000000001</v>
      </c>
      <c r="L111" s="1310"/>
      <c r="M111" s="1211"/>
      <c r="N111" s="1211"/>
      <c r="O111" s="1211"/>
      <c r="P111" s="1211"/>
      <c r="Q111" s="1211"/>
      <c r="R111" s="1211"/>
      <c r="S111" s="1211"/>
      <c r="T111" s="1211"/>
      <c r="U111" s="1211">
        <f t="shared" si="36"/>
        <v>0</v>
      </c>
      <c r="V111" s="1211"/>
      <c r="W111" s="1211">
        <f t="shared" si="37"/>
        <v>0</v>
      </c>
      <c r="X111" s="1286"/>
    </row>
    <row r="112" spans="1:25" s="394" customFormat="1" ht="12.75" x14ac:dyDescent="0.25">
      <c r="A112" s="389" t="s">
        <v>711</v>
      </c>
      <c r="B112" s="1429" t="s">
        <v>2343</v>
      </c>
      <c r="C112" s="1425"/>
      <c r="D112" s="1425"/>
      <c r="E112" s="1425"/>
      <c r="F112" s="1430">
        <f t="shared" si="35"/>
        <v>9887.25</v>
      </c>
      <c r="G112" s="1430"/>
      <c r="H112" s="1430">
        <v>9887.25</v>
      </c>
      <c r="I112" s="1425">
        <f t="shared" si="34"/>
        <v>9887.25</v>
      </c>
      <c r="J112" s="1425"/>
      <c r="K112" s="1425">
        <v>9887.25</v>
      </c>
      <c r="L112" s="1430"/>
      <c r="M112" s="1425"/>
      <c r="N112" s="1425"/>
      <c r="O112" s="1425"/>
      <c r="P112" s="1425"/>
      <c r="Q112" s="1425"/>
      <c r="R112" s="1425"/>
      <c r="S112" s="1425"/>
      <c r="T112" s="1425"/>
      <c r="U112" s="1425">
        <f t="shared" si="36"/>
        <v>0</v>
      </c>
      <c r="V112" s="1425"/>
      <c r="W112" s="1425">
        <f t="shared" si="37"/>
        <v>0</v>
      </c>
      <c r="X112" s="1426"/>
    </row>
    <row r="113" spans="1:24" s="733" customFormat="1" ht="38.25" x14ac:dyDescent="0.25">
      <c r="A113" s="1172"/>
      <c r="B113" s="1197" t="s">
        <v>2467</v>
      </c>
      <c r="C113" s="1211"/>
      <c r="D113" s="1211"/>
      <c r="E113" s="1211"/>
      <c r="F113" s="1310">
        <f t="shared" si="35"/>
        <v>85.135999999999996</v>
      </c>
      <c r="G113" s="1310"/>
      <c r="H113" s="1310">
        <v>85.135999999999996</v>
      </c>
      <c r="I113" s="1211">
        <f t="shared" si="34"/>
        <v>85.135999999999996</v>
      </c>
      <c r="J113" s="1211"/>
      <c r="K113" s="1211">
        <v>85.135999999999996</v>
      </c>
      <c r="L113" s="1310"/>
      <c r="M113" s="1211"/>
      <c r="N113" s="1211"/>
      <c r="O113" s="1211"/>
      <c r="P113" s="1211"/>
      <c r="Q113" s="1211"/>
      <c r="R113" s="1211"/>
      <c r="S113" s="1211"/>
      <c r="T113" s="1211"/>
      <c r="U113" s="1211">
        <f t="shared" si="36"/>
        <v>0</v>
      </c>
      <c r="V113" s="1211"/>
      <c r="W113" s="1211">
        <f t="shared" si="37"/>
        <v>0</v>
      </c>
      <c r="X113" s="1286"/>
    </row>
    <row r="114" spans="1:24" s="733" customFormat="1" ht="25.5" x14ac:dyDescent="0.25">
      <c r="A114" s="1172" t="s">
        <v>711</v>
      </c>
      <c r="B114" s="1197" t="s">
        <v>1767</v>
      </c>
      <c r="C114" s="1211"/>
      <c r="D114" s="1211"/>
      <c r="E114" s="1211"/>
      <c r="F114" s="1310">
        <f>G114+H114</f>
        <v>800</v>
      </c>
      <c r="G114" s="1310"/>
      <c r="H114" s="1310">
        <f>340+460</f>
        <v>800</v>
      </c>
      <c r="I114" s="1211">
        <f>J114+K114</f>
        <v>520</v>
      </c>
      <c r="J114" s="1211"/>
      <c r="K114" s="1211">
        <f>180+340</f>
        <v>520</v>
      </c>
      <c r="L114" s="1310"/>
      <c r="M114" s="1211"/>
      <c r="N114" s="1211">
        <f>O114+S114+R114</f>
        <v>0</v>
      </c>
      <c r="O114" s="1211">
        <f>P114+Q114</f>
        <v>0</v>
      </c>
      <c r="P114" s="1211"/>
      <c r="Q114" s="1211"/>
      <c r="R114" s="1211"/>
      <c r="S114" s="1211">
        <f>D114-J114</f>
        <v>0</v>
      </c>
      <c r="T114" s="1211">
        <v>80</v>
      </c>
      <c r="U114" s="1211">
        <f t="shared" si="36"/>
        <v>200</v>
      </c>
      <c r="V114" s="1211"/>
      <c r="W114" s="1211">
        <f t="shared" si="37"/>
        <v>200</v>
      </c>
      <c r="X114" s="1286"/>
    </row>
    <row r="115" spans="1:24" s="733" customFormat="1" ht="25.5" x14ac:dyDescent="0.25">
      <c r="A115" s="1172" t="s">
        <v>711</v>
      </c>
      <c r="B115" s="1197" t="s">
        <v>1763</v>
      </c>
      <c r="C115" s="1211"/>
      <c r="D115" s="1211"/>
      <c r="E115" s="1211"/>
      <c r="F115" s="1310">
        <f>H115</f>
        <v>56</v>
      </c>
      <c r="G115" s="1310"/>
      <c r="H115" s="1310">
        <v>56</v>
      </c>
      <c r="I115" s="1211">
        <f>K115</f>
        <v>56</v>
      </c>
      <c r="J115" s="1211"/>
      <c r="K115" s="1211">
        <v>56</v>
      </c>
      <c r="L115" s="1310"/>
      <c r="M115" s="1211"/>
      <c r="N115" s="1211"/>
      <c r="O115" s="1211"/>
      <c r="P115" s="1211"/>
      <c r="Q115" s="1211"/>
      <c r="R115" s="1211"/>
      <c r="S115" s="1211"/>
      <c r="T115" s="1211"/>
      <c r="U115" s="1211">
        <f t="shared" si="36"/>
        <v>0</v>
      </c>
      <c r="V115" s="1211">
        <f>F115-I115</f>
        <v>0</v>
      </c>
      <c r="W115" s="1211">
        <f t="shared" si="37"/>
        <v>0</v>
      </c>
      <c r="X115" s="1286"/>
    </row>
    <row r="116" spans="1:24" s="733" customFormat="1" ht="12.75" x14ac:dyDescent="0.25">
      <c r="A116" s="1172"/>
      <c r="B116" s="1197" t="s">
        <v>2468</v>
      </c>
      <c r="C116" s="1211"/>
      <c r="D116" s="1211"/>
      <c r="E116" s="1211"/>
      <c r="F116" s="1310">
        <f>G116+H116</f>
        <v>123.930671</v>
      </c>
      <c r="G116" s="1310"/>
      <c r="H116" s="1310">
        <v>123.930671</v>
      </c>
      <c r="I116" s="1211">
        <f t="shared" si="34"/>
        <v>123.930671</v>
      </c>
      <c r="J116" s="1211"/>
      <c r="K116" s="1211">
        <v>123.930671</v>
      </c>
      <c r="L116" s="1310"/>
      <c r="M116" s="1211"/>
      <c r="N116" s="1211"/>
      <c r="O116" s="1211"/>
      <c r="P116" s="1211"/>
      <c r="Q116" s="1211"/>
      <c r="R116" s="1211"/>
      <c r="S116" s="1211"/>
      <c r="T116" s="1211"/>
      <c r="U116" s="1211">
        <f t="shared" si="36"/>
        <v>0</v>
      </c>
      <c r="V116" s="1211"/>
      <c r="W116" s="1211">
        <f t="shared" si="37"/>
        <v>0</v>
      </c>
      <c r="X116" s="1286"/>
    </row>
    <row r="117" spans="1:24" s="733" customFormat="1" ht="12.75" x14ac:dyDescent="0.25">
      <c r="A117" s="1172"/>
      <c r="B117" s="1197" t="s">
        <v>2469</v>
      </c>
      <c r="C117" s="1211"/>
      <c r="D117" s="1211"/>
      <c r="E117" s="1211"/>
      <c r="F117" s="1310">
        <f>G117+H117</f>
        <v>1334.8610000000001</v>
      </c>
      <c r="G117" s="1310"/>
      <c r="H117" s="1310">
        <v>1334.8610000000001</v>
      </c>
      <c r="I117" s="1211">
        <f t="shared" si="34"/>
        <v>1334.8610000000001</v>
      </c>
      <c r="J117" s="1211"/>
      <c r="K117" s="1211">
        <v>1334.8610000000001</v>
      </c>
      <c r="L117" s="1310"/>
      <c r="M117" s="1211"/>
      <c r="N117" s="1211"/>
      <c r="O117" s="1211"/>
      <c r="P117" s="1211"/>
      <c r="Q117" s="1211"/>
      <c r="R117" s="1211"/>
      <c r="S117" s="1211"/>
      <c r="T117" s="1211"/>
      <c r="U117" s="1211">
        <f t="shared" si="36"/>
        <v>0</v>
      </c>
      <c r="V117" s="1211"/>
      <c r="W117" s="1211">
        <f t="shared" si="37"/>
        <v>0</v>
      </c>
      <c r="X117" s="1286"/>
    </row>
    <row r="118" spans="1:24" s="1289" customFormat="1" ht="25.5" x14ac:dyDescent="0.25">
      <c r="A118" s="1174" t="s">
        <v>873</v>
      </c>
      <c r="B118" s="1311" t="s">
        <v>2345</v>
      </c>
      <c r="C118" s="1170">
        <f>SUM(C119:C136)</f>
        <v>0</v>
      </c>
      <c r="D118" s="1170">
        <f>SUM(D119:D136)</f>
        <v>0</v>
      </c>
      <c r="E118" s="1170">
        <f>SUM(E119:E136)</f>
        <v>0</v>
      </c>
      <c r="F118" s="1312">
        <f>SUM(F119:F136)</f>
        <v>4511.2293220000001</v>
      </c>
      <c r="G118" s="1312">
        <f t="shared" ref="G118:V118" si="38">SUM(G119:G136)</f>
        <v>0</v>
      </c>
      <c r="H118" s="1312">
        <f t="shared" si="38"/>
        <v>4511.2293220000001</v>
      </c>
      <c r="I118" s="1170">
        <f t="shared" si="38"/>
        <v>4140.0568990000002</v>
      </c>
      <c r="J118" s="1170">
        <f t="shared" si="38"/>
        <v>0</v>
      </c>
      <c r="K118" s="1170">
        <f t="shared" si="38"/>
        <v>4140.0568990000002</v>
      </c>
      <c r="L118" s="1312">
        <f t="shared" si="38"/>
        <v>0</v>
      </c>
      <c r="M118" s="1170">
        <f t="shared" si="38"/>
        <v>0</v>
      </c>
      <c r="N118" s="1170">
        <f t="shared" si="38"/>
        <v>0</v>
      </c>
      <c r="O118" s="1170">
        <f t="shared" si="38"/>
        <v>0</v>
      </c>
      <c r="P118" s="1170">
        <f t="shared" si="38"/>
        <v>0</v>
      </c>
      <c r="Q118" s="1170">
        <f t="shared" si="38"/>
        <v>0</v>
      </c>
      <c r="R118" s="1170">
        <f t="shared" si="38"/>
        <v>0</v>
      </c>
      <c r="S118" s="1170">
        <f t="shared" si="38"/>
        <v>0</v>
      </c>
      <c r="T118" s="1170">
        <f t="shared" si="38"/>
        <v>30.475999999999999</v>
      </c>
      <c r="U118" s="1170">
        <f t="shared" si="38"/>
        <v>340.69642299999987</v>
      </c>
      <c r="V118" s="1170">
        <f t="shared" si="38"/>
        <v>0</v>
      </c>
      <c r="W118" s="1170">
        <f>SUM(W119:W136)</f>
        <v>340.69642299999987</v>
      </c>
      <c r="X118" s="1288"/>
    </row>
    <row r="119" spans="1:24" s="733" customFormat="1" ht="12.75" x14ac:dyDescent="0.25">
      <c r="A119" s="1172" t="s">
        <v>711</v>
      </c>
      <c r="B119" s="1197" t="s">
        <v>2346</v>
      </c>
      <c r="C119" s="1211"/>
      <c r="D119" s="1211"/>
      <c r="E119" s="1211"/>
      <c r="F119" s="1310">
        <f>H119</f>
        <v>45</v>
      </c>
      <c r="G119" s="1310"/>
      <c r="H119" s="1310">
        <v>45</v>
      </c>
      <c r="I119" s="1211">
        <f>K119</f>
        <v>44.749000000000002</v>
      </c>
      <c r="J119" s="1211"/>
      <c r="K119" s="1211">
        <v>44.749000000000002</v>
      </c>
      <c r="L119" s="1310"/>
      <c r="M119" s="1211"/>
      <c r="N119" s="1211"/>
      <c r="O119" s="1211"/>
      <c r="P119" s="1211"/>
      <c r="Q119" s="1211"/>
      <c r="R119" s="1211"/>
      <c r="S119" s="1211"/>
      <c r="T119" s="1211"/>
      <c r="U119" s="1211">
        <f>H119-K119-T119</f>
        <v>0.25099999999999767</v>
      </c>
      <c r="V119" s="1211"/>
      <c r="W119" s="1211">
        <f>U119-V119</f>
        <v>0.25099999999999767</v>
      </c>
      <c r="X119" s="1286"/>
    </row>
    <row r="120" spans="1:24" s="733" customFormat="1" ht="12.75" x14ac:dyDescent="0.25">
      <c r="A120" s="1172" t="s">
        <v>711</v>
      </c>
      <c r="B120" s="1313" t="s">
        <v>2347</v>
      </c>
      <c r="C120" s="1211"/>
      <c r="D120" s="1211"/>
      <c r="E120" s="1211"/>
      <c r="F120" s="1310">
        <f>H120</f>
        <v>2.7</v>
      </c>
      <c r="G120" s="1310"/>
      <c r="H120" s="1310">
        <v>2.7</v>
      </c>
      <c r="I120" s="1211">
        <f>K120</f>
        <v>2.66751</v>
      </c>
      <c r="J120" s="1211"/>
      <c r="K120" s="1211">
        <v>2.66751</v>
      </c>
      <c r="L120" s="1310"/>
      <c r="M120" s="1211"/>
      <c r="N120" s="1211"/>
      <c r="O120" s="1211"/>
      <c r="P120" s="1211"/>
      <c r="Q120" s="1211"/>
      <c r="R120" s="1211"/>
      <c r="S120" s="1211"/>
      <c r="T120" s="1211"/>
      <c r="U120" s="1211">
        <f t="shared" ref="U120:U135" si="39">H120-K120-T120</f>
        <v>3.249000000000013E-2</v>
      </c>
      <c r="V120" s="1211"/>
      <c r="W120" s="1211">
        <f t="shared" ref="W120:W135" si="40">U120-V120</f>
        <v>3.249000000000013E-2</v>
      </c>
      <c r="X120" s="1286"/>
    </row>
    <row r="121" spans="1:24" s="733" customFormat="1" ht="12.75" x14ac:dyDescent="0.25">
      <c r="A121" s="1172"/>
      <c r="B121" s="1313" t="s">
        <v>2470</v>
      </c>
      <c r="C121" s="1211"/>
      <c r="D121" s="1211"/>
      <c r="E121" s="1211"/>
      <c r="F121" s="1310">
        <f>H121</f>
        <v>350</v>
      </c>
      <c r="G121" s="1310"/>
      <c r="H121" s="1310">
        <v>350</v>
      </c>
      <c r="I121" s="1211">
        <f>K121</f>
        <v>336.66500000000002</v>
      </c>
      <c r="J121" s="1211"/>
      <c r="K121" s="1211">
        <v>336.66500000000002</v>
      </c>
      <c r="L121" s="1310"/>
      <c r="M121" s="1211"/>
      <c r="N121" s="1211"/>
      <c r="O121" s="1211"/>
      <c r="P121" s="1211"/>
      <c r="Q121" s="1211"/>
      <c r="R121" s="1211"/>
      <c r="S121" s="1211"/>
      <c r="T121" s="1211"/>
      <c r="U121" s="1211">
        <f t="shared" si="39"/>
        <v>13.33499999999998</v>
      </c>
      <c r="V121" s="1211"/>
      <c r="W121" s="1211">
        <f t="shared" si="40"/>
        <v>13.33499999999998</v>
      </c>
      <c r="X121" s="1286"/>
    </row>
    <row r="122" spans="1:24" s="733" customFormat="1" ht="12.75" x14ac:dyDescent="0.25">
      <c r="A122" s="1172" t="s">
        <v>711</v>
      </c>
      <c r="B122" s="1313" t="s">
        <v>2348</v>
      </c>
      <c r="C122" s="1211"/>
      <c r="D122" s="1211"/>
      <c r="E122" s="1211"/>
      <c r="F122" s="1310">
        <f t="shared" ref="F122:F136" si="41">H122</f>
        <v>100</v>
      </c>
      <c r="G122" s="1310"/>
      <c r="H122" s="1310">
        <v>100</v>
      </c>
      <c r="I122" s="1211">
        <f>K122</f>
        <v>74.070400000000006</v>
      </c>
      <c r="J122" s="1211"/>
      <c r="K122" s="1211">
        <v>74.070400000000006</v>
      </c>
      <c r="L122" s="1310"/>
      <c r="M122" s="1211"/>
      <c r="N122" s="1211">
        <f>O122+S122+R122</f>
        <v>0</v>
      </c>
      <c r="O122" s="1211">
        <f>P122+Q122</f>
        <v>0</v>
      </c>
      <c r="P122" s="1211"/>
      <c r="Q122" s="1211"/>
      <c r="R122" s="1211"/>
      <c r="S122" s="1211">
        <f>D122-J122</f>
        <v>0</v>
      </c>
      <c r="T122" s="1211"/>
      <c r="U122" s="1211">
        <f t="shared" si="39"/>
        <v>25.929599999999994</v>
      </c>
      <c r="V122" s="1211"/>
      <c r="W122" s="1211">
        <f t="shared" si="40"/>
        <v>25.929599999999994</v>
      </c>
      <c r="X122" s="1286"/>
    </row>
    <row r="123" spans="1:24" s="733" customFormat="1" ht="12.75" x14ac:dyDescent="0.25">
      <c r="A123" s="1172" t="s">
        <v>711</v>
      </c>
      <c r="B123" s="1313" t="s">
        <v>2349</v>
      </c>
      <c r="C123" s="1211"/>
      <c r="D123" s="1211"/>
      <c r="E123" s="1211"/>
      <c r="F123" s="1310">
        <f t="shared" si="41"/>
        <v>540.26199999999994</v>
      </c>
      <c r="G123" s="1310"/>
      <c r="H123" s="1310">
        <v>540.26199999999994</v>
      </c>
      <c r="I123" s="1211">
        <f t="shared" ref="I123:I136" si="42">K123</f>
        <v>470.13627000000002</v>
      </c>
      <c r="J123" s="1211"/>
      <c r="K123" s="1211">
        <v>470.13627000000002</v>
      </c>
      <c r="L123" s="1310"/>
      <c r="M123" s="1211"/>
      <c r="N123" s="1211"/>
      <c r="O123" s="1211"/>
      <c r="P123" s="1211"/>
      <c r="Q123" s="1211"/>
      <c r="R123" s="1211"/>
      <c r="S123" s="1211"/>
      <c r="T123" s="1211"/>
      <c r="U123" s="1211">
        <f t="shared" si="39"/>
        <v>70.125729999999919</v>
      </c>
      <c r="V123" s="1211"/>
      <c r="W123" s="1211">
        <f t="shared" si="40"/>
        <v>70.125729999999919</v>
      </c>
      <c r="X123" s="1286"/>
    </row>
    <row r="124" spans="1:24" s="733" customFormat="1" ht="12.75" x14ac:dyDescent="0.25">
      <c r="A124" s="1172" t="s">
        <v>711</v>
      </c>
      <c r="B124" s="1197" t="s">
        <v>2342</v>
      </c>
      <c r="C124" s="1211"/>
      <c r="D124" s="1211"/>
      <c r="E124" s="1211"/>
      <c r="F124" s="1310">
        <f t="shared" si="41"/>
        <v>627.02</v>
      </c>
      <c r="G124" s="1310"/>
      <c r="H124" s="1310">
        <v>627.02</v>
      </c>
      <c r="I124" s="1211">
        <f t="shared" si="42"/>
        <v>614.20607700000005</v>
      </c>
      <c r="J124" s="1211"/>
      <c r="K124" s="1211">
        <v>614.20607700000005</v>
      </c>
      <c r="L124" s="1310"/>
      <c r="M124" s="1211"/>
      <c r="N124" s="1211"/>
      <c r="O124" s="1211"/>
      <c r="P124" s="1211"/>
      <c r="Q124" s="1211"/>
      <c r="R124" s="1211"/>
      <c r="S124" s="1211"/>
      <c r="T124" s="1211"/>
      <c r="U124" s="1211">
        <f t="shared" si="39"/>
        <v>12.813922999999932</v>
      </c>
      <c r="V124" s="1211"/>
      <c r="W124" s="1211">
        <f t="shared" si="40"/>
        <v>12.813922999999932</v>
      </c>
      <c r="X124" s="1286"/>
    </row>
    <row r="125" spans="1:24" s="733" customFormat="1" ht="12.75" x14ac:dyDescent="0.25">
      <c r="A125" s="1172" t="s">
        <v>711</v>
      </c>
      <c r="B125" s="1313" t="s">
        <v>2471</v>
      </c>
      <c r="C125" s="1211"/>
      <c r="D125" s="1211"/>
      <c r="E125" s="1211"/>
      <c r="F125" s="1310">
        <f t="shared" si="41"/>
        <v>180</v>
      </c>
      <c r="G125" s="1310"/>
      <c r="H125" s="1310">
        <f>180</f>
        <v>180</v>
      </c>
      <c r="I125" s="1211">
        <f t="shared" si="42"/>
        <v>178.87074899999999</v>
      </c>
      <c r="J125" s="1211"/>
      <c r="K125" s="1211">
        <v>178.87074899999999</v>
      </c>
      <c r="L125" s="1310"/>
      <c r="M125" s="1211"/>
      <c r="N125" s="1211"/>
      <c r="O125" s="1211"/>
      <c r="P125" s="1211"/>
      <c r="Q125" s="1211"/>
      <c r="R125" s="1211"/>
      <c r="S125" s="1211"/>
      <c r="T125" s="1211"/>
      <c r="U125" s="1211">
        <f t="shared" si="39"/>
        <v>1.1292510000000107</v>
      </c>
      <c r="V125" s="1211"/>
      <c r="W125" s="1211">
        <f t="shared" si="40"/>
        <v>1.1292510000000107</v>
      </c>
      <c r="X125" s="1286"/>
    </row>
    <row r="126" spans="1:24" s="733" customFormat="1" ht="25.5" x14ac:dyDescent="0.25">
      <c r="A126" s="1172" t="s">
        <v>711</v>
      </c>
      <c r="B126" s="1173" t="s">
        <v>2344</v>
      </c>
      <c r="C126" s="1211"/>
      <c r="D126" s="1211"/>
      <c r="E126" s="1211"/>
      <c r="F126" s="1310">
        <f t="shared" si="41"/>
        <v>200</v>
      </c>
      <c r="G126" s="1310"/>
      <c r="H126" s="1310">
        <v>200</v>
      </c>
      <c r="I126" s="1211">
        <f t="shared" si="42"/>
        <v>192.68219099999999</v>
      </c>
      <c r="J126" s="1211"/>
      <c r="K126" s="1211">
        <v>192.68219099999999</v>
      </c>
      <c r="L126" s="1310"/>
      <c r="M126" s="1211"/>
      <c r="N126" s="1211"/>
      <c r="O126" s="1211"/>
      <c r="P126" s="1211"/>
      <c r="Q126" s="1211"/>
      <c r="R126" s="1211"/>
      <c r="S126" s="1211"/>
      <c r="T126" s="1211"/>
      <c r="U126" s="1211">
        <f t="shared" si="39"/>
        <v>7.3178090000000111</v>
      </c>
      <c r="V126" s="1211"/>
      <c r="W126" s="1211">
        <f t="shared" si="40"/>
        <v>7.3178090000000111</v>
      </c>
      <c r="X126" s="1286"/>
    </row>
    <row r="127" spans="1:24" s="733" customFormat="1" ht="25.5" x14ac:dyDescent="0.25">
      <c r="A127" s="1172"/>
      <c r="B127" s="1173" t="s">
        <v>2472</v>
      </c>
      <c r="C127" s="1211"/>
      <c r="D127" s="1211"/>
      <c r="E127" s="1211"/>
      <c r="F127" s="1310">
        <f t="shared" si="41"/>
        <v>295.31889999999999</v>
      </c>
      <c r="G127" s="1310"/>
      <c r="H127" s="1310">
        <v>295.31889999999999</v>
      </c>
      <c r="I127" s="1211">
        <f t="shared" si="42"/>
        <v>285.301108</v>
      </c>
      <c r="J127" s="1211"/>
      <c r="K127" s="1211">
        <v>285.301108</v>
      </c>
      <c r="L127" s="1310"/>
      <c r="M127" s="1211"/>
      <c r="N127" s="1211"/>
      <c r="O127" s="1211"/>
      <c r="P127" s="1211"/>
      <c r="Q127" s="1211"/>
      <c r="R127" s="1211"/>
      <c r="S127" s="1211"/>
      <c r="T127" s="1211"/>
      <c r="U127" s="1211">
        <f t="shared" si="39"/>
        <v>10.017791999999986</v>
      </c>
      <c r="V127" s="1211"/>
      <c r="W127" s="1211">
        <f t="shared" si="40"/>
        <v>10.017791999999986</v>
      </c>
      <c r="X127" s="1286"/>
    </row>
    <row r="128" spans="1:24" s="733" customFormat="1" ht="12.75" x14ac:dyDescent="0.25">
      <c r="A128" s="1172" t="s">
        <v>711</v>
      </c>
      <c r="B128" s="1313" t="s">
        <v>2351</v>
      </c>
      <c r="C128" s="1211"/>
      <c r="D128" s="1211"/>
      <c r="E128" s="1211"/>
      <c r="F128" s="1310">
        <f t="shared" si="41"/>
        <v>60</v>
      </c>
      <c r="G128" s="1310"/>
      <c r="H128" s="1310">
        <v>60</v>
      </c>
      <c r="I128" s="1211">
        <f t="shared" si="42"/>
        <v>40</v>
      </c>
      <c r="J128" s="1211"/>
      <c r="K128" s="1211">
        <v>40</v>
      </c>
      <c r="L128" s="1310"/>
      <c r="M128" s="1211"/>
      <c r="N128" s="1211"/>
      <c r="O128" s="1211"/>
      <c r="P128" s="1211"/>
      <c r="Q128" s="1211"/>
      <c r="R128" s="1211"/>
      <c r="S128" s="1211"/>
      <c r="T128" s="1211"/>
      <c r="U128" s="1211">
        <f t="shared" si="39"/>
        <v>20</v>
      </c>
      <c r="V128" s="1211"/>
      <c r="W128" s="1211">
        <f t="shared" si="40"/>
        <v>20</v>
      </c>
      <c r="X128" s="1286"/>
    </row>
    <row r="129" spans="1:24" s="733" customFormat="1" ht="38.25" x14ac:dyDescent="0.25">
      <c r="A129" s="1172"/>
      <c r="B129" s="1313" t="s">
        <v>2473</v>
      </c>
      <c r="C129" s="1211"/>
      <c r="D129" s="1211"/>
      <c r="E129" s="1211"/>
      <c r="F129" s="1310">
        <f t="shared" si="41"/>
        <v>86.066999999999993</v>
      </c>
      <c r="G129" s="1310"/>
      <c r="H129" s="1310">
        <v>86.066999999999993</v>
      </c>
      <c r="I129" s="1211">
        <f t="shared" si="42"/>
        <v>86.066999999999993</v>
      </c>
      <c r="J129" s="1211"/>
      <c r="K129" s="1211">
        <v>86.066999999999993</v>
      </c>
      <c r="L129" s="1310"/>
      <c r="M129" s="1211"/>
      <c r="N129" s="1211"/>
      <c r="O129" s="1211"/>
      <c r="P129" s="1211"/>
      <c r="Q129" s="1211"/>
      <c r="R129" s="1211"/>
      <c r="S129" s="1211"/>
      <c r="T129" s="1211"/>
      <c r="U129" s="1211">
        <f t="shared" si="39"/>
        <v>0</v>
      </c>
      <c r="V129" s="1211"/>
      <c r="W129" s="1211">
        <f t="shared" si="40"/>
        <v>0</v>
      </c>
      <c r="X129" s="1286"/>
    </row>
    <row r="130" spans="1:24" s="733" customFormat="1" ht="25.5" x14ac:dyDescent="0.25">
      <c r="A130" s="1172" t="s">
        <v>711</v>
      </c>
      <c r="B130" s="1313" t="s">
        <v>2353</v>
      </c>
      <c r="C130" s="1211"/>
      <c r="D130" s="1211"/>
      <c r="E130" s="1211"/>
      <c r="F130" s="1310">
        <f t="shared" si="41"/>
        <v>15.46</v>
      </c>
      <c r="G130" s="1310"/>
      <c r="H130" s="1310">
        <v>15.46</v>
      </c>
      <c r="I130" s="1211">
        <f t="shared" si="42"/>
        <v>0</v>
      </c>
      <c r="J130" s="1211"/>
      <c r="K130" s="1211">
        <v>0</v>
      </c>
      <c r="L130" s="1310"/>
      <c r="M130" s="1211"/>
      <c r="N130" s="1211"/>
      <c r="O130" s="1211"/>
      <c r="P130" s="1211"/>
      <c r="Q130" s="1211"/>
      <c r="R130" s="1211"/>
      <c r="S130" s="1211"/>
      <c r="T130" s="1211"/>
      <c r="U130" s="1211">
        <f t="shared" si="39"/>
        <v>15.46</v>
      </c>
      <c r="V130" s="1211"/>
      <c r="W130" s="1211">
        <f t="shared" si="40"/>
        <v>15.46</v>
      </c>
      <c r="X130" s="1286"/>
    </row>
    <row r="131" spans="1:24" s="733" customFormat="1" ht="25.5" x14ac:dyDescent="0.25">
      <c r="A131" s="1172"/>
      <c r="B131" s="1313" t="s">
        <v>2474</v>
      </c>
      <c r="C131" s="1211"/>
      <c r="D131" s="1211"/>
      <c r="E131" s="1211"/>
      <c r="F131" s="1310">
        <v>128.93378300000001</v>
      </c>
      <c r="G131" s="1310"/>
      <c r="H131" s="1310">
        <v>128.93378300000001</v>
      </c>
      <c r="I131" s="1211">
        <f t="shared" si="42"/>
        <v>128.93378300000001</v>
      </c>
      <c r="J131" s="1211"/>
      <c r="K131" s="1211">
        <v>128.93378300000001</v>
      </c>
      <c r="L131" s="1310"/>
      <c r="M131" s="1211"/>
      <c r="N131" s="1211"/>
      <c r="O131" s="1211"/>
      <c r="P131" s="1211"/>
      <c r="Q131" s="1211"/>
      <c r="R131" s="1211"/>
      <c r="S131" s="1211"/>
      <c r="T131" s="1211"/>
      <c r="U131" s="1211">
        <f t="shared" si="39"/>
        <v>0</v>
      </c>
      <c r="V131" s="1211"/>
      <c r="W131" s="1211">
        <f t="shared" si="40"/>
        <v>0</v>
      </c>
      <c r="X131" s="1286"/>
    </row>
    <row r="132" spans="1:24" s="733" customFormat="1" ht="25.5" x14ac:dyDescent="0.25">
      <c r="A132" s="1172" t="s">
        <v>711</v>
      </c>
      <c r="B132" s="1313" t="s">
        <v>2475</v>
      </c>
      <c r="C132" s="1211"/>
      <c r="D132" s="1211"/>
      <c r="E132" s="1211"/>
      <c r="F132" s="1310">
        <f t="shared" si="41"/>
        <v>267.92779999999999</v>
      </c>
      <c r="G132" s="1310"/>
      <c r="H132" s="1310">
        <v>267.92779999999999</v>
      </c>
      <c r="I132" s="1211">
        <f t="shared" si="42"/>
        <v>242.24907099999999</v>
      </c>
      <c r="J132" s="1211"/>
      <c r="K132" s="1211">
        <v>242.24907099999999</v>
      </c>
      <c r="L132" s="1310"/>
      <c r="M132" s="1211"/>
      <c r="N132" s="1211"/>
      <c r="O132" s="1211"/>
      <c r="P132" s="1211"/>
      <c r="Q132" s="1211"/>
      <c r="R132" s="1211"/>
      <c r="S132" s="1211"/>
      <c r="T132" s="1211"/>
      <c r="U132" s="1211">
        <f t="shared" si="39"/>
        <v>25.678729000000004</v>
      </c>
      <c r="V132" s="1211"/>
      <c r="W132" s="1211">
        <f t="shared" si="40"/>
        <v>25.678729000000004</v>
      </c>
      <c r="X132" s="1286"/>
    </row>
    <row r="133" spans="1:24" s="733" customFormat="1" ht="25.5" x14ac:dyDescent="0.25">
      <c r="A133" s="1172" t="s">
        <v>711</v>
      </c>
      <c r="B133" s="1313" t="s">
        <v>2476</v>
      </c>
      <c r="C133" s="1211"/>
      <c r="D133" s="1211"/>
      <c r="E133" s="1211"/>
      <c r="F133" s="1310">
        <f t="shared" si="41"/>
        <v>794.68483900000001</v>
      </c>
      <c r="G133" s="1310"/>
      <c r="H133" s="1310">
        <v>794.68483900000001</v>
      </c>
      <c r="I133" s="1211">
        <f t="shared" si="42"/>
        <v>767.94874000000004</v>
      </c>
      <c r="J133" s="1211"/>
      <c r="K133" s="1211">
        <v>767.94874000000004</v>
      </c>
      <c r="L133" s="1310"/>
      <c r="M133" s="1211"/>
      <c r="N133" s="1211"/>
      <c r="O133" s="1211"/>
      <c r="P133" s="1211"/>
      <c r="Q133" s="1211"/>
      <c r="R133" s="1211"/>
      <c r="S133" s="1211"/>
      <c r="T133" s="1211"/>
      <c r="U133" s="1211">
        <f t="shared" si="39"/>
        <v>26.736098999999967</v>
      </c>
      <c r="V133" s="1211"/>
      <c r="W133" s="1211">
        <f t="shared" si="40"/>
        <v>26.736098999999967</v>
      </c>
      <c r="X133" s="1286"/>
    </row>
    <row r="134" spans="1:24" s="733" customFormat="1" ht="38.25" x14ac:dyDescent="0.25">
      <c r="A134" s="1172"/>
      <c r="B134" s="1313" t="s">
        <v>2477</v>
      </c>
      <c r="C134" s="1211"/>
      <c r="D134" s="1211"/>
      <c r="E134" s="1211"/>
      <c r="F134" s="1310">
        <f t="shared" si="41"/>
        <v>31.369</v>
      </c>
      <c r="G134" s="1310"/>
      <c r="H134" s="1310">
        <v>31.369</v>
      </c>
      <c r="I134" s="1211">
        <f t="shared" si="42"/>
        <v>31.369</v>
      </c>
      <c r="J134" s="1211"/>
      <c r="K134" s="1211">
        <v>31.369</v>
      </c>
      <c r="L134" s="1310"/>
      <c r="M134" s="1211"/>
      <c r="N134" s="1211"/>
      <c r="O134" s="1211"/>
      <c r="P134" s="1211"/>
      <c r="Q134" s="1211"/>
      <c r="R134" s="1211"/>
      <c r="S134" s="1211"/>
      <c r="T134" s="1211"/>
      <c r="U134" s="1211">
        <f t="shared" si="39"/>
        <v>0</v>
      </c>
      <c r="V134" s="1211"/>
      <c r="W134" s="1211">
        <f t="shared" si="40"/>
        <v>0</v>
      </c>
      <c r="X134" s="1286"/>
    </row>
    <row r="135" spans="1:24" s="733" customFormat="1" ht="25.5" x14ac:dyDescent="0.25">
      <c r="A135" s="1172" t="s">
        <v>711</v>
      </c>
      <c r="B135" s="1313" t="s">
        <v>2357</v>
      </c>
      <c r="C135" s="1211"/>
      <c r="D135" s="1211"/>
      <c r="E135" s="1211"/>
      <c r="F135" s="1310">
        <f t="shared" si="41"/>
        <v>786.48599999999999</v>
      </c>
      <c r="G135" s="1310"/>
      <c r="H135" s="1310">
        <v>786.48599999999999</v>
      </c>
      <c r="I135" s="1211">
        <f t="shared" si="42"/>
        <v>644.14099999999996</v>
      </c>
      <c r="J135" s="1211"/>
      <c r="K135" s="1211">
        <v>644.14099999999996</v>
      </c>
      <c r="L135" s="1310"/>
      <c r="M135" s="1211"/>
      <c r="N135" s="1211"/>
      <c r="O135" s="1211"/>
      <c r="P135" s="1211"/>
      <c r="Q135" s="1211"/>
      <c r="R135" s="1211"/>
      <c r="S135" s="1211"/>
      <c r="T135" s="1211">
        <v>30.475999999999999</v>
      </c>
      <c r="U135" s="1211">
        <f t="shared" si="39"/>
        <v>111.86900000000003</v>
      </c>
      <c r="V135" s="1211"/>
      <c r="W135" s="1211">
        <f t="shared" si="40"/>
        <v>111.86900000000003</v>
      </c>
      <c r="X135" s="1286"/>
    </row>
    <row r="136" spans="1:24" s="733" customFormat="1" ht="12.75" hidden="1" x14ac:dyDescent="0.25">
      <c r="A136" s="1172"/>
      <c r="B136" s="1313"/>
      <c r="C136" s="1211"/>
      <c r="D136" s="1211"/>
      <c r="E136" s="1211"/>
      <c r="F136" s="1310">
        <f t="shared" si="41"/>
        <v>0</v>
      </c>
      <c r="G136" s="1310"/>
      <c r="H136" s="1310"/>
      <c r="I136" s="1211">
        <f t="shared" si="42"/>
        <v>0</v>
      </c>
      <c r="J136" s="1211"/>
      <c r="K136" s="1211"/>
      <c r="L136" s="1310"/>
      <c r="M136" s="1211"/>
      <c r="N136" s="1211"/>
      <c r="O136" s="1211"/>
      <c r="P136" s="1211"/>
      <c r="Q136" s="1211"/>
      <c r="R136" s="1211"/>
      <c r="S136" s="1211"/>
      <c r="T136" s="1211"/>
      <c r="U136" s="1211"/>
      <c r="V136" s="1211"/>
      <c r="W136" s="1211"/>
      <c r="X136" s="1286"/>
    </row>
    <row r="137" spans="1:24" s="733" customFormat="1" ht="12.75" hidden="1" x14ac:dyDescent="0.25">
      <c r="A137" s="1322"/>
      <c r="B137" s="1173"/>
      <c r="C137" s="1316"/>
      <c r="D137" s="1316"/>
      <c r="E137" s="1316"/>
      <c r="F137" s="1316"/>
      <c r="G137" s="1316"/>
      <c r="H137" s="1316"/>
      <c r="I137" s="1316"/>
      <c r="J137" s="1316"/>
      <c r="K137" s="1316"/>
      <c r="L137" s="1316"/>
      <c r="M137" s="1316"/>
      <c r="N137" s="1316"/>
      <c r="O137" s="1316"/>
      <c r="P137" s="1316"/>
      <c r="Q137" s="1316"/>
      <c r="R137" s="1316"/>
      <c r="S137" s="1316"/>
      <c r="T137" s="1316"/>
      <c r="U137" s="1316"/>
      <c r="V137" s="1316"/>
      <c r="W137" s="1316"/>
    </row>
    <row r="138" spans="1:24" s="733" customFormat="1" ht="25.5" x14ac:dyDescent="0.25">
      <c r="A138" s="1172" t="s">
        <v>711</v>
      </c>
      <c r="B138" s="1173" t="s">
        <v>2344</v>
      </c>
      <c r="C138" s="1211"/>
      <c r="D138" s="1211"/>
      <c r="E138" s="1211"/>
      <c r="F138" s="1310">
        <f>G138+H138</f>
        <v>1010</v>
      </c>
      <c r="G138" s="1310"/>
      <c r="H138" s="1310">
        <f>1010</f>
        <v>1010</v>
      </c>
      <c r="I138" s="1211">
        <f>J138+K138</f>
        <v>1008.269507</v>
      </c>
      <c r="J138" s="1211"/>
      <c r="K138" s="1211">
        <f>1008.269507</f>
        <v>1008.269507</v>
      </c>
      <c r="L138" s="1310"/>
      <c r="M138" s="1211"/>
      <c r="N138" s="1211"/>
      <c r="O138" s="1211"/>
      <c r="P138" s="1211"/>
      <c r="Q138" s="1211"/>
      <c r="R138" s="1211"/>
      <c r="S138" s="1211"/>
      <c r="T138" s="1211"/>
      <c r="U138" s="1211">
        <f>H138-K138-T138</f>
        <v>1.730493000000024</v>
      </c>
      <c r="V138" s="1211"/>
      <c r="W138" s="1211">
        <f>U138-V138</f>
        <v>1.730493000000024</v>
      </c>
      <c r="X138" s="1286"/>
    </row>
    <row r="139" spans="1:24" s="733" customFormat="1" ht="25.5" x14ac:dyDescent="0.25">
      <c r="A139" s="1172" t="s">
        <v>711</v>
      </c>
      <c r="B139" s="1197" t="s">
        <v>1767</v>
      </c>
      <c r="C139" s="1211"/>
      <c r="D139" s="1211"/>
      <c r="E139" s="1211"/>
      <c r="F139" s="1310">
        <f>G139+H139</f>
        <v>800</v>
      </c>
      <c r="G139" s="1310"/>
      <c r="H139" s="1310">
        <f>340+460</f>
        <v>800</v>
      </c>
      <c r="I139" s="1211">
        <f>J139+K139</f>
        <v>520</v>
      </c>
      <c r="J139" s="1211"/>
      <c r="K139" s="1211">
        <f>180+340</f>
        <v>520</v>
      </c>
      <c r="L139" s="1310"/>
      <c r="M139" s="1211"/>
      <c r="N139" s="1211">
        <f>O139+S139+R139</f>
        <v>0</v>
      </c>
      <c r="O139" s="1211">
        <f>P139+Q139</f>
        <v>0</v>
      </c>
      <c r="P139" s="1211"/>
      <c r="Q139" s="1211"/>
      <c r="R139" s="1211"/>
      <c r="S139" s="1211">
        <f>D139-J139</f>
        <v>0</v>
      </c>
      <c r="T139" s="1211">
        <v>80</v>
      </c>
      <c r="U139" s="1211">
        <f>H139-K139-T139</f>
        <v>200</v>
      </c>
      <c r="V139" s="1211"/>
      <c r="W139" s="1211">
        <f>U139-V139</f>
        <v>200</v>
      </c>
      <c r="X139" s="1286"/>
    </row>
    <row r="140" spans="1:24" s="733" customFormat="1" ht="25.5" x14ac:dyDescent="0.25">
      <c r="A140" s="1172" t="s">
        <v>711</v>
      </c>
      <c r="B140" s="1197" t="s">
        <v>1763</v>
      </c>
      <c r="C140" s="1211"/>
      <c r="D140" s="1211"/>
      <c r="E140" s="1211"/>
      <c r="F140" s="1310">
        <f>H140</f>
        <v>56</v>
      </c>
      <c r="G140" s="1310"/>
      <c r="H140" s="1310">
        <v>56</v>
      </c>
      <c r="I140" s="1211">
        <f>K140</f>
        <v>56</v>
      </c>
      <c r="J140" s="1211"/>
      <c r="K140" s="1211">
        <v>56</v>
      </c>
      <c r="L140" s="1310"/>
      <c r="M140" s="1211"/>
      <c r="N140" s="1211"/>
      <c r="O140" s="1211"/>
      <c r="P140" s="1211"/>
      <c r="Q140" s="1211"/>
      <c r="R140" s="1211"/>
      <c r="S140" s="1211"/>
      <c r="T140" s="1211"/>
      <c r="U140" s="1211">
        <f>H140-K140-T140</f>
        <v>0</v>
      </c>
      <c r="V140" s="1211">
        <f>F140-I140</f>
        <v>0</v>
      </c>
      <c r="W140" s="1211">
        <f>U140-V140</f>
        <v>0</v>
      </c>
      <c r="X140" s="1286"/>
    </row>
    <row r="141" spans="1:24" s="733" customFormat="1" ht="12.75" x14ac:dyDescent="0.25">
      <c r="A141" s="1172"/>
      <c r="B141" s="1197"/>
      <c r="C141" s="1211"/>
      <c r="D141" s="1211"/>
      <c r="E141" s="1211"/>
      <c r="F141" s="1310">
        <f>G141+H141</f>
        <v>0</v>
      </c>
      <c r="G141" s="1310"/>
      <c r="H141" s="1310"/>
      <c r="I141" s="1211">
        <f>K141</f>
        <v>0</v>
      </c>
      <c r="J141" s="1211"/>
      <c r="K141" s="1211"/>
      <c r="L141" s="1310"/>
      <c r="M141" s="1211"/>
      <c r="N141" s="1211"/>
      <c r="O141" s="1211"/>
      <c r="P141" s="1211"/>
      <c r="Q141" s="1211"/>
      <c r="R141" s="1211"/>
      <c r="S141" s="1211"/>
      <c r="T141" s="1211"/>
      <c r="U141" s="1211"/>
      <c r="V141" s="1211"/>
      <c r="W141" s="1211"/>
      <c r="X141" s="1286"/>
    </row>
    <row r="142" spans="1:24" s="1289" customFormat="1" ht="25.5" x14ac:dyDescent="0.25">
      <c r="A142" s="1174" t="s">
        <v>873</v>
      </c>
      <c r="B142" s="1311" t="s">
        <v>2345</v>
      </c>
      <c r="C142" s="1170">
        <f t="shared" ref="C142:W142" si="43">SUM(C143:C156)</f>
        <v>0</v>
      </c>
      <c r="D142" s="1170">
        <f t="shared" si="43"/>
        <v>0</v>
      </c>
      <c r="E142" s="1170">
        <f t="shared" si="43"/>
        <v>0</v>
      </c>
      <c r="F142" s="1312">
        <f t="shared" si="43"/>
        <v>3493.9163120000003</v>
      </c>
      <c r="G142" s="1312">
        <f t="shared" si="43"/>
        <v>0</v>
      </c>
      <c r="H142" s="1312">
        <f t="shared" si="43"/>
        <v>3493.9163120000003</v>
      </c>
      <c r="I142" s="1170">
        <f t="shared" si="43"/>
        <v>3114.9407200000001</v>
      </c>
      <c r="J142" s="1170">
        <f t="shared" si="43"/>
        <v>0</v>
      </c>
      <c r="K142" s="1170">
        <f t="shared" si="43"/>
        <v>3114.9407200000001</v>
      </c>
      <c r="L142" s="1312">
        <f t="shared" si="43"/>
        <v>0</v>
      </c>
      <c r="M142" s="1170">
        <f t="shared" si="43"/>
        <v>0</v>
      </c>
      <c r="N142" s="1170">
        <f t="shared" si="43"/>
        <v>0</v>
      </c>
      <c r="O142" s="1170">
        <f t="shared" si="43"/>
        <v>0</v>
      </c>
      <c r="P142" s="1170">
        <f t="shared" si="43"/>
        <v>0</v>
      </c>
      <c r="Q142" s="1170">
        <f t="shared" si="43"/>
        <v>0</v>
      </c>
      <c r="R142" s="1170">
        <f t="shared" si="43"/>
        <v>0</v>
      </c>
      <c r="S142" s="1170">
        <f t="shared" si="43"/>
        <v>0</v>
      </c>
      <c r="T142" s="1170">
        <f t="shared" si="43"/>
        <v>30.475999999999999</v>
      </c>
      <c r="U142" s="1170">
        <f t="shared" si="43"/>
        <v>348.49959199999989</v>
      </c>
      <c r="V142" s="1170">
        <f t="shared" si="43"/>
        <v>0</v>
      </c>
      <c r="W142" s="1170">
        <f t="shared" si="43"/>
        <v>348.49959199999989</v>
      </c>
      <c r="X142" s="1288"/>
    </row>
    <row r="143" spans="1:24" s="733" customFormat="1" ht="12.75" x14ac:dyDescent="0.25">
      <c r="A143" s="1172" t="s">
        <v>711</v>
      </c>
      <c r="B143" s="1197" t="s">
        <v>2346</v>
      </c>
      <c r="C143" s="1211"/>
      <c r="D143" s="1211"/>
      <c r="E143" s="1211"/>
      <c r="F143" s="1310">
        <f>H143</f>
        <v>45</v>
      </c>
      <c r="G143" s="1310"/>
      <c r="H143" s="1310">
        <v>45</v>
      </c>
      <c r="I143" s="1211">
        <f>K143</f>
        <v>44.749000000000002</v>
      </c>
      <c r="J143" s="1211"/>
      <c r="K143" s="1211">
        <v>44.749000000000002</v>
      </c>
      <c r="L143" s="1310"/>
      <c r="M143" s="1211"/>
      <c r="N143" s="1211"/>
      <c r="O143" s="1211"/>
      <c r="P143" s="1211"/>
      <c r="Q143" s="1211"/>
      <c r="R143" s="1211"/>
      <c r="S143" s="1211"/>
      <c r="T143" s="1211"/>
      <c r="U143" s="1211">
        <f>H143-K143-T143</f>
        <v>0.25099999999999767</v>
      </c>
      <c r="V143" s="1211"/>
      <c r="W143" s="1211">
        <f>U143-V143</f>
        <v>0.25099999999999767</v>
      </c>
      <c r="X143" s="1286"/>
    </row>
    <row r="144" spans="1:24" s="733" customFormat="1" ht="12.75" x14ac:dyDescent="0.25">
      <c r="A144" s="1172" t="s">
        <v>711</v>
      </c>
      <c r="B144" s="1313" t="s">
        <v>2347</v>
      </c>
      <c r="C144" s="1211"/>
      <c r="D144" s="1211"/>
      <c r="E144" s="1211"/>
      <c r="F144" s="1310">
        <f>H144</f>
        <v>2.7</v>
      </c>
      <c r="G144" s="1310"/>
      <c r="H144" s="1310">
        <v>2.7</v>
      </c>
      <c r="I144" s="1211">
        <f>K144</f>
        <v>2.66751</v>
      </c>
      <c r="J144" s="1211"/>
      <c r="K144" s="1211">
        <v>2.66751</v>
      </c>
      <c r="L144" s="1310"/>
      <c r="M144" s="1211"/>
      <c r="N144" s="1211"/>
      <c r="O144" s="1211"/>
      <c r="P144" s="1211"/>
      <c r="Q144" s="1211"/>
      <c r="R144" s="1211"/>
      <c r="S144" s="1211"/>
      <c r="T144" s="1211"/>
      <c r="U144" s="1211">
        <f t="shared" ref="U144:U156" si="44">H144-K144-T144</f>
        <v>3.249000000000013E-2</v>
      </c>
      <c r="V144" s="1211"/>
      <c r="W144" s="1211">
        <f t="shared" ref="W144:W156" si="45">U144-V144</f>
        <v>3.249000000000013E-2</v>
      </c>
      <c r="X144" s="1286"/>
    </row>
    <row r="145" spans="1:24" s="733" customFormat="1" ht="12.75" x14ac:dyDescent="0.25">
      <c r="A145" s="1172" t="s">
        <v>711</v>
      </c>
      <c r="B145" s="1313" t="s">
        <v>2348</v>
      </c>
      <c r="C145" s="1211"/>
      <c r="D145" s="1211"/>
      <c r="E145" s="1211"/>
      <c r="F145" s="1310">
        <f t="shared" ref="F145:F156" si="46">H145</f>
        <v>100</v>
      </c>
      <c r="G145" s="1310"/>
      <c r="H145" s="1310">
        <v>100</v>
      </c>
      <c r="I145" s="1211">
        <f>K145</f>
        <v>74.070400000000006</v>
      </c>
      <c r="J145" s="1211"/>
      <c r="K145" s="1211">
        <v>74.070400000000006</v>
      </c>
      <c r="L145" s="1310"/>
      <c r="M145" s="1211"/>
      <c r="N145" s="1211">
        <f>O145+S145+R145</f>
        <v>0</v>
      </c>
      <c r="O145" s="1211">
        <f>P145+Q145</f>
        <v>0</v>
      </c>
      <c r="P145" s="1211"/>
      <c r="Q145" s="1211"/>
      <c r="R145" s="1211"/>
      <c r="S145" s="1211">
        <f>D145-J145</f>
        <v>0</v>
      </c>
      <c r="T145" s="1211"/>
      <c r="U145" s="1211">
        <f t="shared" si="44"/>
        <v>25.929599999999994</v>
      </c>
      <c r="V145" s="1211"/>
      <c r="W145" s="1211">
        <f t="shared" si="45"/>
        <v>25.929599999999994</v>
      </c>
      <c r="X145" s="1286"/>
    </row>
    <row r="146" spans="1:24" s="733" customFormat="1" ht="12.75" x14ac:dyDescent="0.25">
      <c r="A146" s="1172" t="s">
        <v>711</v>
      </c>
      <c r="B146" s="1313" t="s">
        <v>2349</v>
      </c>
      <c r="C146" s="1211"/>
      <c r="D146" s="1211"/>
      <c r="E146" s="1211"/>
      <c r="F146" s="1310">
        <f t="shared" si="46"/>
        <v>540.26199999999994</v>
      </c>
      <c r="G146" s="1310"/>
      <c r="H146" s="1310">
        <v>540.26199999999994</v>
      </c>
      <c r="I146" s="1211">
        <f t="shared" ref="I146:I156" si="47">K146</f>
        <v>470.13627000000002</v>
      </c>
      <c r="J146" s="1211"/>
      <c r="K146" s="1211">
        <v>470.13627000000002</v>
      </c>
      <c r="L146" s="1310"/>
      <c r="M146" s="1211"/>
      <c r="N146" s="1211"/>
      <c r="O146" s="1211"/>
      <c r="P146" s="1211"/>
      <c r="Q146" s="1211"/>
      <c r="R146" s="1211"/>
      <c r="S146" s="1211"/>
      <c r="T146" s="1211"/>
      <c r="U146" s="1211">
        <f t="shared" si="44"/>
        <v>70.125729999999919</v>
      </c>
      <c r="V146" s="1211"/>
      <c r="W146" s="1211">
        <f t="shared" si="45"/>
        <v>70.125729999999919</v>
      </c>
      <c r="X146" s="1286"/>
    </row>
    <row r="147" spans="1:24" s="733" customFormat="1" ht="12.75" x14ac:dyDescent="0.25">
      <c r="A147" s="1172" t="s">
        <v>711</v>
      </c>
      <c r="B147" s="1197" t="s">
        <v>2342</v>
      </c>
      <c r="C147" s="1211"/>
      <c r="D147" s="1211"/>
      <c r="E147" s="1211"/>
      <c r="F147" s="1310">
        <f t="shared" si="46"/>
        <v>707.06499999999994</v>
      </c>
      <c r="G147" s="1310"/>
      <c r="H147" s="1310">
        <f>686.045+21.02</f>
        <v>707.06499999999994</v>
      </c>
      <c r="I147" s="1211">
        <f t="shared" si="47"/>
        <v>639.09601299999997</v>
      </c>
      <c r="J147" s="1211"/>
      <c r="K147" s="1211">
        <v>639.09601299999997</v>
      </c>
      <c r="L147" s="1310"/>
      <c r="M147" s="1211"/>
      <c r="N147" s="1211"/>
      <c r="O147" s="1211"/>
      <c r="P147" s="1211"/>
      <c r="Q147" s="1211"/>
      <c r="R147" s="1211"/>
      <c r="S147" s="1211"/>
      <c r="T147" s="1211"/>
      <c r="U147" s="1211">
        <f t="shared" si="44"/>
        <v>67.96898699999997</v>
      </c>
      <c r="V147" s="1211"/>
      <c r="W147" s="1211">
        <f t="shared" si="45"/>
        <v>67.96898699999997</v>
      </c>
      <c r="X147" s="1286"/>
    </row>
    <row r="148" spans="1:24" s="733" customFormat="1" ht="25.5" x14ac:dyDescent="0.25">
      <c r="A148" s="1172" t="s">
        <v>711</v>
      </c>
      <c r="B148" s="1313" t="s">
        <v>2350</v>
      </c>
      <c r="C148" s="1211"/>
      <c r="D148" s="1211"/>
      <c r="E148" s="1211"/>
      <c r="F148" s="1310">
        <f t="shared" si="46"/>
        <v>475.31889999999999</v>
      </c>
      <c r="G148" s="1310"/>
      <c r="H148" s="1310">
        <v>475.31889999999999</v>
      </c>
      <c r="I148" s="1211">
        <f t="shared" si="47"/>
        <v>464.17185699999999</v>
      </c>
      <c r="J148" s="1211"/>
      <c r="K148" s="1211">
        <v>464.17185699999999</v>
      </c>
      <c r="L148" s="1310"/>
      <c r="M148" s="1211"/>
      <c r="N148" s="1211"/>
      <c r="O148" s="1211"/>
      <c r="P148" s="1211"/>
      <c r="Q148" s="1211"/>
      <c r="R148" s="1211"/>
      <c r="S148" s="1211"/>
      <c r="T148" s="1211"/>
      <c r="U148" s="1211">
        <f t="shared" si="44"/>
        <v>11.147042999999996</v>
      </c>
      <c r="V148" s="1211"/>
      <c r="W148" s="1211">
        <f t="shared" si="45"/>
        <v>11.147042999999996</v>
      </c>
      <c r="X148" s="1286"/>
    </row>
    <row r="149" spans="1:24" s="733" customFormat="1" ht="25.5" x14ac:dyDescent="0.25">
      <c r="A149" s="1172" t="s">
        <v>711</v>
      </c>
      <c r="B149" s="1173" t="s">
        <v>2344</v>
      </c>
      <c r="C149" s="1211"/>
      <c r="D149" s="1211"/>
      <c r="E149" s="1211"/>
      <c r="F149" s="1310">
        <f t="shared" si="46"/>
        <v>502.341138</v>
      </c>
      <c r="G149" s="1310"/>
      <c r="H149" s="1310">
        <v>502.341138</v>
      </c>
      <c r="I149" s="1211">
        <f t="shared" si="47"/>
        <v>492.56024200000002</v>
      </c>
      <c r="J149" s="1211"/>
      <c r="K149" s="1211">
        <v>492.56024200000002</v>
      </c>
      <c r="L149" s="1310"/>
      <c r="M149" s="1211"/>
      <c r="N149" s="1211"/>
      <c r="O149" s="1211"/>
      <c r="P149" s="1211"/>
      <c r="Q149" s="1211"/>
      <c r="R149" s="1211"/>
      <c r="S149" s="1211"/>
      <c r="T149" s="1211"/>
      <c r="U149" s="1211">
        <f t="shared" si="44"/>
        <v>9.7808959999999843</v>
      </c>
      <c r="V149" s="1211"/>
      <c r="W149" s="1211">
        <f t="shared" si="45"/>
        <v>9.7808959999999843</v>
      </c>
      <c r="X149" s="1286"/>
    </row>
    <row r="150" spans="1:24" s="733" customFormat="1" ht="12.75" x14ac:dyDescent="0.25">
      <c r="A150" s="1172" t="s">
        <v>711</v>
      </c>
      <c r="B150" s="1313" t="s">
        <v>2351</v>
      </c>
      <c r="C150" s="1211"/>
      <c r="D150" s="1211"/>
      <c r="E150" s="1211"/>
      <c r="F150" s="1310">
        <f t="shared" si="46"/>
        <v>60</v>
      </c>
      <c r="G150" s="1310"/>
      <c r="H150" s="1310">
        <v>60</v>
      </c>
      <c r="I150" s="1211">
        <f t="shared" si="47"/>
        <v>40</v>
      </c>
      <c r="J150" s="1211"/>
      <c r="K150" s="1211">
        <v>40</v>
      </c>
      <c r="L150" s="1310"/>
      <c r="M150" s="1211"/>
      <c r="N150" s="1211"/>
      <c r="O150" s="1211"/>
      <c r="P150" s="1211"/>
      <c r="Q150" s="1211"/>
      <c r="R150" s="1211"/>
      <c r="S150" s="1211"/>
      <c r="T150" s="1211"/>
      <c r="U150" s="1211">
        <f t="shared" si="44"/>
        <v>20</v>
      </c>
      <c r="V150" s="1211"/>
      <c r="W150" s="1211">
        <f t="shared" si="45"/>
        <v>20</v>
      </c>
      <c r="X150" s="1286"/>
    </row>
    <row r="151" spans="1:24" s="733" customFormat="1" ht="12.75" x14ac:dyDescent="0.25">
      <c r="A151" s="1172" t="s">
        <v>711</v>
      </c>
      <c r="B151" s="1313" t="s">
        <v>2352</v>
      </c>
      <c r="C151" s="1211"/>
      <c r="D151" s="1211"/>
      <c r="E151" s="1211"/>
      <c r="F151" s="1310">
        <f t="shared" si="46"/>
        <v>160</v>
      </c>
      <c r="G151" s="1310"/>
      <c r="H151" s="1310">
        <v>160</v>
      </c>
      <c r="I151" s="1211">
        <f t="shared" si="47"/>
        <v>160</v>
      </c>
      <c r="J151" s="1211"/>
      <c r="K151" s="1211">
        <v>160</v>
      </c>
      <c r="L151" s="1310"/>
      <c r="M151" s="1211"/>
      <c r="N151" s="1211"/>
      <c r="O151" s="1211"/>
      <c r="P151" s="1211"/>
      <c r="Q151" s="1211"/>
      <c r="R151" s="1211"/>
      <c r="S151" s="1211"/>
      <c r="T151" s="1211"/>
      <c r="U151" s="1211">
        <f t="shared" si="44"/>
        <v>0</v>
      </c>
      <c r="V151" s="1211"/>
      <c r="W151" s="1211">
        <f t="shared" si="45"/>
        <v>0</v>
      </c>
      <c r="X151" s="1286"/>
    </row>
    <row r="152" spans="1:24" s="733" customFormat="1" ht="25.5" x14ac:dyDescent="0.25">
      <c r="A152" s="1172" t="s">
        <v>711</v>
      </c>
      <c r="B152" s="1313" t="s">
        <v>2353</v>
      </c>
      <c r="C152" s="1211"/>
      <c r="D152" s="1211"/>
      <c r="E152" s="1211"/>
      <c r="F152" s="1310">
        <f t="shared" si="46"/>
        <v>15.46</v>
      </c>
      <c r="G152" s="1310"/>
      <c r="H152" s="1310">
        <v>15.46</v>
      </c>
      <c r="I152" s="1211">
        <f t="shared" si="47"/>
        <v>15.46</v>
      </c>
      <c r="J152" s="1211"/>
      <c r="K152" s="1211">
        <v>15.46</v>
      </c>
      <c r="L152" s="1310"/>
      <c r="M152" s="1211"/>
      <c r="N152" s="1211"/>
      <c r="O152" s="1211"/>
      <c r="P152" s="1211"/>
      <c r="Q152" s="1211"/>
      <c r="R152" s="1211"/>
      <c r="S152" s="1211"/>
      <c r="T152" s="1211"/>
      <c r="U152" s="1211">
        <f t="shared" si="44"/>
        <v>0</v>
      </c>
      <c r="V152" s="1211"/>
      <c r="W152" s="1211">
        <f t="shared" si="45"/>
        <v>0</v>
      </c>
      <c r="X152" s="1286"/>
    </row>
    <row r="153" spans="1:24" s="733" customFormat="1" ht="12.75" x14ac:dyDescent="0.25">
      <c r="A153" s="1172" t="s">
        <v>711</v>
      </c>
      <c r="B153" s="1313" t="s">
        <v>2354</v>
      </c>
      <c r="C153" s="1211"/>
      <c r="D153" s="1211"/>
      <c r="E153" s="1211"/>
      <c r="F153" s="1310">
        <f t="shared" si="46"/>
        <v>35.672175000000003</v>
      </c>
      <c r="G153" s="1310"/>
      <c r="H153" s="1310">
        <v>35.672175000000003</v>
      </c>
      <c r="I153" s="1211">
        <f t="shared" si="47"/>
        <v>35.672156999999999</v>
      </c>
      <c r="J153" s="1211"/>
      <c r="K153" s="1211">
        <v>35.672156999999999</v>
      </c>
      <c r="L153" s="1310"/>
      <c r="M153" s="1211"/>
      <c r="N153" s="1211"/>
      <c r="O153" s="1211"/>
      <c r="P153" s="1211"/>
      <c r="Q153" s="1211"/>
      <c r="R153" s="1211"/>
      <c r="S153" s="1211"/>
      <c r="T153" s="1211"/>
      <c r="U153" s="1211">
        <f t="shared" si="44"/>
        <v>1.800000000429236E-5</v>
      </c>
      <c r="V153" s="1211"/>
      <c r="W153" s="1211">
        <f t="shared" si="45"/>
        <v>1.800000000429236E-5</v>
      </c>
      <c r="X153" s="1286"/>
    </row>
    <row r="154" spans="1:24" s="733" customFormat="1" ht="25.5" x14ac:dyDescent="0.25">
      <c r="A154" s="1172" t="s">
        <v>711</v>
      </c>
      <c r="B154" s="1313" t="s">
        <v>2355</v>
      </c>
      <c r="C154" s="1211"/>
      <c r="D154" s="1211"/>
      <c r="E154" s="1211"/>
      <c r="F154" s="1310">
        <f t="shared" si="46"/>
        <v>57.895000000000003</v>
      </c>
      <c r="G154" s="1310"/>
      <c r="H154" s="1310">
        <v>57.895000000000003</v>
      </c>
      <c r="I154" s="1211">
        <f t="shared" si="47"/>
        <v>32.216271000000006</v>
      </c>
      <c r="J154" s="1211"/>
      <c r="K154" s="1211">
        <f>H154-25.678729</f>
        <v>32.216271000000006</v>
      </c>
      <c r="L154" s="1310"/>
      <c r="M154" s="1211"/>
      <c r="N154" s="1211"/>
      <c r="O154" s="1211"/>
      <c r="P154" s="1211"/>
      <c r="Q154" s="1211"/>
      <c r="R154" s="1211"/>
      <c r="S154" s="1211"/>
      <c r="T154" s="1211"/>
      <c r="U154" s="1211">
        <f t="shared" si="44"/>
        <v>25.678728999999997</v>
      </c>
      <c r="V154" s="1211"/>
      <c r="W154" s="1211">
        <f t="shared" si="45"/>
        <v>25.678728999999997</v>
      </c>
      <c r="X154" s="1286"/>
    </row>
    <row r="155" spans="1:24" s="733" customFormat="1" ht="12.75" x14ac:dyDescent="0.25">
      <c r="A155" s="1172" t="s">
        <v>711</v>
      </c>
      <c r="B155" s="1313" t="s">
        <v>2356</v>
      </c>
      <c r="C155" s="1211"/>
      <c r="D155" s="1211"/>
      <c r="E155" s="1211"/>
      <c r="F155" s="1310">
        <f t="shared" si="46"/>
        <v>5.7160989999999998</v>
      </c>
      <c r="G155" s="1310"/>
      <c r="H155" s="1310">
        <v>5.7160989999999998</v>
      </c>
      <c r="I155" s="1211">
        <f t="shared" si="47"/>
        <v>0</v>
      </c>
      <c r="J155" s="1211"/>
      <c r="K155" s="1211">
        <v>0</v>
      </c>
      <c r="L155" s="1310"/>
      <c r="M155" s="1211"/>
      <c r="N155" s="1211"/>
      <c r="O155" s="1211"/>
      <c r="P155" s="1211"/>
      <c r="Q155" s="1211"/>
      <c r="R155" s="1211"/>
      <c r="S155" s="1211"/>
      <c r="T155" s="1211"/>
      <c r="U155" s="1211">
        <f t="shared" si="44"/>
        <v>5.7160989999999998</v>
      </c>
      <c r="V155" s="1211"/>
      <c r="W155" s="1211">
        <f t="shared" si="45"/>
        <v>5.7160989999999998</v>
      </c>
      <c r="X155" s="1286"/>
    </row>
    <row r="156" spans="1:24" s="733" customFormat="1" ht="25.5" x14ac:dyDescent="0.25">
      <c r="A156" s="1201" t="s">
        <v>711</v>
      </c>
      <c r="B156" s="1314" t="s">
        <v>2357</v>
      </c>
      <c r="C156" s="1212"/>
      <c r="D156" s="1212"/>
      <c r="E156" s="1212"/>
      <c r="F156" s="1315">
        <f t="shared" si="46"/>
        <v>786.48599999999999</v>
      </c>
      <c r="G156" s="1315"/>
      <c r="H156" s="1315">
        <v>786.48599999999999</v>
      </c>
      <c r="I156" s="1212">
        <f t="shared" si="47"/>
        <v>644.14099999999996</v>
      </c>
      <c r="J156" s="1212"/>
      <c r="K156" s="1212">
        <v>644.14099999999996</v>
      </c>
      <c r="L156" s="1315"/>
      <c r="M156" s="1212"/>
      <c r="N156" s="1212"/>
      <c r="O156" s="1212"/>
      <c r="P156" s="1212"/>
      <c r="Q156" s="1212"/>
      <c r="R156" s="1212"/>
      <c r="S156" s="1212"/>
      <c r="T156" s="1212">
        <v>30.475999999999999</v>
      </c>
      <c r="U156" s="1212">
        <f t="shared" si="44"/>
        <v>111.86900000000003</v>
      </c>
      <c r="V156" s="1212"/>
      <c r="W156" s="1212">
        <f t="shared" si="45"/>
        <v>111.86900000000003</v>
      </c>
      <c r="X156" s="1286"/>
    </row>
    <row r="158" spans="1:24" s="686" customFormat="1" x14ac:dyDescent="0.25">
      <c r="B158" s="1344"/>
      <c r="C158" s="687"/>
      <c r="D158" s="687"/>
      <c r="E158" s="687"/>
      <c r="F158" s="687"/>
      <c r="G158" s="687"/>
      <c r="H158" s="687"/>
      <c r="I158" s="687"/>
      <c r="J158" s="1342"/>
      <c r="K158" s="1342"/>
      <c r="L158" s="1342"/>
      <c r="M158" s="1342"/>
      <c r="N158" s="1342"/>
      <c r="O158" s="687"/>
      <c r="P158" s="687"/>
      <c r="Q158" s="687"/>
      <c r="R158" s="687"/>
      <c r="S158" s="687"/>
      <c r="T158" s="687"/>
      <c r="U158" s="687"/>
      <c r="V158" s="687"/>
      <c r="W158" s="687"/>
    </row>
    <row r="159" spans="1:24" s="686" customFormat="1" ht="15.75" customHeight="1" x14ac:dyDescent="0.25">
      <c r="B159" s="1344"/>
      <c r="C159" s="687"/>
      <c r="D159" s="687"/>
      <c r="E159" s="687"/>
      <c r="F159" s="687"/>
      <c r="G159" s="687"/>
      <c r="H159" s="687"/>
      <c r="I159" s="687"/>
      <c r="J159" s="4068" t="s">
        <v>2480</v>
      </c>
      <c r="K159" s="4068"/>
      <c r="L159" s="4068"/>
      <c r="M159" s="4068"/>
      <c r="N159" s="4068"/>
      <c r="O159" s="4068"/>
      <c r="P159" s="4068"/>
      <c r="Q159" s="687"/>
      <c r="R159" s="687"/>
      <c r="S159" s="687"/>
      <c r="T159" s="687"/>
      <c r="U159" s="687"/>
      <c r="V159" s="687"/>
      <c r="W159" s="687"/>
    </row>
    <row r="160" spans="1:24" s="686" customFormat="1" ht="15.75" customHeight="1" x14ac:dyDescent="0.25">
      <c r="B160" s="1344"/>
      <c r="C160" s="687"/>
      <c r="D160" s="687"/>
      <c r="E160" s="687"/>
      <c r="F160" s="687"/>
      <c r="G160" s="687"/>
      <c r="H160" s="687"/>
      <c r="I160" s="687"/>
      <c r="J160" s="4069" t="s">
        <v>1442</v>
      </c>
      <c r="K160" s="4069"/>
      <c r="L160" s="4069"/>
      <c r="M160" s="4069"/>
      <c r="N160" s="4069"/>
      <c r="O160" s="4069"/>
      <c r="P160" s="4069"/>
      <c r="Q160" s="687"/>
      <c r="R160" s="687"/>
      <c r="S160" s="687"/>
      <c r="T160" s="687"/>
      <c r="U160" s="687"/>
      <c r="V160" s="687"/>
      <c r="W160" s="687"/>
    </row>
    <row r="161" spans="2:23" s="686" customFormat="1" ht="15.75" customHeight="1" x14ac:dyDescent="0.25">
      <c r="B161" s="1344"/>
      <c r="C161" s="687"/>
      <c r="D161" s="687"/>
      <c r="E161" s="687"/>
      <c r="F161" s="687"/>
      <c r="G161" s="687"/>
      <c r="H161" s="687"/>
      <c r="I161" s="687"/>
      <c r="J161" s="4069" t="s">
        <v>807</v>
      </c>
      <c r="K161" s="4069"/>
      <c r="L161" s="4069"/>
      <c r="M161" s="4069"/>
      <c r="N161" s="4069"/>
      <c r="O161" s="4069"/>
      <c r="P161" s="4069"/>
      <c r="Q161" s="687"/>
      <c r="R161" s="687"/>
      <c r="S161" s="687"/>
      <c r="T161" s="687"/>
      <c r="U161" s="687"/>
      <c r="V161" s="687"/>
      <c r="W161" s="687"/>
    </row>
    <row r="162" spans="2:23" s="686" customFormat="1" x14ac:dyDescent="0.25">
      <c r="B162" s="1344"/>
      <c r="C162" s="687"/>
      <c r="D162" s="687"/>
      <c r="E162" s="687"/>
      <c r="F162" s="687"/>
      <c r="G162" s="687"/>
      <c r="H162" s="687"/>
      <c r="I162" s="687"/>
      <c r="J162" s="1335"/>
      <c r="K162" s="1336"/>
      <c r="L162" s="1337"/>
      <c r="M162" s="1341"/>
      <c r="N162" s="1341"/>
      <c r="O162" s="687"/>
      <c r="P162" s="687"/>
      <c r="Q162" s="687"/>
      <c r="R162" s="687"/>
      <c r="S162" s="687"/>
      <c r="T162" s="687"/>
      <c r="U162" s="687"/>
      <c r="V162" s="687"/>
      <c r="W162" s="687"/>
    </row>
    <row r="163" spans="2:23" s="686" customFormat="1" x14ac:dyDescent="0.25">
      <c r="B163" s="1344"/>
      <c r="C163" s="687"/>
      <c r="D163" s="687"/>
      <c r="E163" s="687"/>
      <c r="F163" s="687"/>
      <c r="G163" s="687"/>
      <c r="H163" s="687"/>
      <c r="I163" s="687"/>
      <c r="J163" s="1335"/>
      <c r="K163" s="1336"/>
      <c r="L163" s="1337"/>
      <c r="M163" s="1341"/>
      <c r="N163" s="1341"/>
      <c r="O163" s="687"/>
      <c r="P163" s="687"/>
      <c r="Q163" s="687"/>
      <c r="R163" s="687"/>
      <c r="S163" s="687"/>
      <c r="T163" s="687"/>
      <c r="U163" s="687"/>
      <c r="V163" s="687"/>
      <c r="W163" s="687"/>
    </row>
    <row r="164" spans="2:23" s="686" customFormat="1" x14ac:dyDescent="0.25">
      <c r="B164" s="1344"/>
      <c r="C164" s="687"/>
      <c r="D164" s="687"/>
      <c r="E164" s="687"/>
      <c r="F164" s="687"/>
      <c r="G164" s="687"/>
      <c r="H164" s="687"/>
      <c r="I164" s="687"/>
      <c r="J164" s="1335"/>
      <c r="K164" s="1336"/>
      <c r="L164" s="1337"/>
      <c r="M164" s="1341"/>
      <c r="N164" s="1341"/>
      <c r="O164" s="687"/>
      <c r="P164" s="687"/>
      <c r="Q164" s="687"/>
      <c r="R164" s="687"/>
      <c r="S164" s="687"/>
      <c r="T164" s="687"/>
      <c r="U164" s="687"/>
      <c r="V164" s="687"/>
      <c r="W164" s="687"/>
    </row>
    <row r="165" spans="2:23" s="686" customFormat="1" x14ac:dyDescent="0.25">
      <c r="B165" s="1344"/>
      <c r="C165" s="687"/>
      <c r="D165" s="687"/>
      <c r="E165" s="687"/>
      <c r="F165" s="687"/>
      <c r="G165" s="687"/>
      <c r="H165" s="687"/>
      <c r="I165" s="687"/>
      <c r="J165" s="1335"/>
      <c r="K165" s="1336"/>
      <c r="L165" s="1335"/>
      <c r="M165" s="1341"/>
      <c r="N165" s="1341"/>
      <c r="O165" s="687"/>
      <c r="P165" s="687"/>
      <c r="Q165" s="687"/>
      <c r="R165" s="687"/>
      <c r="S165" s="687"/>
      <c r="T165" s="687"/>
      <c r="U165" s="687"/>
      <c r="V165" s="687"/>
      <c r="W165" s="687"/>
    </row>
    <row r="166" spans="2:23" s="686" customFormat="1" x14ac:dyDescent="0.25">
      <c r="B166" s="1344"/>
      <c r="C166" s="687"/>
      <c r="D166" s="687"/>
      <c r="E166" s="687"/>
      <c r="F166" s="687"/>
      <c r="G166" s="687"/>
      <c r="H166" s="687"/>
      <c r="I166" s="687"/>
      <c r="J166" s="1335"/>
      <c r="K166" s="1336"/>
      <c r="L166" s="1335"/>
      <c r="M166" s="1341"/>
      <c r="N166" s="1341"/>
      <c r="O166" s="687"/>
      <c r="P166" s="687"/>
      <c r="Q166" s="687"/>
      <c r="R166" s="687"/>
      <c r="S166" s="687"/>
      <c r="T166" s="687"/>
      <c r="U166" s="687"/>
      <c r="V166" s="687"/>
      <c r="W166" s="687"/>
    </row>
    <row r="167" spans="2:23" s="686" customFormat="1" x14ac:dyDescent="0.25">
      <c r="B167" s="1344"/>
      <c r="C167" s="687"/>
      <c r="D167" s="687"/>
      <c r="E167" s="687"/>
      <c r="F167" s="687"/>
      <c r="G167" s="687"/>
      <c r="H167" s="687"/>
      <c r="I167" s="687"/>
      <c r="J167" s="1336"/>
      <c r="K167" s="1336"/>
      <c r="L167" s="1336"/>
      <c r="M167" s="1341"/>
      <c r="N167" s="1341"/>
      <c r="O167" s="687"/>
      <c r="P167" s="687"/>
      <c r="Q167" s="687"/>
      <c r="R167" s="687"/>
      <c r="S167" s="687"/>
      <c r="T167" s="687"/>
      <c r="U167" s="687"/>
      <c r="V167" s="687"/>
      <c r="W167" s="687"/>
    </row>
    <row r="168" spans="2:23" s="686" customFormat="1" x14ac:dyDescent="0.25">
      <c r="B168" s="1344"/>
      <c r="C168" s="687"/>
      <c r="D168" s="687"/>
      <c r="E168" s="687"/>
      <c r="F168" s="687"/>
      <c r="G168" s="687"/>
      <c r="H168" s="687"/>
      <c r="I168" s="687"/>
      <c r="J168" s="4065" t="s">
        <v>808</v>
      </c>
      <c r="K168" s="4065"/>
      <c r="L168" s="4065"/>
      <c r="M168" s="4065"/>
      <c r="N168" s="4065"/>
      <c r="O168" s="4065"/>
      <c r="P168" s="4065"/>
      <c r="Q168" s="687"/>
      <c r="R168" s="687"/>
      <c r="S168" s="687"/>
      <c r="T168" s="687"/>
      <c r="U168" s="687"/>
      <c r="V168" s="687"/>
      <c r="W168" s="687"/>
    </row>
  </sheetData>
  <mergeCells count="42">
    <mergeCell ref="U7:W7"/>
    <mergeCell ref="R8:R9"/>
    <mergeCell ref="S8:S9"/>
    <mergeCell ref="M5:M9"/>
    <mergeCell ref="T6:W6"/>
    <mergeCell ref="T7:T9"/>
    <mergeCell ref="R7:S7"/>
    <mergeCell ref="P7:P9"/>
    <mergeCell ref="N6:N9"/>
    <mergeCell ref="T1:W1"/>
    <mergeCell ref="A2:W2"/>
    <mergeCell ref="A3:W3"/>
    <mergeCell ref="N4:W4"/>
    <mergeCell ref="C5:E5"/>
    <mergeCell ref="F5:H5"/>
    <mergeCell ref="L5:L9"/>
    <mergeCell ref="I6:I9"/>
    <mergeCell ref="N5:W5"/>
    <mergeCell ref="K7:K9"/>
    <mergeCell ref="J6:K6"/>
    <mergeCell ref="U8:U9"/>
    <mergeCell ref="V8:V9"/>
    <mergeCell ref="W8:W9"/>
    <mergeCell ref="I5:K5"/>
    <mergeCell ref="J7:J9"/>
    <mergeCell ref="G6:H6"/>
    <mergeCell ref="O6:S6"/>
    <mergeCell ref="O7:O9"/>
    <mergeCell ref="A5:A9"/>
    <mergeCell ref="B5:B9"/>
    <mergeCell ref="D7:D9"/>
    <mergeCell ref="E7:E9"/>
    <mergeCell ref="G7:G9"/>
    <mergeCell ref="C6:C9"/>
    <mergeCell ref="D6:E6"/>
    <mergeCell ref="F6:F9"/>
    <mergeCell ref="Q7:Q9"/>
    <mergeCell ref="J159:P159"/>
    <mergeCell ref="J160:P160"/>
    <mergeCell ref="J161:P161"/>
    <mergeCell ref="J168:P168"/>
    <mergeCell ref="H7:H9"/>
  </mergeCells>
  <phoneticPr fontId="70" type="noConversion"/>
  <pageMargins left="0" right="0" top="0.39370078740157483" bottom="0.39370078740157483" header="0.31496062992125984" footer="0.31496062992125984"/>
  <pageSetup paperSize="9" scale="7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22"/>
  <sheetViews>
    <sheetView topLeftCell="A1048576" workbookViewId="0">
      <selection activeCell="A16" sqref="A1:XFD1048576"/>
    </sheetView>
  </sheetViews>
  <sheetFormatPr defaultColWidth="8.85546875" defaultRowHeight="15" zeroHeight="1" x14ac:dyDescent="0.25"/>
  <cols>
    <col min="1" max="1" width="34.7109375" style="673" customWidth="1"/>
    <col min="2" max="16384" width="8.85546875" style="673"/>
  </cols>
  <sheetData>
    <row r="1" spans="1:1" ht="18.75" hidden="1" x14ac:dyDescent="0.3">
      <c r="A1" s="780">
        <v>21929818572</v>
      </c>
    </row>
    <row r="2" spans="1:1" ht="18.75" hidden="1" x14ac:dyDescent="0.3">
      <c r="A2" s="780">
        <v>140108200</v>
      </c>
    </row>
    <row r="3" spans="1:1" ht="18.75" hidden="1" x14ac:dyDescent="0.3">
      <c r="A3" s="780">
        <v>32005236120</v>
      </c>
    </row>
    <row r="4" spans="1:1" ht="18.75" hidden="1" x14ac:dyDescent="0.3">
      <c r="A4" s="781"/>
    </row>
    <row r="5" spans="1:1" ht="18.75" hidden="1" x14ac:dyDescent="0.3">
      <c r="A5" s="780">
        <v>3774906445</v>
      </c>
    </row>
    <row r="6" spans="1:1" ht="18.75" hidden="1" x14ac:dyDescent="0.3">
      <c r="A6" s="780">
        <v>49499504485</v>
      </c>
    </row>
    <row r="7" spans="1:1" ht="18.75" hidden="1" x14ac:dyDescent="0.3">
      <c r="A7" s="780">
        <v>368182443</v>
      </c>
    </row>
    <row r="8" spans="1:1" ht="18.75" hidden="1" x14ac:dyDescent="0.3">
      <c r="A8" s="780">
        <v>602884700</v>
      </c>
    </row>
    <row r="9" spans="1:1" ht="18.75" hidden="1" x14ac:dyDescent="0.3">
      <c r="A9" s="780">
        <v>1306312000</v>
      </c>
    </row>
    <row r="10" spans="1:1" ht="18.75" hidden="1" x14ac:dyDescent="0.3">
      <c r="A10" s="780">
        <v>1418932493</v>
      </c>
    </row>
    <row r="11" spans="1:1" ht="18.75" hidden="1" x14ac:dyDescent="0.3">
      <c r="A11" s="780">
        <v>2409969637</v>
      </c>
    </row>
    <row r="12" spans="1:1" ht="18.75" hidden="1" x14ac:dyDescent="0.3">
      <c r="A12" s="780">
        <v>1778481326</v>
      </c>
    </row>
    <row r="13" spans="1:1" ht="18.75" hidden="1" x14ac:dyDescent="0.3">
      <c r="A13" s="780">
        <v>21554048240</v>
      </c>
    </row>
    <row r="14" spans="1:1" ht="18.75" hidden="1" x14ac:dyDescent="0.3">
      <c r="A14" s="780">
        <v>7132741241</v>
      </c>
    </row>
    <row r="15" spans="1:1" ht="18.75" hidden="1" x14ac:dyDescent="0.3">
      <c r="A15" s="780">
        <v>262378582035</v>
      </c>
    </row>
    <row r="16" spans="1:1" ht="18.75" hidden="1" x14ac:dyDescent="0.3">
      <c r="A16" s="782">
        <v>838027741</v>
      </c>
    </row>
    <row r="17" spans="1:1" hidden="1" x14ac:dyDescent="0.25">
      <c r="A17" s="783">
        <f>SUM(A1:A16)</f>
        <v>407137735678</v>
      </c>
    </row>
    <row r="18" spans="1:1" ht="18.75" hidden="1" x14ac:dyDescent="0.3">
      <c r="A18" s="782">
        <v>407137735678</v>
      </c>
    </row>
    <row r="19" spans="1:1" hidden="1" x14ac:dyDescent="0.25">
      <c r="A19" s="783">
        <f>A18-A17</f>
        <v>0</v>
      </c>
    </row>
    <row r="20" spans="1:1" hidden="1" x14ac:dyDescent="0.25">
      <c r="A20" s="675">
        <v>540109083873</v>
      </c>
    </row>
    <row r="21" spans="1:1" hidden="1" x14ac:dyDescent="0.25">
      <c r="A21" s="675">
        <v>132971348195</v>
      </c>
    </row>
    <row r="22" spans="1:1" hidden="1" x14ac:dyDescent="0.25">
      <c r="A22" s="784">
        <f>A20-A21</f>
        <v>407137735678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
  <sheetViews>
    <sheetView workbookViewId="0"/>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
  <sheetViews>
    <sheetView workbookViewId="0"/>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W67"/>
  <sheetViews>
    <sheetView zoomScaleNormal="100" zoomScaleSheetLayoutView="100" workbookViewId="0">
      <selection activeCell="B13" sqref="B13"/>
    </sheetView>
  </sheetViews>
  <sheetFormatPr defaultColWidth="9.140625" defaultRowHeight="15.75" x14ac:dyDescent="0.25"/>
  <cols>
    <col min="1" max="1" width="6.28515625" style="182" customWidth="1"/>
    <col min="2" max="2" width="44.28515625" style="182" customWidth="1"/>
    <col min="3" max="3" width="13.85546875" style="2291" customWidth="1"/>
    <col min="4" max="4" width="14.42578125" style="3080" customWidth="1"/>
    <col min="5" max="5" width="14.7109375" style="2292" customWidth="1"/>
    <col min="6" max="6" width="11.85546875" style="2292" customWidth="1"/>
    <col min="7" max="7" width="25.28515625" style="546" hidden="1" customWidth="1"/>
    <col min="8" max="8" width="19.28515625" style="546" hidden="1" customWidth="1"/>
    <col min="9" max="9" width="16.28515625" style="546" hidden="1" customWidth="1"/>
    <col min="10" max="10" width="30.7109375" style="547" hidden="1" customWidth="1"/>
    <col min="11" max="11" width="21.140625" style="673" customWidth="1"/>
    <col min="12" max="12" width="18.28515625" style="675" customWidth="1"/>
    <col min="13" max="23" width="9.140625" style="673"/>
    <col min="24" max="16384" width="9.140625" style="546"/>
  </cols>
  <sheetData>
    <row r="1" spans="1:23" ht="24.75" customHeight="1" x14ac:dyDescent="0.25">
      <c r="A1" s="4127" t="s">
        <v>4774</v>
      </c>
      <c r="B1" s="4127"/>
      <c r="D1" s="4120" t="s">
        <v>4919</v>
      </c>
      <c r="E1" s="4121"/>
      <c r="F1" s="4121"/>
    </row>
    <row r="2" spans="1:23" ht="22.5" customHeight="1" x14ac:dyDescent="0.25">
      <c r="A2" s="4122" t="s">
        <v>3565</v>
      </c>
      <c r="B2" s="4122"/>
      <c r="C2" s="4122"/>
      <c r="D2" s="4122"/>
      <c r="E2" s="4122"/>
      <c r="F2" s="4122"/>
    </row>
    <row r="3" spans="1:23" ht="22.5" customHeight="1" x14ac:dyDescent="0.25">
      <c r="A3" s="4122" t="s">
        <v>4912</v>
      </c>
      <c r="B3" s="4122"/>
      <c r="C3" s="4122"/>
      <c r="D3" s="4122"/>
      <c r="E3" s="4122"/>
      <c r="F3" s="4122"/>
    </row>
    <row r="4" spans="1:23" ht="21" customHeight="1" x14ac:dyDescent="0.25">
      <c r="A4" s="4042" t="s">
        <v>4911</v>
      </c>
      <c r="B4" s="4042"/>
      <c r="C4" s="4042"/>
      <c r="D4" s="4042"/>
      <c r="E4" s="4042"/>
      <c r="F4" s="4042"/>
    </row>
    <row r="5" spans="1:23" x14ac:dyDescent="0.25">
      <c r="F5" s="192" t="s">
        <v>3566</v>
      </c>
    </row>
    <row r="6" spans="1:23" x14ac:dyDescent="0.25">
      <c r="C6" s="3433"/>
      <c r="F6" s="192"/>
    </row>
    <row r="7" spans="1:23" x14ac:dyDescent="0.25">
      <c r="A7" s="4123" t="s">
        <v>844</v>
      </c>
      <c r="B7" s="4123" t="s">
        <v>12</v>
      </c>
      <c r="C7" s="4124" t="s">
        <v>3564</v>
      </c>
      <c r="D7" s="4125" t="s">
        <v>3563</v>
      </c>
      <c r="E7" s="4126" t="s">
        <v>14</v>
      </c>
      <c r="F7" s="4126"/>
    </row>
    <row r="8" spans="1:23" ht="31.5" x14ac:dyDescent="0.25">
      <c r="A8" s="4123"/>
      <c r="B8" s="4123"/>
      <c r="C8" s="4124"/>
      <c r="D8" s="4125"/>
      <c r="E8" s="3529" t="s">
        <v>15</v>
      </c>
      <c r="F8" s="3529" t="s">
        <v>16</v>
      </c>
    </row>
    <row r="9" spans="1:23" ht="15" x14ac:dyDescent="0.25">
      <c r="A9" s="3530" t="s">
        <v>847</v>
      </c>
      <c r="B9" s="3530" t="s">
        <v>848</v>
      </c>
      <c r="C9" s="3531">
        <v>1</v>
      </c>
      <c r="D9" s="3532">
        <v>2</v>
      </c>
      <c r="E9" s="3533" t="s">
        <v>154</v>
      </c>
      <c r="F9" s="3533" t="s">
        <v>17</v>
      </c>
    </row>
    <row r="10" spans="1:23" s="583" customFormat="1" ht="21.75" customHeight="1" x14ac:dyDescent="0.25">
      <c r="A10" s="3534" t="s">
        <v>847</v>
      </c>
      <c r="B10" s="3535" t="s">
        <v>18</v>
      </c>
      <c r="C10" s="3536">
        <f>C11+C14+C17+C18+C19+C20</f>
        <v>71341000</v>
      </c>
      <c r="D10" s="3537">
        <f>D11+D14+D17+D18+D19+D20</f>
        <v>111378162.743</v>
      </c>
      <c r="E10" s="3537">
        <f>E11+E14+E17+E18+E19+E20</f>
        <v>40037162.743000001</v>
      </c>
      <c r="F10" s="3538">
        <f>D10/C10</f>
        <v>1.5612083198020774</v>
      </c>
      <c r="G10" s="2384"/>
      <c r="J10" s="2385"/>
      <c r="K10" s="2904"/>
      <c r="L10" s="691"/>
      <c r="M10" s="1946"/>
      <c r="N10" s="1946"/>
      <c r="O10" s="2615"/>
      <c r="P10" s="2615"/>
      <c r="Q10" s="2615"/>
      <c r="R10" s="2615"/>
      <c r="S10" s="2615"/>
      <c r="T10" s="2615"/>
      <c r="U10" s="2615"/>
      <c r="V10" s="2615"/>
      <c r="W10" s="2615"/>
    </row>
    <row r="11" spans="1:23" s="583" customFormat="1" ht="21.75" customHeight="1" x14ac:dyDescent="0.25">
      <c r="A11" s="3534" t="s">
        <v>849</v>
      </c>
      <c r="B11" s="3535" t="s">
        <v>926</v>
      </c>
      <c r="C11" s="3536">
        <f>C12+C13</f>
        <v>0</v>
      </c>
      <c r="D11" s="3537"/>
      <c r="E11" s="3536"/>
      <c r="F11" s="3539"/>
      <c r="G11" s="1997"/>
      <c r="J11" s="2385"/>
      <c r="K11" s="2905"/>
      <c r="L11" s="2710"/>
      <c r="M11" s="2615"/>
      <c r="N11" s="2615"/>
      <c r="O11" s="2615"/>
      <c r="P11" s="2615"/>
      <c r="Q11" s="2615"/>
      <c r="R11" s="2615"/>
      <c r="S11" s="2615"/>
      <c r="T11" s="2615"/>
      <c r="U11" s="2615"/>
      <c r="V11" s="2615"/>
      <c r="W11" s="2615"/>
    </row>
    <row r="12" spans="1:23" s="589" customFormat="1" ht="21.75" customHeight="1" x14ac:dyDescent="0.25">
      <c r="A12" s="3530" t="s">
        <v>882</v>
      </c>
      <c r="B12" s="3540" t="s">
        <v>19</v>
      </c>
      <c r="C12" s="3541"/>
      <c r="D12" s="3542"/>
      <c r="E12" s="3541"/>
      <c r="F12" s="3539"/>
      <c r="G12" s="1928">
        <f>C15+30288</f>
        <v>58296288</v>
      </c>
      <c r="J12" s="2386"/>
      <c r="K12" s="2906"/>
      <c r="L12" s="691"/>
      <c r="M12" s="1946"/>
      <c r="N12" s="1946"/>
      <c r="O12" s="1946"/>
      <c r="P12" s="1946"/>
      <c r="Q12" s="1946"/>
      <c r="R12" s="1946"/>
      <c r="S12" s="1946"/>
      <c r="T12" s="1946"/>
      <c r="U12" s="1946"/>
      <c r="V12" s="1946"/>
      <c r="W12" s="1946"/>
    </row>
    <row r="13" spans="1:23" s="589" customFormat="1" ht="21.75" customHeight="1" x14ac:dyDescent="0.25">
      <c r="A13" s="3530" t="s">
        <v>882</v>
      </c>
      <c r="B13" s="3540" t="s">
        <v>20</v>
      </c>
      <c r="C13" s="3541"/>
      <c r="D13" s="3542"/>
      <c r="E13" s="3541"/>
      <c r="F13" s="3539"/>
      <c r="G13" s="1928"/>
      <c r="J13" s="1185"/>
      <c r="K13" s="691"/>
      <c r="L13" s="691"/>
      <c r="M13" s="1946"/>
      <c r="N13" s="1946"/>
      <c r="O13" s="1946"/>
      <c r="P13" s="1946"/>
      <c r="Q13" s="1946"/>
      <c r="R13" s="1946"/>
      <c r="S13" s="1946"/>
      <c r="T13" s="1946"/>
      <c r="U13" s="1946"/>
      <c r="V13" s="1946"/>
      <c r="W13" s="1946"/>
    </row>
    <row r="14" spans="1:23" s="583" customFormat="1" ht="21.75" customHeight="1" x14ac:dyDescent="0.25">
      <c r="A14" s="3534" t="s">
        <v>866</v>
      </c>
      <c r="B14" s="3535" t="s">
        <v>21</v>
      </c>
      <c r="C14" s="3536">
        <f>C15+C16</f>
        <v>71341000</v>
      </c>
      <c r="D14" s="3537">
        <f>D15+D16</f>
        <v>106238768.743</v>
      </c>
      <c r="E14" s="3536">
        <f>E15+E16</f>
        <v>34897768.743000001</v>
      </c>
      <c r="F14" s="3538">
        <f t="shared" ref="F14:F55" si="0">D14/C14</f>
        <v>1.4891684829621115</v>
      </c>
      <c r="G14" s="2337">
        <v>371442235320</v>
      </c>
      <c r="J14" s="2388"/>
      <c r="K14" s="2602"/>
      <c r="L14" s="2602"/>
      <c r="M14" s="2615"/>
      <c r="N14" s="2615"/>
      <c r="O14" s="2615"/>
      <c r="P14" s="2615"/>
      <c r="Q14" s="2615"/>
      <c r="R14" s="2615"/>
      <c r="S14" s="2615"/>
      <c r="T14" s="2615"/>
      <c r="U14" s="2615"/>
      <c r="V14" s="2615"/>
      <c r="W14" s="2615"/>
    </row>
    <row r="15" spans="1:23" s="589" customFormat="1" ht="21.75" customHeight="1" x14ac:dyDescent="0.25">
      <c r="A15" s="3530">
        <v>1</v>
      </c>
      <c r="B15" s="3540" t="s">
        <v>919</v>
      </c>
      <c r="C15" s="3541">
        <f>57862000+404000</f>
        <v>58266000</v>
      </c>
      <c r="D15" s="3542">
        <v>57862000</v>
      </c>
      <c r="E15" s="3541">
        <f>D15-C15</f>
        <v>-404000</v>
      </c>
      <c r="F15" s="3539">
        <f t="shared" si="0"/>
        <v>0.99306628222290871</v>
      </c>
      <c r="G15" s="1710"/>
      <c r="H15" s="2387">
        <f>228622-C15</f>
        <v>-58037378</v>
      </c>
      <c r="J15" s="2030"/>
      <c r="K15" s="2702"/>
      <c r="L15" s="2702"/>
      <c r="M15" s="1946"/>
      <c r="N15" s="1946"/>
      <c r="O15" s="1946"/>
      <c r="P15" s="1946"/>
      <c r="Q15" s="1946"/>
      <c r="R15" s="1946"/>
      <c r="S15" s="1946"/>
      <c r="T15" s="1946"/>
      <c r="U15" s="1946"/>
      <c r="V15" s="1946"/>
      <c r="W15" s="1946"/>
    </row>
    <row r="16" spans="1:23" s="589" customFormat="1" ht="21.75" customHeight="1" x14ac:dyDescent="0.25">
      <c r="A16" s="3530">
        <v>2</v>
      </c>
      <c r="B16" s="3540" t="s">
        <v>920</v>
      </c>
      <c r="C16" s="3541">
        <v>13075000</v>
      </c>
      <c r="D16" s="3542">
        <f>48395471-18702.257</f>
        <v>48376768.743000001</v>
      </c>
      <c r="E16" s="3541">
        <f>D16-C16</f>
        <v>35301768.743000001</v>
      </c>
      <c r="F16" s="3539">
        <f t="shared" si="0"/>
        <v>3.6999440721223711</v>
      </c>
      <c r="G16" s="1710">
        <f>249220623-10000000</f>
        <v>239220623</v>
      </c>
      <c r="J16" s="1480"/>
      <c r="K16" s="2702"/>
      <c r="L16" s="2702"/>
      <c r="M16" s="1946"/>
      <c r="N16" s="1946"/>
      <c r="O16" s="1946"/>
      <c r="P16" s="1946"/>
      <c r="Q16" s="1946"/>
      <c r="R16" s="1946"/>
      <c r="S16" s="1946"/>
      <c r="T16" s="1946"/>
      <c r="U16" s="1946"/>
      <c r="V16" s="1946"/>
      <c r="W16" s="1946"/>
    </row>
    <row r="17" spans="1:23" s="583" customFormat="1" ht="21.75" customHeight="1" x14ac:dyDescent="0.25">
      <c r="A17" s="3534" t="s">
        <v>872</v>
      </c>
      <c r="B17" s="3535" t="s">
        <v>561</v>
      </c>
      <c r="C17" s="3536"/>
      <c r="D17" s="3537">
        <v>0</v>
      </c>
      <c r="E17" s="3536">
        <f t="shared" ref="E17:E25" si="1">D17-C17</f>
        <v>0</v>
      </c>
      <c r="F17" s="3539"/>
      <c r="G17" s="2337"/>
      <c r="J17" s="2388"/>
      <c r="K17" s="2602"/>
      <c r="L17" s="2602"/>
      <c r="M17" s="2615"/>
      <c r="N17" s="2615"/>
      <c r="O17" s="2615"/>
      <c r="P17" s="2615"/>
      <c r="Q17" s="2615"/>
      <c r="R17" s="2615"/>
      <c r="S17" s="2615"/>
      <c r="T17" s="2615"/>
      <c r="U17" s="2615"/>
      <c r="V17" s="2615"/>
      <c r="W17" s="2615"/>
    </row>
    <row r="18" spans="1:23" s="583" customFormat="1" ht="21.75" customHeight="1" x14ac:dyDescent="0.25">
      <c r="A18" s="3534" t="s">
        <v>873</v>
      </c>
      <c r="B18" s="3535" t="s">
        <v>921</v>
      </c>
      <c r="C18" s="3536"/>
      <c r="D18" s="3537">
        <v>1154897</v>
      </c>
      <c r="E18" s="3536">
        <f t="shared" si="1"/>
        <v>1154897</v>
      </c>
      <c r="F18" s="3538"/>
      <c r="G18" s="2337">
        <v>705423516092</v>
      </c>
      <c r="J18" s="2388"/>
      <c r="K18" s="2602"/>
      <c r="L18" s="2602"/>
      <c r="M18" s="2615"/>
      <c r="N18" s="2615"/>
      <c r="O18" s="2615"/>
      <c r="P18" s="2615"/>
      <c r="Q18" s="2615"/>
      <c r="R18" s="2615"/>
      <c r="S18" s="2615"/>
      <c r="T18" s="2615"/>
      <c r="U18" s="2615"/>
      <c r="V18" s="2615"/>
      <c r="W18" s="2615"/>
    </row>
    <row r="19" spans="1:23" s="583" customFormat="1" ht="21.75" customHeight="1" x14ac:dyDescent="0.25">
      <c r="A19" s="3534" t="s">
        <v>877</v>
      </c>
      <c r="B19" s="3535" t="s">
        <v>922</v>
      </c>
      <c r="C19" s="3536"/>
      <c r="D19" s="3537">
        <v>3984497</v>
      </c>
      <c r="E19" s="3536">
        <f t="shared" si="1"/>
        <v>3984497</v>
      </c>
      <c r="F19" s="3538"/>
      <c r="G19" s="2337">
        <v>178385309937</v>
      </c>
      <c r="H19" s="2597" t="e">
        <f>D23+#REF!+#REF!+#REF!</f>
        <v>#REF!</v>
      </c>
      <c r="J19" s="2388"/>
      <c r="K19" s="2602"/>
      <c r="L19" s="2602"/>
      <c r="M19" s="2615"/>
      <c r="N19" s="2615"/>
      <c r="O19" s="2615"/>
      <c r="P19" s="2615"/>
      <c r="Q19" s="2615"/>
      <c r="R19" s="2615"/>
      <c r="S19" s="2615"/>
      <c r="T19" s="2615"/>
      <c r="U19" s="2615"/>
      <c r="V19" s="2615"/>
      <c r="W19" s="2615"/>
    </row>
    <row r="20" spans="1:23" s="583" customFormat="1" ht="21.75" customHeight="1" x14ac:dyDescent="0.25">
      <c r="A20" s="3534" t="s">
        <v>909</v>
      </c>
      <c r="B20" s="3535" t="s">
        <v>984</v>
      </c>
      <c r="C20" s="3536"/>
      <c r="D20" s="3537"/>
      <c r="E20" s="3536">
        <f t="shared" si="1"/>
        <v>0</v>
      </c>
      <c r="F20" s="3539"/>
      <c r="G20" s="2337">
        <f>G18-G19-G16</f>
        <v>526798985532</v>
      </c>
      <c r="J20" s="2388"/>
      <c r="K20" s="2907"/>
      <c r="L20" s="2602"/>
      <c r="M20" s="2615"/>
      <c r="N20" s="2615"/>
      <c r="O20" s="2615"/>
      <c r="P20" s="2615"/>
      <c r="Q20" s="2615"/>
      <c r="R20" s="2615"/>
      <c r="S20" s="2615"/>
      <c r="T20" s="2615"/>
      <c r="U20" s="2615"/>
      <c r="V20" s="2615"/>
      <c r="W20" s="2615"/>
    </row>
    <row r="21" spans="1:23" s="583" customFormat="1" ht="21.75" customHeight="1" x14ac:dyDescent="0.25">
      <c r="A21" s="3534" t="s">
        <v>848</v>
      </c>
      <c r="B21" s="3535" t="s">
        <v>1473</v>
      </c>
      <c r="C21" s="3536">
        <f>C22+C29+C56</f>
        <v>71341000</v>
      </c>
      <c r="D21" s="3537">
        <f>D22+D29+D56</f>
        <v>110429011.65699999</v>
      </c>
      <c r="E21" s="3536">
        <f t="shared" si="1"/>
        <v>39088011.65699999</v>
      </c>
      <c r="F21" s="3538">
        <f t="shared" si="0"/>
        <v>1.547903893371273</v>
      </c>
      <c r="G21" s="2337">
        <f>G20/1000000-D21</f>
        <v>-109902212.67146799</v>
      </c>
      <c r="H21" s="2337">
        <f>42258602515+57944012079</f>
        <v>100202614594</v>
      </c>
      <c r="J21" s="2388"/>
      <c r="K21" s="3162"/>
      <c r="L21" s="2702"/>
      <c r="M21" s="1946"/>
      <c r="N21" s="1946"/>
      <c r="O21" s="2615"/>
      <c r="P21" s="2615"/>
      <c r="Q21" s="2615"/>
      <c r="R21" s="2615"/>
      <c r="S21" s="2615"/>
      <c r="T21" s="2615"/>
      <c r="U21" s="2615"/>
      <c r="V21" s="2615"/>
      <c r="W21" s="2615"/>
    </row>
    <row r="22" spans="1:23" s="583" customFormat="1" ht="21.75" customHeight="1" x14ac:dyDescent="0.25">
      <c r="A22" s="3534" t="s">
        <v>849</v>
      </c>
      <c r="B22" s="3535" t="s">
        <v>22</v>
      </c>
      <c r="C22" s="3536">
        <f>C23+C24+C26</f>
        <v>58266000</v>
      </c>
      <c r="D22" s="3537">
        <f>D23+D24+D28</f>
        <v>79398768</v>
      </c>
      <c r="E22" s="3536">
        <f>D22-C22</f>
        <v>21132768</v>
      </c>
      <c r="F22" s="3538">
        <f t="shared" si="0"/>
        <v>1.3626946761404592</v>
      </c>
      <c r="G22" s="2711"/>
      <c r="H22" s="2337"/>
      <c r="I22" s="1997"/>
      <c r="J22" s="2337"/>
      <c r="K22" s="3161"/>
      <c r="L22" s="2602"/>
      <c r="M22" s="2615"/>
      <c r="N22" s="2615"/>
      <c r="O22" s="2615"/>
      <c r="P22" s="2615"/>
      <c r="Q22" s="2615"/>
      <c r="R22" s="2615"/>
      <c r="S22" s="2615"/>
      <c r="T22" s="2615"/>
      <c r="U22" s="2615"/>
      <c r="V22" s="2615"/>
      <c r="W22" s="2615"/>
    </row>
    <row r="23" spans="1:23" s="589" customFormat="1" ht="21.75" customHeight="1" x14ac:dyDescent="0.25">
      <c r="A23" s="3530">
        <v>1</v>
      </c>
      <c r="B23" s="3540" t="s">
        <v>884</v>
      </c>
      <c r="C23" s="3541">
        <v>1003000</v>
      </c>
      <c r="D23" s="3542">
        <v>1298671</v>
      </c>
      <c r="E23" s="3541">
        <f t="shared" si="1"/>
        <v>295671</v>
      </c>
      <c r="F23" s="3539">
        <f t="shared" si="0"/>
        <v>1.2947866400797607</v>
      </c>
      <c r="G23" s="2030"/>
      <c r="J23" s="1710"/>
      <c r="K23" s="2909"/>
      <c r="L23" s="2702"/>
      <c r="M23" s="1946"/>
      <c r="N23" s="1946"/>
      <c r="O23" s="1946"/>
      <c r="P23" s="1946"/>
      <c r="Q23" s="1946"/>
      <c r="R23" s="1946"/>
      <c r="S23" s="1946"/>
      <c r="T23" s="1946"/>
      <c r="U23" s="1946"/>
      <c r="V23" s="1946"/>
      <c r="W23" s="1946"/>
    </row>
    <row r="24" spans="1:23" s="589" customFormat="1" ht="21.75" customHeight="1" x14ac:dyDescent="0.25">
      <c r="A24" s="3530">
        <v>2</v>
      </c>
      <c r="B24" s="3540" t="s">
        <v>885</v>
      </c>
      <c r="C24" s="3541">
        <v>55936000</v>
      </c>
      <c r="D24" s="3542">
        <f>[1]B52!D26</f>
        <v>77015656</v>
      </c>
      <c r="E24" s="3541">
        <f t="shared" si="1"/>
        <v>21079656</v>
      </c>
      <c r="F24" s="3539">
        <f t="shared" si="0"/>
        <v>1.3768531178489702</v>
      </c>
      <c r="G24" s="2389">
        <v>236509963547</v>
      </c>
      <c r="H24" s="1710">
        <v>499275581987</v>
      </c>
      <c r="J24" s="2030"/>
      <c r="K24" s="1946"/>
      <c r="L24" s="2702"/>
      <c r="M24" s="1946"/>
      <c r="N24" s="1946"/>
      <c r="O24" s="1946"/>
      <c r="P24" s="1946"/>
      <c r="Q24" s="1946"/>
      <c r="R24" s="1946"/>
      <c r="S24" s="1946"/>
      <c r="T24" s="1946"/>
      <c r="U24" s="1946"/>
      <c r="V24" s="1946"/>
      <c r="W24" s="1946"/>
    </row>
    <row r="25" spans="1:23" s="589" customFormat="1" ht="19.5" hidden="1" customHeight="1" x14ac:dyDescent="0.25">
      <c r="A25" s="3530">
        <v>3</v>
      </c>
      <c r="B25" s="3540" t="s">
        <v>23</v>
      </c>
      <c r="C25" s="3541"/>
      <c r="D25" s="3542"/>
      <c r="E25" s="3541">
        <f t="shared" si="1"/>
        <v>0</v>
      </c>
      <c r="F25" s="3539" t="e">
        <f t="shared" si="0"/>
        <v>#DIV/0!</v>
      </c>
      <c r="G25" s="1710">
        <f>116123725913</f>
        <v>116123725913</v>
      </c>
      <c r="H25" s="1710">
        <v>190549755647</v>
      </c>
      <c r="I25" s="1928"/>
      <c r="J25" s="1480"/>
      <c r="K25" s="2910"/>
      <c r="L25" s="2702"/>
      <c r="M25" s="1946"/>
      <c r="N25" s="1946"/>
      <c r="O25" s="1946"/>
      <c r="P25" s="1946"/>
      <c r="Q25" s="1946"/>
      <c r="R25" s="1946"/>
      <c r="S25" s="1946"/>
      <c r="T25" s="1946"/>
      <c r="U25" s="1946"/>
      <c r="V25" s="1946"/>
      <c r="W25" s="1946"/>
    </row>
    <row r="26" spans="1:23" s="589" customFormat="1" ht="21.75" customHeight="1" x14ac:dyDescent="0.25">
      <c r="A26" s="3530">
        <v>3</v>
      </c>
      <c r="B26" s="3540" t="s">
        <v>924</v>
      </c>
      <c r="C26" s="3541">
        <v>1327000</v>
      </c>
      <c r="D26" s="3542"/>
      <c r="E26" s="3541">
        <f>D26-C26</f>
        <v>-1327000</v>
      </c>
      <c r="F26" s="3539">
        <f t="shared" si="0"/>
        <v>0</v>
      </c>
      <c r="H26" s="1710">
        <f>SUM(H24:H25)</f>
        <v>689825337634</v>
      </c>
      <c r="J26" s="2036"/>
      <c r="K26" s="1946"/>
      <c r="L26" s="2702"/>
      <c r="M26" s="1946"/>
      <c r="N26" s="1946"/>
      <c r="O26" s="1946"/>
      <c r="P26" s="1946"/>
      <c r="Q26" s="1946"/>
      <c r="R26" s="1946"/>
      <c r="S26" s="1946"/>
      <c r="T26" s="1946"/>
      <c r="U26" s="1946"/>
      <c r="V26" s="1946"/>
      <c r="W26" s="1946"/>
    </row>
    <row r="27" spans="1:23" s="589" customFormat="1" ht="19.5" hidden="1" customHeight="1" x14ac:dyDescent="0.25">
      <c r="A27" s="3530">
        <v>5</v>
      </c>
      <c r="B27" s="3540" t="s">
        <v>24</v>
      </c>
      <c r="C27" s="3541"/>
      <c r="D27" s="3542"/>
      <c r="E27" s="3541">
        <f t="shared" ref="E27:E51" si="2">D27-C27</f>
        <v>0</v>
      </c>
      <c r="F27" s="3539" t="e">
        <f t="shared" si="0"/>
        <v>#DIV/0!</v>
      </c>
      <c r="G27" s="2389">
        <f>SUM(G24:G26)</f>
        <v>352633689460</v>
      </c>
      <c r="H27" s="1710">
        <v>178385309937</v>
      </c>
      <c r="J27" s="1710"/>
      <c r="K27" s="1946"/>
      <c r="L27" s="2702"/>
      <c r="M27" s="1946"/>
      <c r="N27" s="1946"/>
      <c r="O27" s="1946"/>
      <c r="P27" s="1946"/>
      <c r="Q27" s="1946"/>
      <c r="R27" s="1946"/>
      <c r="S27" s="1946"/>
      <c r="T27" s="1946"/>
      <c r="U27" s="1946"/>
      <c r="V27" s="1946"/>
      <c r="W27" s="1946"/>
    </row>
    <row r="28" spans="1:23" s="589" customFormat="1" ht="21.75" customHeight="1" x14ac:dyDescent="0.25">
      <c r="A28" s="3530">
        <v>4</v>
      </c>
      <c r="B28" s="3540" t="s">
        <v>562</v>
      </c>
      <c r="C28" s="3541"/>
      <c r="D28" s="3542">
        <v>1084441</v>
      </c>
      <c r="E28" s="3541">
        <f t="shared" si="2"/>
        <v>1084441</v>
      </c>
      <c r="F28" s="3539"/>
      <c r="H28" s="2390">
        <f>H26-H27</f>
        <v>511440027697</v>
      </c>
      <c r="I28" s="2391">
        <f>H28/1000000-D21</f>
        <v>-109917571.62930299</v>
      </c>
      <c r="J28" s="1480"/>
      <c r="K28" s="1946"/>
      <c r="L28" s="2702"/>
      <c r="M28" s="1946"/>
      <c r="N28" s="1946"/>
      <c r="O28" s="1946"/>
      <c r="P28" s="1946"/>
      <c r="Q28" s="1946"/>
      <c r="R28" s="1946"/>
      <c r="S28" s="1946"/>
      <c r="T28" s="1946"/>
      <c r="U28" s="1946"/>
      <c r="V28" s="1946"/>
      <c r="W28" s="1946"/>
    </row>
    <row r="29" spans="1:23" s="583" customFormat="1" ht="25.5" customHeight="1" x14ac:dyDescent="0.25">
      <c r="A29" s="3534" t="s">
        <v>866</v>
      </c>
      <c r="B29" s="3535" t="s">
        <v>3481</v>
      </c>
      <c r="C29" s="3536">
        <f>C30+C52</f>
        <v>13075000</v>
      </c>
      <c r="D29" s="3537">
        <f>D30+D52</f>
        <v>14320456.1</v>
      </c>
      <c r="E29" s="3536">
        <f t="shared" si="2"/>
        <v>1245456.0999999996</v>
      </c>
      <c r="F29" s="3538">
        <f t="shared" si="0"/>
        <v>1.0952547686424474</v>
      </c>
      <c r="H29" s="2597"/>
      <c r="J29" s="2388"/>
      <c r="K29" s="3116"/>
      <c r="L29" s="2702"/>
      <c r="M29" s="1946"/>
      <c r="N29" s="1946"/>
      <c r="O29" s="2615"/>
      <c r="P29" s="2615"/>
      <c r="Q29" s="2615"/>
      <c r="R29" s="2615"/>
      <c r="S29" s="2615"/>
      <c r="T29" s="2615"/>
      <c r="U29" s="2615"/>
      <c r="V29" s="2615"/>
      <c r="W29" s="2615"/>
    </row>
    <row r="30" spans="1:23" s="583" customFormat="1" ht="18.75" customHeight="1" x14ac:dyDescent="0.25">
      <c r="A30" s="3534">
        <v>1</v>
      </c>
      <c r="B30" s="3535" t="s">
        <v>26</v>
      </c>
      <c r="C30" s="3536">
        <f>C31+C38+C45</f>
        <v>12742000</v>
      </c>
      <c r="D30" s="3537">
        <f>D31+D38+D45</f>
        <v>14145817</v>
      </c>
      <c r="E30" s="3536">
        <f t="shared" si="2"/>
        <v>1403817</v>
      </c>
      <c r="F30" s="3538">
        <f t="shared" si="0"/>
        <v>1.1101724219117879</v>
      </c>
      <c r="G30" s="2597"/>
      <c r="H30" s="2599"/>
      <c r="J30" s="3113"/>
      <c r="K30" s="2615"/>
      <c r="L30" s="2602"/>
      <c r="M30" s="2615"/>
      <c r="N30" s="2615"/>
      <c r="O30" s="2615"/>
      <c r="P30" s="2615"/>
      <c r="Q30" s="2615"/>
      <c r="R30" s="2615"/>
      <c r="S30" s="2615"/>
      <c r="T30" s="2615"/>
      <c r="U30" s="2615"/>
      <c r="V30" s="2615"/>
      <c r="W30" s="2615"/>
    </row>
    <row r="31" spans="1:23" s="583" customFormat="1" ht="18.75" customHeight="1" x14ac:dyDescent="0.25">
      <c r="A31" s="3534" t="s">
        <v>851</v>
      </c>
      <c r="B31" s="3535" t="s">
        <v>3332</v>
      </c>
      <c r="C31" s="3536">
        <f>C32+C35</f>
        <v>722000</v>
      </c>
      <c r="D31" s="3537">
        <f>D32+D35</f>
        <v>604889</v>
      </c>
      <c r="E31" s="3536">
        <f t="shared" si="2"/>
        <v>-117111</v>
      </c>
      <c r="F31" s="3538">
        <f t="shared" si="0"/>
        <v>0.83779639889196678</v>
      </c>
      <c r="H31" s="2599"/>
      <c r="J31" s="2388"/>
      <c r="K31" s="2621"/>
      <c r="L31" s="2702"/>
      <c r="M31" s="1946"/>
      <c r="N31" s="1946"/>
      <c r="O31" s="2615"/>
      <c r="P31" s="2615"/>
      <c r="Q31" s="2615"/>
      <c r="R31" s="2615"/>
      <c r="S31" s="2615"/>
      <c r="T31" s="2615"/>
      <c r="U31" s="2615"/>
      <c r="V31" s="2615"/>
      <c r="W31" s="2615"/>
    </row>
    <row r="32" spans="1:23" s="589" customFormat="1" ht="18.75" customHeight="1" x14ac:dyDescent="0.25">
      <c r="A32" s="3530" t="s">
        <v>887</v>
      </c>
      <c r="B32" s="3540" t="s">
        <v>707</v>
      </c>
      <c r="C32" s="3541">
        <f>C33+C34</f>
        <v>0</v>
      </c>
      <c r="D32" s="3542"/>
      <c r="E32" s="3541">
        <f t="shared" si="2"/>
        <v>0</v>
      </c>
      <c r="F32" s="3539"/>
      <c r="H32" s="2598"/>
      <c r="J32" s="1480"/>
      <c r="K32" s="1946"/>
      <c r="L32" s="2702"/>
      <c r="M32" s="1946"/>
      <c r="N32" s="1946"/>
      <c r="O32" s="1946"/>
      <c r="P32" s="1946"/>
      <c r="Q32" s="1946"/>
      <c r="R32" s="1946"/>
      <c r="S32" s="1946"/>
      <c r="T32" s="1946"/>
      <c r="U32" s="1946"/>
      <c r="V32" s="1946"/>
      <c r="W32" s="1946"/>
    </row>
    <row r="33" spans="1:23" s="1916" customFormat="1" ht="18.75" hidden="1" customHeight="1" x14ac:dyDescent="0.25">
      <c r="A33" s="3543"/>
      <c r="B33" s="3544" t="s">
        <v>341</v>
      </c>
      <c r="C33" s="3545"/>
      <c r="D33" s="3546"/>
      <c r="E33" s="3541">
        <f t="shared" si="2"/>
        <v>0</v>
      </c>
      <c r="F33" s="3539" t="e">
        <f t="shared" si="0"/>
        <v>#DIV/0!</v>
      </c>
      <c r="H33" s="2600"/>
      <c r="J33" s="3114"/>
      <c r="K33" s="2911"/>
      <c r="L33" s="2703"/>
      <c r="M33" s="2911"/>
      <c r="N33" s="2911"/>
      <c r="O33" s="2911"/>
      <c r="P33" s="2911"/>
      <c r="Q33" s="2911"/>
      <c r="R33" s="2911"/>
      <c r="S33" s="2911"/>
      <c r="T33" s="2911"/>
      <c r="U33" s="2911"/>
      <c r="V33" s="2911"/>
      <c r="W33" s="2911"/>
    </row>
    <row r="34" spans="1:23" s="1916" customFormat="1" ht="18.75" hidden="1" customHeight="1" x14ac:dyDescent="0.25">
      <c r="A34" s="3543"/>
      <c r="B34" s="3544" t="s">
        <v>2298</v>
      </c>
      <c r="C34" s="3545"/>
      <c r="D34" s="3546"/>
      <c r="E34" s="3541">
        <f t="shared" si="2"/>
        <v>0</v>
      </c>
      <c r="F34" s="3539" t="e">
        <f t="shared" si="0"/>
        <v>#DIV/0!</v>
      </c>
      <c r="H34" s="2600"/>
      <c r="J34" s="3114"/>
      <c r="K34" s="2911"/>
      <c r="L34" s="2703"/>
      <c r="M34" s="2911"/>
      <c r="N34" s="2911"/>
      <c r="O34" s="2911"/>
      <c r="P34" s="2911"/>
      <c r="Q34" s="2911"/>
      <c r="R34" s="2911"/>
      <c r="S34" s="2911"/>
      <c r="T34" s="2911"/>
      <c r="U34" s="2911"/>
      <c r="V34" s="2911"/>
      <c r="W34" s="2911"/>
    </row>
    <row r="35" spans="1:23" s="589" customFormat="1" ht="21.75" customHeight="1" x14ac:dyDescent="0.25">
      <c r="A35" s="3530" t="s">
        <v>888</v>
      </c>
      <c r="B35" s="3547" t="s">
        <v>1471</v>
      </c>
      <c r="C35" s="3541">
        <f>C36+C37</f>
        <v>722000</v>
      </c>
      <c r="D35" s="3542">
        <v>604889</v>
      </c>
      <c r="E35" s="3541">
        <f t="shared" si="2"/>
        <v>-117111</v>
      </c>
      <c r="F35" s="3539">
        <f t="shared" si="0"/>
        <v>0.83779639889196678</v>
      </c>
      <c r="H35" s="2598"/>
      <c r="J35" s="1480"/>
      <c r="K35" s="1946"/>
      <c r="L35" s="2702"/>
      <c r="M35" s="1946"/>
      <c r="N35" s="1946"/>
      <c r="O35" s="1946"/>
      <c r="P35" s="1946"/>
      <c r="Q35" s="1946"/>
      <c r="R35" s="1946"/>
      <c r="S35" s="1946"/>
      <c r="T35" s="1946"/>
      <c r="U35" s="1946"/>
      <c r="V35" s="1946"/>
      <c r="W35" s="1946"/>
    </row>
    <row r="36" spans="1:23" s="1916" customFormat="1" ht="21.75" hidden="1" customHeight="1" x14ac:dyDescent="0.25">
      <c r="A36" s="3543"/>
      <c r="B36" s="3544" t="s">
        <v>341</v>
      </c>
      <c r="C36" s="3545">
        <v>696833</v>
      </c>
      <c r="D36" s="3546"/>
      <c r="E36" s="3545">
        <f t="shared" si="2"/>
        <v>-696833</v>
      </c>
      <c r="F36" s="3539">
        <f t="shared" si="0"/>
        <v>0</v>
      </c>
      <c r="H36" s="2600"/>
      <c r="J36" s="3114"/>
      <c r="K36" s="2911"/>
      <c r="L36" s="2703"/>
      <c r="M36" s="2911"/>
      <c r="N36" s="2911"/>
      <c r="O36" s="2911"/>
      <c r="P36" s="2911"/>
      <c r="Q36" s="2911"/>
      <c r="R36" s="2911"/>
      <c r="S36" s="2911"/>
      <c r="T36" s="2911"/>
      <c r="U36" s="2911"/>
      <c r="V36" s="2911"/>
      <c r="W36" s="2911"/>
    </row>
    <row r="37" spans="1:23" s="1916" customFormat="1" ht="21.75" hidden="1" customHeight="1" x14ac:dyDescent="0.25">
      <c r="A37" s="3543"/>
      <c r="B37" s="3544" t="s">
        <v>2298</v>
      </c>
      <c r="C37" s="3545">
        <v>25167</v>
      </c>
      <c r="D37" s="3546"/>
      <c r="E37" s="3545">
        <f t="shared" si="2"/>
        <v>-25167</v>
      </c>
      <c r="F37" s="3539">
        <f t="shared" si="0"/>
        <v>0</v>
      </c>
      <c r="H37" s="2600"/>
      <c r="J37" s="3114"/>
      <c r="K37" s="2911"/>
      <c r="L37" s="2703"/>
      <c r="M37" s="2911"/>
      <c r="N37" s="2911"/>
      <c r="O37" s="2911"/>
      <c r="P37" s="2911"/>
      <c r="Q37" s="2911"/>
      <c r="R37" s="2911"/>
      <c r="S37" s="2911"/>
      <c r="T37" s="2911"/>
      <c r="U37" s="2911"/>
      <c r="V37" s="2911"/>
      <c r="W37" s="2911"/>
    </row>
    <row r="38" spans="1:23" s="583" customFormat="1" ht="31.5" customHeight="1" x14ac:dyDescent="0.25">
      <c r="A38" s="3534" t="s">
        <v>897</v>
      </c>
      <c r="B38" s="3535" t="s">
        <v>3333</v>
      </c>
      <c r="C38" s="3536">
        <f>C39+C42</f>
        <v>3631000</v>
      </c>
      <c r="D38" s="3537">
        <f>D39+D42</f>
        <v>5742395</v>
      </c>
      <c r="E38" s="3536">
        <f t="shared" si="2"/>
        <v>2111395</v>
      </c>
      <c r="F38" s="3538">
        <f t="shared" si="0"/>
        <v>1.5814913247039384</v>
      </c>
      <c r="H38" s="2599"/>
      <c r="J38" s="2388"/>
      <c r="K38" s="1946"/>
      <c r="L38" s="2702"/>
      <c r="M38" s="1946"/>
      <c r="N38" s="1946"/>
      <c r="O38" s="2615"/>
      <c r="P38" s="2615"/>
      <c r="Q38" s="2615"/>
      <c r="R38" s="2615"/>
      <c r="S38" s="2615"/>
      <c r="T38" s="2615"/>
      <c r="U38" s="2615"/>
      <c r="V38" s="2615"/>
      <c r="W38" s="2615"/>
    </row>
    <row r="39" spans="1:23" s="589" customFormat="1" ht="18.75" customHeight="1" x14ac:dyDescent="0.25">
      <c r="A39" s="3530" t="s">
        <v>887</v>
      </c>
      <c r="B39" s="3540" t="s">
        <v>707</v>
      </c>
      <c r="C39" s="3541">
        <f>C40+C41</f>
        <v>2218000</v>
      </c>
      <c r="D39" s="3542">
        <v>4800791</v>
      </c>
      <c r="E39" s="3541">
        <f t="shared" si="2"/>
        <v>2582791</v>
      </c>
      <c r="F39" s="3539">
        <f t="shared" si="0"/>
        <v>2.1644684400360683</v>
      </c>
      <c r="H39" s="2598"/>
      <c r="J39" s="1480"/>
      <c r="K39" s="1946"/>
      <c r="L39" s="2702"/>
      <c r="M39" s="1946"/>
      <c r="N39" s="1946"/>
      <c r="O39" s="1946"/>
      <c r="P39" s="1946"/>
      <c r="Q39" s="1946"/>
      <c r="R39" s="1946"/>
      <c r="S39" s="1946"/>
      <c r="T39" s="1946"/>
      <c r="U39" s="1946"/>
      <c r="V39" s="1946"/>
      <c r="W39" s="1946"/>
    </row>
    <row r="40" spans="1:23" s="1916" customFormat="1" ht="18.75" hidden="1" customHeight="1" x14ac:dyDescent="0.25">
      <c r="A40" s="3543"/>
      <c r="B40" s="3544" t="s">
        <v>341</v>
      </c>
      <c r="C40" s="3545">
        <v>2131000</v>
      </c>
      <c r="D40" s="3548"/>
      <c r="E40" s="3545">
        <f t="shared" si="2"/>
        <v>-2131000</v>
      </c>
      <c r="F40" s="3539">
        <f t="shared" si="0"/>
        <v>0</v>
      </c>
      <c r="H40" s="2600"/>
      <c r="J40" s="3114"/>
      <c r="K40" s="2911"/>
      <c r="L40" s="2703"/>
      <c r="M40" s="2911"/>
      <c r="N40" s="2911"/>
      <c r="O40" s="2911"/>
      <c r="P40" s="2911"/>
      <c r="Q40" s="2911"/>
      <c r="R40" s="2911"/>
      <c r="S40" s="2911"/>
      <c r="T40" s="2911"/>
      <c r="U40" s="2911"/>
      <c r="V40" s="2911"/>
      <c r="W40" s="2911"/>
    </row>
    <row r="41" spans="1:23" s="1916" customFormat="1" ht="18.75" hidden="1" customHeight="1" x14ac:dyDescent="0.25">
      <c r="A41" s="3543"/>
      <c r="B41" s="3544" t="s">
        <v>2298</v>
      </c>
      <c r="C41" s="3545">
        <v>87000</v>
      </c>
      <c r="D41" s="3548"/>
      <c r="E41" s="3545">
        <f t="shared" si="2"/>
        <v>-87000</v>
      </c>
      <c r="F41" s="3539">
        <f t="shared" si="0"/>
        <v>0</v>
      </c>
      <c r="H41" s="2600"/>
      <c r="J41" s="3114"/>
      <c r="K41" s="2911"/>
      <c r="L41" s="2703"/>
      <c r="M41" s="2911"/>
      <c r="N41" s="2911"/>
      <c r="O41" s="2911"/>
      <c r="P41" s="2911"/>
      <c r="Q41" s="2911"/>
      <c r="R41" s="2911"/>
      <c r="S41" s="2911"/>
      <c r="T41" s="2911"/>
      <c r="U41" s="2911"/>
      <c r="V41" s="2911"/>
      <c r="W41" s="2911"/>
    </row>
    <row r="42" spans="1:23" s="589" customFormat="1" ht="18.75" customHeight="1" x14ac:dyDescent="0.25">
      <c r="A42" s="3530" t="s">
        <v>888</v>
      </c>
      <c r="B42" s="3540" t="s">
        <v>1471</v>
      </c>
      <c r="C42" s="3541">
        <f>C43+C44</f>
        <v>1413000</v>
      </c>
      <c r="D42" s="3549">
        <v>941604</v>
      </c>
      <c r="E42" s="3541">
        <f t="shared" si="2"/>
        <v>-471396</v>
      </c>
      <c r="F42" s="3539">
        <f t="shared" si="0"/>
        <v>0.66638641188959657</v>
      </c>
      <c r="G42" s="1928"/>
      <c r="H42" s="1480"/>
      <c r="J42" s="1480"/>
      <c r="K42" s="2702"/>
      <c r="L42" s="2702"/>
      <c r="M42" s="1946"/>
      <c r="N42" s="1946"/>
      <c r="O42" s="1946"/>
      <c r="P42" s="1946"/>
      <c r="Q42" s="1946"/>
      <c r="R42" s="1946"/>
      <c r="S42" s="1946"/>
      <c r="T42" s="1946"/>
      <c r="U42" s="1946"/>
      <c r="V42" s="1946"/>
      <c r="W42" s="1946"/>
    </row>
    <row r="43" spans="1:23" s="1916" customFormat="1" ht="18.75" customHeight="1" x14ac:dyDescent="0.25">
      <c r="A43" s="3543"/>
      <c r="B43" s="3544" t="s">
        <v>341</v>
      </c>
      <c r="C43" s="3545">
        <v>1345000</v>
      </c>
      <c r="D43" s="3548"/>
      <c r="E43" s="3545">
        <f t="shared" si="2"/>
        <v>-1345000</v>
      </c>
      <c r="F43" s="3539">
        <f t="shared" si="0"/>
        <v>0</v>
      </c>
      <c r="H43" s="2972"/>
      <c r="J43" s="3114"/>
      <c r="K43" s="2703"/>
      <c r="L43" s="2703"/>
      <c r="M43" s="2911"/>
      <c r="N43" s="2911"/>
      <c r="O43" s="2911"/>
      <c r="P43" s="2911"/>
      <c r="Q43" s="2911"/>
      <c r="R43" s="2911"/>
      <c r="S43" s="2911"/>
      <c r="T43" s="2911"/>
      <c r="U43" s="2911"/>
      <c r="V43" s="2911"/>
      <c r="W43" s="2911"/>
    </row>
    <row r="44" spans="1:23" s="2504" customFormat="1" ht="18.75" customHeight="1" x14ac:dyDescent="0.25">
      <c r="A44" s="3550"/>
      <c r="B44" s="3544" t="s">
        <v>2298</v>
      </c>
      <c r="C44" s="3545">
        <v>68000</v>
      </c>
      <c r="D44" s="3548"/>
      <c r="E44" s="3545">
        <f t="shared" si="2"/>
        <v>-68000</v>
      </c>
      <c r="F44" s="3539">
        <f t="shared" si="0"/>
        <v>0</v>
      </c>
      <c r="H44" s="2601"/>
      <c r="J44" s="3115"/>
      <c r="K44" s="2911"/>
      <c r="L44" s="2703"/>
      <c r="M44" s="2911"/>
      <c r="N44" s="2911"/>
      <c r="O44" s="3117"/>
      <c r="P44" s="3117"/>
      <c r="Q44" s="3117"/>
      <c r="R44" s="3117"/>
      <c r="S44" s="3117"/>
      <c r="T44" s="3117"/>
      <c r="U44" s="3117"/>
      <c r="V44" s="3117"/>
      <c r="W44" s="3117"/>
    </row>
    <row r="45" spans="1:23" s="583" customFormat="1" ht="33.75" customHeight="1" x14ac:dyDescent="0.25">
      <c r="A45" s="3534" t="s">
        <v>898</v>
      </c>
      <c r="B45" s="3535" t="s">
        <v>3334</v>
      </c>
      <c r="C45" s="3536">
        <f>C46+C49</f>
        <v>8389000</v>
      </c>
      <c r="D45" s="3551">
        <f>D46+D49</f>
        <v>7798533</v>
      </c>
      <c r="E45" s="3536">
        <f t="shared" si="2"/>
        <v>-590467</v>
      </c>
      <c r="F45" s="3538">
        <f t="shared" si="0"/>
        <v>0.9296141375610919</v>
      </c>
      <c r="H45" s="2337"/>
      <c r="J45" s="2388"/>
      <c r="K45" s="1946"/>
      <c r="L45" s="2702"/>
      <c r="M45" s="1946"/>
      <c r="N45" s="1946"/>
      <c r="O45" s="2615"/>
      <c r="P45" s="2615"/>
      <c r="Q45" s="2615"/>
      <c r="R45" s="2615"/>
      <c r="S45" s="2615"/>
      <c r="T45" s="2615"/>
      <c r="U45" s="2615"/>
      <c r="V45" s="2615"/>
      <c r="W45" s="2615"/>
    </row>
    <row r="46" spans="1:23" s="589" customFormat="1" ht="18.75" customHeight="1" x14ac:dyDescent="0.25">
      <c r="A46" s="3530" t="s">
        <v>887</v>
      </c>
      <c r="B46" s="3540" t="s">
        <v>707</v>
      </c>
      <c r="C46" s="3541">
        <f>C47+C48</f>
        <v>308000</v>
      </c>
      <c r="D46" s="3549">
        <f>D47+D48</f>
        <v>308000</v>
      </c>
      <c r="E46" s="3541">
        <f t="shared" si="2"/>
        <v>0</v>
      </c>
      <c r="F46" s="3539">
        <f t="shared" si="0"/>
        <v>1</v>
      </c>
      <c r="H46" s="1710"/>
      <c r="J46" s="1480"/>
      <c r="K46" s="1946"/>
      <c r="L46" s="2702"/>
      <c r="M46" s="1946"/>
      <c r="N46" s="1946"/>
      <c r="O46" s="1946"/>
      <c r="P46" s="1946"/>
      <c r="Q46" s="1946"/>
      <c r="R46" s="1946"/>
      <c r="S46" s="1946"/>
      <c r="T46" s="1946"/>
      <c r="U46" s="1946"/>
      <c r="V46" s="1946"/>
      <c r="W46" s="1946"/>
    </row>
    <row r="47" spans="1:23" s="1916" customFormat="1" ht="18.75" hidden="1" customHeight="1" x14ac:dyDescent="0.25">
      <c r="A47" s="3543"/>
      <c r="B47" s="3544" t="s">
        <v>341</v>
      </c>
      <c r="C47" s="3545">
        <v>280000</v>
      </c>
      <c r="D47" s="3548">
        <v>280000</v>
      </c>
      <c r="E47" s="3545">
        <f t="shared" si="2"/>
        <v>0</v>
      </c>
      <c r="F47" s="3539">
        <f t="shared" si="0"/>
        <v>1</v>
      </c>
      <c r="H47" s="2601"/>
      <c r="J47" s="3114"/>
      <c r="K47" s="2911"/>
      <c r="L47" s="2703"/>
      <c r="M47" s="2911"/>
      <c r="N47" s="2911"/>
      <c r="O47" s="2911"/>
      <c r="P47" s="2911"/>
      <c r="Q47" s="2911"/>
      <c r="R47" s="2911"/>
      <c r="S47" s="2911"/>
      <c r="T47" s="2911"/>
      <c r="U47" s="2911"/>
      <c r="V47" s="2911"/>
      <c r="W47" s="2911"/>
    </row>
    <row r="48" spans="1:23" s="1916" customFormat="1" ht="18.75" hidden="1" customHeight="1" x14ac:dyDescent="0.25">
      <c r="A48" s="3543"/>
      <c r="B48" s="3544" t="s">
        <v>2298</v>
      </c>
      <c r="C48" s="3545">
        <v>28000</v>
      </c>
      <c r="D48" s="3548">
        <v>28000</v>
      </c>
      <c r="E48" s="3545">
        <f t="shared" si="2"/>
        <v>0</v>
      </c>
      <c r="F48" s="3539">
        <f t="shared" si="0"/>
        <v>1</v>
      </c>
      <c r="H48" s="2601"/>
      <c r="J48" s="3114"/>
      <c r="K48" s="2911"/>
      <c r="L48" s="2703"/>
      <c r="M48" s="2911"/>
      <c r="N48" s="2911"/>
      <c r="O48" s="2911"/>
      <c r="P48" s="2911"/>
      <c r="Q48" s="2911"/>
      <c r="R48" s="2911"/>
      <c r="S48" s="2911"/>
      <c r="T48" s="2911"/>
      <c r="U48" s="2911"/>
      <c r="V48" s="2911"/>
      <c r="W48" s="2911"/>
    </row>
    <row r="49" spans="1:23" s="589" customFormat="1" ht="18.75" customHeight="1" x14ac:dyDescent="0.25">
      <c r="A49" s="3530" t="s">
        <v>888</v>
      </c>
      <c r="B49" s="3540" t="s">
        <v>1471</v>
      </c>
      <c r="C49" s="3541">
        <f>C50+C51</f>
        <v>8081000</v>
      </c>
      <c r="D49" s="3542">
        <v>7490533</v>
      </c>
      <c r="E49" s="3541">
        <f t="shared" si="2"/>
        <v>-590467</v>
      </c>
      <c r="F49" s="3539">
        <f t="shared" si="0"/>
        <v>0.92693144412820194</v>
      </c>
      <c r="H49" s="1710"/>
      <c r="J49" s="1480"/>
      <c r="K49" s="1946"/>
      <c r="L49" s="2702"/>
      <c r="M49" s="1946"/>
      <c r="N49" s="1946"/>
      <c r="O49" s="1946"/>
      <c r="P49" s="1946"/>
      <c r="Q49" s="1946"/>
      <c r="R49" s="1946"/>
      <c r="S49" s="1946"/>
      <c r="T49" s="1946"/>
      <c r="U49" s="1946"/>
      <c r="V49" s="1946"/>
      <c r="W49" s="1946"/>
    </row>
    <row r="50" spans="1:23" s="1916" customFormat="1" ht="18.75" customHeight="1" x14ac:dyDescent="0.25">
      <c r="A50" s="3543"/>
      <c r="B50" s="3544" t="s">
        <v>341</v>
      </c>
      <c r="C50" s="3545">
        <v>7835000</v>
      </c>
      <c r="D50" s="3546"/>
      <c r="E50" s="3545">
        <f t="shared" si="2"/>
        <v>-7835000</v>
      </c>
      <c r="F50" s="3539">
        <f t="shared" si="0"/>
        <v>0</v>
      </c>
      <c r="H50" s="2601"/>
      <c r="J50" s="3114"/>
      <c r="K50" s="2911"/>
      <c r="L50" s="2703"/>
      <c r="M50" s="2911"/>
      <c r="N50" s="2911"/>
      <c r="O50" s="2911"/>
      <c r="P50" s="2911"/>
      <c r="Q50" s="2911"/>
      <c r="R50" s="2911"/>
      <c r="S50" s="2911"/>
      <c r="T50" s="2911"/>
      <c r="U50" s="2911"/>
      <c r="V50" s="2911"/>
      <c r="W50" s="2911"/>
    </row>
    <row r="51" spans="1:23" s="1916" customFormat="1" ht="18.75" customHeight="1" x14ac:dyDescent="0.25">
      <c r="A51" s="3543"/>
      <c r="B51" s="3544" t="s">
        <v>2298</v>
      </c>
      <c r="C51" s="3545">
        <v>246000</v>
      </c>
      <c r="D51" s="3546"/>
      <c r="E51" s="3545">
        <f t="shared" si="2"/>
        <v>-246000</v>
      </c>
      <c r="F51" s="3539">
        <f t="shared" si="0"/>
        <v>0</v>
      </c>
      <c r="H51" s="2601"/>
      <c r="J51" s="3114"/>
      <c r="K51" s="2911"/>
      <c r="L51" s="2703"/>
      <c r="M51" s="2911"/>
      <c r="N51" s="2911"/>
      <c r="O51" s="2911"/>
      <c r="P51" s="2911"/>
      <c r="Q51" s="2911"/>
      <c r="R51" s="2911"/>
      <c r="S51" s="2911"/>
      <c r="T51" s="2911"/>
      <c r="U51" s="2911"/>
      <c r="V51" s="2911"/>
      <c r="W51" s="2911"/>
    </row>
    <row r="52" spans="1:23" s="583" customFormat="1" ht="24" customHeight="1" x14ac:dyDescent="0.25">
      <c r="A52" s="3552">
        <v>2</v>
      </c>
      <c r="B52" s="3553" t="s">
        <v>27</v>
      </c>
      <c r="C52" s="3536">
        <f>SUM(C53:C55)</f>
        <v>333000</v>
      </c>
      <c r="D52" s="3537">
        <f>SUM(D53:D55)</f>
        <v>174639.1</v>
      </c>
      <c r="E52" s="3536">
        <f>D52-C52</f>
        <v>-158360.9</v>
      </c>
      <c r="F52" s="3538">
        <f t="shared" si="0"/>
        <v>0.52444174174174174</v>
      </c>
      <c r="G52" s="2708"/>
      <c r="H52" s="2709"/>
      <c r="K52" s="2615"/>
      <c r="L52" s="2615"/>
      <c r="M52" s="2615"/>
      <c r="N52" s="2615"/>
      <c r="O52" s="2615"/>
      <c r="P52" s="2615"/>
      <c r="Q52" s="2615"/>
      <c r="R52" s="2615"/>
      <c r="S52" s="2615"/>
      <c r="T52" s="2615"/>
      <c r="U52" s="2615"/>
      <c r="V52" s="2615"/>
      <c r="W52" s="2615"/>
    </row>
    <row r="53" spans="1:23" s="589" customFormat="1" ht="32.25" customHeight="1" x14ac:dyDescent="0.25">
      <c r="A53" s="3554">
        <v>1</v>
      </c>
      <c r="B53" s="3272" t="s">
        <v>3567</v>
      </c>
      <c r="C53" s="3541">
        <v>50000</v>
      </c>
      <c r="D53" s="3542">
        <v>50000</v>
      </c>
      <c r="E53" s="3541">
        <f>D53-C53</f>
        <v>0</v>
      </c>
      <c r="F53" s="3539">
        <f t="shared" si="0"/>
        <v>1</v>
      </c>
      <c r="G53" s="2397"/>
      <c r="H53" s="2396"/>
      <c r="K53" s="1946"/>
      <c r="L53" s="1946"/>
      <c r="M53" s="1946"/>
      <c r="N53" s="1946"/>
      <c r="O53" s="1946"/>
      <c r="P53" s="1946"/>
      <c r="Q53" s="1946"/>
      <c r="R53" s="1946"/>
      <c r="S53" s="1946"/>
      <c r="T53" s="1946"/>
      <c r="U53" s="1946"/>
      <c r="V53" s="1946"/>
      <c r="W53" s="1946"/>
    </row>
    <row r="54" spans="1:23" s="589" customFormat="1" ht="32.25" customHeight="1" x14ac:dyDescent="0.25">
      <c r="A54" s="3554">
        <v>2</v>
      </c>
      <c r="B54" s="3272" t="s">
        <v>3568</v>
      </c>
      <c r="C54" s="3541">
        <v>83000</v>
      </c>
      <c r="D54" s="3542">
        <v>83000</v>
      </c>
      <c r="E54" s="3541">
        <f t="shared" ref="E54:E55" si="3">D54-C54</f>
        <v>0</v>
      </c>
      <c r="F54" s="3539">
        <f t="shared" si="0"/>
        <v>1</v>
      </c>
      <c r="G54" s="2397"/>
      <c r="H54" s="2396"/>
      <c r="K54" s="1946"/>
      <c r="L54" s="1946"/>
      <c r="M54" s="1946"/>
      <c r="N54" s="1946"/>
      <c r="O54" s="1946"/>
      <c r="P54" s="1946"/>
      <c r="Q54" s="1946"/>
      <c r="R54" s="1946"/>
      <c r="S54" s="1946"/>
      <c r="T54" s="1946"/>
      <c r="U54" s="1946"/>
      <c r="V54" s="1946"/>
      <c r="W54" s="1946"/>
    </row>
    <row r="55" spans="1:23" s="1708" customFormat="1" ht="24" customHeight="1" x14ac:dyDescent="0.25">
      <c r="A55" s="3554">
        <v>3</v>
      </c>
      <c r="B55" s="3272" t="s">
        <v>3569</v>
      </c>
      <c r="C55" s="3541">
        <v>200000</v>
      </c>
      <c r="D55" s="3542">
        <v>41639.1</v>
      </c>
      <c r="E55" s="3541">
        <f t="shared" si="3"/>
        <v>-158360.9</v>
      </c>
      <c r="F55" s="3539">
        <f t="shared" si="0"/>
        <v>0.20819550000000001</v>
      </c>
      <c r="K55" s="2912"/>
      <c r="L55" s="2610"/>
      <c r="M55" s="2610"/>
      <c r="N55" s="2610"/>
      <c r="O55" s="2610"/>
      <c r="P55" s="2610"/>
      <c r="Q55" s="2610"/>
      <c r="R55" s="2610"/>
      <c r="S55" s="2610"/>
      <c r="T55" s="2610"/>
      <c r="U55" s="2610"/>
      <c r="V55" s="2610"/>
      <c r="W55" s="2610"/>
    </row>
    <row r="56" spans="1:23" s="1708" customFormat="1" ht="21.75" customHeight="1" x14ac:dyDescent="0.25">
      <c r="A56" s="3534" t="s">
        <v>873</v>
      </c>
      <c r="B56" s="3535" t="s">
        <v>925</v>
      </c>
      <c r="C56" s="3536"/>
      <c r="D56" s="3537">
        <v>16709787.557000002</v>
      </c>
      <c r="E56" s="3536">
        <v>16709787.557000002</v>
      </c>
      <c r="F56" s="3533"/>
      <c r="J56" s="2704"/>
      <c r="K56" s="2610"/>
      <c r="L56" s="2705"/>
      <c r="M56" s="2610"/>
      <c r="N56" s="2610"/>
      <c r="O56" s="2610"/>
      <c r="P56" s="2610"/>
      <c r="Q56" s="2610"/>
      <c r="R56" s="2610"/>
      <c r="S56" s="2610"/>
      <c r="T56" s="2610"/>
      <c r="U56" s="2610"/>
      <c r="V56" s="2610"/>
      <c r="W56" s="2610"/>
    </row>
    <row r="57" spans="1:23" s="1708" customFormat="1" ht="18.75" customHeight="1" x14ac:dyDescent="0.25">
      <c r="A57" s="3534" t="s">
        <v>904</v>
      </c>
      <c r="B57" s="3535" t="s">
        <v>727</v>
      </c>
      <c r="C57" s="3536"/>
      <c r="D57" s="3537">
        <f>D10-D21</f>
        <v>949151.08600001037</v>
      </c>
      <c r="E57" s="3536">
        <f>D57-C57</f>
        <v>949151.08600001037</v>
      </c>
      <c r="F57" s="3533"/>
      <c r="G57" s="2706" t="e">
        <f>#REF!</f>
        <v>#REF!</v>
      </c>
      <c r="J57" s="2704"/>
      <c r="K57" s="2913"/>
      <c r="L57" s="2707"/>
      <c r="M57" s="2610"/>
      <c r="N57" s="2610"/>
      <c r="O57" s="2610"/>
      <c r="P57" s="2610"/>
      <c r="Q57" s="2610"/>
      <c r="R57" s="2610"/>
      <c r="S57" s="2610"/>
      <c r="T57" s="2610"/>
      <c r="U57" s="2610"/>
      <c r="V57" s="2610"/>
      <c r="W57" s="2610"/>
    </row>
    <row r="58" spans="1:23" x14ac:dyDescent="0.25">
      <c r="A58" s="3482"/>
      <c r="B58" s="1707"/>
      <c r="C58" s="2732"/>
      <c r="D58" s="3120"/>
      <c r="E58" s="2401"/>
      <c r="F58" s="2401"/>
      <c r="K58" s="2914"/>
    </row>
    <row r="59" spans="1:23" hidden="1" x14ac:dyDescent="0.25">
      <c r="C59" s="4042" t="s">
        <v>3571</v>
      </c>
      <c r="D59" s="4042"/>
      <c r="E59" s="4042"/>
      <c r="F59" s="4042"/>
      <c r="K59" s="2915"/>
    </row>
    <row r="60" spans="1:23" hidden="1" x14ac:dyDescent="0.25">
      <c r="B60" s="3484" t="s">
        <v>3573</v>
      </c>
      <c r="C60" s="4122" t="s">
        <v>638</v>
      </c>
      <c r="D60" s="4122"/>
      <c r="E60" s="4122"/>
      <c r="F60" s="4122"/>
    </row>
    <row r="61" spans="1:23" hidden="1" x14ac:dyDescent="0.25">
      <c r="B61" s="3484" t="s">
        <v>807</v>
      </c>
      <c r="C61" s="4122" t="s">
        <v>639</v>
      </c>
      <c r="D61" s="4122"/>
      <c r="E61" s="4122"/>
      <c r="F61" s="4122"/>
    </row>
    <row r="62" spans="1:23" hidden="1" x14ac:dyDescent="0.25">
      <c r="B62" s="3484"/>
      <c r="C62" s="4042"/>
      <c r="D62" s="4042"/>
      <c r="E62" s="4042"/>
      <c r="F62" s="2882"/>
    </row>
    <row r="63" spans="1:23" hidden="1" x14ac:dyDescent="0.25">
      <c r="B63" s="3484"/>
      <c r="C63" s="3479"/>
      <c r="D63" s="2939"/>
      <c r="E63" s="3479"/>
      <c r="F63" s="2882"/>
    </row>
    <row r="64" spans="1:23" ht="36.75" hidden="1" customHeight="1" x14ac:dyDescent="0.25">
      <c r="B64" s="3484"/>
    </row>
    <row r="65" spans="1:23" hidden="1" x14ac:dyDescent="0.25">
      <c r="B65" s="3484"/>
    </row>
    <row r="66" spans="1:23" ht="15.75" hidden="1" customHeight="1" x14ac:dyDescent="0.25">
      <c r="A66" s="546"/>
      <c r="B66" s="3484"/>
      <c r="J66" s="546"/>
      <c r="K66" s="546"/>
      <c r="L66" s="546"/>
      <c r="M66" s="546"/>
      <c r="N66" s="546"/>
      <c r="O66" s="546"/>
      <c r="P66" s="546"/>
      <c r="Q66" s="546"/>
      <c r="R66" s="546"/>
      <c r="S66" s="546"/>
      <c r="T66" s="546"/>
      <c r="U66" s="546"/>
      <c r="V66" s="546"/>
      <c r="W66" s="546"/>
    </row>
    <row r="67" spans="1:23" ht="15.75" hidden="1" customHeight="1" x14ac:dyDescent="0.25">
      <c r="A67" s="546"/>
      <c r="B67" s="3484" t="s">
        <v>3574</v>
      </c>
      <c r="C67" s="4119" t="s">
        <v>3572</v>
      </c>
      <c r="D67" s="4119"/>
      <c r="E67" s="4119"/>
      <c r="F67" s="4119"/>
      <c r="J67" s="546"/>
      <c r="K67" s="546"/>
      <c r="L67" s="546"/>
      <c r="M67" s="546"/>
      <c r="N67" s="546"/>
      <c r="O67" s="546"/>
      <c r="P67" s="546"/>
      <c r="Q67" s="546"/>
      <c r="R67" s="546"/>
      <c r="S67" s="546"/>
      <c r="T67" s="546"/>
      <c r="U67" s="546"/>
      <c r="V67" s="546"/>
      <c r="W67" s="546"/>
    </row>
  </sheetData>
  <mergeCells count="15">
    <mergeCell ref="C67:F67"/>
    <mergeCell ref="C62:E62"/>
    <mergeCell ref="D1:F1"/>
    <mergeCell ref="A2:F2"/>
    <mergeCell ref="A4:F4"/>
    <mergeCell ref="A7:A8"/>
    <mergeCell ref="B7:B8"/>
    <mergeCell ref="C7:C8"/>
    <mergeCell ref="D7:D8"/>
    <mergeCell ref="E7:F7"/>
    <mergeCell ref="C59:F59"/>
    <mergeCell ref="C60:F60"/>
    <mergeCell ref="C61:F61"/>
    <mergeCell ref="A1:B1"/>
    <mergeCell ref="A3:F3"/>
  </mergeCells>
  <phoneticPr fontId="70" type="noConversion"/>
  <pageMargins left="0.66" right="0.2" top="0.59" bottom="0.42" header="0.4" footer="0.24"/>
  <pageSetup paperSize="9" scale="85" orientation="portrait" useFirstPageNumber="1"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K39"/>
  <sheetViews>
    <sheetView showWhiteSpace="0" zoomScaleNormal="100" zoomScaleSheetLayoutView="115" workbookViewId="0">
      <selection activeCell="A2" sqref="A2:E2"/>
    </sheetView>
  </sheetViews>
  <sheetFormatPr defaultColWidth="9.140625" defaultRowHeight="15" x14ac:dyDescent="0.25"/>
  <cols>
    <col min="1" max="1" width="8.140625" style="191" customWidth="1"/>
    <col min="2" max="2" width="44.28515625" style="191" customWidth="1"/>
    <col min="3" max="3" width="14.5703125" style="719" customWidth="1"/>
    <col min="4" max="4" width="14.5703125" style="1969" customWidth="1"/>
    <col min="5" max="5" width="14.5703125" style="542" customWidth="1"/>
    <col min="6" max="6" width="15.28515625" style="2604" bestFit="1" customWidth="1"/>
    <col min="7" max="7" width="18" style="2616" customWidth="1"/>
    <col min="8" max="8" width="12.5703125" style="2604" bestFit="1" customWidth="1"/>
    <col min="9" max="11" width="9.140625" style="2604"/>
    <col min="12" max="16384" width="9.140625" style="191"/>
  </cols>
  <sheetData>
    <row r="1" spans="1:11" ht="34.5" customHeight="1" x14ac:dyDescent="0.25">
      <c r="A1" s="4127" t="str">
        <f>'B48'!A1:B1</f>
        <v>UBND XÃ PHONG QUANG</v>
      </c>
      <c r="B1" s="4127"/>
      <c r="C1" s="4120" t="s">
        <v>4918</v>
      </c>
      <c r="D1" s="4128"/>
      <c r="E1" s="4128"/>
      <c r="F1" s="3414"/>
      <c r="H1" s="191"/>
      <c r="I1" s="191"/>
      <c r="J1" s="191"/>
      <c r="K1" s="191"/>
    </row>
    <row r="2" spans="1:11" ht="37.5" customHeight="1" x14ac:dyDescent="0.25">
      <c r="A2" s="4122" t="s">
        <v>4725</v>
      </c>
      <c r="B2" s="4122"/>
      <c r="C2" s="4122"/>
      <c r="D2" s="4122"/>
      <c r="E2" s="4122"/>
      <c r="H2" s="191"/>
      <c r="I2" s="191"/>
      <c r="J2" s="191"/>
      <c r="K2" s="191"/>
    </row>
    <row r="3" spans="1:11" ht="18.75" customHeight="1" x14ac:dyDescent="0.25">
      <c r="A3" s="4122" t="s">
        <v>4912</v>
      </c>
      <c r="B3" s="4122"/>
      <c r="C3" s="4122"/>
      <c r="D3" s="4122"/>
      <c r="E3" s="4122"/>
      <c r="H3" s="191"/>
      <c r="I3" s="191"/>
      <c r="J3" s="191"/>
      <c r="K3" s="191"/>
    </row>
    <row r="4" spans="1:11" ht="22.5" customHeight="1" x14ac:dyDescent="0.25">
      <c r="A4" s="4042" t="str">
        <f>'B48'!A4:F4</f>
        <v>(Kèm theo Quyết định số         /QĐ-UBND ngày      tháng 4 năm 2026 của UBND xã Phong Quang)</v>
      </c>
      <c r="B4" s="4042"/>
      <c r="C4" s="4042"/>
      <c r="D4" s="4042"/>
      <c r="E4" s="4042"/>
      <c r="H4" s="191"/>
      <c r="I4" s="191"/>
      <c r="J4" s="191"/>
      <c r="K4" s="191"/>
    </row>
    <row r="5" spans="1:11" ht="2.4500000000000002" hidden="1" customHeight="1" x14ac:dyDescent="0.25">
      <c r="A5" s="3479"/>
      <c r="B5" s="3479"/>
      <c r="C5" s="1183"/>
      <c r="D5" s="1968"/>
      <c r="E5" s="3479"/>
      <c r="H5" s="191"/>
      <c r="I5" s="191"/>
      <c r="J5" s="191"/>
      <c r="K5" s="191"/>
    </row>
    <row r="6" spans="1:11" ht="2.4500000000000002" hidden="1" customHeight="1" x14ac:dyDescent="0.25">
      <c r="A6" s="3479"/>
      <c r="B6" s="3479"/>
      <c r="C6" s="1183"/>
      <c r="D6" s="1968"/>
      <c r="E6" s="3479"/>
      <c r="H6" s="191"/>
      <c r="I6" s="191"/>
      <c r="J6" s="191"/>
      <c r="K6" s="191"/>
    </row>
    <row r="7" spans="1:11" ht="13.5" customHeight="1" x14ac:dyDescent="0.25">
      <c r="D7" s="4130" t="s">
        <v>3566</v>
      </c>
      <c r="E7" s="4130"/>
      <c r="H7" s="191"/>
      <c r="I7" s="191"/>
      <c r="J7" s="191"/>
      <c r="K7" s="191"/>
    </row>
    <row r="8" spans="1:11" ht="6.75" customHeight="1" x14ac:dyDescent="0.25">
      <c r="E8" s="543"/>
      <c r="H8" s="191"/>
      <c r="I8" s="191"/>
      <c r="J8" s="191"/>
      <c r="K8" s="191"/>
    </row>
    <row r="9" spans="1:11" ht="32.25" customHeight="1" x14ac:dyDescent="0.25">
      <c r="A9" s="3432" t="s">
        <v>844</v>
      </c>
      <c r="B9" s="3432" t="s">
        <v>845</v>
      </c>
      <c r="C9" s="3555" t="s">
        <v>3576</v>
      </c>
      <c r="D9" s="3556" t="s">
        <v>3577</v>
      </c>
      <c r="E9" s="3557" t="s">
        <v>28</v>
      </c>
      <c r="H9" s="191"/>
      <c r="I9" s="191"/>
      <c r="J9" s="191"/>
      <c r="K9" s="191"/>
    </row>
    <row r="10" spans="1:11" ht="24.75" customHeight="1" x14ac:dyDescent="0.25">
      <c r="A10" s="3432" t="s">
        <v>847</v>
      </c>
      <c r="B10" s="3432" t="s">
        <v>848</v>
      </c>
      <c r="C10" s="3558">
        <v>1</v>
      </c>
      <c r="D10" s="3559">
        <v>2</v>
      </c>
      <c r="E10" s="3559">
        <v>3</v>
      </c>
      <c r="H10" s="191"/>
      <c r="I10" s="191"/>
      <c r="J10" s="191"/>
      <c r="K10" s="191"/>
    </row>
    <row r="11" spans="1:11" ht="24.75" customHeight="1" x14ac:dyDescent="0.25">
      <c r="A11" s="3432"/>
      <c r="B11" s="3560" t="s">
        <v>3578</v>
      </c>
      <c r="C11" s="3558"/>
      <c r="D11" s="3561"/>
      <c r="E11" s="3559"/>
      <c r="H11" s="191"/>
      <c r="I11" s="191"/>
      <c r="J11" s="191"/>
      <c r="K11" s="191"/>
    </row>
    <row r="12" spans="1:11" ht="30.75" customHeight="1" x14ac:dyDescent="0.25">
      <c r="A12" s="3432" t="s">
        <v>849</v>
      </c>
      <c r="B12" s="3560" t="s">
        <v>29</v>
      </c>
      <c r="C12" s="3562">
        <f>C13+C14+C17+C18+C19+C20</f>
        <v>71341000</v>
      </c>
      <c r="D12" s="3563">
        <f>D13+D14+D17+D18+D19+D20</f>
        <v>111378162.743</v>
      </c>
      <c r="E12" s="3564">
        <f>D12/C12</f>
        <v>1.5612083198020774</v>
      </c>
      <c r="G12" s="2616" t="e">
        <f>C12+#REF!</f>
        <v>#REF!</v>
      </c>
      <c r="H12" s="191"/>
      <c r="I12" s="191"/>
      <c r="J12" s="191"/>
      <c r="K12" s="191"/>
    </row>
    <row r="13" spans="1:11" ht="30.75" customHeight="1" x14ac:dyDescent="0.25">
      <c r="A13" s="3565">
        <v>1</v>
      </c>
      <c r="B13" s="3566" t="s">
        <v>30</v>
      </c>
      <c r="C13" s="3567">
        <f>[1]B48!C10</f>
        <v>0</v>
      </c>
      <c r="D13" s="3568">
        <v>0</v>
      </c>
      <c r="E13" s="3564"/>
      <c r="G13" s="2616" t="s">
        <v>3356</v>
      </c>
      <c r="H13" s="191"/>
      <c r="I13" s="191"/>
      <c r="J13" s="191"/>
      <c r="K13" s="191"/>
    </row>
    <row r="14" spans="1:11" ht="30.75" customHeight="1" x14ac:dyDescent="0.25">
      <c r="A14" s="3565">
        <v>2</v>
      </c>
      <c r="B14" s="3566" t="s">
        <v>918</v>
      </c>
      <c r="C14" s="3567">
        <f>C15+C16</f>
        <v>71341000</v>
      </c>
      <c r="D14" s="3568">
        <f>D15+D16</f>
        <v>106238768.743</v>
      </c>
      <c r="E14" s="3564">
        <f t="shared" ref="E14:E22" si="0">D14/C14</f>
        <v>1.4891684829621115</v>
      </c>
      <c r="G14" s="2616" t="e">
        <f>C21+#REF!</f>
        <v>#REF!</v>
      </c>
      <c r="H14" s="191"/>
      <c r="I14" s="191"/>
      <c r="J14" s="191"/>
      <c r="K14" s="191"/>
    </row>
    <row r="15" spans="1:11" ht="30.75" customHeight="1" x14ac:dyDescent="0.25">
      <c r="A15" s="3565" t="s">
        <v>882</v>
      </c>
      <c r="B15" s="3566" t="s">
        <v>31</v>
      </c>
      <c r="C15" s="3567">
        <f>[1]B48!C14</f>
        <v>58266000</v>
      </c>
      <c r="D15" s="3568">
        <f>[1]B48!D14</f>
        <v>57862000</v>
      </c>
      <c r="E15" s="3564">
        <f t="shared" si="0"/>
        <v>0.99306628222290871</v>
      </c>
      <c r="G15" s="2616" t="e">
        <f>G21-G14</f>
        <v>#REF!</v>
      </c>
      <c r="H15" s="191"/>
      <c r="I15" s="191"/>
      <c r="J15" s="191"/>
      <c r="K15" s="191"/>
    </row>
    <row r="16" spans="1:11" ht="30.75" customHeight="1" x14ac:dyDescent="0.25">
      <c r="A16" s="3565" t="s">
        <v>882</v>
      </c>
      <c r="B16" s="3566" t="s">
        <v>457</v>
      </c>
      <c r="C16" s="3567">
        <f>[1]B48!C15</f>
        <v>13075000</v>
      </c>
      <c r="D16" s="3568">
        <f>[1]B48!D15</f>
        <v>48376768.743000001</v>
      </c>
      <c r="E16" s="3564">
        <f t="shared" si="0"/>
        <v>3.6999440721223711</v>
      </c>
      <c r="H16" s="191"/>
      <c r="I16" s="191"/>
      <c r="J16" s="191"/>
      <c r="K16" s="191"/>
    </row>
    <row r="17" spans="1:11" ht="30.75" customHeight="1" x14ac:dyDescent="0.25">
      <c r="A17" s="3565">
        <v>3</v>
      </c>
      <c r="B17" s="3566" t="s">
        <v>561</v>
      </c>
      <c r="C17" s="3567"/>
      <c r="D17" s="3568">
        <f>[1]B48!D16</f>
        <v>0</v>
      </c>
      <c r="E17" s="3564"/>
      <c r="H17" s="191"/>
      <c r="I17" s="191"/>
      <c r="J17" s="191"/>
      <c r="K17" s="191"/>
    </row>
    <row r="18" spans="1:11" ht="24.75" customHeight="1" x14ac:dyDescent="0.25">
      <c r="A18" s="3565">
        <v>4</v>
      </c>
      <c r="B18" s="3566" t="s">
        <v>921</v>
      </c>
      <c r="C18" s="3567"/>
      <c r="D18" s="3568">
        <f>[1]B48!D17</f>
        <v>1154897</v>
      </c>
      <c r="E18" s="3564"/>
    </row>
    <row r="19" spans="1:11" ht="24.75" customHeight="1" x14ac:dyDescent="0.25">
      <c r="A19" s="3565">
        <v>5</v>
      </c>
      <c r="B19" s="3566" t="s">
        <v>922</v>
      </c>
      <c r="C19" s="3567"/>
      <c r="D19" s="3568">
        <f>[1]B48!D18</f>
        <v>3984497</v>
      </c>
      <c r="E19" s="3564"/>
    </row>
    <row r="20" spans="1:11" ht="24.75" customHeight="1" x14ac:dyDescent="0.25">
      <c r="A20" s="3565">
        <v>6</v>
      </c>
      <c r="B20" s="3566" t="s">
        <v>984</v>
      </c>
      <c r="C20" s="3567"/>
      <c r="D20" s="3568"/>
      <c r="E20" s="3564"/>
    </row>
    <row r="21" spans="1:11" ht="24.75" customHeight="1" x14ac:dyDescent="0.25">
      <c r="A21" s="3432" t="s">
        <v>866</v>
      </c>
      <c r="B21" s="3560" t="s">
        <v>32</v>
      </c>
      <c r="C21" s="3563">
        <f>C22+C23+C24+C25</f>
        <v>71341000</v>
      </c>
      <c r="D21" s="3563">
        <f>D22+D23+D24+D25</f>
        <v>110429011.557</v>
      </c>
      <c r="E21" s="3564">
        <f t="shared" si="0"/>
        <v>1.5479038919695547</v>
      </c>
      <c r="F21" s="2604">
        <v>567084</v>
      </c>
      <c r="G21" s="2616">
        <f>C12-C21</f>
        <v>0</v>
      </c>
      <c r="H21" s="2617">
        <f>C21-C12</f>
        <v>0</v>
      </c>
    </row>
    <row r="22" spans="1:11" ht="24.75" customHeight="1" x14ac:dyDescent="0.25">
      <c r="A22" s="3565">
        <v>1</v>
      </c>
      <c r="B22" s="3566" t="s">
        <v>1505</v>
      </c>
      <c r="C22" s="3568">
        <f>C12-C23</f>
        <v>71341000</v>
      </c>
      <c r="D22" s="3568">
        <v>92634783</v>
      </c>
      <c r="E22" s="3564">
        <f t="shared" si="0"/>
        <v>1.2984788971278787</v>
      </c>
      <c r="F22" s="2617">
        <f>F21-C21</f>
        <v>-70773916</v>
      </c>
      <c r="G22" s="2616">
        <f>C12-C23</f>
        <v>71341000</v>
      </c>
    </row>
    <row r="23" spans="1:11" ht="24.75" customHeight="1" x14ac:dyDescent="0.25">
      <c r="A23" s="3565">
        <v>2</v>
      </c>
      <c r="B23" s="3566" t="s">
        <v>33</v>
      </c>
      <c r="C23" s="3569">
        <v>0</v>
      </c>
      <c r="D23" s="3570"/>
      <c r="E23" s="3564"/>
      <c r="G23" s="2616">
        <v>381369</v>
      </c>
      <c r="H23" s="2618">
        <f>C12-C21</f>
        <v>0</v>
      </c>
    </row>
    <row r="24" spans="1:11" ht="24.75" customHeight="1" x14ac:dyDescent="0.25">
      <c r="A24" s="3565">
        <v>3</v>
      </c>
      <c r="B24" s="3566" t="s">
        <v>562</v>
      </c>
      <c r="C24" s="3567"/>
      <c r="D24" s="3571">
        <v>1084441</v>
      </c>
      <c r="E24" s="3564"/>
      <c r="G24" s="2616">
        <v>89589.451000000001</v>
      </c>
      <c r="H24" s="2619">
        <f>C23-G24</f>
        <v>-89589.451000000001</v>
      </c>
    </row>
    <row r="25" spans="1:11" ht="24.75" customHeight="1" x14ac:dyDescent="0.25">
      <c r="A25" s="3565">
        <v>4</v>
      </c>
      <c r="B25" s="3566" t="s">
        <v>925</v>
      </c>
      <c r="C25" s="3567"/>
      <c r="D25" s="3568">
        <v>16709787.557000002</v>
      </c>
      <c r="E25" s="3564"/>
      <c r="F25" s="2617"/>
      <c r="G25" s="2616">
        <f>G24-C23</f>
        <v>89589.451000000001</v>
      </c>
    </row>
    <row r="26" spans="1:11" s="186" customFormat="1" ht="24.75" customHeight="1" x14ac:dyDescent="0.25">
      <c r="A26" s="3432" t="s">
        <v>872</v>
      </c>
      <c r="B26" s="3560" t="s">
        <v>729</v>
      </c>
      <c r="C26" s="3562"/>
      <c r="D26" s="3563">
        <f>D12-D21</f>
        <v>949151.18600000441</v>
      </c>
      <c r="E26" s="3529"/>
      <c r="F26" s="2620"/>
      <c r="G26" s="2973"/>
      <c r="H26" s="2975"/>
      <c r="I26" s="2620"/>
      <c r="J26" s="2620"/>
      <c r="K26" s="2620"/>
    </row>
    <row r="27" spans="1:11" ht="20.25" customHeight="1" x14ac:dyDescent="0.25">
      <c r="A27" s="544"/>
      <c r="F27" s="2619"/>
      <c r="G27" s="2974"/>
      <c r="H27" s="191"/>
      <c r="I27" s="191"/>
      <c r="J27" s="191"/>
      <c r="K27" s="191"/>
    </row>
    <row r="28" spans="1:11" ht="15.75" hidden="1" customHeight="1" x14ac:dyDescent="0.25">
      <c r="C28" s="3997" t="s">
        <v>3575</v>
      </c>
      <c r="D28" s="3997"/>
      <c r="E28" s="3997"/>
      <c r="G28" s="2974"/>
      <c r="H28" s="191"/>
      <c r="I28" s="191"/>
      <c r="J28" s="191"/>
      <c r="K28" s="191"/>
    </row>
    <row r="29" spans="1:11" ht="15.75" hidden="1" customHeight="1" x14ac:dyDescent="0.25">
      <c r="A29" s="4129" t="s">
        <v>3573</v>
      </c>
      <c r="B29" s="4129"/>
      <c r="C29" s="3998" t="s">
        <v>638</v>
      </c>
      <c r="D29" s="3998"/>
      <c r="E29" s="3998"/>
      <c r="G29" s="2974"/>
      <c r="H29" s="191"/>
      <c r="I29" s="191"/>
      <c r="J29" s="191"/>
      <c r="K29" s="191"/>
    </row>
    <row r="30" spans="1:11" ht="15.75" hidden="1" customHeight="1" x14ac:dyDescent="0.25">
      <c r="A30" s="4129" t="s">
        <v>807</v>
      </c>
      <c r="B30" s="4129"/>
      <c r="C30" s="3998" t="s">
        <v>639</v>
      </c>
      <c r="D30" s="3998"/>
      <c r="E30" s="3998"/>
      <c r="G30" s="2974"/>
      <c r="H30" s="191"/>
      <c r="I30" s="191"/>
      <c r="J30" s="191"/>
      <c r="K30" s="191"/>
    </row>
    <row r="31" spans="1:11" ht="15.75" hidden="1" customHeight="1" x14ac:dyDescent="0.25">
      <c r="A31" s="3483"/>
      <c r="B31" s="7"/>
      <c r="C31" s="3997"/>
      <c r="D31" s="3997"/>
      <c r="E31" s="3997"/>
      <c r="G31" s="2974"/>
      <c r="H31" s="191"/>
      <c r="I31" s="191"/>
      <c r="J31" s="191"/>
      <c r="K31" s="191"/>
    </row>
    <row r="32" spans="1:11" ht="15.75" hidden="1" customHeight="1" x14ac:dyDescent="0.25">
      <c r="A32" s="3483"/>
      <c r="B32" s="7"/>
      <c r="C32" s="3478"/>
      <c r="D32" s="2730"/>
      <c r="E32" s="3478"/>
      <c r="G32" s="2974"/>
      <c r="H32" s="191"/>
      <c r="I32" s="191"/>
      <c r="J32" s="191"/>
      <c r="K32" s="191"/>
    </row>
    <row r="33" spans="1:11" ht="15.75" hidden="1" customHeight="1" x14ac:dyDescent="0.25">
      <c r="A33" s="3483"/>
      <c r="B33" s="7"/>
      <c r="C33" s="3478"/>
      <c r="D33" s="2730"/>
      <c r="E33" s="3478"/>
      <c r="G33" s="2974"/>
      <c r="H33" s="191"/>
      <c r="I33" s="191"/>
      <c r="J33" s="191"/>
      <c r="K33" s="191"/>
    </row>
    <row r="34" spans="1:11" ht="19.5" hidden="1" customHeight="1" x14ac:dyDescent="0.25">
      <c r="A34" s="3483"/>
      <c r="B34" s="7"/>
      <c r="C34" s="718"/>
      <c r="D34" s="2027"/>
      <c r="E34" s="718"/>
      <c r="G34" s="2974"/>
      <c r="H34" s="191"/>
      <c r="I34" s="191"/>
      <c r="J34" s="191"/>
      <c r="K34" s="191"/>
    </row>
    <row r="35" spans="1:11" ht="15.75" hidden="1" x14ac:dyDescent="0.25">
      <c r="A35" s="3483"/>
      <c r="B35" s="7"/>
      <c r="C35" s="718"/>
      <c r="D35" s="2027"/>
      <c r="E35" s="718"/>
      <c r="G35" s="2974"/>
      <c r="H35" s="191"/>
      <c r="I35" s="191"/>
      <c r="J35" s="191"/>
      <c r="K35" s="191"/>
    </row>
    <row r="36" spans="1:11" ht="15.75" hidden="1" x14ac:dyDescent="0.25">
      <c r="A36" s="3483"/>
      <c r="B36" s="7"/>
      <c r="C36" s="718"/>
      <c r="D36" s="2027"/>
      <c r="E36" s="718"/>
      <c r="G36" s="2974"/>
      <c r="H36" s="191"/>
      <c r="I36" s="191"/>
      <c r="J36" s="191"/>
      <c r="K36" s="191"/>
    </row>
    <row r="37" spans="1:11" ht="15.75" hidden="1" x14ac:dyDescent="0.25">
      <c r="A37" s="3483"/>
      <c r="B37" s="7"/>
      <c r="C37" s="718"/>
      <c r="D37" s="2027"/>
      <c r="E37" s="718"/>
      <c r="G37" s="2974"/>
      <c r="H37" s="191"/>
      <c r="I37" s="191"/>
      <c r="J37" s="191"/>
      <c r="K37" s="191"/>
    </row>
    <row r="38" spans="1:11" ht="15.75" hidden="1" x14ac:dyDescent="0.25">
      <c r="A38" s="4129" t="s">
        <v>3574</v>
      </c>
      <c r="B38" s="4129"/>
      <c r="C38" s="3999" t="s">
        <v>3572</v>
      </c>
      <c r="D38" s="3999"/>
      <c r="E38" s="3999"/>
      <c r="G38" s="2974"/>
      <c r="H38" s="191"/>
      <c r="I38" s="191"/>
      <c r="J38" s="191"/>
      <c r="K38" s="191"/>
    </row>
    <row r="39" spans="1:11" x14ac:dyDescent="0.25">
      <c r="G39" s="2974"/>
      <c r="H39" s="191"/>
      <c r="I39" s="191"/>
      <c r="J39" s="191"/>
      <c r="K39" s="191"/>
    </row>
  </sheetData>
  <mergeCells count="14">
    <mergeCell ref="C1:E1"/>
    <mergeCell ref="C38:E38"/>
    <mergeCell ref="A29:B29"/>
    <mergeCell ref="A30:B30"/>
    <mergeCell ref="A38:B38"/>
    <mergeCell ref="C31:E31"/>
    <mergeCell ref="A2:E2"/>
    <mergeCell ref="A4:E4"/>
    <mergeCell ref="C28:E28"/>
    <mergeCell ref="C29:E29"/>
    <mergeCell ref="C30:E30"/>
    <mergeCell ref="D7:E7"/>
    <mergeCell ref="A1:B1"/>
    <mergeCell ref="A3:E3"/>
  </mergeCells>
  <phoneticPr fontId="70" type="noConversion"/>
  <pageMargins left="0.8" right="0.27" top="0.28999999999999998" bottom="0.5" header="0.31496062992126" footer="0.31496062992126"/>
  <pageSetup paperSize="9" scale="90" firstPageNumber="157" orientation="portrait" useFirstPageNumber="1" r:id="rId1"/>
  <headerFooter>
    <oddHeader xml:space="preserve">&amp;R                    
</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FF00"/>
  </sheetPr>
  <dimension ref="A1:L54"/>
  <sheetViews>
    <sheetView zoomScaleNormal="100" workbookViewId="0">
      <selection activeCell="A3" sqref="A3:H3"/>
    </sheetView>
  </sheetViews>
  <sheetFormatPr defaultColWidth="9.140625" defaultRowHeight="15.75" x14ac:dyDescent="0.25"/>
  <cols>
    <col min="1" max="1" width="3.85546875" style="191" customWidth="1"/>
    <col min="2" max="2" width="31.42578125" style="191" customWidth="1"/>
    <col min="3" max="4" width="12.85546875" style="191" customWidth="1"/>
    <col min="5" max="5" width="12.85546875" style="3112" customWidth="1"/>
    <col min="6" max="6" width="12.85546875" style="2731" customWidth="1"/>
    <col min="7" max="8" width="12.85546875" style="2889" customWidth="1"/>
    <col min="9" max="9" width="19.85546875" style="191" customWidth="1"/>
    <col min="10" max="11" width="9.140625" style="191"/>
    <col min="12" max="12" width="21.85546875" style="187" customWidth="1"/>
    <col min="13" max="16384" width="9.140625" style="191"/>
  </cols>
  <sheetData>
    <row r="1" spans="1:12" ht="39" customHeight="1" x14ac:dyDescent="0.25">
      <c r="A1" s="4127" t="str">
        <f>'B49'!A1:B1</f>
        <v>UBND XÃ PHONG QUANG</v>
      </c>
      <c r="B1" s="4127"/>
      <c r="E1" s="4120" t="s">
        <v>4775</v>
      </c>
      <c r="F1" s="4128"/>
      <c r="G1" s="4128"/>
      <c r="H1" s="4128"/>
    </row>
    <row r="2" spans="1:12" ht="18" customHeight="1" x14ac:dyDescent="0.25">
      <c r="A2" s="4133" t="s">
        <v>3579</v>
      </c>
      <c r="B2" s="4133"/>
      <c r="C2" s="4133"/>
      <c r="D2" s="4133"/>
      <c r="E2" s="4133"/>
      <c r="F2" s="4133"/>
      <c r="G2" s="4133"/>
      <c r="H2" s="4133"/>
    </row>
    <row r="3" spans="1:12" ht="18" customHeight="1" x14ac:dyDescent="0.25">
      <c r="A3" s="4140" t="s">
        <v>4912</v>
      </c>
      <c r="B3" s="4133"/>
      <c r="C3" s="4133"/>
      <c r="D3" s="4133"/>
      <c r="E3" s="4133"/>
      <c r="F3" s="4133"/>
      <c r="G3" s="4133"/>
      <c r="H3" s="4133"/>
    </row>
    <row r="4" spans="1:12" ht="18" customHeight="1" x14ac:dyDescent="0.25">
      <c r="A4" s="4134" t="str">
        <f>'B49'!A4:E4</f>
        <v>(Kèm theo Quyết định số         /QĐ-UBND ngày      tháng 4 năm 2026 của UBND xã Phong Quang)</v>
      </c>
      <c r="B4" s="4134"/>
      <c r="C4" s="4134"/>
      <c r="D4" s="4134"/>
      <c r="E4" s="4134"/>
      <c r="F4" s="4134"/>
      <c r="G4" s="4134"/>
      <c r="H4" s="4134"/>
    </row>
    <row r="5" spans="1:12" x14ac:dyDescent="0.25">
      <c r="A5" s="180"/>
      <c r="F5" s="4139" t="s">
        <v>3566</v>
      </c>
      <c r="G5" s="4139"/>
      <c r="H5" s="4139"/>
    </row>
    <row r="6" spans="1:12" ht="20.25" customHeight="1" x14ac:dyDescent="0.25">
      <c r="A6" s="4135" t="s">
        <v>844</v>
      </c>
      <c r="B6" s="4135" t="s">
        <v>845</v>
      </c>
      <c r="C6" s="4131" t="s">
        <v>3564</v>
      </c>
      <c r="D6" s="4132"/>
      <c r="E6" s="4137" t="s">
        <v>3563</v>
      </c>
      <c r="F6" s="4138"/>
      <c r="G6" s="4131" t="s">
        <v>3118</v>
      </c>
      <c r="H6" s="4132"/>
    </row>
    <row r="7" spans="1:12" ht="50.25" customHeight="1" x14ac:dyDescent="0.25">
      <c r="A7" s="4136"/>
      <c r="B7" s="4136"/>
      <c r="C7" s="3432" t="s">
        <v>35</v>
      </c>
      <c r="D7" s="3432" t="s">
        <v>36</v>
      </c>
      <c r="E7" s="3572" t="s">
        <v>35</v>
      </c>
      <c r="F7" s="3573" t="s">
        <v>36</v>
      </c>
      <c r="G7" s="3574" t="s">
        <v>35</v>
      </c>
      <c r="H7" s="3574" t="s">
        <v>36</v>
      </c>
    </row>
    <row r="8" spans="1:12" x14ac:dyDescent="0.25">
      <c r="A8" s="3432" t="s">
        <v>847</v>
      </c>
      <c r="B8" s="3432" t="s">
        <v>848</v>
      </c>
      <c r="C8" s="3432">
        <v>1</v>
      </c>
      <c r="D8" s="3432">
        <v>2</v>
      </c>
      <c r="E8" s="3575">
        <v>5</v>
      </c>
      <c r="F8" s="3576">
        <v>6</v>
      </c>
      <c r="G8" s="3432">
        <v>9</v>
      </c>
      <c r="H8" s="3432">
        <v>10</v>
      </c>
    </row>
    <row r="9" spans="1:12" s="1982" customFormat="1" ht="18" customHeight="1" x14ac:dyDescent="0.25">
      <c r="A9" s="3432"/>
      <c r="B9" s="3577" t="s">
        <v>2216</v>
      </c>
      <c r="C9" s="3578">
        <f>C10+C43</f>
        <v>122502000</v>
      </c>
      <c r="D9" s="3579">
        <f>D10+D43</f>
        <v>0</v>
      </c>
      <c r="E9" s="3580">
        <f>E10+E43</f>
        <v>8507575</v>
      </c>
      <c r="F9" s="3581">
        <f>F10+F43</f>
        <v>0</v>
      </c>
      <c r="G9" s="3582">
        <f t="shared" ref="G9:G11" si="0">E9/C9</f>
        <v>6.9448457984359432E-2</v>
      </c>
      <c r="H9" s="3583"/>
      <c r="I9" s="3111"/>
      <c r="L9" s="2884"/>
    </row>
    <row r="10" spans="1:12" s="1987" customFormat="1" ht="18" customHeight="1" x14ac:dyDescent="0.25">
      <c r="A10" s="3584" t="s">
        <v>849</v>
      </c>
      <c r="B10" s="3585" t="s">
        <v>850</v>
      </c>
      <c r="C10" s="3586">
        <f>C11+C17+C23+C26+C32+C33+C34+C35+C36+C39+C42</f>
        <v>122502000</v>
      </c>
      <c r="D10" s="3587">
        <f>D11+D17+D23+D26+D32+D33+D34+D35+D36+D39+D42</f>
        <v>0</v>
      </c>
      <c r="E10" s="3588">
        <f>E11+E17+E23+E26+E32+E33+E34+E35+E36+E39+E42</f>
        <v>8507575</v>
      </c>
      <c r="F10" s="3589">
        <f>F11+F17+F23+F26+F32+F33+F34+F35+F36+F39+F42</f>
        <v>0</v>
      </c>
      <c r="G10" s="3590">
        <f t="shared" si="0"/>
        <v>6.9448457984359432E-2</v>
      </c>
      <c r="H10" s="3591"/>
      <c r="I10" s="2299"/>
      <c r="L10" s="2885"/>
    </row>
    <row r="11" spans="1:12" s="1988" customFormat="1" ht="41.25" customHeight="1" x14ac:dyDescent="0.25">
      <c r="A11" s="3565">
        <v>1</v>
      </c>
      <c r="B11" s="3566" t="s">
        <v>975</v>
      </c>
      <c r="C11" s="3592">
        <f>SUM(C12:C14)</f>
        <v>50000</v>
      </c>
      <c r="D11" s="3592">
        <f>SUM(D12:D14)</f>
        <v>0</v>
      </c>
      <c r="E11" s="3593">
        <v>0</v>
      </c>
      <c r="F11" s="3594">
        <f>SUM(F12:F16)</f>
        <v>0</v>
      </c>
      <c r="G11" s="3595">
        <f t="shared" si="0"/>
        <v>0</v>
      </c>
      <c r="H11" s="3583"/>
      <c r="J11" s="2886"/>
      <c r="L11" s="2302"/>
    </row>
    <row r="12" spans="1:12" s="1988" customFormat="1" ht="16.5" hidden="1" customHeight="1" x14ac:dyDescent="0.25">
      <c r="A12" s="3107"/>
      <c r="B12" s="3596" t="s">
        <v>976</v>
      </c>
      <c r="C12" s="3108">
        <v>0</v>
      </c>
      <c r="D12" s="3108"/>
      <c r="E12" s="3597"/>
      <c r="F12" s="3273"/>
      <c r="G12" s="3598"/>
      <c r="H12" s="3109"/>
      <c r="J12" s="2886"/>
      <c r="L12" s="2887"/>
    </row>
    <row r="13" spans="1:12" s="1988" customFormat="1" ht="21" customHeight="1" x14ac:dyDescent="0.25">
      <c r="A13" s="3107"/>
      <c r="B13" s="3596" t="s">
        <v>977</v>
      </c>
      <c r="C13" s="3108"/>
      <c r="D13" s="3108">
        <f>C13</f>
        <v>0</v>
      </c>
      <c r="E13" s="3597">
        <v>0</v>
      </c>
      <c r="F13" s="3273"/>
      <c r="G13" s="3598"/>
      <c r="H13" s="3109"/>
      <c r="J13" s="2886"/>
      <c r="L13" s="2887"/>
    </row>
    <row r="14" spans="1:12" s="1988" customFormat="1" ht="21" customHeight="1" x14ac:dyDescent="0.25">
      <c r="A14" s="3107"/>
      <c r="B14" s="3596" t="s">
        <v>978</v>
      </c>
      <c r="C14" s="3108">
        <v>50000</v>
      </c>
      <c r="D14" s="3108">
        <v>0</v>
      </c>
      <c r="E14" s="3597"/>
      <c r="F14" s="3273">
        <v>0</v>
      </c>
      <c r="G14" s="3598">
        <f>E14/C14</f>
        <v>0</v>
      </c>
      <c r="H14" s="3109"/>
      <c r="L14" s="2887"/>
    </row>
    <row r="15" spans="1:12" s="1988" customFormat="1" ht="16.5" hidden="1" customHeight="1" x14ac:dyDescent="0.25">
      <c r="A15" s="3107"/>
      <c r="B15" s="3596" t="s">
        <v>979</v>
      </c>
      <c r="C15" s="3108"/>
      <c r="D15" s="3108"/>
      <c r="E15" s="3597">
        <v>35076</v>
      </c>
      <c r="F15" s="3273"/>
      <c r="G15" s="3598"/>
      <c r="H15" s="3109"/>
      <c r="L15" s="2887"/>
    </row>
    <row r="16" spans="1:12" s="1988" customFormat="1" ht="16.5" x14ac:dyDescent="0.25">
      <c r="A16" s="3107"/>
      <c r="B16" s="3110" t="s">
        <v>854</v>
      </c>
      <c r="C16" s="3108">
        <v>0</v>
      </c>
      <c r="D16" s="3108">
        <v>0</v>
      </c>
      <c r="E16" s="3597">
        <v>0</v>
      </c>
      <c r="F16" s="3273"/>
      <c r="G16" s="3598"/>
      <c r="H16" s="3109"/>
      <c r="L16" s="2887"/>
    </row>
    <row r="17" spans="1:12" s="1988" customFormat="1" ht="38.25" customHeight="1" x14ac:dyDescent="0.25">
      <c r="A17" s="3107">
        <v>2</v>
      </c>
      <c r="B17" s="3599" t="s">
        <v>980</v>
      </c>
      <c r="C17" s="3108">
        <f>SUM(C18:C20)</f>
        <v>35000</v>
      </c>
      <c r="D17" s="3108">
        <f>SUM(D18:D20)</f>
        <v>0</v>
      </c>
      <c r="E17" s="3597">
        <f>SUM(E18:E20)</f>
        <v>35076</v>
      </c>
      <c r="F17" s="3273"/>
      <c r="G17" s="3598">
        <f t="shared" ref="G17:G22" si="1">E17/C17</f>
        <v>1.0021714285714285</v>
      </c>
      <c r="H17" s="3109"/>
      <c r="L17" s="2887"/>
    </row>
    <row r="18" spans="1:12" s="1988" customFormat="1" ht="19.5" customHeight="1" x14ac:dyDescent="0.25">
      <c r="A18" s="3107"/>
      <c r="B18" s="3596" t="s">
        <v>976</v>
      </c>
      <c r="C18" s="3600">
        <v>10000</v>
      </c>
      <c r="D18" s="3600"/>
      <c r="E18" s="3601">
        <v>0</v>
      </c>
      <c r="F18" s="3602"/>
      <c r="G18" s="3598">
        <f t="shared" si="1"/>
        <v>0</v>
      </c>
      <c r="H18" s="3109"/>
      <c r="L18" s="2887"/>
    </row>
    <row r="19" spans="1:12" s="1988" customFormat="1" ht="19.5" customHeight="1" x14ac:dyDescent="0.25">
      <c r="A19" s="3107"/>
      <c r="B19" s="3596" t="s">
        <v>977</v>
      </c>
      <c r="C19" s="3600">
        <v>10000</v>
      </c>
      <c r="D19" s="3600"/>
      <c r="E19" s="3601">
        <v>0</v>
      </c>
      <c r="F19" s="3602"/>
      <c r="G19" s="3598">
        <f t="shared" si="1"/>
        <v>0</v>
      </c>
      <c r="H19" s="3109"/>
      <c r="L19" s="2887"/>
    </row>
    <row r="20" spans="1:12" s="1988" customFormat="1" ht="19.5" customHeight="1" x14ac:dyDescent="0.25">
      <c r="A20" s="3107"/>
      <c r="B20" s="3596" t="s">
        <v>978</v>
      </c>
      <c r="C20" s="3600">
        <v>15000</v>
      </c>
      <c r="D20" s="3600"/>
      <c r="E20" s="3601">
        <v>35076</v>
      </c>
      <c r="F20" s="3602"/>
      <c r="G20" s="3598">
        <f t="shared" si="1"/>
        <v>2.3384</v>
      </c>
      <c r="H20" s="3109"/>
      <c r="L20" s="2887"/>
    </row>
    <row r="21" spans="1:12" s="1988" customFormat="1" ht="27" hidden="1" customHeight="1" x14ac:dyDescent="0.25">
      <c r="A21" s="3107"/>
      <c r="B21" s="3596" t="s">
        <v>981</v>
      </c>
      <c r="C21" s="3108"/>
      <c r="D21" s="3108"/>
      <c r="E21" s="3597"/>
      <c r="F21" s="3273"/>
      <c r="G21" s="3598" t="e">
        <f t="shared" si="1"/>
        <v>#DIV/0!</v>
      </c>
      <c r="H21" s="3109"/>
      <c r="L21" s="2887"/>
    </row>
    <row r="22" spans="1:12" s="1988" customFormat="1" ht="27" hidden="1" customHeight="1" x14ac:dyDescent="0.25">
      <c r="A22" s="3107"/>
      <c r="B22" s="3596" t="s">
        <v>979</v>
      </c>
      <c r="C22" s="3108"/>
      <c r="D22" s="3108"/>
      <c r="E22" s="3597"/>
      <c r="F22" s="3273"/>
      <c r="G22" s="3598" t="e">
        <f t="shared" si="1"/>
        <v>#DIV/0!</v>
      </c>
      <c r="H22" s="3109"/>
      <c r="L22" s="2887"/>
    </row>
    <row r="23" spans="1:12" s="1988" customFormat="1" ht="36" customHeight="1" x14ac:dyDescent="0.25">
      <c r="A23" s="3107">
        <v>3</v>
      </c>
      <c r="B23" s="3599" t="s">
        <v>982</v>
      </c>
      <c r="C23" s="3108">
        <f>C24+C25</f>
        <v>0</v>
      </c>
      <c r="D23" s="3108">
        <f>D24+D25</f>
        <v>0</v>
      </c>
      <c r="E23" s="3597">
        <f>E24</f>
        <v>0</v>
      </c>
      <c r="F23" s="3273">
        <f>E23</f>
        <v>0</v>
      </c>
      <c r="G23" s="3598"/>
      <c r="H23" s="3109"/>
      <c r="L23" s="2887"/>
    </row>
    <row r="24" spans="1:12" s="1988" customFormat="1" ht="21" customHeight="1" x14ac:dyDescent="0.25">
      <c r="A24" s="3107"/>
      <c r="B24" s="3596" t="s">
        <v>3279</v>
      </c>
      <c r="C24" s="3600">
        <v>0</v>
      </c>
      <c r="D24" s="3600">
        <f>C24</f>
        <v>0</v>
      </c>
      <c r="E24" s="3601">
        <v>0</v>
      </c>
      <c r="F24" s="3602"/>
      <c r="G24" s="3598"/>
      <c r="H24" s="3109"/>
      <c r="L24" s="2887"/>
    </row>
    <row r="25" spans="1:12" s="1988" customFormat="1" ht="27" hidden="1" customHeight="1" x14ac:dyDescent="0.25">
      <c r="A25" s="3107"/>
      <c r="B25" s="3596" t="s">
        <v>978</v>
      </c>
      <c r="C25" s="3108"/>
      <c r="D25" s="3108"/>
      <c r="E25" s="3597"/>
      <c r="F25" s="3273"/>
      <c r="G25" s="3598"/>
      <c r="H25" s="3109"/>
      <c r="L25" s="2887"/>
    </row>
    <row r="26" spans="1:12" s="1988" customFormat="1" ht="33" customHeight="1" x14ac:dyDescent="0.25">
      <c r="A26" s="3107">
        <v>4</v>
      </c>
      <c r="B26" s="3599" t="s">
        <v>859</v>
      </c>
      <c r="C26" s="3603">
        <f>SUM(C27:C30)</f>
        <v>3551000</v>
      </c>
      <c r="D26" s="3603">
        <f>SUM(D27:D30)</f>
        <v>0</v>
      </c>
      <c r="E26" s="3597">
        <f>SUM(E27:E30)</f>
        <v>4358768</v>
      </c>
      <c r="F26" s="3273"/>
      <c r="G26" s="3598">
        <f t="shared" ref="G26:G29" si="2">E26/C26</f>
        <v>1.2274762038862292</v>
      </c>
      <c r="H26" s="3109"/>
      <c r="L26" s="2887"/>
    </row>
    <row r="27" spans="1:12" s="1988" customFormat="1" ht="21.75" customHeight="1" x14ac:dyDescent="0.25">
      <c r="A27" s="3107"/>
      <c r="B27" s="3596" t="s">
        <v>976</v>
      </c>
      <c r="C27" s="3604">
        <v>28000</v>
      </c>
      <c r="D27" s="3604"/>
      <c r="E27" s="3601">
        <v>263714</v>
      </c>
      <c r="F27" s="3602"/>
      <c r="G27" s="3598">
        <f t="shared" si="2"/>
        <v>9.4183571428571433</v>
      </c>
      <c r="H27" s="3109"/>
      <c r="L27" s="2887"/>
    </row>
    <row r="28" spans="1:12" s="1988" customFormat="1" ht="21.75" customHeight="1" x14ac:dyDescent="0.25">
      <c r="A28" s="3107"/>
      <c r="B28" s="3596" t="s">
        <v>977</v>
      </c>
      <c r="C28" s="3604">
        <v>1800000</v>
      </c>
      <c r="D28" s="3604"/>
      <c r="E28" s="3601">
        <v>1892747</v>
      </c>
      <c r="F28" s="3602"/>
      <c r="G28" s="3598">
        <f t="shared" si="2"/>
        <v>1.0515261111111112</v>
      </c>
      <c r="H28" s="3109"/>
      <c r="L28" s="2887"/>
    </row>
    <row r="29" spans="1:12" s="1988" customFormat="1" ht="21.75" customHeight="1" x14ac:dyDescent="0.25">
      <c r="A29" s="3107"/>
      <c r="B29" s="3596" t="s">
        <v>978</v>
      </c>
      <c r="C29" s="3604">
        <v>1720000</v>
      </c>
      <c r="D29" s="3604"/>
      <c r="E29" s="3601">
        <v>2198687</v>
      </c>
      <c r="F29" s="3602"/>
      <c r="G29" s="3598">
        <f t="shared" si="2"/>
        <v>1.2783063953488372</v>
      </c>
      <c r="H29" s="3109"/>
      <c r="L29" s="2887"/>
    </row>
    <row r="30" spans="1:12" s="1988" customFormat="1" ht="21.75" customHeight="1" x14ac:dyDescent="0.25">
      <c r="A30" s="3107"/>
      <c r="B30" s="3596" t="s">
        <v>981</v>
      </c>
      <c r="C30" s="3600">
        <v>3000</v>
      </c>
      <c r="D30" s="3600">
        <v>0</v>
      </c>
      <c r="E30" s="3601">
        <v>3620</v>
      </c>
      <c r="F30" s="3602"/>
      <c r="G30" s="3598">
        <f>E30/C30</f>
        <v>1.2066666666666668</v>
      </c>
      <c r="H30" s="3109"/>
      <c r="L30" s="2887"/>
    </row>
    <row r="31" spans="1:12" s="1988" customFormat="1" ht="21.75" customHeight="1" x14ac:dyDescent="0.25">
      <c r="A31" s="3107"/>
      <c r="B31" s="3596" t="s">
        <v>979</v>
      </c>
      <c r="C31" s="3108"/>
      <c r="D31" s="3108"/>
      <c r="E31" s="3597"/>
      <c r="F31" s="3273">
        <f>E31</f>
        <v>0</v>
      </c>
      <c r="G31" s="3598"/>
      <c r="H31" s="3109"/>
      <c r="L31" s="2887"/>
    </row>
    <row r="32" spans="1:12" s="1988" customFormat="1" ht="21.75" customHeight="1" x14ac:dyDescent="0.25">
      <c r="A32" s="3107">
        <v>5</v>
      </c>
      <c r="B32" s="3599" t="s">
        <v>860</v>
      </c>
      <c r="C32" s="3600">
        <v>667000</v>
      </c>
      <c r="D32" s="3600"/>
      <c r="E32" s="3601">
        <v>603460</v>
      </c>
      <c r="F32" s="3602"/>
      <c r="G32" s="3598">
        <f t="shared" ref="G32:G39" si="3">E32/C32</f>
        <v>0.90473763118440775</v>
      </c>
      <c r="H32" s="3109"/>
      <c r="L32" s="2887"/>
    </row>
    <row r="33" spans="1:12" s="1988" customFormat="1" ht="21.75" customHeight="1" x14ac:dyDescent="0.25">
      <c r="A33" s="3107">
        <v>6</v>
      </c>
      <c r="B33" s="3599" t="s">
        <v>875</v>
      </c>
      <c r="C33" s="3108">
        <v>0</v>
      </c>
      <c r="D33" s="3108"/>
      <c r="E33" s="3597">
        <v>0</v>
      </c>
      <c r="F33" s="3273">
        <f>E33</f>
        <v>0</v>
      </c>
      <c r="G33" s="3598"/>
      <c r="H33" s="3109"/>
      <c r="L33" s="2887"/>
    </row>
    <row r="34" spans="1:12" s="1988" customFormat="1" ht="21.75" customHeight="1" x14ac:dyDescent="0.25">
      <c r="A34" s="3107">
        <v>7</v>
      </c>
      <c r="B34" s="3599" t="s">
        <v>876</v>
      </c>
      <c r="C34" s="3604">
        <v>116315000</v>
      </c>
      <c r="D34" s="3600"/>
      <c r="E34" s="3601">
        <v>2135915</v>
      </c>
      <c r="F34" s="3602"/>
      <c r="G34" s="3605">
        <f t="shared" si="3"/>
        <v>1.83631947728152E-2</v>
      </c>
      <c r="H34" s="3109"/>
      <c r="L34" s="2887"/>
    </row>
    <row r="35" spans="1:12" s="1988" customFormat="1" ht="21.75" customHeight="1" x14ac:dyDescent="0.25">
      <c r="A35" s="3107">
        <v>8</v>
      </c>
      <c r="B35" s="3599" t="s">
        <v>874</v>
      </c>
      <c r="C35" s="3600">
        <v>11000</v>
      </c>
      <c r="D35" s="3600"/>
      <c r="E35" s="3601">
        <v>12397</v>
      </c>
      <c r="F35" s="3602"/>
      <c r="G35" s="3598">
        <f t="shared" si="3"/>
        <v>1.127</v>
      </c>
      <c r="H35" s="3109"/>
      <c r="L35" s="2887"/>
    </row>
    <row r="36" spans="1:12" s="1988" customFormat="1" ht="21.75" customHeight="1" x14ac:dyDescent="0.25">
      <c r="A36" s="3107">
        <v>9</v>
      </c>
      <c r="B36" s="3599" t="s">
        <v>862</v>
      </c>
      <c r="C36" s="3108">
        <v>615000</v>
      </c>
      <c r="D36" s="3108"/>
      <c r="E36" s="3597">
        <v>903257</v>
      </c>
      <c r="F36" s="3273"/>
      <c r="G36" s="3598">
        <f t="shared" si="3"/>
        <v>1.468710569105691</v>
      </c>
      <c r="H36" s="3109"/>
      <c r="L36" s="2887"/>
    </row>
    <row r="37" spans="1:12" s="1988" customFormat="1" ht="21.75" hidden="1" customHeight="1" x14ac:dyDescent="0.25">
      <c r="A37" s="3107"/>
      <c r="B37" s="3606" t="s">
        <v>2217</v>
      </c>
      <c r="C37" s="3607"/>
      <c r="D37" s="3607"/>
      <c r="E37" s="3597"/>
      <c r="F37" s="3273"/>
      <c r="G37" s="3598" t="e">
        <f t="shared" si="3"/>
        <v>#DIV/0!</v>
      </c>
      <c r="H37" s="3109"/>
      <c r="L37" s="2887"/>
    </row>
    <row r="38" spans="1:12" s="1988" customFormat="1" ht="21.75" hidden="1" customHeight="1" x14ac:dyDescent="0.25">
      <c r="A38" s="3608"/>
      <c r="B38" s="3606" t="s">
        <v>3357</v>
      </c>
      <c r="C38" s="3607"/>
      <c r="D38" s="3607"/>
      <c r="E38" s="3597"/>
      <c r="F38" s="3273"/>
      <c r="G38" s="3598"/>
      <c r="H38" s="3109"/>
      <c r="L38" s="2887"/>
    </row>
    <row r="39" spans="1:12" s="1988" customFormat="1" ht="21.75" customHeight="1" x14ac:dyDescent="0.25">
      <c r="A39" s="3107">
        <v>9</v>
      </c>
      <c r="B39" s="3599" t="s">
        <v>983</v>
      </c>
      <c r="C39" s="3108">
        <f>C40+C41</f>
        <v>694000</v>
      </c>
      <c r="D39" s="3108"/>
      <c r="E39" s="3609">
        <v>52331</v>
      </c>
      <c r="F39" s="3108"/>
      <c r="G39" s="3605">
        <f t="shared" si="3"/>
        <v>7.5404899135446679E-2</v>
      </c>
      <c r="H39" s="3109"/>
      <c r="L39" s="2887"/>
    </row>
    <row r="40" spans="1:12" s="1988" customFormat="1" ht="21.75" customHeight="1" x14ac:dyDescent="0.25">
      <c r="A40" s="3107"/>
      <c r="B40" s="3599" t="s">
        <v>297</v>
      </c>
      <c r="C40" s="3600">
        <v>0</v>
      </c>
      <c r="D40" s="3600"/>
      <c r="E40" s="3601"/>
      <c r="F40" s="3602"/>
      <c r="G40" s="3598"/>
      <c r="H40" s="3109"/>
      <c r="L40" s="2887"/>
    </row>
    <row r="41" spans="1:12" s="1988" customFormat="1" ht="21.75" customHeight="1" x14ac:dyDescent="0.25">
      <c r="A41" s="3107" t="s">
        <v>882</v>
      </c>
      <c r="B41" s="3599" t="s">
        <v>2218</v>
      </c>
      <c r="C41" s="3600">
        <v>694000</v>
      </c>
      <c r="D41" s="3600"/>
      <c r="E41" s="3601"/>
      <c r="F41" s="3602"/>
      <c r="G41" s="3598">
        <f>E41/C41</f>
        <v>0</v>
      </c>
      <c r="H41" s="3109"/>
      <c r="L41" s="2887"/>
    </row>
    <row r="42" spans="1:12" s="1988" customFormat="1" ht="21.75" customHeight="1" x14ac:dyDescent="0.25">
      <c r="A42" s="3107">
        <v>10</v>
      </c>
      <c r="B42" s="3599" t="s">
        <v>864</v>
      </c>
      <c r="C42" s="3108">
        <v>564000</v>
      </c>
      <c r="D42" s="3108"/>
      <c r="E42" s="3597">
        <v>406371</v>
      </c>
      <c r="F42" s="3273"/>
      <c r="G42" s="3605">
        <f>E42/C42</f>
        <v>0.72051595744680852</v>
      </c>
      <c r="H42" s="3109"/>
      <c r="L42" s="2887"/>
    </row>
    <row r="43" spans="1:12" s="1987" customFormat="1" ht="21.75" customHeight="1" x14ac:dyDescent="0.25">
      <c r="A43" s="3584" t="s">
        <v>866</v>
      </c>
      <c r="B43" s="3585" t="s">
        <v>984</v>
      </c>
      <c r="C43" s="3587"/>
      <c r="D43" s="3587"/>
      <c r="E43" s="3610"/>
      <c r="F43" s="3611"/>
      <c r="G43" s="3591"/>
      <c r="H43" s="3591"/>
      <c r="L43" s="2888"/>
    </row>
    <row r="44" spans="1:12" ht="18" customHeight="1" x14ac:dyDescent="0.25">
      <c r="A44" s="7"/>
      <c r="B44" s="7"/>
      <c r="C44" s="7"/>
      <c r="D44" s="7"/>
      <c r="G44" s="2883"/>
      <c r="H44" s="2883"/>
    </row>
    <row r="45" spans="1:12" ht="15.6" hidden="1" customHeight="1" x14ac:dyDescent="0.25">
      <c r="A45" s="7"/>
      <c r="B45" s="7"/>
      <c r="C45" s="7"/>
      <c r="D45" s="4042" t="s">
        <v>3571</v>
      </c>
      <c r="E45" s="4042"/>
      <c r="F45" s="4042"/>
      <c r="G45" s="4042"/>
      <c r="H45" s="4042"/>
    </row>
    <row r="46" spans="1:12" ht="17.25" hidden="1" customHeight="1" x14ac:dyDescent="0.25">
      <c r="A46" s="7"/>
      <c r="B46" s="4141" t="s">
        <v>3573</v>
      </c>
      <c r="C46" s="4141"/>
      <c r="D46" s="4122" t="s">
        <v>638</v>
      </c>
      <c r="E46" s="4122"/>
      <c r="F46" s="4122"/>
      <c r="G46" s="4122"/>
      <c r="H46" s="4122"/>
    </row>
    <row r="47" spans="1:12" ht="19.5" hidden="1" customHeight="1" x14ac:dyDescent="0.25">
      <c r="A47" s="7"/>
      <c r="B47" s="4141" t="s">
        <v>807</v>
      </c>
      <c r="C47" s="4141"/>
      <c r="D47" s="4122" t="s">
        <v>639</v>
      </c>
      <c r="E47" s="4122"/>
      <c r="F47" s="4122"/>
      <c r="G47" s="4122"/>
      <c r="H47" s="4122"/>
    </row>
    <row r="48" spans="1:12" ht="15.75" hidden="1" customHeight="1" x14ac:dyDescent="0.25">
      <c r="A48" s="7"/>
      <c r="B48" s="3484"/>
      <c r="C48" s="7"/>
      <c r="D48" s="4042"/>
      <c r="E48" s="4042"/>
      <c r="F48" s="4042"/>
      <c r="G48" s="2883"/>
      <c r="H48" s="2883"/>
    </row>
    <row r="49" spans="1:12" ht="62.45" hidden="1" customHeight="1" x14ac:dyDescent="0.25">
      <c r="A49" s="7"/>
      <c r="B49" s="3484"/>
      <c r="C49" s="7"/>
      <c r="D49" s="2292"/>
      <c r="E49" s="3080"/>
      <c r="F49" s="2291"/>
      <c r="G49" s="2883"/>
      <c r="H49" s="2883"/>
    </row>
    <row r="50" spans="1:12" ht="15.75" hidden="1" customHeight="1" x14ac:dyDescent="0.25">
      <c r="A50" s="7"/>
      <c r="B50" s="3484"/>
      <c r="C50" s="7"/>
      <c r="D50" s="2292"/>
      <c r="E50" s="3080"/>
      <c r="F50" s="2291"/>
      <c r="G50" s="2883"/>
      <c r="H50" s="2883"/>
      <c r="L50" s="191"/>
    </row>
    <row r="51" spans="1:12" ht="15.75" hidden="1" customHeight="1" x14ac:dyDescent="0.25">
      <c r="A51" s="7"/>
      <c r="B51" s="4141" t="s">
        <v>3574</v>
      </c>
      <c r="C51" s="4141"/>
      <c r="D51" s="4119" t="s">
        <v>3572</v>
      </c>
      <c r="E51" s="4119"/>
      <c r="F51" s="4119"/>
      <c r="G51" s="4119"/>
      <c r="H51" s="4119"/>
      <c r="L51" s="191"/>
    </row>
    <row r="52" spans="1:12" ht="15.75" hidden="1" customHeight="1" x14ac:dyDescent="0.25">
      <c r="A52" s="7"/>
      <c r="B52" s="7"/>
      <c r="C52" s="7"/>
      <c r="D52" s="1064"/>
      <c r="G52" s="2883"/>
      <c r="H52" s="2883"/>
      <c r="L52" s="191"/>
    </row>
    <row r="53" spans="1:12" x14ac:dyDescent="0.25">
      <c r="A53" s="7"/>
      <c r="B53" s="7"/>
      <c r="C53" s="7"/>
      <c r="D53" s="7"/>
      <c r="G53" s="2883"/>
      <c r="H53" s="2883"/>
      <c r="L53" s="191"/>
    </row>
    <row r="54" spans="1:12" x14ac:dyDescent="0.25">
      <c r="A54" s="7"/>
      <c r="B54" s="7"/>
      <c r="C54" s="7"/>
      <c r="D54" s="7"/>
      <c r="G54" s="2883"/>
      <c r="H54" s="2883"/>
      <c r="L54" s="191"/>
    </row>
  </sheetData>
  <mergeCells count="19">
    <mergeCell ref="D48:F48"/>
    <mergeCell ref="B51:C51"/>
    <mergeCell ref="B46:C46"/>
    <mergeCell ref="B47:C47"/>
    <mergeCell ref="D45:H45"/>
    <mergeCell ref="D46:H46"/>
    <mergeCell ref="D47:H47"/>
    <mergeCell ref="D51:H51"/>
    <mergeCell ref="E1:H1"/>
    <mergeCell ref="G6:H6"/>
    <mergeCell ref="A2:H2"/>
    <mergeCell ref="A4:H4"/>
    <mergeCell ref="A6:A7"/>
    <mergeCell ref="B6:B7"/>
    <mergeCell ref="C6:D6"/>
    <mergeCell ref="E6:F6"/>
    <mergeCell ref="F5:H5"/>
    <mergeCell ref="A1:B1"/>
    <mergeCell ref="A3:H3"/>
  </mergeCells>
  <pageMargins left="0.59" right="0.2" top="0.49" bottom="0.37" header="0.31496062992126" footer="0.31496062992126"/>
  <pageSetup paperSize="9" scale="8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H68"/>
  <sheetViews>
    <sheetView zoomScaleNormal="100" workbookViewId="0">
      <selection activeCell="C15" sqref="C15"/>
    </sheetView>
  </sheetViews>
  <sheetFormatPr defaultColWidth="9.140625" defaultRowHeight="15" x14ac:dyDescent="0.25"/>
  <cols>
    <col min="1" max="1" width="6.42578125" style="546" customWidth="1"/>
    <col min="2" max="2" width="45.42578125" style="546" customWidth="1"/>
    <col min="3" max="3" width="16.28515625" style="2287" customWidth="1"/>
    <col min="4" max="4" width="16.28515625" style="613" customWidth="1"/>
    <col min="5" max="5" width="16.28515625" style="549" customWidth="1"/>
    <col min="6" max="6" width="35.42578125" style="673" customWidth="1"/>
    <col min="7" max="7" width="17.140625" style="673" customWidth="1"/>
    <col min="8" max="9" width="15.42578125" style="546" customWidth="1"/>
    <col min="10" max="16384" width="9.140625" style="546"/>
  </cols>
  <sheetData>
    <row r="1" spans="1:7" ht="27" customHeight="1" x14ac:dyDescent="0.25">
      <c r="A1" s="4142" t="str">
        <f>'B50'!A1:B1</f>
        <v>UBND XÃ PHONG QUANG</v>
      </c>
      <c r="B1" s="4142"/>
      <c r="C1" s="4143" t="s">
        <v>4776</v>
      </c>
      <c r="D1" s="4143"/>
      <c r="E1" s="4143"/>
    </row>
    <row r="2" spans="1:7" ht="22.5" customHeight="1" x14ac:dyDescent="0.25">
      <c r="A2" s="3998" t="s">
        <v>3580</v>
      </c>
      <c r="B2" s="3998"/>
      <c r="C2" s="3998"/>
      <c r="D2" s="3998"/>
      <c r="E2" s="3998"/>
    </row>
    <row r="3" spans="1:7" ht="14.25" customHeight="1" x14ac:dyDescent="0.25">
      <c r="A3" s="3997" t="s">
        <v>4912</v>
      </c>
      <c r="B3" s="3998"/>
      <c r="C3" s="3998"/>
      <c r="D3" s="3998"/>
      <c r="E3" s="3998"/>
    </row>
    <row r="4" spans="1:7" ht="19.5" customHeight="1" x14ac:dyDescent="0.25">
      <c r="A4" s="4086" t="str">
        <f>'B50'!A4:H4</f>
        <v>(Kèm theo Quyết định số         /QĐ-UBND ngày      tháng 4 năm 2026 của UBND xã Phong Quang)</v>
      </c>
      <c r="B4" s="3997"/>
      <c r="C4" s="3997"/>
      <c r="D4" s="3997"/>
      <c r="E4" s="3997"/>
    </row>
    <row r="5" spans="1:7" ht="7.5" customHeight="1" x14ac:dyDescent="0.25">
      <c r="A5" s="3478"/>
      <c r="B5" s="3478"/>
      <c r="C5" s="3479"/>
      <c r="D5" s="1421"/>
      <c r="E5" s="3478"/>
    </row>
    <row r="6" spans="1:7" ht="15.75" x14ac:dyDescent="0.25">
      <c r="C6" s="2300"/>
      <c r="E6" s="550" t="s">
        <v>3566</v>
      </c>
    </row>
    <row r="7" spans="1:7" s="589" customFormat="1" ht="43.15" customHeight="1" x14ac:dyDescent="0.25">
      <c r="A7" s="3475" t="s">
        <v>844</v>
      </c>
      <c r="B7" s="3475" t="s">
        <v>3147</v>
      </c>
      <c r="C7" s="3576" t="s">
        <v>3564</v>
      </c>
      <c r="D7" s="3612" t="s">
        <v>3563</v>
      </c>
      <c r="E7" s="3555" t="s">
        <v>28</v>
      </c>
      <c r="F7" s="1946"/>
      <c r="G7" s="2614">
        <f>F7-D9</f>
        <v>-110429011.557</v>
      </c>
    </row>
    <row r="8" spans="1:7" s="589" customFormat="1" ht="15.75" x14ac:dyDescent="0.25">
      <c r="A8" s="3475" t="s">
        <v>847</v>
      </c>
      <c r="B8" s="3475" t="s">
        <v>848</v>
      </c>
      <c r="C8" s="3576">
        <v>1</v>
      </c>
      <c r="D8" s="3555">
        <v>2</v>
      </c>
      <c r="E8" s="3555" t="s">
        <v>298</v>
      </c>
      <c r="F8" s="1946" t="e">
        <f>#REF!</f>
        <v>#REF!</v>
      </c>
      <c r="G8" s="1946"/>
    </row>
    <row r="9" spans="1:7" s="589" customFormat="1" ht="21.75" customHeight="1" x14ac:dyDescent="0.25">
      <c r="A9" s="3613"/>
      <c r="B9" s="3614" t="s">
        <v>923</v>
      </c>
      <c r="C9" s="3615">
        <f>C10+C54</f>
        <v>58266000</v>
      </c>
      <c r="D9" s="3616">
        <f>D10+D27+D54</f>
        <v>110429011.557</v>
      </c>
      <c r="E9" s="3617">
        <f>D9/C9</f>
        <v>1.895256436978684</v>
      </c>
      <c r="F9" s="2928" t="e">
        <f>F8-D9</f>
        <v>#REF!</v>
      </c>
      <c r="G9" s="1946"/>
    </row>
    <row r="10" spans="1:7" s="589" customFormat="1" ht="21.75" customHeight="1" x14ac:dyDescent="0.25">
      <c r="A10" s="3613" t="s">
        <v>847</v>
      </c>
      <c r="B10" s="3614" t="s">
        <v>744</v>
      </c>
      <c r="C10" s="3615">
        <f>C11+C22+C24+C25+C26</f>
        <v>58266000</v>
      </c>
      <c r="D10" s="3616">
        <f>D11+D22+D26</f>
        <v>79398767.900000006</v>
      </c>
      <c r="E10" s="3617">
        <f>D10/C10</f>
        <v>1.3626946744241926</v>
      </c>
      <c r="F10" s="2614"/>
      <c r="G10" s="1946"/>
    </row>
    <row r="11" spans="1:7" s="583" customFormat="1" ht="21.75" customHeight="1" x14ac:dyDescent="0.25">
      <c r="A11" s="3613" t="s">
        <v>849</v>
      </c>
      <c r="B11" s="3614" t="s">
        <v>884</v>
      </c>
      <c r="C11" s="3615">
        <f>[1]B48!C22</f>
        <v>1003000</v>
      </c>
      <c r="D11" s="3616">
        <f>[1]B48!D22</f>
        <v>1298671</v>
      </c>
      <c r="E11" s="3618">
        <f>D11/C11</f>
        <v>1.2947866400797607</v>
      </c>
      <c r="F11" s="2615"/>
      <c r="G11" s="2615"/>
    </row>
    <row r="12" spans="1:7" s="589" customFormat="1" ht="21.75" customHeight="1" x14ac:dyDescent="0.25">
      <c r="A12" s="3619">
        <v>1</v>
      </c>
      <c r="B12" s="3620" t="s">
        <v>299</v>
      </c>
      <c r="C12" s="3621">
        <f>C15+C16</f>
        <v>1003000</v>
      </c>
      <c r="D12" s="3622">
        <f>[1]B53!F11</f>
        <v>1298671</v>
      </c>
      <c r="E12" s="3618">
        <f>D12/C12</f>
        <v>1.2947866400797607</v>
      </c>
      <c r="F12" s="2621"/>
      <c r="G12" s="1946"/>
    </row>
    <row r="13" spans="1:7" s="589" customFormat="1" ht="21.75" customHeight="1" x14ac:dyDescent="0.25">
      <c r="A13" s="3619"/>
      <c r="B13" s="3623" t="s">
        <v>300</v>
      </c>
      <c r="C13" s="3621"/>
      <c r="D13" s="3622"/>
      <c r="E13" s="3617"/>
      <c r="F13" s="1946"/>
      <c r="G13" s="1946"/>
    </row>
    <row r="14" spans="1:7" s="1916" customFormat="1" ht="21.75" customHeight="1" x14ac:dyDescent="0.25">
      <c r="A14" s="3624"/>
      <c r="B14" s="3623" t="s">
        <v>892</v>
      </c>
      <c r="C14" s="3625">
        <f>[1]B53!C14</f>
        <v>800000</v>
      </c>
      <c r="D14" s="3626">
        <v>399339</v>
      </c>
      <c r="E14" s="3627">
        <f>D14/C14</f>
        <v>0.49917375000000003</v>
      </c>
      <c r="F14" s="2911"/>
      <c r="G14" s="2911"/>
    </row>
    <row r="15" spans="1:7" s="1916" customFormat="1" ht="21.75" customHeight="1" x14ac:dyDescent="0.25">
      <c r="A15" s="3624" t="s">
        <v>882</v>
      </c>
      <c r="B15" s="3623" t="s">
        <v>945</v>
      </c>
      <c r="C15" s="3625">
        <f>[1]B53!C17</f>
        <v>0</v>
      </c>
      <c r="D15" s="3628">
        <f>[1]B53!G17</f>
        <v>0</v>
      </c>
      <c r="E15" s="3627"/>
      <c r="F15" s="2911"/>
      <c r="G15" s="2911"/>
    </row>
    <row r="16" spans="1:7" s="589" customFormat="1" ht="21.75" customHeight="1" x14ac:dyDescent="0.25">
      <c r="A16" s="3619" t="s">
        <v>882</v>
      </c>
      <c r="B16" s="3629" t="s">
        <v>3581</v>
      </c>
      <c r="C16" s="3621">
        <v>1003000</v>
      </c>
      <c r="D16" s="3630">
        <v>1298671</v>
      </c>
      <c r="E16" s="3617">
        <f>D16/C16</f>
        <v>1.2947866400797607</v>
      </c>
      <c r="F16" s="1946"/>
      <c r="G16" s="1946"/>
    </row>
    <row r="17" spans="1:8" s="589" customFormat="1" ht="21.75" customHeight="1" x14ac:dyDescent="0.25">
      <c r="A17" s="3619"/>
      <c r="B17" s="3629" t="s">
        <v>2915</v>
      </c>
      <c r="C17" s="3621"/>
      <c r="D17" s="3631">
        <f>[1]B53!F19</f>
        <v>0</v>
      </c>
      <c r="E17" s="3632"/>
      <c r="F17" s="1946"/>
      <c r="G17" s="1946"/>
    </row>
    <row r="18" spans="1:8" s="589" customFormat="1" ht="21.75" customHeight="1" x14ac:dyDescent="0.25">
      <c r="A18" s="3619"/>
      <c r="B18" s="3629" t="s">
        <v>2745</v>
      </c>
      <c r="C18" s="3621"/>
      <c r="D18" s="3631"/>
      <c r="E18" s="3632"/>
      <c r="F18" s="1946"/>
      <c r="G18" s="1946"/>
    </row>
    <row r="19" spans="1:8" s="589" customFormat="1" ht="21.75" customHeight="1" x14ac:dyDescent="0.25">
      <c r="A19" s="3619"/>
      <c r="B19" s="3629" t="s">
        <v>3554</v>
      </c>
      <c r="C19" s="3621"/>
      <c r="D19" s="3631">
        <f>[1]B53!F20</f>
        <v>0</v>
      </c>
      <c r="E19" s="3632"/>
      <c r="F19" s="1946"/>
      <c r="G19" s="1946"/>
    </row>
    <row r="20" spans="1:8" s="589" customFormat="1" ht="75" customHeight="1" x14ac:dyDescent="0.25">
      <c r="A20" s="3633">
        <v>2</v>
      </c>
      <c r="B20" s="3620" t="s">
        <v>745</v>
      </c>
      <c r="C20" s="3621"/>
      <c r="D20" s="3631"/>
      <c r="E20" s="3632"/>
      <c r="F20" s="1946"/>
      <c r="G20" s="1946"/>
    </row>
    <row r="21" spans="1:8" s="589" customFormat="1" ht="25.5" customHeight="1" x14ac:dyDescent="0.25">
      <c r="A21" s="3619">
        <v>3</v>
      </c>
      <c r="B21" s="3620" t="s">
        <v>883</v>
      </c>
      <c r="C21" s="3621"/>
      <c r="D21" s="3631">
        <f>[1]B53!G21</f>
        <v>0</v>
      </c>
      <c r="E21" s="3632"/>
      <c r="F21" s="2929">
        <f>D19+D21</f>
        <v>0</v>
      </c>
      <c r="G21" s="1946"/>
    </row>
    <row r="22" spans="1:8" s="583" customFormat="1" ht="25.5" customHeight="1" x14ac:dyDescent="0.25">
      <c r="A22" s="3613" t="s">
        <v>866</v>
      </c>
      <c r="B22" s="3614" t="s">
        <v>885</v>
      </c>
      <c r="C22" s="3615">
        <f>[1]B48!C23</f>
        <v>55936000</v>
      </c>
      <c r="D22" s="3634">
        <f>[1]B53!F22</f>
        <v>77015655.900000006</v>
      </c>
      <c r="E22" s="3635">
        <f>D22/C22*100</f>
        <v>137.6853116061213</v>
      </c>
      <c r="F22" s="2615"/>
      <c r="G22" s="2615"/>
    </row>
    <row r="23" spans="1:8" s="1916" customFormat="1" ht="25.5" customHeight="1" x14ac:dyDescent="0.25">
      <c r="A23" s="3624"/>
      <c r="B23" s="3623" t="s">
        <v>3119</v>
      </c>
      <c r="C23" s="3636">
        <v>29988</v>
      </c>
      <c r="D23" s="3637">
        <v>30030457</v>
      </c>
      <c r="E23" s="3638">
        <f>D23/C23*100</f>
        <v>100141.57996531947</v>
      </c>
      <c r="F23" s="2911"/>
      <c r="G23" s="2911"/>
    </row>
    <row r="24" spans="1:8" s="583" customFormat="1" ht="18.75" customHeight="1" x14ac:dyDescent="0.25">
      <c r="A24" s="3613" t="s">
        <v>872</v>
      </c>
      <c r="B24" s="3614" t="s">
        <v>924</v>
      </c>
      <c r="C24" s="3615">
        <f>[1]B48!C25</f>
        <v>1327000</v>
      </c>
      <c r="D24" s="3634"/>
      <c r="E24" s="3635">
        <f>D24/C24*100</f>
        <v>0</v>
      </c>
      <c r="F24" s="2615"/>
      <c r="G24" s="2615"/>
    </row>
    <row r="25" spans="1:8" s="589" customFormat="1" ht="18.75" hidden="1" customHeight="1" x14ac:dyDescent="0.25">
      <c r="A25" s="3619" t="s">
        <v>873</v>
      </c>
      <c r="B25" s="3620" t="s">
        <v>24</v>
      </c>
      <c r="C25" s="3621"/>
      <c r="D25" s="3631"/>
      <c r="E25" s="3632"/>
      <c r="F25" s="1946"/>
      <c r="G25" s="1946"/>
    </row>
    <row r="26" spans="1:8" s="583" customFormat="1" ht="24" customHeight="1" x14ac:dyDescent="0.25">
      <c r="A26" s="3613" t="s">
        <v>873</v>
      </c>
      <c r="B26" s="3614" t="s">
        <v>562</v>
      </c>
      <c r="C26" s="3615"/>
      <c r="D26" s="3639">
        <f>[1]B53!F29</f>
        <v>1084441</v>
      </c>
      <c r="E26" s="3635"/>
      <c r="F26" s="2615"/>
      <c r="G26" s="2615"/>
    </row>
    <row r="27" spans="1:8" s="589" customFormat="1" ht="24" customHeight="1" x14ac:dyDescent="0.25">
      <c r="A27" s="3613" t="s">
        <v>848</v>
      </c>
      <c r="B27" s="3614" t="s">
        <v>3482</v>
      </c>
      <c r="C27" s="3640">
        <f>C28+C50</f>
        <v>13075000</v>
      </c>
      <c r="D27" s="3640">
        <f>D28+D50</f>
        <v>14320456.1</v>
      </c>
      <c r="E27" s="3632">
        <f>D27/C27*100</f>
        <v>109.52547686424474</v>
      </c>
      <c r="F27" s="1946"/>
      <c r="G27" s="1946"/>
    </row>
    <row r="28" spans="1:8" s="583" customFormat="1" ht="24" customHeight="1" x14ac:dyDescent="0.25">
      <c r="A28" s="3613" t="s">
        <v>849</v>
      </c>
      <c r="B28" s="3614" t="s">
        <v>26</v>
      </c>
      <c r="C28" s="3640">
        <f>C29+C36+C43</f>
        <v>12742000</v>
      </c>
      <c r="D28" s="3641">
        <f>D29+D36+D43</f>
        <v>14145817</v>
      </c>
      <c r="E28" s="3635">
        <f>D28/C28*100</f>
        <v>111.01724219117879</v>
      </c>
      <c r="F28" s="2615"/>
      <c r="G28" s="2615"/>
    </row>
    <row r="29" spans="1:8" s="589" customFormat="1" ht="24" customHeight="1" x14ac:dyDescent="0.25">
      <c r="A29" s="3619" t="s">
        <v>1773</v>
      </c>
      <c r="B29" s="3620" t="s">
        <v>3332</v>
      </c>
      <c r="C29" s="3571">
        <f>C30+C33</f>
        <v>722000</v>
      </c>
      <c r="D29" s="3642">
        <f>D30+D33</f>
        <v>604889</v>
      </c>
      <c r="E29" s="3632">
        <f t="shared" ref="E29:E48" si="0">D29/C29*100</f>
        <v>83.779639889196673</v>
      </c>
      <c r="F29" s="1946"/>
      <c r="G29" s="2774"/>
      <c r="H29" s="2396"/>
    </row>
    <row r="30" spans="1:8" s="589" customFormat="1" ht="24" customHeight="1" x14ac:dyDescent="0.25">
      <c r="A30" s="3619" t="s">
        <v>851</v>
      </c>
      <c r="B30" s="3620" t="s">
        <v>707</v>
      </c>
      <c r="C30" s="3571">
        <f>C31+C32</f>
        <v>0</v>
      </c>
      <c r="D30" s="3642"/>
      <c r="E30" s="3632"/>
      <c r="F30" s="1946"/>
      <c r="G30" s="2774"/>
      <c r="H30" s="2396"/>
    </row>
    <row r="31" spans="1:8" s="589" customFormat="1" ht="15.75" hidden="1" customHeight="1" x14ac:dyDescent="0.25">
      <c r="A31" s="3619"/>
      <c r="B31" s="3623" t="s">
        <v>341</v>
      </c>
      <c r="C31" s="3643">
        <f>[1]B53!C35</f>
        <v>0</v>
      </c>
      <c r="D31" s="3642"/>
      <c r="E31" s="3632"/>
      <c r="F31" s="1946"/>
      <c r="G31" s="2774"/>
      <c r="H31" s="2396"/>
    </row>
    <row r="32" spans="1:8" s="589" customFormat="1" ht="15.75" hidden="1" customHeight="1" x14ac:dyDescent="0.25">
      <c r="A32" s="3619"/>
      <c r="B32" s="3623" t="s">
        <v>2298</v>
      </c>
      <c r="C32" s="3643">
        <f>[1]B53!C36</f>
        <v>0</v>
      </c>
      <c r="D32" s="3642"/>
      <c r="E32" s="3632"/>
      <c r="F32" s="1946"/>
      <c r="G32" s="2774"/>
      <c r="H32" s="2396"/>
    </row>
    <row r="33" spans="1:8" s="589" customFormat="1" ht="22.5" customHeight="1" x14ac:dyDescent="0.25">
      <c r="A33" s="3619" t="s">
        <v>897</v>
      </c>
      <c r="B33" s="3644" t="s">
        <v>1471</v>
      </c>
      <c r="C33" s="3571">
        <f>C34+C35</f>
        <v>722000</v>
      </c>
      <c r="D33" s="3642">
        <f>[1]B48!D34</f>
        <v>604889</v>
      </c>
      <c r="E33" s="3632">
        <f t="shared" si="0"/>
        <v>83.779639889196673</v>
      </c>
      <c r="F33" s="1946"/>
      <c r="G33" s="2774"/>
      <c r="H33" s="2396"/>
    </row>
    <row r="34" spans="1:8" s="1916" customFormat="1" ht="15.75" hidden="1" x14ac:dyDescent="0.25">
      <c r="A34" s="3624"/>
      <c r="B34" s="3623" t="s">
        <v>341</v>
      </c>
      <c r="C34" s="3643">
        <f>[1]B53!C38</f>
        <v>696833</v>
      </c>
      <c r="D34" s="3645">
        <f>[1]B53!F38</f>
        <v>0</v>
      </c>
      <c r="E34" s="3638">
        <f t="shared" si="0"/>
        <v>0</v>
      </c>
      <c r="F34" s="2911"/>
      <c r="G34" s="3212"/>
      <c r="H34" s="3213"/>
    </row>
    <row r="35" spans="1:8" s="1916" customFormat="1" ht="15.75" hidden="1" x14ac:dyDescent="0.25">
      <c r="A35" s="3624"/>
      <c r="B35" s="3623" t="s">
        <v>2298</v>
      </c>
      <c r="C35" s="3643">
        <f>[1]B53!C39</f>
        <v>25167</v>
      </c>
      <c r="D35" s="3645">
        <f>[1]B53!F39</f>
        <v>0</v>
      </c>
      <c r="E35" s="3638">
        <f t="shared" si="0"/>
        <v>0</v>
      </c>
      <c r="F35" s="2911"/>
      <c r="G35" s="3212"/>
      <c r="H35" s="3213"/>
    </row>
    <row r="36" spans="1:8" s="2395" customFormat="1" ht="19.5" customHeight="1" x14ac:dyDescent="0.25">
      <c r="A36" s="3619" t="s">
        <v>1774</v>
      </c>
      <c r="B36" s="3620" t="s">
        <v>3333</v>
      </c>
      <c r="C36" s="3571">
        <f>C37+C40</f>
        <v>3631000</v>
      </c>
      <c r="D36" s="3642">
        <f>D37+D40</f>
        <v>5742395</v>
      </c>
      <c r="E36" s="3632">
        <f t="shared" si="0"/>
        <v>158.14913247039385</v>
      </c>
      <c r="F36" s="1946"/>
      <c r="G36" s="2819"/>
      <c r="H36" s="2820"/>
    </row>
    <row r="37" spans="1:8" s="589" customFormat="1" ht="23.25" customHeight="1" x14ac:dyDescent="0.25">
      <c r="A37" s="3619" t="s">
        <v>902</v>
      </c>
      <c r="B37" s="3620" t="s">
        <v>707</v>
      </c>
      <c r="C37" s="3571">
        <f>C38+C39</f>
        <v>2218000</v>
      </c>
      <c r="D37" s="3642">
        <f>[1]B48!D38</f>
        <v>4800791</v>
      </c>
      <c r="E37" s="3632">
        <f t="shared" si="0"/>
        <v>216.44684400360683</v>
      </c>
      <c r="F37" s="1946"/>
      <c r="G37" s="2774"/>
      <c r="H37" s="2396"/>
    </row>
    <row r="38" spans="1:8" s="1916" customFormat="1" ht="15.75" hidden="1" x14ac:dyDescent="0.25">
      <c r="A38" s="3624"/>
      <c r="B38" s="3623" t="s">
        <v>341</v>
      </c>
      <c r="C38" s="3643">
        <f>[1]B53!C42</f>
        <v>2131000</v>
      </c>
      <c r="D38" s="3645">
        <f>[1]B53!F42</f>
        <v>0</v>
      </c>
      <c r="E38" s="3638">
        <f t="shared" si="0"/>
        <v>0</v>
      </c>
      <c r="F38" s="2911"/>
      <c r="G38" s="3212"/>
      <c r="H38" s="3213"/>
    </row>
    <row r="39" spans="1:8" s="1916" customFormat="1" ht="15.75" hidden="1" x14ac:dyDescent="0.25">
      <c r="A39" s="3624"/>
      <c r="B39" s="3623" t="s">
        <v>2298</v>
      </c>
      <c r="C39" s="3643">
        <f>[1]B53!C43</f>
        <v>87000</v>
      </c>
      <c r="D39" s="3645">
        <f>[1]B53!F43</f>
        <v>0</v>
      </c>
      <c r="E39" s="3638">
        <f t="shared" si="0"/>
        <v>0</v>
      </c>
      <c r="F39" s="2911"/>
      <c r="G39" s="3212"/>
      <c r="H39" s="3213"/>
    </row>
    <row r="40" spans="1:8" s="2395" customFormat="1" ht="18.75" customHeight="1" x14ac:dyDescent="0.25">
      <c r="A40" s="3619" t="s">
        <v>903</v>
      </c>
      <c r="B40" s="3620" t="s">
        <v>1471</v>
      </c>
      <c r="C40" s="3571">
        <f>C41+C42</f>
        <v>1413000</v>
      </c>
      <c r="D40" s="3642">
        <f>[1]B48!D41</f>
        <v>941604</v>
      </c>
      <c r="E40" s="3632">
        <f t="shared" si="0"/>
        <v>66.638641188959653</v>
      </c>
      <c r="F40" s="1946"/>
      <c r="G40" s="2819"/>
      <c r="H40" s="2820"/>
    </row>
    <row r="41" spans="1:8" s="1942" customFormat="1" ht="18" hidden="1" customHeight="1" x14ac:dyDescent="0.25">
      <c r="A41" s="3624"/>
      <c r="B41" s="3623" t="s">
        <v>341</v>
      </c>
      <c r="C41" s="3643">
        <f>[1]B48!C42</f>
        <v>1345000</v>
      </c>
      <c r="D41" s="3645">
        <f>[1]B53!F45</f>
        <v>0</v>
      </c>
      <c r="E41" s="3638">
        <f t="shared" si="0"/>
        <v>0</v>
      </c>
      <c r="F41" s="2911"/>
      <c r="G41" s="1941"/>
      <c r="H41" s="3214"/>
    </row>
    <row r="42" spans="1:8" s="1942" customFormat="1" ht="18.75" hidden="1" customHeight="1" x14ac:dyDescent="0.25">
      <c r="A42" s="3646"/>
      <c r="B42" s="3623" t="s">
        <v>2298</v>
      </c>
      <c r="C42" s="3643">
        <f>[1]B48!C43</f>
        <v>68000</v>
      </c>
      <c r="D42" s="3645">
        <f>[1]B53!F46</f>
        <v>0</v>
      </c>
      <c r="E42" s="3638">
        <f t="shared" si="0"/>
        <v>0</v>
      </c>
      <c r="F42" s="2911"/>
      <c r="G42" s="1941"/>
      <c r="H42" s="3214"/>
    </row>
    <row r="43" spans="1:8" s="589" customFormat="1" ht="33.75" customHeight="1" x14ac:dyDescent="0.25">
      <c r="A43" s="3619">
        <v>3</v>
      </c>
      <c r="B43" s="3620" t="s">
        <v>3334</v>
      </c>
      <c r="C43" s="3571">
        <f>C44+C47</f>
        <v>8389000</v>
      </c>
      <c r="D43" s="3642">
        <f>D44+D47</f>
        <v>7798533</v>
      </c>
      <c r="E43" s="3632">
        <f t="shared" si="0"/>
        <v>92.961413756109195</v>
      </c>
      <c r="F43" s="1946"/>
      <c r="G43" s="2774"/>
      <c r="H43" s="2396"/>
    </row>
    <row r="44" spans="1:8" s="589" customFormat="1" ht="19.5" customHeight="1" x14ac:dyDescent="0.25">
      <c r="A44" s="3619" t="s">
        <v>174</v>
      </c>
      <c r="B44" s="3620" t="s">
        <v>707</v>
      </c>
      <c r="C44" s="3571">
        <f>C45+C46</f>
        <v>308000</v>
      </c>
      <c r="D44" s="3642">
        <f>[1]B48!D45</f>
        <v>308000</v>
      </c>
      <c r="E44" s="3632">
        <f t="shared" si="0"/>
        <v>100</v>
      </c>
      <c r="F44" s="1946"/>
      <c r="G44" s="2774"/>
      <c r="H44" s="2396"/>
    </row>
    <row r="45" spans="1:8" s="1916" customFormat="1" ht="19.5" hidden="1" customHeight="1" x14ac:dyDescent="0.25">
      <c r="A45" s="3624"/>
      <c r="B45" s="3623" t="s">
        <v>341</v>
      </c>
      <c r="C45" s="3643">
        <f>[1]B53!C49</f>
        <v>280000</v>
      </c>
      <c r="D45" s="3645">
        <f>[1]B53!F49</f>
        <v>0</v>
      </c>
      <c r="E45" s="3638">
        <f t="shared" si="0"/>
        <v>0</v>
      </c>
      <c r="F45" s="2911"/>
      <c r="G45" s="3212"/>
      <c r="H45" s="3213"/>
    </row>
    <row r="46" spans="1:8" s="1916" customFormat="1" ht="19.5" hidden="1" customHeight="1" x14ac:dyDescent="0.25">
      <c r="A46" s="3624"/>
      <c r="B46" s="3623" t="s">
        <v>2298</v>
      </c>
      <c r="C46" s="3643">
        <f>[1]B53!C50</f>
        <v>28000</v>
      </c>
      <c r="D46" s="3645">
        <f>[1]B53!F50</f>
        <v>0</v>
      </c>
      <c r="E46" s="3638">
        <f t="shared" si="0"/>
        <v>0</v>
      </c>
      <c r="F46" s="2911"/>
      <c r="G46" s="3212"/>
      <c r="H46" s="3213"/>
    </row>
    <row r="47" spans="1:8" s="583" customFormat="1" ht="22.15" customHeight="1" x14ac:dyDescent="0.25">
      <c r="A47" s="3619" t="s">
        <v>796</v>
      </c>
      <c r="B47" s="3620" t="s">
        <v>1471</v>
      </c>
      <c r="C47" s="3571">
        <f>C48+C49</f>
        <v>8081000</v>
      </c>
      <c r="D47" s="3642">
        <f>[1]B48!D48</f>
        <v>7490533</v>
      </c>
      <c r="E47" s="3632">
        <f t="shared" si="0"/>
        <v>92.693144412820189</v>
      </c>
      <c r="F47" s="1946"/>
      <c r="G47" s="2774"/>
      <c r="H47" s="2396"/>
    </row>
    <row r="48" spans="1:8" s="1916" customFormat="1" ht="15.75" hidden="1" x14ac:dyDescent="0.25">
      <c r="A48" s="3624"/>
      <c r="B48" s="3623" t="s">
        <v>341</v>
      </c>
      <c r="C48" s="3643">
        <f>[1]B53!C52</f>
        <v>7835000</v>
      </c>
      <c r="D48" s="3645">
        <f>[1]B53!F52</f>
        <v>0</v>
      </c>
      <c r="E48" s="3638">
        <f t="shared" si="0"/>
        <v>0</v>
      </c>
      <c r="F48" s="3117"/>
      <c r="G48" s="3212"/>
      <c r="H48" s="3213"/>
    </row>
    <row r="49" spans="1:8" s="1916" customFormat="1" ht="15.75" hidden="1" customHeight="1" x14ac:dyDescent="0.25">
      <c r="A49" s="3624"/>
      <c r="B49" s="3623" t="s">
        <v>2298</v>
      </c>
      <c r="C49" s="3643">
        <f>[1]B53!C53</f>
        <v>246000</v>
      </c>
      <c r="D49" s="3645">
        <f>[1]B53!F53</f>
        <v>0</v>
      </c>
      <c r="E49" s="3638">
        <f>D49/C49*100</f>
        <v>0</v>
      </c>
      <c r="F49" s="2911"/>
      <c r="G49" s="3215"/>
      <c r="H49" s="3213"/>
    </row>
    <row r="50" spans="1:8" s="583" customFormat="1" ht="18.75" customHeight="1" x14ac:dyDescent="0.25">
      <c r="A50" s="3647" t="s">
        <v>866</v>
      </c>
      <c r="B50" s="3648" t="s">
        <v>27</v>
      </c>
      <c r="C50" s="3563">
        <f>SUM(C51:C53)</f>
        <v>333000</v>
      </c>
      <c r="D50" s="3649">
        <f>SUM(D51:D53)</f>
        <v>174639.1</v>
      </c>
      <c r="E50" s="3635">
        <f>D50/C50*100</f>
        <v>52.444174174174172</v>
      </c>
      <c r="F50" s="2615"/>
      <c r="G50" s="2776"/>
      <c r="H50" s="2709"/>
    </row>
    <row r="51" spans="1:8" s="589" customFormat="1" ht="34.5" customHeight="1" x14ac:dyDescent="0.25">
      <c r="A51" s="3650">
        <v>1</v>
      </c>
      <c r="B51" s="3651" t="s">
        <v>3499</v>
      </c>
      <c r="C51" s="3568">
        <f>[1]B53!C55</f>
        <v>50000</v>
      </c>
      <c r="D51" s="3567">
        <f>[1]B53!F55</f>
        <v>50000</v>
      </c>
      <c r="E51" s="3632">
        <f>D51/C51*100</f>
        <v>100</v>
      </c>
      <c r="F51" s="1946"/>
      <c r="G51" s="2775"/>
      <c r="H51" s="2396"/>
    </row>
    <row r="52" spans="1:8" s="589" customFormat="1" ht="31.5" customHeight="1" x14ac:dyDescent="0.25">
      <c r="A52" s="3652">
        <v>2</v>
      </c>
      <c r="B52" s="3651" t="s">
        <v>3489</v>
      </c>
      <c r="C52" s="3568">
        <f>[1]B53!C56</f>
        <v>83000</v>
      </c>
      <c r="D52" s="3567">
        <f>[1]B53!F56</f>
        <v>83000</v>
      </c>
      <c r="E52" s="3632">
        <f t="shared" ref="E52:E53" si="1">D52/C52*100</f>
        <v>100</v>
      </c>
      <c r="F52" s="1946"/>
      <c r="G52" s="2775"/>
      <c r="H52" s="2396"/>
    </row>
    <row r="53" spans="1:8" s="589" customFormat="1" ht="18" customHeight="1" x14ac:dyDescent="0.25">
      <c r="A53" s="3652">
        <v>3</v>
      </c>
      <c r="B53" s="3651" t="s">
        <v>3541</v>
      </c>
      <c r="C53" s="3568">
        <f>[1]B53!C57</f>
        <v>200000</v>
      </c>
      <c r="D53" s="3567">
        <f>[1]B53!F57</f>
        <v>41639.1</v>
      </c>
      <c r="E53" s="3632">
        <f t="shared" si="1"/>
        <v>20.81955</v>
      </c>
      <c r="F53" s="1946"/>
      <c r="G53" s="2775"/>
      <c r="H53" s="2396"/>
    </row>
    <row r="54" spans="1:8" s="1708" customFormat="1" ht="22.15" customHeight="1" x14ac:dyDescent="0.25">
      <c r="A54" s="3584" t="s">
        <v>904</v>
      </c>
      <c r="B54" s="3560" t="s">
        <v>925</v>
      </c>
      <c r="C54" s="3653"/>
      <c r="D54" s="3615">
        <f>[1]B53!F58</f>
        <v>16709787.557000002</v>
      </c>
      <c r="E54" s="3653"/>
      <c r="F54" s="2610"/>
      <c r="G54" s="2610"/>
    </row>
    <row r="55" spans="1:8" s="182" customFormat="1" ht="15.75" x14ac:dyDescent="0.25">
      <c r="C55" s="2292"/>
      <c r="D55" s="2291"/>
      <c r="E55" s="2292"/>
      <c r="F55" s="2605"/>
      <c r="G55" s="2605"/>
    </row>
    <row r="56" spans="1:8" s="182" customFormat="1" ht="15.75" hidden="1" x14ac:dyDescent="0.25">
      <c r="B56" s="2891"/>
      <c r="C56" s="4042" t="s">
        <v>3727</v>
      </c>
      <c r="D56" s="4042"/>
      <c r="E56" s="4042"/>
      <c r="F56" s="2605"/>
      <c r="G56" s="2605"/>
    </row>
    <row r="57" spans="1:8" s="182" customFormat="1" ht="15.75" hidden="1" x14ac:dyDescent="0.25">
      <c r="B57" s="3413" t="s">
        <v>3573</v>
      </c>
      <c r="C57" s="4122" t="s">
        <v>638</v>
      </c>
      <c r="D57" s="4122"/>
      <c r="E57" s="4122"/>
      <c r="F57" s="2605"/>
      <c r="G57" s="2605"/>
    </row>
    <row r="58" spans="1:8" s="182" customFormat="1" ht="15.75" hidden="1" x14ac:dyDescent="0.25">
      <c r="B58" s="3413" t="s">
        <v>807</v>
      </c>
      <c r="C58" s="4122" t="s">
        <v>639</v>
      </c>
      <c r="D58" s="4122"/>
      <c r="E58" s="4122"/>
      <c r="F58" s="2605"/>
      <c r="G58" s="2605"/>
    </row>
    <row r="59" spans="1:8" s="182" customFormat="1" ht="15.75" hidden="1" x14ac:dyDescent="0.25">
      <c r="B59" s="3484"/>
      <c r="C59" s="4042"/>
      <c r="D59" s="4042"/>
      <c r="E59" s="4042"/>
      <c r="F59" s="2605"/>
      <c r="G59" s="2605"/>
    </row>
    <row r="60" spans="1:8" s="182" customFormat="1" ht="15.75" hidden="1" x14ac:dyDescent="0.25">
      <c r="B60" s="3484"/>
      <c r="C60" s="2292"/>
      <c r="D60" s="2291"/>
      <c r="E60" s="2292"/>
      <c r="F60" s="2605"/>
      <c r="G60" s="2605"/>
    </row>
    <row r="61" spans="1:8" s="182" customFormat="1" ht="15.75" hidden="1" x14ac:dyDescent="0.25">
      <c r="B61" s="3484"/>
      <c r="C61" s="2292"/>
      <c r="D61" s="2291"/>
      <c r="E61" s="2292"/>
      <c r="F61" s="2605"/>
      <c r="G61" s="2605"/>
    </row>
    <row r="62" spans="1:8" s="182" customFormat="1" ht="15.75" hidden="1" x14ac:dyDescent="0.25">
      <c r="B62" s="3484"/>
      <c r="C62" s="2292"/>
      <c r="D62" s="2291"/>
      <c r="E62" s="2292"/>
      <c r="F62" s="2605"/>
      <c r="G62" s="2605"/>
    </row>
    <row r="63" spans="1:8" s="182" customFormat="1" ht="15.75" hidden="1" x14ac:dyDescent="0.25">
      <c r="B63" s="3484"/>
      <c r="C63" s="2292"/>
      <c r="D63" s="2291"/>
      <c r="E63" s="2292"/>
      <c r="F63" s="2605"/>
      <c r="G63" s="2605"/>
    </row>
    <row r="64" spans="1:8" s="182" customFormat="1" ht="15.75" hidden="1" x14ac:dyDescent="0.25">
      <c r="B64" s="3484"/>
      <c r="C64" s="2292"/>
      <c r="D64" s="2291"/>
      <c r="E64" s="2292"/>
      <c r="F64" s="2605"/>
      <c r="G64" s="2605"/>
    </row>
    <row r="65" spans="1:7" s="182" customFormat="1" ht="15.75" hidden="1" x14ac:dyDescent="0.25">
      <c r="B65" s="3484" t="s">
        <v>3574</v>
      </c>
      <c r="C65" s="4119" t="s">
        <v>3572</v>
      </c>
      <c r="D65" s="4119"/>
      <c r="E65" s="4119"/>
      <c r="F65" s="2605"/>
      <c r="G65" s="2605"/>
    </row>
    <row r="66" spans="1:7" s="182" customFormat="1" ht="15.75" x14ac:dyDescent="0.25">
      <c r="C66" s="2292"/>
      <c r="D66" s="2291"/>
      <c r="E66" s="2292"/>
      <c r="F66" s="2605"/>
      <c r="G66" s="2605"/>
    </row>
    <row r="67" spans="1:7" s="182" customFormat="1" ht="15.75" x14ac:dyDescent="0.25">
      <c r="C67" s="2292"/>
      <c r="D67" s="2291"/>
      <c r="E67" s="2292"/>
      <c r="F67" s="2605"/>
      <c r="G67" s="2605"/>
    </row>
    <row r="68" spans="1:7" s="2605" customFormat="1" ht="15.75" x14ac:dyDescent="0.25">
      <c r="A68" s="182"/>
      <c r="B68" s="182"/>
      <c r="C68" s="2292"/>
      <c r="D68" s="2291"/>
      <c r="E68" s="2292"/>
    </row>
  </sheetData>
  <mergeCells count="10">
    <mergeCell ref="A1:B1"/>
    <mergeCell ref="C1:E1"/>
    <mergeCell ref="C65:E65"/>
    <mergeCell ref="C59:E59"/>
    <mergeCell ref="A2:E2"/>
    <mergeCell ref="A4:E4"/>
    <mergeCell ref="C56:E56"/>
    <mergeCell ref="C57:E57"/>
    <mergeCell ref="C58:E58"/>
    <mergeCell ref="A3:E3"/>
  </mergeCells>
  <phoneticPr fontId="70" type="noConversion"/>
  <pageMargins left="0.77" right="0.25" top="0.49" bottom="0.7" header="0.28000000000000003" footer="0.46"/>
  <pageSetup paperSize="9" scale="90" orientation="portrait" useFirstPageNumber="1"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AF70"/>
  <sheetViews>
    <sheetView zoomScale="80" zoomScaleNormal="80" workbookViewId="0">
      <pane xSplit="2" ySplit="9" topLeftCell="C10" activePane="bottomRight" state="frozen"/>
      <selection pane="topRight" activeCell="C1" sqref="C1"/>
      <selection pane="bottomLeft" activeCell="A9" sqref="A9"/>
      <selection pane="bottomRight" activeCell="D20" sqref="D20"/>
    </sheetView>
  </sheetViews>
  <sheetFormatPr defaultColWidth="9.140625" defaultRowHeight="15.75" x14ac:dyDescent="0.25"/>
  <cols>
    <col min="1" max="1" width="6.28515625" style="2393" customWidth="1"/>
    <col min="2" max="2" width="43.85546875" style="2393" customWidth="1"/>
    <col min="3" max="3" width="16.140625" style="2940" customWidth="1"/>
    <col min="4" max="4" width="16.140625" style="3080" customWidth="1"/>
    <col min="5" max="6" width="16.140625" style="3081" customWidth="1"/>
    <col min="7" max="7" width="25.42578125" style="2393" hidden="1" customWidth="1"/>
    <col min="8" max="8" width="18.28515625" style="2393" hidden="1" customWidth="1"/>
    <col min="9" max="9" width="18.7109375" style="3082" hidden="1" customWidth="1"/>
    <col min="10" max="14" width="0" style="2393" hidden="1" customWidth="1"/>
    <col min="15" max="15" width="16.28515625" style="1946" customWidth="1"/>
    <col min="16" max="16" width="20.5703125" style="1946" customWidth="1"/>
    <col min="17" max="18" width="14.7109375" style="1946" customWidth="1"/>
    <col min="19" max="19" width="14.28515625" style="1946" customWidth="1"/>
    <col min="20" max="21" width="13.85546875" style="1946" customWidth="1"/>
    <col min="22" max="22" width="11.28515625" style="1946" customWidth="1"/>
    <col min="23" max="32" width="9.140625" style="1946"/>
    <col min="33" max="16384" width="9.140625" style="2393"/>
  </cols>
  <sheetData>
    <row r="1" spans="1:32" ht="34.5" customHeight="1" x14ac:dyDescent="0.25">
      <c r="A1" s="4145" t="str">
        <f>'B51'!A1:B1</f>
        <v>UBND XÃ PHONG QUANG</v>
      </c>
      <c r="B1" s="4145"/>
      <c r="D1" s="4144" t="s">
        <v>4920</v>
      </c>
      <c r="E1" s="4144"/>
      <c r="F1" s="4144"/>
    </row>
    <row r="2" spans="1:32" ht="25.5" customHeight="1" x14ac:dyDescent="0.25">
      <c r="A2" s="4147" t="s">
        <v>4727</v>
      </c>
      <c r="B2" s="4147"/>
      <c r="C2" s="4147"/>
      <c r="D2" s="4147"/>
      <c r="E2" s="4147"/>
      <c r="F2" s="4147"/>
    </row>
    <row r="3" spans="1:32" ht="25.5" customHeight="1" x14ac:dyDescent="0.25">
      <c r="A3" s="4147" t="s">
        <v>4912</v>
      </c>
      <c r="B3" s="4147"/>
      <c r="C3" s="4147"/>
      <c r="D3" s="4147"/>
      <c r="E3" s="4147"/>
      <c r="F3" s="4147"/>
    </row>
    <row r="4" spans="1:32" ht="21.75" customHeight="1" x14ac:dyDescent="0.25">
      <c r="A4" s="4156" t="str">
        <f>'B51'!A4:E4</f>
        <v>(Kèm theo Quyết định số         /QĐ-UBND ngày      tháng 4 năm 2026 của UBND xã Phong Quang)</v>
      </c>
      <c r="B4" s="4157"/>
      <c r="C4" s="4157"/>
      <c r="D4" s="4157"/>
      <c r="E4" s="4157"/>
      <c r="F4" s="4157"/>
    </row>
    <row r="5" spans="1:32" x14ac:dyDescent="0.25">
      <c r="E5" s="3083"/>
      <c r="F5" s="3084" t="s">
        <v>3586</v>
      </c>
    </row>
    <row r="6" spans="1:32" ht="16.5" customHeight="1" x14ac:dyDescent="0.25">
      <c r="D6" s="3080">
        <f>C10-[1]B48!C9</f>
        <v>0</v>
      </c>
      <c r="E6" s="3083"/>
      <c r="F6" s="3084"/>
    </row>
    <row r="7" spans="1:32" x14ac:dyDescent="0.25">
      <c r="A7" s="4148" t="s">
        <v>844</v>
      </c>
      <c r="B7" s="4148" t="s">
        <v>845</v>
      </c>
      <c r="C7" s="4150" t="s">
        <v>3564</v>
      </c>
      <c r="D7" s="4152" t="s">
        <v>3563</v>
      </c>
      <c r="E7" s="4154" t="s">
        <v>14</v>
      </c>
      <c r="F7" s="4155"/>
    </row>
    <row r="8" spans="1:32" x14ac:dyDescent="0.25">
      <c r="A8" s="4149"/>
      <c r="B8" s="4149"/>
      <c r="C8" s="4151"/>
      <c r="D8" s="4153"/>
      <c r="E8" s="3654" t="s">
        <v>15</v>
      </c>
      <c r="F8" s="3655" t="s">
        <v>16</v>
      </c>
    </row>
    <row r="9" spans="1:32" x14ac:dyDescent="0.25">
      <c r="A9" s="3085" t="s">
        <v>847</v>
      </c>
      <c r="B9" s="3085" t="s">
        <v>848</v>
      </c>
      <c r="C9" s="3086" t="s">
        <v>1773</v>
      </c>
      <c r="D9" s="3087" t="s">
        <v>1774</v>
      </c>
      <c r="E9" s="3085" t="s">
        <v>154</v>
      </c>
      <c r="F9" s="3088" t="s">
        <v>17</v>
      </c>
    </row>
    <row r="10" spans="1:32" s="2392" customFormat="1" ht="25.5" customHeight="1" x14ac:dyDescent="0.25">
      <c r="A10" s="3656"/>
      <c r="B10" s="3657" t="s">
        <v>1473</v>
      </c>
      <c r="C10" s="3658">
        <f>C11+C12+C45+C60</f>
        <v>71341000</v>
      </c>
      <c r="D10" s="3658">
        <f>D11+D12+D45+D60</f>
        <v>110429011.65699999</v>
      </c>
      <c r="E10" s="3659">
        <f>D10-C10</f>
        <v>39088011.65699999</v>
      </c>
      <c r="F10" s="3660">
        <f>D10/C10*100</f>
        <v>154.79038933712729</v>
      </c>
      <c r="G10" s="3089"/>
      <c r="I10" s="3090"/>
      <c r="O10" s="2916">
        <f>C10-[1]B49!C20</f>
        <v>0</v>
      </c>
      <c r="P10" s="2908">
        <v>756200.08732599998</v>
      </c>
      <c r="Q10" s="2615"/>
      <c r="R10" s="2615"/>
      <c r="S10" s="2615"/>
      <c r="T10" s="2615"/>
      <c r="U10" s="2615"/>
      <c r="V10" s="2615"/>
      <c r="W10" s="2615"/>
      <c r="X10" s="2615"/>
      <c r="Y10" s="2615"/>
      <c r="Z10" s="2615"/>
      <c r="AA10" s="2615"/>
      <c r="AB10" s="2615"/>
      <c r="AC10" s="2615"/>
      <c r="AD10" s="2615"/>
      <c r="AE10" s="2615"/>
      <c r="AF10" s="2615"/>
    </row>
    <row r="11" spans="1:32" s="3093" customFormat="1" ht="21.75" customHeight="1" x14ac:dyDescent="0.25">
      <c r="A11" s="3661" t="s">
        <v>847</v>
      </c>
      <c r="B11" s="3662" t="s">
        <v>33</v>
      </c>
      <c r="C11" s="3663">
        <f>[1]B49!C22</f>
        <v>0</v>
      </c>
      <c r="D11" s="3663">
        <v>0</v>
      </c>
      <c r="E11" s="3664">
        <f>D11-C11</f>
        <v>0</v>
      </c>
      <c r="F11" s="3665"/>
      <c r="G11" s="3091"/>
      <c r="H11" s="3091"/>
      <c r="I11" s="3092"/>
      <c r="O11" s="2917"/>
      <c r="P11" s="3030">
        <f>D10-P10</f>
        <v>109672811.56967399</v>
      </c>
      <c r="Q11" s="2918"/>
      <c r="R11" s="3076"/>
      <c r="S11" s="2918"/>
      <c r="T11" s="2918"/>
      <c r="U11" s="2918"/>
      <c r="V11" s="2918"/>
      <c r="W11" s="2918"/>
      <c r="X11" s="2918"/>
      <c r="Y11" s="2918"/>
      <c r="Z11" s="2918"/>
      <c r="AA11" s="2918"/>
      <c r="AB11" s="2918"/>
      <c r="AC11" s="2918"/>
      <c r="AD11" s="2918"/>
      <c r="AE11" s="2918"/>
      <c r="AF11" s="2918"/>
    </row>
    <row r="12" spans="1:32" s="3094" customFormat="1" ht="21.75" customHeight="1" x14ac:dyDescent="0.25">
      <c r="A12" s="3661" t="s">
        <v>848</v>
      </c>
      <c r="B12" s="3662" t="s">
        <v>3584</v>
      </c>
      <c r="C12" s="3666">
        <f>C13+C27+C42</f>
        <v>58266000</v>
      </c>
      <c r="D12" s="3666">
        <f>D13+D27+D40+D41+D42+D43+D44</f>
        <v>79398768</v>
      </c>
      <c r="E12" s="3667">
        <f>D12-C12</f>
        <v>21132768</v>
      </c>
      <c r="F12" s="3668">
        <f>D12/C12*100</f>
        <v>136.26946761404594</v>
      </c>
      <c r="I12" s="3095"/>
      <c r="O12" s="2919">
        <f>C13+C27</f>
        <v>56939000</v>
      </c>
      <c r="P12" s="2920"/>
      <c r="Q12" s="2920"/>
      <c r="R12" s="3077"/>
      <c r="S12" s="2920"/>
      <c r="T12" s="2920"/>
      <c r="U12" s="2920"/>
      <c r="V12" s="2920"/>
      <c r="W12" s="2920"/>
      <c r="X12" s="2920"/>
      <c r="Y12" s="2920"/>
      <c r="Z12" s="2920"/>
      <c r="AA12" s="2920"/>
      <c r="AB12" s="2920"/>
      <c r="AC12" s="2920"/>
      <c r="AD12" s="2920"/>
      <c r="AE12" s="2920"/>
      <c r="AF12" s="2920"/>
    </row>
    <row r="13" spans="1:32" s="3094" customFormat="1" ht="20.25" customHeight="1" x14ac:dyDescent="0.25">
      <c r="A13" s="3661" t="s">
        <v>849</v>
      </c>
      <c r="B13" s="3662" t="s">
        <v>884</v>
      </c>
      <c r="C13" s="3666">
        <f>C14+C26</f>
        <v>1003000</v>
      </c>
      <c r="D13" s="3666">
        <f>D14+D26</f>
        <v>1298671</v>
      </c>
      <c r="E13" s="3667">
        <f>D13-C13</f>
        <v>295671</v>
      </c>
      <c r="F13" s="3668">
        <f>D13/C13*100</f>
        <v>129.47866400797608</v>
      </c>
      <c r="G13" s="3096"/>
      <c r="I13" s="3095"/>
      <c r="O13" s="2919" t="e">
        <f>D13+D48+D54+D57+#REF!+#REF!+#REF!</f>
        <v>#REF!</v>
      </c>
      <c r="P13" s="2908">
        <f>D13+D48+D51+D54+D57+D58</f>
        <v>6540462</v>
      </c>
      <c r="Q13" s="2920"/>
      <c r="R13" s="2920"/>
      <c r="S13" s="2920"/>
      <c r="T13" s="2920"/>
      <c r="U13" s="2920"/>
      <c r="V13" s="2920"/>
      <c r="W13" s="2920"/>
      <c r="X13" s="2920"/>
      <c r="Y13" s="2920"/>
      <c r="Z13" s="2920"/>
      <c r="AA13" s="2920"/>
      <c r="AB13" s="2920"/>
      <c r="AC13" s="2920"/>
      <c r="AD13" s="2920"/>
      <c r="AE13" s="2920"/>
      <c r="AF13" s="2920"/>
    </row>
    <row r="14" spans="1:32" s="3093" customFormat="1" ht="36" customHeight="1" x14ac:dyDescent="0.25">
      <c r="A14" s="3669" t="s">
        <v>1773</v>
      </c>
      <c r="B14" s="3670" t="s">
        <v>1775</v>
      </c>
      <c r="C14" s="3671">
        <f>SUM(C15:C25)</f>
        <v>1003000</v>
      </c>
      <c r="D14" s="3671">
        <f>SUM(D15:D25)</f>
        <v>1298671</v>
      </c>
      <c r="E14" s="3672">
        <f>SUM(E15:E24)</f>
        <v>295671</v>
      </c>
      <c r="F14" s="3673">
        <f>D14/C14*100</f>
        <v>129.47866400797608</v>
      </c>
      <c r="G14" s="3097">
        <f>[1]B49!C20</f>
        <v>71341000</v>
      </c>
      <c r="I14" s="3092"/>
      <c r="O14" s="2921" t="e">
        <f>O13+D11</f>
        <v>#REF!</v>
      </c>
      <c r="P14" s="2908">
        <f>D27+D49+D52+D55</f>
        <v>86052682</v>
      </c>
      <c r="Q14" s="2918"/>
      <c r="R14" s="3077"/>
      <c r="S14" s="2918"/>
      <c r="T14" s="2918"/>
      <c r="U14" s="2918"/>
      <c r="V14" s="2918"/>
      <c r="W14" s="2918"/>
      <c r="X14" s="2918"/>
      <c r="Y14" s="2918"/>
      <c r="Z14" s="2918"/>
      <c r="AA14" s="2918"/>
      <c r="AB14" s="2918"/>
      <c r="AC14" s="2918"/>
      <c r="AD14" s="2918"/>
      <c r="AE14" s="2918"/>
      <c r="AF14" s="2918"/>
    </row>
    <row r="15" spans="1:32" s="3093" customFormat="1" ht="18" customHeight="1" x14ac:dyDescent="0.25">
      <c r="A15" s="3669" t="s">
        <v>882</v>
      </c>
      <c r="B15" s="3670" t="s">
        <v>947</v>
      </c>
      <c r="C15" s="3671"/>
      <c r="D15" s="3671">
        <v>0</v>
      </c>
      <c r="E15" s="3672">
        <f>D15-C15</f>
        <v>0</v>
      </c>
      <c r="F15" s="3673"/>
      <c r="I15" s="3092"/>
      <c r="O15" s="2918"/>
      <c r="P15" s="2908" t="e">
        <f>#REF!</f>
        <v>#REF!</v>
      </c>
      <c r="Q15" s="2918"/>
      <c r="R15" s="2918"/>
      <c r="S15" s="2918"/>
      <c r="T15" s="2918"/>
      <c r="U15" s="2918"/>
      <c r="V15" s="2918"/>
      <c r="W15" s="2918"/>
      <c r="X15" s="2918"/>
      <c r="Y15" s="2918"/>
      <c r="Z15" s="2918"/>
      <c r="AA15" s="2918"/>
      <c r="AB15" s="2918"/>
      <c r="AC15" s="2918"/>
      <c r="AD15" s="2918"/>
      <c r="AE15" s="2918"/>
      <c r="AF15" s="2918"/>
    </row>
    <row r="16" spans="1:32" s="3093" customFormat="1" ht="18" customHeight="1" x14ac:dyDescent="0.25">
      <c r="A16" s="3669" t="s">
        <v>882</v>
      </c>
      <c r="B16" s="3670" t="s">
        <v>892</v>
      </c>
      <c r="C16" s="3671">
        <v>800000</v>
      </c>
      <c r="D16" s="3671">
        <f>[1]B53!H14</f>
        <v>399339</v>
      </c>
      <c r="E16" s="3672">
        <f t="shared" ref="E16:E21" si="0">D16-C16</f>
        <v>-400661</v>
      </c>
      <c r="F16" s="3673"/>
      <c r="G16" s="3097">
        <f>C10-[1]B48!C9</f>
        <v>0</v>
      </c>
      <c r="I16" s="3092"/>
      <c r="O16" s="2918"/>
      <c r="P16" s="2908" t="e">
        <f>P14-P15</f>
        <v>#REF!</v>
      </c>
      <c r="Q16" s="2918"/>
      <c r="R16" s="3078"/>
      <c r="S16" s="2918"/>
      <c r="T16" s="2918"/>
      <c r="U16" s="2918"/>
      <c r="V16" s="2918"/>
      <c r="W16" s="2918"/>
      <c r="X16" s="2918"/>
      <c r="Y16" s="2918"/>
      <c r="Z16" s="2918"/>
      <c r="AA16" s="2918"/>
      <c r="AB16" s="2918"/>
      <c r="AC16" s="2918"/>
      <c r="AD16" s="2918"/>
      <c r="AE16" s="2918"/>
      <c r="AF16" s="2918"/>
    </row>
    <row r="17" spans="1:32" s="3093" customFormat="1" ht="18" customHeight="1" x14ac:dyDescent="0.25">
      <c r="A17" s="3669" t="s">
        <v>882</v>
      </c>
      <c r="B17" s="3670" t="s">
        <v>471</v>
      </c>
      <c r="C17" s="3674"/>
      <c r="D17" s="3674"/>
      <c r="E17" s="3675">
        <f t="shared" si="0"/>
        <v>0</v>
      </c>
      <c r="F17" s="3673">
        <v>0</v>
      </c>
      <c r="I17" s="3092"/>
      <c r="O17" s="2918"/>
      <c r="P17" s="2918"/>
      <c r="Q17" s="2918"/>
      <c r="R17" s="2922"/>
      <c r="S17" s="2918"/>
      <c r="T17" s="2918"/>
      <c r="U17" s="2918"/>
      <c r="V17" s="2918"/>
      <c r="W17" s="2918"/>
      <c r="X17" s="2918"/>
      <c r="Y17" s="2918"/>
      <c r="Z17" s="2918"/>
      <c r="AA17" s="2918"/>
      <c r="AB17" s="2918"/>
      <c r="AC17" s="2918"/>
      <c r="AD17" s="2918"/>
      <c r="AE17" s="2918"/>
      <c r="AF17" s="2918"/>
    </row>
    <row r="18" spans="1:32" s="3093" customFormat="1" ht="18" customHeight="1" x14ac:dyDescent="0.25">
      <c r="A18" s="3669" t="s">
        <v>882</v>
      </c>
      <c r="B18" s="3670" t="s">
        <v>472</v>
      </c>
      <c r="C18" s="3674"/>
      <c r="D18" s="3674"/>
      <c r="E18" s="3675">
        <f t="shared" si="0"/>
        <v>0</v>
      </c>
      <c r="F18" s="3673">
        <v>0</v>
      </c>
      <c r="G18" s="3098">
        <f>[1]B49!D20</f>
        <v>110429011.557</v>
      </c>
      <c r="I18" s="3092"/>
      <c r="O18" s="2918"/>
      <c r="P18" s="2918"/>
      <c r="Q18" s="2918"/>
      <c r="R18" s="3078"/>
      <c r="S18" s="2918"/>
      <c r="T18" s="2918"/>
      <c r="U18" s="2918"/>
      <c r="V18" s="2918"/>
      <c r="W18" s="2918"/>
      <c r="X18" s="2918"/>
      <c r="Y18" s="2918"/>
      <c r="Z18" s="2918"/>
      <c r="AA18" s="2918"/>
      <c r="AB18" s="2918"/>
      <c r="AC18" s="2918"/>
      <c r="AD18" s="2918"/>
      <c r="AE18" s="2918"/>
      <c r="AF18" s="2918"/>
    </row>
    <row r="19" spans="1:32" s="3093" customFormat="1" ht="18" customHeight="1" x14ac:dyDescent="0.25">
      <c r="A19" s="3669" t="s">
        <v>882</v>
      </c>
      <c r="B19" s="3670" t="s">
        <v>3280</v>
      </c>
      <c r="C19" s="3674"/>
      <c r="D19" s="3674"/>
      <c r="E19" s="3675">
        <f>D19-C19</f>
        <v>0</v>
      </c>
      <c r="F19" s="3673"/>
      <c r="G19" s="3099">
        <f>D10-G18</f>
        <v>9.9999994039535522E-2</v>
      </c>
      <c r="I19" s="3092"/>
      <c r="O19" s="2918"/>
      <c r="P19" s="2918"/>
      <c r="Q19" s="2918"/>
      <c r="R19" s="2922"/>
      <c r="S19" s="2918"/>
      <c r="T19" s="2918"/>
      <c r="U19" s="2918"/>
      <c r="V19" s="2918"/>
      <c r="W19" s="2918"/>
      <c r="X19" s="2918"/>
      <c r="Y19" s="2918"/>
      <c r="Z19" s="2918"/>
      <c r="AA19" s="2918"/>
      <c r="AB19" s="2918"/>
      <c r="AC19" s="2918"/>
      <c r="AD19" s="2918"/>
      <c r="AE19" s="2918"/>
      <c r="AF19" s="2918"/>
    </row>
    <row r="20" spans="1:32" s="3093" customFormat="1" ht="18" customHeight="1" x14ac:dyDescent="0.25">
      <c r="A20" s="3669" t="s">
        <v>882</v>
      </c>
      <c r="B20" s="3670" t="s">
        <v>3282</v>
      </c>
      <c r="C20" s="3674"/>
      <c r="D20" s="3674"/>
      <c r="E20" s="3675">
        <f>D20-C20</f>
        <v>0</v>
      </c>
      <c r="F20" s="3673"/>
      <c r="G20" s="3099"/>
      <c r="I20" s="3092"/>
      <c r="O20" s="2918"/>
      <c r="P20" s="2918"/>
      <c r="Q20" s="2918"/>
      <c r="R20" s="2922"/>
      <c r="S20" s="2918"/>
      <c r="T20" s="2918"/>
      <c r="U20" s="2918"/>
      <c r="V20" s="2918"/>
      <c r="W20" s="2918"/>
      <c r="X20" s="2918"/>
      <c r="Y20" s="2918"/>
      <c r="Z20" s="2918"/>
      <c r="AA20" s="2918"/>
      <c r="AB20" s="2918"/>
      <c r="AC20" s="2918"/>
      <c r="AD20" s="2918"/>
      <c r="AE20" s="2918"/>
      <c r="AF20" s="2918"/>
    </row>
    <row r="21" spans="1:32" s="3093" customFormat="1" ht="18" customHeight="1" x14ac:dyDescent="0.25">
      <c r="A21" s="3669" t="s">
        <v>882</v>
      </c>
      <c r="B21" s="3670" t="s">
        <v>2863</v>
      </c>
      <c r="C21" s="3674"/>
      <c r="D21" s="3674"/>
      <c r="E21" s="3675">
        <f t="shared" si="0"/>
        <v>0</v>
      </c>
      <c r="F21" s="3673">
        <v>0</v>
      </c>
      <c r="I21" s="3092"/>
      <c r="O21" s="2918"/>
      <c r="P21" s="2918"/>
      <c r="Q21" s="2918"/>
      <c r="R21" s="2918"/>
      <c r="S21" s="2918"/>
      <c r="T21" s="2918"/>
      <c r="U21" s="2918"/>
      <c r="V21" s="2918"/>
      <c r="W21" s="2918"/>
      <c r="X21" s="2918"/>
      <c r="Y21" s="2918"/>
      <c r="Z21" s="2918"/>
      <c r="AA21" s="2918"/>
      <c r="AB21" s="2918"/>
      <c r="AC21" s="2918"/>
      <c r="AD21" s="2918"/>
      <c r="AE21" s="2918"/>
      <c r="AF21" s="2918"/>
    </row>
    <row r="22" spans="1:32" s="3093" customFormat="1" ht="18" customHeight="1" x14ac:dyDescent="0.25">
      <c r="A22" s="3669" t="s">
        <v>882</v>
      </c>
      <c r="B22" s="3670" t="s">
        <v>1476</v>
      </c>
      <c r="C22" s="3674"/>
      <c r="D22" s="3674"/>
      <c r="E22" s="3675">
        <f>D22-C22</f>
        <v>0</v>
      </c>
      <c r="F22" s="3673">
        <v>0</v>
      </c>
      <c r="I22" s="3092"/>
      <c r="O22" s="2918"/>
      <c r="P22" s="2918"/>
      <c r="Q22" s="2918"/>
      <c r="R22" s="2918"/>
      <c r="S22" s="2918"/>
      <c r="T22" s="2918"/>
      <c r="U22" s="2918"/>
      <c r="V22" s="2918"/>
      <c r="W22" s="2918"/>
      <c r="X22" s="2918"/>
      <c r="Y22" s="2918"/>
      <c r="Z22" s="2918"/>
      <c r="AA22" s="2918"/>
      <c r="AB22" s="2918"/>
      <c r="AC22" s="2918"/>
      <c r="AD22" s="2918"/>
      <c r="AE22" s="2918"/>
      <c r="AF22" s="2918"/>
    </row>
    <row r="23" spans="1:32" s="3093" customFormat="1" ht="18" customHeight="1" x14ac:dyDescent="0.25">
      <c r="A23" s="3669" t="s">
        <v>882</v>
      </c>
      <c r="B23" s="3670" t="s">
        <v>1478</v>
      </c>
      <c r="C23" s="3676">
        <v>203000</v>
      </c>
      <c r="D23" s="3676">
        <v>899332</v>
      </c>
      <c r="E23" s="3677">
        <f>D23-C23</f>
        <v>696332</v>
      </c>
      <c r="F23" s="3673">
        <f>D23/C23*100</f>
        <v>443.02068965517248</v>
      </c>
      <c r="I23" s="3092"/>
      <c r="O23" s="2918"/>
      <c r="P23" s="2918"/>
      <c r="Q23" s="2918"/>
      <c r="R23" s="2918"/>
      <c r="S23" s="2918"/>
      <c r="T23" s="2918"/>
      <c r="U23" s="2918"/>
      <c r="V23" s="2918"/>
      <c r="W23" s="2918"/>
      <c r="X23" s="2918"/>
      <c r="Y23" s="2918"/>
      <c r="Z23" s="2918"/>
      <c r="AA23" s="2918"/>
      <c r="AB23" s="2918"/>
      <c r="AC23" s="2918"/>
      <c r="AD23" s="2918"/>
      <c r="AE23" s="2918"/>
      <c r="AF23" s="2918"/>
    </row>
    <row r="24" spans="1:32" s="3093" customFormat="1" ht="36" customHeight="1" x14ac:dyDescent="0.25">
      <c r="A24" s="3669" t="s">
        <v>882</v>
      </c>
      <c r="B24" s="3670" t="s">
        <v>889</v>
      </c>
      <c r="C24" s="3674"/>
      <c r="D24" s="3674"/>
      <c r="E24" s="3675">
        <f>D24-C24</f>
        <v>0</v>
      </c>
      <c r="F24" s="3673"/>
      <c r="I24" s="3092"/>
      <c r="O24" s="2918"/>
      <c r="P24" s="2918"/>
      <c r="Q24" s="2918"/>
      <c r="R24" s="2918"/>
      <c r="S24" s="2918"/>
      <c r="T24" s="2918"/>
      <c r="U24" s="2918"/>
      <c r="V24" s="2918"/>
      <c r="W24" s="2918"/>
      <c r="X24" s="2918"/>
      <c r="Y24" s="2918"/>
      <c r="Z24" s="2918"/>
      <c r="AA24" s="2918"/>
      <c r="AB24" s="2918"/>
      <c r="AC24" s="2918"/>
      <c r="AD24" s="2918"/>
      <c r="AE24" s="2918"/>
      <c r="AF24" s="2918"/>
    </row>
    <row r="25" spans="1:32" s="3093" customFormat="1" ht="22.5" customHeight="1" x14ac:dyDescent="0.25">
      <c r="A25" s="3678" t="s">
        <v>882</v>
      </c>
      <c r="B25" s="3670" t="s">
        <v>3219</v>
      </c>
      <c r="C25" s="3674"/>
      <c r="D25" s="3674">
        <v>0</v>
      </c>
      <c r="E25" s="3675">
        <f>D25-C25</f>
        <v>0</v>
      </c>
      <c r="F25" s="3673">
        <v>0</v>
      </c>
      <c r="I25" s="3092"/>
      <c r="O25" s="2918"/>
      <c r="P25" s="2918"/>
      <c r="Q25" s="2918"/>
      <c r="R25" s="2918"/>
      <c r="S25" s="2918"/>
      <c r="T25" s="2918"/>
      <c r="U25" s="2918"/>
      <c r="V25" s="2918"/>
      <c r="W25" s="2918"/>
      <c r="X25" s="2918"/>
      <c r="Y25" s="2918"/>
      <c r="Z25" s="2918"/>
      <c r="AA25" s="2918"/>
      <c r="AB25" s="2918"/>
      <c r="AC25" s="2918"/>
      <c r="AD25" s="2918"/>
      <c r="AE25" s="2918"/>
      <c r="AF25" s="2918"/>
    </row>
    <row r="26" spans="1:32" s="3093" customFormat="1" ht="22.5" customHeight="1" x14ac:dyDescent="0.25">
      <c r="A26" s="3678">
        <v>2</v>
      </c>
      <c r="B26" s="3670" t="s">
        <v>883</v>
      </c>
      <c r="C26" s="3674"/>
      <c r="D26" s="3674"/>
      <c r="E26" s="3675">
        <f>D26-C26</f>
        <v>0</v>
      </c>
      <c r="F26" s="3673"/>
      <c r="I26" s="3092"/>
      <c r="O26" s="2918"/>
      <c r="P26" s="2918"/>
      <c r="Q26" s="2918"/>
      <c r="R26" s="2918"/>
      <c r="S26" s="2918"/>
      <c r="T26" s="2918"/>
      <c r="U26" s="2918"/>
      <c r="V26" s="2918"/>
      <c r="W26" s="2918"/>
      <c r="X26" s="2918"/>
      <c r="Y26" s="2918"/>
      <c r="Z26" s="2918"/>
      <c r="AA26" s="2918"/>
      <c r="AB26" s="2918"/>
      <c r="AC26" s="2918"/>
      <c r="AD26" s="2918"/>
      <c r="AE26" s="2918"/>
      <c r="AF26" s="2918"/>
    </row>
    <row r="27" spans="1:32" s="3094" customFormat="1" ht="24.75" customHeight="1" x14ac:dyDescent="0.25">
      <c r="A27" s="3661" t="s">
        <v>866</v>
      </c>
      <c r="B27" s="3662" t="s">
        <v>885</v>
      </c>
      <c r="C27" s="3679">
        <f>SUM(C28:C40)</f>
        <v>55936000</v>
      </c>
      <c r="D27" s="3679">
        <f>SUM(D28:D38)</f>
        <v>77015656</v>
      </c>
      <c r="E27" s="3668">
        <f>SUM(E28:E38)</f>
        <v>21483656</v>
      </c>
      <c r="F27" s="3680">
        <f t="shared" ref="F27:F34" si="1">D27/C27</f>
        <v>1.3768531178489702</v>
      </c>
      <c r="G27" s="3100" t="e">
        <f>#REF!</f>
        <v>#REF!</v>
      </c>
      <c r="H27" s="3094">
        <v>5.6</v>
      </c>
      <c r="I27" s="3095">
        <v>28.8</v>
      </c>
      <c r="O27" s="3079"/>
      <c r="P27" s="2920">
        <f>[1]B53!G22</f>
        <v>0</v>
      </c>
      <c r="Q27" s="2920"/>
      <c r="R27" s="2920"/>
      <c r="S27" s="2920"/>
      <c r="T27" s="2920"/>
      <c r="U27" s="2920"/>
      <c r="V27" s="2920"/>
      <c r="W27" s="2920"/>
      <c r="X27" s="2920"/>
      <c r="Y27" s="2920"/>
      <c r="Z27" s="2920"/>
      <c r="AA27" s="2920"/>
      <c r="AB27" s="2920"/>
      <c r="AC27" s="2920"/>
      <c r="AD27" s="2920"/>
      <c r="AE27" s="2920"/>
      <c r="AF27" s="2920"/>
    </row>
    <row r="28" spans="1:32" s="3093" customFormat="1" ht="20.25" customHeight="1" x14ac:dyDescent="0.25">
      <c r="A28" s="3669" t="s">
        <v>882</v>
      </c>
      <c r="B28" s="3670" t="s">
        <v>947</v>
      </c>
      <c r="C28" s="3681">
        <v>699000</v>
      </c>
      <c r="D28" s="3681">
        <v>645268</v>
      </c>
      <c r="E28" s="3673">
        <f>D28-C28</f>
        <v>-53732</v>
      </c>
      <c r="F28" s="3680">
        <f t="shared" si="1"/>
        <v>0.92313018597997143</v>
      </c>
      <c r="G28" s="3031" t="e">
        <f>D27-G27</f>
        <v>#REF!</v>
      </c>
      <c r="I28" s="3092"/>
      <c r="O28" s="2922">
        <f>O27-C27</f>
        <v>-55936000</v>
      </c>
      <c r="P28" s="2921">
        <f>D27-P27</f>
        <v>77015656</v>
      </c>
      <c r="Q28" s="2918"/>
      <c r="R28" s="2918"/>
      <c r="S28" s="2918"/>
      <c r="T28" s="2918"/>
      <c r="U28" s="2918"/>
      <c r="V28" s="2918"/>
      <c r="W28" s="2918"/>
      <c r="X28" s="2918"/>
      <c r="Y28" s="2918"/>
      <c r="Z28" s="2918"/>
      <c r="AA28" s="2918"/>
      <c r="AB28" s="2918"/>
      <c r="AC28" s="2918"/>
      <c r="AD28" s="2918"/>
      <c r="AE28" s="2918"/>
      <c r="AF28" s="2918"/>
    </row>
    <row r="29" spans="1:32" s="3093" customFormat="1" ht="20.25" customHeight="1" x14ac:dyDescent="0.25">
      <c r="A29" s="3669" t="s">
        <v>882</v>
      </c>
      <c r="B29" s="3670" t="s">
        <v>1476</v>
      </c>
      <c r="C29" s="3681">
        <v>175000</v>
      </c>
      <c r="D29" s="3681">
        <v>174976</v>
      </c>
      <c r="E29" s="3673">
        <f t="shared" ref="E29:E42" si="2">D29-C29</f>
        <v>-24</v>
      </c>
      <c r="F29" s="3682">
        <f t="shared" si="1"/>
        <v>0.99986285714285716</v>
      </c>
      <c r="G29" s="3101">
        <f>D27-C27</f>
        <v>21079656</v>
      </c>
      <c r="I29" s="3092">
        <f>G29-I27-H27</f>
        <v>21079621.599999998</v>
      </c>
      <c r="O29" s="2918"/>
      <c r="P29" s="2918"/>
      <c r="Q29" s="2918"/>
      <c r="R29" s="2918"/>
      <c r="S29" s="2918"/>
      <c r="T29" s="2918"/>
      <c r="U29" s="2918"/>
      <c r="V29" s="2918"/>
      <c r="W29" s="2918"/>
      <c r="X29" s="2918"/>
      <c r="Y29" s="2918"/>
      <c r="Z29" s="2918"/>
      <c r="AA29" s="2918"/>
      <c r="AB29" s="2918"/>
      <c r="AC29" s="2918"/>
      <c r="AD29" s="2918"/>
      <c r="AE29" s="2918"/>
      <c r="AF29" s="2918"/>
    </row>
    <row r="30" spans="1:32" s="3093" customFormat="1" ht="24.75" customHeight="1" x14ac:dyDescent="0.25">
      <c r="A30" s="3669" t="s">
        <v>882</v>
      </c>
      <c r="B30" s="3670" t="s">
        <v>892</v>
      </c>
      <c r="C30" s="3681">
        <v>29988000</v>
      </c>
      <c r="D30" s="3681">
        <v>30030457</v>
      </c>
      <c r="E30" s="3673">
        <f>D30-C30</f>
        <v>42457</v>
      </c>
      <c r="F30" s="3680">
        <f t="shared" si="1"/>
        <v>1.0014157996531947</v>
      </c>
      <c r="I30" s="3092"/>
      <c r="O30" s="2918"/>
      <c r="P30" s="2918"/>
      <c r="Q30" s="2918"/>
      <c r="R30" s="2918"/>
      <c r="S30" s="2918"/>
      <c r="T30" s="2918"/>
      <c r="U30" s="2918"/>
      <c r="V30" s="2918"/>
      <c r="W30" s="2918"/>
      <c r="X30" s="2918"/>
      <c r="Y30" s="2918"/>
      <c r="Z30" s="2918"/>
      <c r="AA30" s="2918"/>
      <c r="AB30" s="2918"/>
      <c r="AC30" s="2918"/>
      <c r="AD30" s="2918"/>
      <c r="AE30" s="2918"/>
      <c r="AF30" s="2918"/>
    </row>
    <row r="31" spans="1:32" s="3093" customFormat="1" ht="24.75" customHeight="1" x14ac:dyDescent="0.25">
      <c r="A31" s="3669" t="s">
        <v>882</v>
      </c>
      <c r="B31" s="3670" t="s">
        <v>948</v>
      </c>
      <c r="C31" s="3681">
        <v>0</v>
      </c>
      <c r="D31" s="3681">
        <v>0</v>
      </c>
      <c r="E31" s="3673">
        <f t="shared" si="2"/>
        <v>0</v>
      </c>
      <c r="F31" s="3683"/>
      <c r="I31" s="3092"/>
      <c r="O31" s="2918"/>
      <c r="P31" s="2918"/>
      <c r="Q31" s="2918"/>
      <c r="R31" s="2918"/>
      <c r="S31" s="2918"/>
      <c r="T31" s="2918"/>
      <c r="U31" s="2918"/>
      <c r="V31" s="2918"/>
      <c r="W31" s="2918"/>
      <c r="X31" s="2918"/>
      <c r="Y31" s="2918"/>
      <c r="Z31" s="2918"/>
      <c r="AA31" s="2918"/>
      <c r="AB31" s="2918"/>
      <c r="AC31" s="2918"/>
      <c r="AD31" s="2918"/>
      <c r="AE31" s="2918"/>
      <c r="AF31" s="2918"/>
    </row>
    <row r="32" spans="1:32" s="3093" customFormat="1" ht="21.75" customHeight="1" x14ac:dyDescent="0.25">
      <c r="A32" s="3669" t="s">
        <v>882</v>
      </c>
      <c r="B32" s="3670" t="s">
        <v>3525</v>
      </c>
      <c r="C32" s="3681">
        <v>329000</v>
      </c>
      <c r="D32" s="3681">
        <f>211262+68000</f>
        <v>279262</v>
      </c>
      <c r="E32" s="3673">
        <f t="shared" si="2"/>
        <v>-49738</v>
      </c>
      <c r="F32" s="3680">
        <f t="shared" si="1"/>
        <v>0.84882066869300909</v>
      </c>
      <c r="I32" s="3092"/>
      <c r="O32" s="2918"/>
      <c r="P32" s="2918"/>
      <c r="Q32" s="2918"/>
      <c r="R32" s="2918"/>
      <c r="S32" s="2918"/>
      <c r="T32" s="2918"/>
      <c r="U32" s="2918"/>
      <c r="V32" s="2918"/>
      <c r="W32" s="2918"/>
      <c r="X32" s="2918"/>
      <c r="Y32" s="2918"/>
      <c r="Z32" s="2918"/>
      <c r="AA32" s="2918"/>
      <c r="AB32" s="2918"/>
      <c r="AC32" s="2918"/>
      <c r="AD32" s="2918"/>
      <c r="AE32" s="2918"/>
      <c r="AF32" s="2918"/>
    </row>
    <row r="33" spans="1:32" s="3093" customFormat="1" ht="24" customHeight="1" x14ac:dyDescent="0.25">
      <c r="A33" s="3669" t="s">
        <v>882</v>
      </c>
      <c r="B33" s="3670" t="s">
        <v>545</v>
      </c>
      <c r="C33" s="3681">
        <v>20000</v>
      </c>
      <c r="D33" s="3681">
        <v>17970</v>
      </c>
      <c r="E33" s="3673">
        <f t="shared" si="2"/>
        <v>-2030</v>
      </c>
      <c r="F33" s="3682">
        <f t="shared" si="1"/>
        <v>0.89849999999999997</v>
      </c>
      <c r="I33" s="3092"/>
      <c r="O33" s="2918"/>
      <c r="P33" s="2918"/>
      <c r="Q33" s="2918"/>
      <c r="R33" s="2918"/>
      <c r="S33" s="2918"/>
      <c r="T33" s="2918"/>
      <c r="U33" s="2918"/>
      <c r="V33" s="2918"/>
      <c r="W33" s="2918"/>
      <c r="X33" s="2918"/>
      <c r="Y33" s="2918"/>
      <c r="Z33" s="2918"/>
      <c r="AA33" s="2918"/>
      <c r="AB33" s="2918"/>
      <c r="AC33" s="2918"/>
      <c r="AD33" s="2918"/>
      <c r="AE33" s="2918"/>
      <c r="AF33" s="2918"/>
    </row>
    <row r="34" spans="1:32" s="3093" customFormat="1" ht="23.25" customHeight="1" x14ac:dyDescent="0.25">
      <c r="A34" s="3669" t="s">
        <v>882</v>
      </c>
      <c r="B34" s="3670" t="s">
        <v>950</v>
      </c>
      <c r="C34" s="3684">
        <v>37000</v>
      </c>
      <c r="D34" s="3681">
        <v>36960</v>
      </c>
      <c r="E34" s="3673">
        <f t="shared" si="2"/>
        <v>-40</v>
      </c>
      <c r="F34" s="3682">
        <f t="shared" si="1"/>
        <v>0.99891891891891893</v>
      </c>
      <c r="I34" s="3092"/>
      <c r="O34" s="2918"/>
      <c r="P34" s="2918"/>
      <c r="Q34" s="2918"/>
      <c r="R34" s="2918"/>
      <c r="S34" s="2918"/>
      <c r="T34" s="2918"/>
      <c r="U34" s="2918"/>
      <c r="V34" s="2918"/>
      <c r="W34" s="2918"/>
      <c r="X34" s="2918"/>
      <c r="Y34" s="2918"/>
      <c r="Z34" s="2918"/>
      <c r="AA34" s="2918"/>
      <c r="AB34" s="2918"/>
      <c r="AC34" s="2918"/>
      <c r="AD34" s="2918"/>
      <c r="AE34" s="2918"/>
      <c r="AF34" s="2918"/>
    </row>
    <row r="35" spans="1:32" s="3093" customFormat="1" ht="23.25" customHeight="1" x14ac:dyDescent="0.25">
      <c r="A35" s="3669" t="s">
        <v>882</v>
      </c>
      <c r="B35" s="3670" t="s">
        <v>1478</v>
      </c>
      <c r="C35" s="3681">
        <v>2788000</v>
      </c>
      <c r="D35" s="3681">
        <f>880165-50000-41639</f>
        <v>788526</v>
      </c>
      <c r="E35" s="3673">
        <f t="shared" si="2"/>
        <v>-1999474</v>
      </c>
      <c r="F35" s="3683">
        <f>D35/C35</f>
        <v>0.28282855093256815</v>
      </c>
      <c r="I35" s="3092"/>
      <c r="O35" s="2918"/>
      <c r="P35" s="2918"/>
      <c r="Q35" s="2918"/>
      <c r="R35" s="2918"/>
      <c r="S35" s="2918"/>
      <c r="T35" s="2918"/>
      <c r="U35" s="2918"/>
      <c r="V35" s="2918"/>
      <c r="W35" s="2918"/>
      <c r="X35" s="2918"/>
      <c r="Y35" s="2918"/>
      <c r="Z35" s="2918"/>
      <c r="AA35" s="2918"/>
      <c r="AB35" s="2918"/>
      <c r="AC35" s="2918"/>
      <c r="AD35" s="2918"/>
      <c r="AE35" s="2918"/>
      <c r="AF35" s="2918"/>
    </row>
    <row r="36" spans="1:32" s="3093" customFormat="1" ht="36.75" customHeight="1" x14ac:dyDescent="0.25">
      <c r="A36" s="3669" t="s">
        <v>882</v>
      </c>
      <c r="B36" s="3670" t="s">
        <v>889</v>
      </c>
      <c r="C36" s="3681">
        <v>20002000</v>
      </c>
      <c r="D36" s="3681">
        <f>41478010-40000-83000</f>
        <v>41355010</v>
      </c>
      <c r="E36" s="3673">
        <f t="shared" si="2"/>
        <v>21353010</v>
      </c>
      <c r="F36" s="3683">
        <f t="shared" ref="F36:F59" si="3">D36/C36</f>
        <v>2.0675437456254375</v>
      </c>
      <c r="G36" s="3102"/>
      <c r="I36" s="3092"/>
      <c r="O36" s="2918"/>
      <c r="P36" s="2918"/>
      <c r="Q36" s="2918"/>
      <c r="R36" s="2918"/>
      <c r="S36" s="2918"/>
      <c r="T36" s="2918"/>
      <c r="U36" s="2918"/>
      <c r="V36" s="2918"/>
      <c r="W36" s="2918"/>
      <c r="X36" s="2918"/>
      <c r="Y36" s="2918"/>
      <c r="Z36" s="2918"/>
      <c r="AA36" s="2918"/>
      <c r="AB36" s="2918"/>
      <c r="AC36" s="2918"/>
      <c r="AD36" s="2918"/>
      <c r="AE36" s="2918"/>
      <c r="AF36" s="2918"/>
    </row>
    <row r="37" spans="1:32" s="3093" customFormat="1" ht="23.25" customHeight="1" x14ac:dyDescent="0.25">
      <c r="A37" s="3669" t="s">
        <v>882</v>
      </c>
      <c r="B37" s="3670" t="s">
        <v>105</v>
      </c>
      <c r="C37" s="3681">
        <v>1454000</v>
      </c>
      <c r="D37" s="3681">
        <v>3647227</v>
      </c>
      <c r="E37" s="3673">
        <f t="shared" si="2"/>
        <v>2193227</v>
      </c>
      <c r="F37" s="3683">
        <f t="shared" si="3"/>
        <v>2.5084092159559837</v>
      </c>
      <c r="I37" s="3092"/>
      <c r="O37" s="2918"/>
      <c r="P37" s="2918"/>
      <c r="Q37" s="2918"/>
      <c r="R37" s="2918"/>
      <c r="S37" s="2918"/>
      <c r="T37" s="2918"/>
      <c r="U37" s="2918"/>
      <c r="V37" s="2918"/>
      <c r="W37" s="2918"/>
      <c r="X37" s="2918"/>
      <c r="Y37" s="2918"/>
      <c r="Z37" s="2918"/>
      <c r="AA37" s="2918"/>
      <c r="AB37" s="2918"/>
      <c r="AC37" s="2918"/>
      <c r="AD37" s="2918"/>
      <c r="AE37" s="2918"/>
      <c r="AF37" s="2918"/>
    </row>
    <row r="38" spans="1:32" s="3093" customFormat="1" ht="23.25" customHeight="1" x14ac:dyDescent="0.25">
      <c r="A38" s="3669" t="s">
        <v>882</v>
      </c>
      <c r="B38" s="3670" t="s">
        <v>951</v>
      </c>
      <c r="C38" s="3681">
        <v>40000</v>
      </c>
      <c r="D38" s="3681">
        <v>40000</v>
      </c>
      <c r="E38" s="3685">
        <f t="shared" si="2"/>
        <v>0</v>
      </c>
      <c r="F38" s="3683">
        <f t="shared" si="3"/>
        <v>1</v>
      </c>
      <c r="I38" s="3092"/>
      <c r="O38" s="2918"/>
      <c r="P38" s="2918"/>
      <c r="Q38" s="2918"/>
      <c r="R38" s="2918"/>
      <c r="S38" s="2918"/>
      <c r="T38" s="2918"/>
      <c r="U38" s="2918"/>
      <c r="V38" s="2918"/>
      <c r="W38" s="2918"/>
      <c r="X38" s="2918"/>
      <c r="Y38" s="2918"/>
      <c r="Z38" s="2918"/>
      <c r="AA38" s="2918"/>
      <c r="AB38" s="2918"/>
      <c r="AC38" s="2918"/>
      <c r="AD38" s="2918"/>
      <c r="AE38" s="2918"/>
      <c r="AF38" s="2918"/>
    </row>
    <row r="39" spans="1:32" s="3093" customFormat="1" ht="33" customHeight="1" x14ac:dyDescent="0.25">
      <c r="A39" s="3678" t="s">
        <v>882</v>
      </c>
      <c r="B39" s="3670" t="s">
        <v>3483</v>
      </c>
      <c r="C39" s="3686">
        <v>0</v>
      </c>
      <c r="D39" s="3686"/>
      <c r="E39" s="3685">
        <f t="shared" si="2"/>
        <v>0</v>
      </c>
      <c r="F39" s="3683"/>
      <c r="I39" s="3092"/>
      <c r="O39" s="2918"/>
      <c r="P39" s="2918"/>
      <c r="Q39" s="2918"/>
      <c r="R39" s="2918"/>
      <c r="S39" s="2918"/>
      <c r="T39" s="2918"/>
      <c r="U39" s="2918"/>
      <c r="V39" s="2918"/>
      <c r="W39" s="2918"/>
      <c r="X39" s="2918"/>
      <c r="Y39" s="2918"/>
      <c r="Z39" s="2918"/>
      <c r="AA39" s="2918"/>
      <c r="AB39" s="2918"/>
      <c r="AC39" s="2918"/>
      <c r="AD39" s="2918"/>
      <c r="AE39" s="2918"/>
      <c r="AF39" s="2918"/>
    </row>
    <row r="40" spans="1:32" s="3093" customFormat="1" ht="45.75" customHeight="1" x14ac:dyDescent="0.25">
      <c r="A40" s="3687" t="s">
        <v>711</v>
      </c>
      <c r="B40" s="3272" t="s">
        <v>4771</v>
      </c>
      <c r="C40" s="3688">
        <v>404000</v>
      </c>
      <c r="D40" s="3689">
        <v>0</v>
      </c>
      <c r="E40" s="3690">
        <f t="shared" si="2"/>
        <v>-404000</v>
      </c>
      <c r="F40" s="3691">
        <f t="shared" si="3"/>
        <v>0</v>
      </c>
      <c r="G40" s="3102">
        <f>D40</f>
        <v>0</v>
      </c>
      <c r="I40" s="3092"/>
      <c r="O40" s="2918"/>
      <c r="P40" s="2918"/>
      <c r="Q40" s="2918"/>
      <c r="R40" s="2918"/>
      <c r="S40" s="2918"/>
      <c r="T40" s="2918"/>
      <c r="U40" s="2918"/>
      <c r="V40" s="2918"/>
      <c r="W40" s="2918"/>
      <c r="X40" s="2918"/>
      <c r="Y40" s="2918"/>
      <c r="Z40" s="2918"/>
      <c r="AA40" s="2918"/>
      <c r="AB40" s="2918"/>
      <c r="AC40" s="2918"/>
      <c r="AD40" s="2918"/>
      <c r="AE40" s="2918"/>
      <c r="AF40" s="2918"/>
    </row>
    <row r="41" spans="1:32" s="3093" customFormat="1" ht="42" hidden="1" customHeight="1" x14ac:dyDescent="0.25">
      <c r="A41" s="3669" t="s">
        <v>873</v>
      </c>
      <c r="B41" s="3670" t="s">
        <v>1777</v>
      </c>
      <c r="C41" s="3686">
        <v>0</v>
      </c>
      <c r="D41" s="3686">
        <v>0</v>
      </c>
      <c r="E41" s="3685">
        <f t="shared" si="2"/>
        <v>0</v>
      </c>
      <c r="F41" s="3683" t="e">
        <f t="shared" si="3"/>
        <v>#DIV/0!</v>
      </c>
      <c r="I41" s="3092"/>
      <c r="O41" s="2918"/>
      <c r="P41" s="2918"/>
      <c r="Q41" s="2918"/>
      <c r="R41" s="2918"/>
      <c r="S41" s="2918"/>
      <c r="T41" s="2918"/>
      <c r="U41" s="2918"/>
      <c r="V41" s="2918"/>
      <c r="W41" s="2918"/>
      <c r="X41" s="2918"/>
      <c r="Y41" s="2918"/>
      <c r="Z41" s="2918"/>
      <c r="AA41" s="2918"/>
      <c r="AB41" s="2918"/>
      <c r="AC41" s="2918"/>
      <c r="AD41" s="2918"/>
      <c r="AE41" s="2918"/>
      <c r="AF41" s="2918"/>
    </row>
    <row r="42" spans="1:32" s="3094" customFormat="1" ht="21.75" customHeight="1" x14ac:dyDescent="0.25">
      <c r="A42" s="3661" t="s">
        <v>872</v>
      </c>
      <c r="B42" s="3662" t="s">
        <v>924</v>
      </c>
      <c r="C42" s="3274">
        <v>1327000</v>
      </c>
      <c r="D42" s="3679"/>
      <c r="E42" s="3673">
        <f t="shared" si="2"/>
        <v>-1327000</v>
      </c>
      <c r="F42" s="3683">
        <f t="shared" si="3"/>
        <v>0</v>
      </c>
      <c r="I42" s="3095"/>
      <c r="O42" s="2920"/>
      <c r="P42" s="2920"/>
      <c r="Q42" s="2920"/>
      <c r="R42" s="2920"/>
      <c r="S42" s="2920"/>
      <c r="T42" s="2920"/>
      <c r="U42" s="2920"/>
      <c r="V42" s="2920"/>
      <c r="W42" s="2920"/>
      <c r="X42" s="2920"/>
      <c r="Y42" s="2920"/>
      <c r="Z42" s="2920"/>
      <c r="AA42" s="2920"/>
      <c r="AB42" s="2920"/>
      <c r="AC42" s="2920"/>
      <c r="AD42" s="2920"/>
      <c r="AE42" s="2920"/>
      <c r="AF42" s="2920"/>
    </row>
    <row r="43" spans="1:32" s="3094" customFormat="1" ht="36" hidden="1" customHeight="1" x14ac:dyDescent="0.25">
      <c r="A43" s="3661" t="s">
        <v>873</v>
      </c>
      <c r="B43" s="3662" t="s">
        <v>24</v>
      </c>
      <c r="C43" s="3679">
        <v>0</v>
      </c>
      <c r="D43" s="3679">
        <v>0</v>
      </c>
      <c r="E43" s="3668">
        <f>D43-C43</f>
        <v>0</v>
      </c>
      <c r="F43" s="3683" t="e">
        <f t="shared" si="3"/>
        <v>#DIV/0!</v>
      </c>
      <c r="I43" s="3095"/>
      <c r="O43" s="2920"/>
      <c r="P43" s="2920"/>
      <c r="Q43" s="2920"/>
      <c r="R43" s="2920"/>
      <c r="S43" s="2920"/>
      <c r="T43" s="2920"/>
      <c r="U43" s="2920"/>
      <c r="V43" s="2920"/>
      <c r="W43" s="2920"/>
      <c r="X43" s="2920"/>
      <c r="Y43" s="2920"/>
      <c r="Z43" s="2920"/>
      <c r="AA43" s="2920"/>
      <c r="AB43" s="2920"/>
      <c r="AC43" s="2920"/>
      <c r="AD43" s="2920"/>
      <c r="AE43" s="2920"/>
      <c r="AF43" s="2920"/>
    </row>
    <row r="44" spans="1:32" s="3103" customFormat="1" ht="24" customHeight="1" x14ac:dyDescent="0.25">
      <c r="A44" s="3692" t="s">
        <v>873</v>
      </c>
      <c r="B44" s="3693" t="s">
        <v>562</v>
      </c>
      <c r="C44" s="3679">
        <v>0</v>
      </c>
      <c r="D44" s="3679">
        <v>1084441</v>
      </c>
      <c r="E44" s="3694">
        <f>D44-C44</f>
        <v>1084441</v>
      </c>
      <c r="F44" s="3683"/>
      <c r="I44" s="3104"/>
      <c r="O44" s="2923"/>
      <c r="P44" s="2923"/>
      <c r="Q44" s="2923"/>
      <c r="R44" s="2923"/>
      <c r="S44" s="2923"/>
      <c r="T44" s="2923"/>
      <c r="U44" s="2923"/>
      <c r="V44" s="2923"/>
      <c r="W44" s="2923"/>
      <c r="X44" s="2923"/>
      <c r="Y44" s="2923"/>
      <c r="Z44" s="2923"/>
      <c r="AA44" s="2923"/>
      <c r="AB44" s="2923"/>
      <c r="AC44" s="2923"/>
      <c r="AD44" s="2923"/>
      <c r="AE44" s="2923"/>
      <c r="AF44" s="2923"/>
    </row>
    <row r="45" spans="1:32" s="3094" customFormat="1" ht="36" customHeight="1" x14ac:dyDescent="0.25">
      <c r="A45" s="3661" t="s">
        <v>904</v>
      </c>
      <c r="B45" s="3662" t="s">
        <v>3524</v>
      </c>
      <c r="C45" s="3695">
        <f>C46+C56</f>
        <v>13075000</v>
      </c>
      <c r="D45" s="3695">
        <f>D46+D56</f>
        <v>14320456.1</v>
      </c>
      <c r="E45" s="3667">
        <f>D45-C45</f>
        <v>1245456.0999999996</v>
      </c>
      <c r="F45" s="3683">
        <f t="shared" si="3"/>
        <v>1.0952547686424474</v>
      </c>
      <c r="I45" s="3095"/>
      <c r="O45" s="2920"/>
      <c r="P45" s="2920"/>
      <c r="Q45" s="2920"/>
      <c r="R45" s="2920"/>
      <c r="S45" s="2920"/>
      <c r="T45" s="2920"/>
      <c r="U45" s="2920"/>
      <c r="V45" s="2920"/>
      <c r="W45" s="2920"/>
      <c r="X45" s="2920"/>
      <c r="Y45" s="2920"/>
      <c r="Z45" s="2920"/>
      <c r="AA45" s="2920"/>
      <c r="AB45" s="2920"/>
      <c r="AC45" s="2920"/>
      <c r="AD45" s="2920"/>
      <c r="AE45" s="2920"/>
      <c r="AF45" s="2920"/>
    </row>
    <row r="46" spans="1:32" s="3094" customFormat="1" ht="24.75" customHeight="1" x14ac:dyDescent="0.25">
      <c r="A46" s="3661" t="s">
        <v>849</v>
      </c>
      <c r="B46" s="3662" t="s">
        <v>2220</v>
      </c>
      <c r="C46" s="3695">
        <f>C47+C50+C53</f>
        <v>12742000</v>
      </c>
      <c r="D46" s="3695">
        <f>D47+D50+D53</f>
        <v>14145817</v>
      </c>
      <c r="E46" s="3667">
        <f>D46-C46</f>
        <v>1403817</v>
      </c>
      <c r="F46" s="3683">
        <f t="shared" si="3"/>
        <v>1.1101724219117879</v>
      </c>
      <c r="I46" s="3095"/>
      <c r="O46" s="2920"/>
      <c r="P46" s="2920"/>
      <c r="Q46" s="2920"/>
      <c r="R46" s="2920"/>
      <c r="S46" s="2920"/>
      <c r="T46" s="2920"/>
      <c r="U46" s="2920"/>
      <c r="V46" s="2920"/>
      <c r="W46" s="2920"/>
      <c r="X46" s="2920"/>
      <c r="Y46" s="2920"/>
      <c r="Z46" s="2920"/>
      <c r="AA46" s="2920"/>
      <c r="AB46" s="2920"/>
      <c r="AC46" s="2920"/>
      <c r="AD46" s="2920"/>
      <c r="AE46" s="2920"/>
      <c r="AF46" s="2920"/>
    </row>
    <row r="47" spans="1:32" s="3094" customFormat="1" ht="42" customHeight="1" x14ac:dyDescent="0.25">
      <c r="A47" s="3669">
        <v>1</v>
      </c>
      <c r="B47" s="3696" t="s">
        <v>3519</v>
      </c>
      <c r="C47" s="3697">
        <f>C48+C49</f>
        <v>8389000</v>
      </c>
      <c r="D47" s="3697">
        <f>D48+D49</f>
        <v>7798533</v>
      </c>
      <c r="E47" s="3673">
        <f>D47-C47</f>
        <v>-590467</v>
      </c>
      <c r="F47" s="3683">
        <f t="shared" si="3"/>
        <v>0.9296141375610919</v>
      </c>
      <c r="I47" s="3095"/>
      <c r="O47" s="2920"/>
      <c r="P47" s="2920">
        <f>SUM(P48:P53)</f>
        <v>17440.377080999999</v>
      </c>
      <c r="Q47" s="2920"/>
      <c r="R47" s="2920"/>
      <c r="S47" s="2920"/>
      <c r="T47" s="2920"/>
      <c r="U47" s="2920"/>
      <c r="V47" s="2920"/>
      <c r="W47" s="2920"/>
      <c r="X47" s="2920"/>
      <c r="Y47" s="2920"/>
      <c r="Z47" s="2920"/>
      <c r="AA47" s="2920"/>
      <c r="AB47" s="2920"/>
      <c r="AC47" s="2920"/>
      <c r="AD47" s="2920"/>
      <c r="AE47" s="2920"/>
      <c r="AF47" s="2920"/>
    </row>
    <row r="48" spans="1:32" s="3094" customFormat="1" ht="21.75" customHeight="1" x14ac:dyDescent="0.25">
      <c r="A48" s="3669"/>
      <c r="B48" s="3698" t="s">
        <v>3520</v>
      </c>
      <c r="C48" s="3699">
        <v>308000</v>
      </c>
      <c r="D48" s="3699">
        <v>308000</v>
      </c>
      <c r="E48" s="3673">
        <f t="shared" ref="E48:E56" si="4">D48-C48</f>
        <v>0</v>
      </c>
      <c r="F48" s="3683">
        <f t="shared" si="3"/>
        <v>1</v>
      </c>
      <c r="I48" s="3095"/>
      <c r="O48" s="2920" t="s">
        <v>3531</v>
      </c>
      <c r="P48" s="2920">
        <v>4238.7281279999997</v>
      </c>
      <c r="Q48" s="2920"/>
      <c r="R48" s="2920"/>
      <c r="S48" s="2920"/>
      <c r="T48" s="2920"/>
      <c r="U48" s="2920"/>
      <c r="V48" s="2920"/>
      <c r="W48" s="2920"/>
      <c r="X48" s="2920"/>
      <c r="Y48" s="2920"/>
      <c r="Z48" s="2920"/>
      <c r="AA48" s="2920"/>
      <c r="AB48" s="2920"/>
      <c r="AC48" s="2920"/>
      <c r="AD48" s="2920"/>
      <c r="AE48" s="2920"/>
      <c r="AF48" s="2920"/>
    </row>
    <row r="49" spans="1:32" s="3094" customFormat="1" ht="21.75" customHeight="1" x14ac:dyDescent="0.25">
      <c r="A49" s="3669"/>
      <c r="B49" s="3698" t="s">
        <v>3521</v>
      </c>
      <c r="C49" s="3699">
        <f>[1]B48!C48</f>
        <v>8081000</v>
      </c>
      <c r="D49" s="3700">
        <v>7490533</v>
      </c>
      <c r="E49" s="3673">
        <f t="shared" si="4"/>
        <v>-590467</v>
      </c>
      <c r="F49" s="3683">
        <f t="shared" si="3"/>
        <v>0.92693144412820194</v>
      </c>
      <c r="I49" s="3095"/>
      <c r="O49" s="2920" t="s">
        <v>3532</v>
      </c>
      <c r="P49" s="2920">
        <v>1601.9117000000001</v>
      </c>
      <c r="Q49" s="2920"/>
      <c r="R49" s="2920"/>
      <c r="S49" s="2920"/>
      <c r="T49" s="2920"/>
      <c r="U49" s="2920"/>
      <c r="V49" s="2920"/>
      <c r="W49" s="2920"/>
      <c r="X49" s="2920"/>
      <c r="Y49" s="2920"/>
      <c r="Z49" s="2920"/>
      <c r="AA49" s="2920"/>
      <c r="AB49" s="2920"/>
      <c r="AC49" s="2920"/>
      <c r="AD49" s="2920"/>
      <c r="AE49" s="2920"/>
      <c r="AF49" s="2920"/>
    </row>
    <row r="50" spans="1:32" s="3094" customFormat="1" ht="21.75" customHeight="1" x14ac:dyDescent="0.25">
      <c r="A50" s="3669">
        <v>2</v>
      </c>
      <c r="B50" s="3698" t="s">
        <v>3522</v>
      </c>
      <c r="C50" s="3697">
        <f>C51+C52</f>
        <v>722000</v>
      </c>
      <c r="D50" s="3697">
        <f>D51+D52</f>
        <v>604889</v>
      </c>
      <c r="E50" s="3673">
        <f t="shared" si="4"/>
        <v>-117111</v>
      </c>
      <c r="F50" s="3683">
        <f t="shared" si="3"/>
        <v>0.83779639889196678</v>
      </c>
      <c r="I50" s="3095"/>
      <c r="O50" s="2920" t="s">
        <v>3528</v>
      </c>
      <c r="P50" s="2920">
        <v>224.00977399999999</v>
      </c>
      <c r="Q50" s="2920"/>
      <c r="R50" s="2920"/>
      <c r="S50" s="2920"/>
      <c r="T50" s="2920"/>
      <c r="U50" s="2920"/>
      <c r="V50" s="2920"/>
      <c r="W50" s="2920"/>
      <c r="X50" s="2920"/>
      <c r="Y50" s="2920"/>
      <c r="Z50" s="2920"/>
      <c r="AA50" s="2920"/>
      <c r="AB50" s="2920"/>
      <c r="AC50" s="2920"/>
      <c r="AD50" s="2920"/>
      <c r="AE50" s="2920"/>
      <c r="AF50" s="2920"/>
    </row>
    <row r="51" spans="1:32" s="3094" customFormat="1" ht="21.75" customHeight="1" x14ac:dyDescent="0.25">
      <c r="A51" s="3669"/>
      <c r="B51" s="3698" t="s">
        <v>3520</v>
      </c>
      <c r="C51" s="3697">
        <v>0</v>
      </c>
      <c r="D51" s="3686"/>
      <c r="E51" s="3685">
        <f t="shared" si="4"/>
        <v>0</v>
      </c>
      <c r="F51" s="3683"/>
      <c r="I51" s="3095"/>
      <c r="O51" s="2920" t="s">
        <v>3533</v>
      </c>
      <c r="P51" s="2920">
        <v>361.87237599999997</v>
      </c>
      <c r="Q51" s="2920"/>
      <c r="R51" s="2920"/>
      <c r="S51" s="2920"/>
      <c r="T51" s="2920"/>
      <c r="U51" s="2920"/>
      <c r="V51" s="2920"/>
      <c r="W51" s="2920"/>
      <c r="X51" s="2920"/>
      <c r="Y51" s="2920"/>
      <c r="Z51" s="2920"/>
      <c r="AA51" s="2920"/>
      <c r="AB51" s="2920"/>
      <c r="AC51" s="2920"/>
      <c r="AD51" s="2920"/>
      <c r="AE51" s="2920"/>
      <c r="AF51" s="2920"/>
    </row>
    <row r="52" spans="1:32" s="3094" customFormat="1" ht="21.75" customHeight="1" x14ac:dyDescent="0.25">
      <c r="A52" s="3669"/>
      <c r="B52" s="3698" t="s">
        <v>3521</v>
      </c>
      <c r="C52" s="3697">
        <v>722000</v>
      </c>
      <c r="D52" s="3700">
        <v>604889</v>
      </c>
      <c r="E52" s="3673">
        <f t="shared" si="4"/>
        <v>-117111</v>
      </c>
      <c r="F52" s="3683">
        <f t="shared" si="3"/>
        <v>0.83779639889196678</v>
      </c>
      <c r="I52" s="3095"/>
      <c r="O52" s="2920" t="s">
        <v>3529</v>
      </c>
      <c r="P52" s="2920">
        <v>9660.9978929999997</v>
      </c>
      <c r="Q52" s="2920"/>
      <c r="R52" s="2920"/>
      <c r="S52" s="2920"/>
      <c r="T52" s="2920"/>
      <c r="U52" s="2920"/>
      <c r="V52" s="2920"/>
      <c r="W52" s="2920"/>
      <c r="X52" s="2920"/>
      <c r="Y52" s="2920"/>
      <c r="Z52" s="2920"/>
      <c r="AA52" s="2920"/>
      <c r="AB52" s="2920"/>
      <c r="AC52" s="2920"/>
      <c r="AD52" s="2920"/>
      <c r="AE52" s="2920"/>
      <c r="AF52" s="2920"/>
    </row>
    <row r="53" spans="1:32" s="3094" customFormat="1" ht="21.75" customHeight="1" x14ac:dyDescent="0.25">
      <c r="A53" s="3669">
        <v>3</v>
      </c>
      <c r="B53" s="3698" t="s">
        <v>3523</v>
      </c>
      <c r="C53" s="3697">
        <f>C54+C55</f>
        <v>3631000</v>
      </c>
      <c r="D53" s="3697">
        <f>D54+D55</f>
        <v>5742395</v>
      </c>
      <c r="E53" s="3673">
        <f t="shared" si="4"/>
        <v>2111395</v>
      </c>
      <c r="F53" s="3683">
        <f t="shared" si="3"/>
        <v>1.5814913247039384</v>
      </c>
      <c r="I53" s="3095"/>
      <c r="O53" s="2920" t="s">
        <v>3530</v>
      </c>
      <c r="P53" s="2920">
        <v>1352.8572099999999</v>
      </c>
      <c r="Q53" s="2920"/>
      <c r="R53" s="2920"/>
      <c r="S53" s="2920"/>
      <c r="T53" s="2920"/>
      <c r="U53" s="2920"/>
      <c r="V53" s="2920"/>
      <c r="W53" s="2920"/>
      <c r="X53" s="2920"/>
      <c r="Y53" s="2920"/>
      <c r="Z53" s="2920"/>
      <c r="AA53" s="2920"/>
      <c r="AB53" s="2920"/>
      <c r="AC53" s="2920"/>
      <c r="AD53" s="2920"/>
      <c r="AE53" s="2920"/>
      <c r="AF53" s="2920"/>
    </row>
    <row r="54" spans="1:32" s="3094" customFormat="1" ht="21.75" customHeight="1" x14ac:dyDescent="0.25">
      <c r="A54" s="3669"/>
      <c r="B54" s="3698" t="s">
        <v>3520</v>
      </c>
      <c r="C54" s="3697">
        <f>[1]B48!C38</f>
        <v>2218000</v>
      </c>
      <c r="D54" s="3700">
        <v>4800791</v>
      </c>
      <c r="E54" s="3673">
        <f t="shared" si="4"/>
        <v>2582791</v>
      </c>
      <c r="F54" s="3683">
        <f t="shared" si="3"/>
        <v>2.1644684400360683</v>
      </c>
      <c r="I54" s="3095"/>
      <c r="O54" s="2920"/>
      <c r="P54" s="2920"/>
      <c r="Q54" s="2920"/>
      <c r="R54" s="2920"/>
      <c r="S54" s="2920"/>
      <c r="T54" s="2920"/>
      <c r="U54" s="2920"/>
      <c r="V54" s="2920"/>
      <c r="W54" s="2920"/>
      <c r="X54" s="2920"/>
      <c r="Y54" s="2920"/>
      <c r="Z54" s="2920"/>
      <c r="AA54" s="2920"/>
      <c r="AB54" s="2920"/>
      <c r="AC54" s="2920"/>
      <c r="AD54" s="2920"/>
      <c r="AE54" s="2920"/>
      <c r="AF54" s="2920"/>
    </row>
    <row r="55" spans="1:32" s="3094" customFormat="1" ht="21.75" customHeight="1" x14ac:dyDescent="0.25">
      <c r="A55" s="3669"/>
      <c r="B55" s="3698" t="s">
        <v>3521</v>
      </c>
      <c r="C55" s="3697">
        <f>[1]B48!C41</f>
        <v>1413000</v>
      </c>
      <c r="D55" s="3699">
        <v>941604</v>
      </c>
      <c r="E55" s="3673">
        <f t="shared" si="4"/>
        <v>-471396</v>
      </c>
      <c r="F55" s="3683">
        <f t="shared" si="3"/>
        <v>0.66638641188959657</v>
      </c>
      <c r="I55" s="3095"/>
      <c r="O55" s="2920"/>
      <c r="P55" s="2920"/>
      <c r="Q55" s="2920"/>
      <c r="R55" s="2920"/>
      <c r="S55" s="2920"/>
      <c r="T55" s="2920"/>
      <c r="U55" s="2920"/>
      <c r="V55" s="2920"/>
      <c r="W55" s="2920"/>
      <c r="X55" s="2920"/>
      <c r="Y55" s="2920"/>
      <c r="Z55" s="2920"/>
      <c r="AA55" s="2920"/>
      <c r="AB55" s="2920"/>
      <c r="AC55" s="2920"/>
      <c r="AD55" s="2920"/>
      <c r="AE55" s="2920"/>
      <c r="AF55" s="2920"/>
    </row>
    <row r="56" spans="1:32" s="3094" customFormat="1" ht="26.25" customHeight="1" x14ac:dyDescent="0.25">
      <c r="A56" s="3701" t="s">
        <v>866</v>
      </c>
      <c r="B56" s="3702" t="s">
        <v>27</v>
      </c>
      <c r="C56" s="3703">
        <f>SUM(C57:C59)</f>
        <v>333000</v>
      </c>
      <c r="D56" s="3704">
        <f>SUM(D57:D59)</f>
        <v>174639.1</v>
      </c>
      <c r="E56" s="3659">
        <f t="shared" si="4"/>
        <v>-158360.9</v>
      </c>
      <c r="F56" s="3683">
        <f t="shared" si="3"/>
        <v>0.52444174174174174</v>
      </c>
      <c r="I56" s="3095"/>
      <c r="O56" s="2920"/>
      <c r="P56" s="2924">
        <v>32692.647000000001</v>
      </c>
      <c r="Q56" s="2920"/>
      <c r="R56" s="2920"/>
      <c r="S56" s="2920"/>
      <c r="T56" s="2920"/>
      <c r="U56" s="2920"/>
      <c r="V56" s="2920"/>
      <c r="W56" s="2920"/>
      <c r="X56" s="2920"/>
      <c r="Y56" s="2920"/>
      <c r="Z56" s="2920"/>
      <c r="AA56" s="2920"/>
      <c r="AB56" s="2920"/>
      <c r="AC56" s="2920"/>
      <c r="AD56" s="2920"/>
      <c r="AE56" s="2920"/>
      <c r="AF56" s="2920"/>
    </row>
    <row r="57" spans="1:32" s="3094" customFormat="1" ht="33" customHeight="1" x14ac:dyDescent="0.25">
      <c r="A57" s="3669">
        <v>1</v>
      </c>
      <c r="B57" s="3272" t="s">
        <v>3567</v>
      </c>
      <c r="C57" s="3705">
        <v>50000</v>
      </c>
      <c r="D57" s="3700">
        <v>50000</v>
      </c>
      <c r="E57" s="3685">
        <f>D57-C57</f>
        <v>0</v>
      </c>
      <c r="F57" s="3683">
        <f t="shared" si="3"/>
        <v>1</v>
      </c>
      <c r="I57" s="3095"/>
      <c r="O57" s="2920" t="s">
        <v>3542</v>
      </c>
      <c r="P57" s="2920"/>
      <c r="Q57" s="2920"/>
      <c r="R57" s="2920"/>
      <c r="S57" s="2920"/>
      <c r="T57" s="2920"/>
      <c r="U57" s="2920"/>
      <c r="V57" s="2920"/>
      <c r="W57" s="2920"/>
      <c r="X57" s="2920"/>
      <c r="Y57" s="2920"/>
      <c r="Z57" s="2920"/>
      <c r="AA57" s="2920"/>
      <c r="AB57" s="2920"/>
      <c r="AC57" s="2920"/>
      <c r="AD57" s="2920"/>
      <c r="AE57" s="2920"/>
      <c r="AF57" s="2920"/>
    </row>
    <row r="58" spans="1:32" s="3094" customFormat="1" ht="45.75" customHeight="1" x14ac:dyDescent="0.25">
      <c r="A58" s="3669">
        <v>2</v>
      </c>
      <c r="B58" s="3272" t="s">
        <v>3568</v>
      </c>
      <c r="C58" s="3705">
        <v>83000</v>
      </c>
      <c r="D58" s="3700">
        <v>83000</v>
      </c>
      <c r="E58" s="3685">
        <f t="shared" ref="E58:E59" si="5">D58-C58</f>
        <v>0</v>
      </c>
      <c r="F58" s="3683">
        <f t="shared" si="3"/>
        <v>1</v>
      </c>
      <c r="I58" s="3095"/>
      <c r="O58" s="2920" t="s">
        <v>3529</v>
      </c>
      <c r="P58" s="2920"/>
      <c r="Q58" s="2920"/>
      <c r="R58" s="2920"/>
      <c r="S58" s="2920"/>
      <c r="T58" s="2920"/>
      <c r="U58" s="2920"/>
      <c r="V58" s="2920"/>
      <c r="W58" s="2920"/>
      <c r="X58" s="2920"/>
      <c r="Y58" s="2920"/>
      <c r="Z58" s="2920"/>
      <c r="AA58" s="2920"/>
      <c r="AB58" s="2920"/>
      <c r="AC58" s="2920"/>
      <c r="AD58" s="2920"/>
      <c r="AE58" s="2920"/>
      <c r="AF58" s="2920"/>
    </row>
    <row r="59" spans="1:32" s="3094" customFormat="1" ht="30" customHeight="1" x14ac:dyDescent="0.25">
      <c r="A59" s="3669">
        <v>3</v>
      </c>
      <c r="B59" s="3272" t="s">
        <v>3569</v>
      </c>
      <c r="C59" s="3705">
        <v>200000</v>
      </c>
      <c r="D59" s="3700">
        <v>41639.1</v>
      </c>
      <c r="E59" s="3677">
        <f t="shared" si="5"/>
        <v>-158360.9</v>
      </c>
      <c r="F59" s="3683">
        <f t="shared" si="3"/>
        <v>0.20819550000000001</v>
      </c>
      <c r="I59" s="3095"/>
      <c r="O59" s="2920" t="s">
        <v>3529</v>
      </c>
      <c r="P59" s="2925" t="e">
        <f>D59+#REF!+#REF!+#REF!+#REF!</f>
        <v>#REF!</v>
      </c>
      <c r="Q59" s="2920"/>
      <c r="R59" s="2920"/>
      <c r="S59" s="2920"/>
      <c r="T59" s="2920"/>
      <c r="U59" s="2920"/>
      <c r="V59" s="2920"/>
      <c r="W59" s="2920"/>
      <c r="X59" s="2920"/>
      <c r="Y59" s="2920"/>
      <c r="Z59" s="2920"/>
      <c r="AA59" s="2920"/>
      <c r="AB59" s="2920"/>
      <c r="AC59" s="2920"/>
      <c r="AD59" s="2920"/>
      <c r="AE59" s="2920"/>
      <c r="AF59" s="2920"/>
    </row>
    <row r="60" spans="1:32" s="3105" customFormat="1" ht="28.5" customHeight="1" x14ac:dyDescent="0.25">
      <c r="A60" s="3706" t="s">
        <v>927</v>
      </c>
      <c r="B60" s="3707" t="s">
        <v>925</v>
      </c>
      <c r="C60" s="3708">
        <v>0</v>
      </c>
      <c r="D60" s="3658">
        <v>16709787.557000002</v>
      </c>
      <c r="E60" s="3709">
        <f>D60-C60</f>
        <v>16709787.557000002</v>
      </c>
      <c r="F60" s="3710">
        <v>0</v>
      </c>
      <c r="I60" s="3106"/>
      <c r="O60" s="2926" t="s">
        <v>3542</v>
      </c>
      <c r="P60" s="2926"/>
      <c r="Q60" s="2926"/>
      <c r="R60" s="2926"/>
      <c r="S60" s="2926"/>
      <c r="T60" s="2926"/>
      <c r="U60" s="2926"/>
      <c r="V60" s="2926"/>
      <c r="W60" s="2926"/>
      <c r="X60" s="2926"/>
      <c r="Y60" s="2926"/>
      <c r="Z60" s="2926"/>
      <c r="AA60" s="2926"/>
      <c r="AB60" s="2926"/>
      <c r="AC60" s="2926"/>
      <c r="AD60" s="2926"/>
      <c r="AE60" s="2926"/>
      <c r="AF60" s="2926"/>
    </row>
    <row r="61" spans="1:32" ht="23.25" customHeight="1" x14ac:dyDescent="0.25">
      <c r="C61" s="4147"/>
      <c r="D61" s="4147"/>
      <c r="E61" s="4147"/>
    </row>
    <row r="62" spans="1:32" hidden="1" x14ac:dyDescent="0.25">
      <c r="C62" s="4157" t="s">
        <v>3583</v>
      </c>
      <c r="D62" s="4157"/>
      <c r="E62" s="4157"/>
      <c r="F62" s="4157"/>
    </row>
    <row r="63" spans="1:32" hidden="1" x14ac:dyDescent="0.25">
      <c r="B63" s="3488" t="s">
        <v>3573</v>
      </c>
      <c r="C63" s="4147" t="s">
        <v>638</v>
      </c>
      <c r="D63" s="4147"/>
      <c r="E63" s="4147"/>
      <c r="F63" s="4147"/>
    </row>
    <row r="64" spans="1:32" hidden="1" x14ac:dyDescent="0.25">
      <c r="B64" s="3488" t="s">
        <v>807</v>
      </c>
      <c r="C64" s="4147" t="s">
        <v>639</v>
      </c>
      <c r="D64" s="4147"/>
      <c r="E64" s="4147"/>
      <c r="F64" s="4147"/>
    </row>
    <row r="65" spans="2:32" hidden="1" x14ac:dyDescent="0.25">
      <c r="B65" s="3488"/>
      <c r="C65" s="4157"/>
      <c r="D65" s="4157"/>
      <c r="E65" s="4157"/>
    </row>
    <row r="66" spans="2:32" ht="41.25" hidden="1" customHeight="1" x14ac:dyDescent="0.25">
      <c r="B66" s="3488"/>
      <c r="I66" s="2393"/>
      <c r="O66" s="2393"/>
      <c r="P66" s="2393"/>
      <c r="Q66" s="2393"/>
      <c r="R66" s="2393"/>
      <c r="S66" s="2393"/>
      <c r="T66" s="2393"/>
      <c r="U66" s="2393"/>
      <c r="V66" s="2393"/>
      <c r="W66" s="2393"/>
      <c r="X66" s="2393"/>
      <c r="Y66" s="2393"/>
      <c r="Z66" s="2393"/>
      <c r="AA66" s="2393"/>
      <c r="AB66" s="2393"/>
      <c r="AC66" s="2393"/>
      <c r="AD66" s="2393"/>
      <c r="AE66" s="2393"/>
      <c r="AF66" s="2393"/>
    </row>
    <row r="67" spans="2:32" ht="15.75" hidden="1" customHeight="1" x14ac:dyDescent="0.25">
      <c r="B67" s="3488"/>
      <c r="I67" s="2393"/>
      <c r="O67" s="2393"/>
      <c r="P67" s="2393"/>
      <c r="Q67" s="2393"/>
      <c r="R67" s="2393"/>
      <c r="S67" s="2393"/>
      <c r="T67" s="2393"/>
      <c r="U67" s="2393"/>
      <c r="V67" s="2393"/>
      <c r="W67" s="2393"/>
      <c r="X67" s="2393"/>
      <c r="Y67" s="2393"/>
      <c r="Z67" s="2393"/>
      <c r="AA67" s="2393"/>
      <c r="AB67" s="2393"/>
      <c r="AC67" s="2393"/>
      <c r="AD67" s="2393"/>
      <c r="AE67" s="2393"/>
      <c r="AF67" s="2393"/>
    </row>
    <row r="68" spans="2:32" ht="15.75" hidden="1" customHeight="1" x14ac:dyDescent="0.25">
      <c r="B68" s="3488"/>
      <c r="I68" s="2393"/>
      <c r="O68" s="2393"/>
      <c r="P68" s="2393"/>
      <c r="Q68" s="2393"/>
      <c r="R68" s="2393"/>
      <c r="S68" s="2393"/>
      <c r="T68" s="2393"/>
      <c r="U68" s="2393"/>
      <c r="V68" s="2393"/>
      <c r="W68" s="2393"/>
      <c r="X68" s="2393"/>
      <c r="Y68" s="2393"/>
      <c r="Z68" s="2393"/>
      <c r="AA68" s="2393"/>
      <c r="AB68" s="2393"/>
      <c r="AC68" s="2393"/>
      <c r="AD68" s="2393"/>
      <c r="AE68" s="2393"/>
      <c r="AF68" s="2393"/>
    </row>
    <row r="69" spans="2:32" ht="15.75" hidden="1" customHeight="1" x14ac:dyDescent="0.25">
      <c r="B69" s="3488"/>
      <c r="I69" s="2393"/>
      <c r="O69" s="2393"/>
      <c r="P69" s="2393"/>
      <c r="Q69" s="2393"/>
      <c r="R69" s="2393"/>
      <c r="S69" s="2393"/>
      <c r="T69" s="2393"/>
      <c r="U69" s="2393"/>
      <c r="V69" s="2393"/>
      <c r="W69" s="2393"/>
      <c r="X69" s="2393"/>
      <c r="Y69" s="2393"/>
      <c r="Z69" s="2393"/>
      <c r="AA69" s="2393"/>
      <c r="AB69" s="2393"/>
      <c r="AC69" s="2393"/>
      <c r="AD69" s="2393"/>
      <c r="AE69" s="2393"/>
      <c r="AF69" s="2393"/>
    </row>
    <row r="70" spans="2:32" ht="15.75" hidden="1" customHeight="1" x14ac:dyDescent="0.25">
      <c r="B70" s="3488" t="s">
        <v>3574</v>
      </c>
      <c r="C70" s="4146" t="s">
        <v>3572</v>
      </c>
      <c r="D70" s="4146"/>
      <c r="E70" s="4146"/>
      <c r="F70" s="4146"/>
      <c r="I70" s="2393"/>
      <c r="O70" s="2393"/>
      <c r="P70" s="2393"/>
      <c r="Q70" s="2393"/>
      <c r="R70" s="2393"/>
      <c r="S70" s="2393"/>
      <c r="T70" s="2393"/>
      <c r="U70" s="2393"/>
      <c r="V70" s="2393"/>
      <c r="W70" s="2393"/>
      <c r="X70" s="2393"/>
      <c r="Y70" s="2393"/>
      <c r="Z70" s="2393"/>
      <c r="AA70" s="2393"/>
      <c r="AB70" s="2393"/>
      <c r="AC70" s="2393"/>
      <c r="AD70" s="2393"/>
      <c r="AE70" s="2393"/>
      <c r="AF70" s="2393"/>
    </row>
  </sheetData>
  <mergeCells count="16">
    <mergeCell ref="D1:F1"/>
    <mergeCell ref="A1:B1"/>
    <mergeCell ref="C70:F70"/>
    <mergeCell ref="C61:E61"/>
    <mergeCell ref="A2:F2"/>
    <mergeCell ref="A7:A8"/>
    <mergeCell ref="B7:B8"/>
    <mergeCell ref="C7:C8"/>
    <mergeCell ref="D7:D8"/>
    <mergeCell ref="E7:F7"/>
    <mergeCell ref="A4:F4"/>
    <mergeCell ref="C65:E65"/>
    <mergeCell ref="C62:F62"/>
    <mergeCell ref="C63:F63"/>
    <mergeCell ref="C64:F64"/>
    <mergeCell ref="A3:F3"/>
  </mergeCells>
  <phoneticPr fontId="70" type="noConversion"/>
  <pageMargins left="0.511811023622047" right="0.39370078740157499" top="0.39" bottom="0.47" header="0.23622047244094499" footer="0.28999999999999998"/>
  <pageSetup paperSize="9" scale="80" orientation="portrait" useFirstPageNumber="1"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AE70"/>
  <sheetViews>
    <sheetView topLeftCell="A8" zoomScale="85" zoomScaleNormal="85" zoomScaleSheetLayoutView="85" zoomScalePageLayoutView="96" workbookViewId="0">
      <selection activeCell="F14" sqref="F14"/>
    </sheetView>
  </sheetViews>
  <sheetFormatPr defaultColWidth="8.85546875" defaultRowHeight="15" x14ac:dyDescent="0.25"/>
  <cols>
    <col min="1" max="1" width="4.5703125" style="3025" customWidth="1"/>
    <col min="2" max="2" width="40.28515625" style="3007" customWidth="1"/>
    <col min="3" max="3" width="15" style="3024" customWidth="1"/>
    <col min="4" max="4" width="15" style="3024" hidden="1" customWidth="1"/>
    <col min="5" max="5" width="15" style="3024" customWidth="1"/>
    <col min="6" max="6" width="15" style="3026" customWidth="1"/>
    <col min="7" max="7" width="15" style="3026" hidden="1" customWidth="1"/>
    <col min="8" max="8" width="15" style="3026" customWidth="1"/>
    <col min="9" max="9" width="15" style="3007" customWidth="1"/>
    <col min="10" max="10" width="15" style="3024" hidden="1" customWidth="1"/>
    <col min="11" max="11" width="15" style="3007" customWidth="1"/>
    <col min="12" max="12" width="0.28515625" style="3007" hidden="1" customWidth="1"/>
    <col min="13" max="13" width="0" style="3007" hidden="1" customWidth="1"/>
    <col min="14" max="14" width="23" style="3008" hidden="1" customWidth="1"/>
    <col min="15" max="15" width="21.7109375" style="3007" hidden="1" customWidth="1"/>
    <col min="16" max="16" width="17.5703125" style="3007" hidden="1" customWidth="1"/>
    <col min="17" max="17" width="12.28515625" style="3007" hidden="1" customWidth="1"/>
    <col min="18" max="18" width="11.28515625" style="3007" hidden="1" customWidth="1"/>
    <col min="19" max="19" width="12.28515625" style="3007" hidden="1" customWidth="1"/>
    <col min="20" max="20" width="21.140625" style="2976" customWidth="1"/>
    <col min="21" max="21" width="23.42578125" style="2976" customWidth="1"/>
    <col min="22" max="22" width="19.5703125" style="2976" customWidth="1"/>
    <col min="23" max="23" width="21.7109375" style="2976" customWidth="1"/>
    <col min="24" max="31" width="8.85546875" style="2976"/>
    <col min="32" max="16384" width="8.85546875" style="3007"/>
  </cols>
  <sheetData>
    <row r="1" spans="1:31" ht="47.25" customHeight="1" x14ac:dyDescent="0.25">
      <c r="A1" s="4164" t="str">
        <f>'B52'!A1:B1</f>
        <v>UBND XÃ PHONG QUANG</v>
      </c>
      <c r="B1" s="4164"/>
      <c r="C1" s="4164"/>
      <c r="D1" s="3005"/>
      <c r="E1" s="3005"/>
      <c r="F1" s="3006"/>
      <c r="G1" s="3006"/>
      <c r="H1" s="4161" t="s">
        <v>4921</v>
      </c>
      <c r="I1" s="4161"/>
      <c r="J1" s="4161"/>
      <c r="K1" s="4161"/>
    </row>
    <row r="2" spans="1:31" ht="31.5" customHeight="1" x14ac:dyDescent="0.25">
      <c r="A2" s="4180" t="s">
        <v>4772</v>
      </c>
      <c r="B2" s="4180"/>
      <c r="C2" s="4180"/>
      <c r="D2" s="4180"/>
      <c r="E2" s="4180"/>
      <c r="F2" s="4180"/>
      <c r="G2" s="4180"/>
      <c r="H2" s="4180"/>
      <c r="I2" s="4180"/>
      <c r="J2" s="4180"/>
      <c r="K2" s="4180"/>
    </row>
    <row r="3" spans="1:31" ht="19.5" customHeight="1" x14ac:dyDescent="0.25">
      <c r="A3" s="4180" t="s">
        <v>4912</v>
      </c>
      <c r="B3" s="4180"/>
      <c r="C3" s="4180"/>
      <c r="D3" s="4180"/>
      <c r="E3" s="4180"/>
      <c r="F3" s="4180"/>
      <c r="G3" s="4180"/>
      <c r="H3" s="4180"/>
      <c r="I3" s="4180"/>
      <c r="J3" s="4180"/>
      <c r="K3" s="4180"/>
      <c r="N3" s="3008">
        <f>N7/1000000</f>
        <v>13067.192473999999</v>
      </c>
    </row>
    <row r="4" spans="1:31" ht="19.5" customHeight="1" x14ac:dyDescent="0.25">
      <c r="A4" s="4165" t="str">
        <f>'B52'!A4:F4</f>
        <v>(Kèm theo Quyết định số         /QĐ-UBND ngày      tháng 4 năm 2026 của UBND xã Phong Quang)</v>
      </c>
      <c r="B4" s="4166"/>
      <c r="C4" s="4166"/>
      <c r="D4" s="4166"/>
      <c r="E4" s="4166"/>
      <c r="F4" s="4166"/>
      <c r="G4" s="4166"/>
      <c r="H4" s="4166"/>
      <c r="I4" s="4166"/>
      <c r="J4" s="4166"/>
      <c r="K4" s="4166"/>
      <c r="N4" s="3008" t="e">
        <f>#REF!-N3</f>
        <v>#REF!</v>
      </c>
    </row>
    <row r="5" spans="1:31" ht="23.25" customHeight="1" x14ac:dyDescent="0.25">
      <c r="A5" s="3009"/>
      <c r="B5" s="3009"/>
      <c r="C5" s="3005"/>
      <c r="D5" s="3005"/>
      <c r="E5" s="3005"/>
      <c r="F5" s="3006"/>
      <c r="G5" s="3006"/>
      <c r="H5" s="4158" t="s">
        <v>3566</v>
      </c>
      <c r="I5" s="4158"/>
      <c r="J5" s="4158"/>
      <c r="K5" s="4158"/>
    </row>
    <row r="6" spans="1:31" ht="25.5" customHeight="1" x14ac:dyDescent="0.25">
      <c r="A6" s="4167" t="s">
        <v>844</v>
      </c>
      <c r="B6" s="4167" t="s">
        <v>845</v>
      </c>
      <c r="C6" s="4169" t="s">
        <v>3564</v>
      </c>
      <c r="D6" s="4171" t="s">
        <v>869</v>
      </c>
      <c r="E6" s="4172"/>
      <c r="F6" s="4173" t="s">
        <v>3563</v>
      </c>
      <c r="G6" s="4175" t="s">
        <v>869</v>
      </c>
      <c r="H6" s="4176"/>
      <c r="I6" s="4177" t="s">
        <v>28</v>
      </c>
      <c r="J6" s="4178"/>
      <c r="K6" s="4179"/>
    </row>
    <row r="7" spans="1:31" ht="50.25" customHeight="1" x14ac:dyDescent="0.25">
      <c r="A7" s="4168"/>
      <c r="B7" s="4168"/>
      <c r="C7" s="4170"/>
      <c r="D7" s="3711" t="s">
        <v>730</v>
      </c>
      <c r="E7" s="3711" t="s">
        <v>733</v>
      </c>
      <c r="F7" s="4174"/>
      <c r="G7" s="3712" t="s">
        <v>730</v>
      </c>
      <c r="H7" s="3712" t="s">
        <v>733</v>
      </c>
      <c r="I7" s="3713" t="s">
        <v>3120</v>
      </c>
      <c r="J7" s="3714" t="s">
        <v>499</v>
      </c>
      <c r="K7" s="3715" t="s">
        <v>2783</v>
      </c>
      <c r="N7" s="3008">
        <v>13067192474</v>
      </c>
      <c r="T7" s="2978"/>
      <c r="U7" s="2927"/>
    </row>
    <row r="8" spans="1:31" ht="21.75" customHeight="1" x14ac:dyDescent="0.25">
      <c r="A8" s="3010" t="s">
        <v>847</v>
      </c>
      <c r="B8" s="3010" t="s">
        <v>848</v>
      </c>
      <c r="C8" s="3011" t="s">
        <v>893</v>
      </c>
      <c r="D8" s="3011" t="s">
        <v>1774</v>
      </c>
      <c r="E8" s="3011" t="s">
        <v>1776</v>
      </c>
      <c r="F8" s="3012" t="s">
        <v>894</v>
      </c>
      <c r="G8" s="3012" t="s">
        <v>1782</v>
      </c>
      <c r="H8" s="3012" t="s">
        <v>1783</v>
      </c>
      <c r="I8" s="3010" t="s">
        <v>547</v>
      </c>
      <c r="J8" s="3013" t="s">
        <v>548</v>
      </c>
      <c r="K8" s="3014" t="s">
        <v>549</v>
      </c>
      <c r="T8" s="2977" t="e">
        <f>T10-G9</f>
        <v>#REF!</v>
      </c>
    </row>
    <row r="9" spans="1:31" s="3015" customFormat="1" ht="26.25" customHeight="1" x14ac:dyDescent="0.2">
      <c r="A9" s="3716"/>
      <c r="B9" s="3717" t="s">
        <v>1473</v>
      </c>
      <c r="C9" s="3718">
        <f>C10+C58+C31</f>
        <v>71341000</v>
      </c>
      <c r="D9" s="3718">
        <f t="shared" ref="D9:H9" si="0">D10+D58+D31</f>
        <v>0</v>
      </c>
      <c r="E9" s="3718">
        <f t="shared" si="0"/>
        <v>71341000</v>
      </c>
      <c r="F9" s="3718">
        <f t="shared" si="0"/>
        <v>110429011.557</v>
      </c>
      <c r="G9" s="3718">
        <f t="shared" si="0"/>
        <v>0</v>
      </c>
      <c r="H9" s="3718">
        <f t="shared" si="0"/>
        <v>110429011.557</v>
      </c>
      <c r="I9" s="3719">
        <f>F9/C9*100</f>
        <v>154.79038919695546</v>
      </c>
      <c r="J9" s="3719"/>
      <c r="K9" s="3720">
        <f t="shared" ref="K9:K10" si="1">H9/E9*100</f>
        <v>154.79038919695546</v>
      </c>
      <c r="N9" s="3016"/>
      <c r="Q9" s="3017"/>
      <c r="T9" s="2979"/>
      <c r="U9" s="2980" t="e">
        <f>#REF!</f>
        <v>#REF!</v>
      </c>
      <c r="V9" s="2980"/>
      <c r="W9" s="2979" t="e">
        <f>V9+U9</f>
        <v>#REF!</v>
      </c>
      <c r="X9" s="2981"/>
      <c r="Y9" s="2981"/>
      <c r="Z9" s="2981"/>
      <c r="AA9" s="2981"/>
      <c r="AB9" s="2981"/>
      <c r="AC9" s="2981"/>
      <c r="AD9" s="2981"/>
      <c r="AE9" s="2981"/>
    </row>
    <row r="10" spans="1:31" s="3015" customFormat="1" ht="26.25" customHeight="1" x14ac:dyDescent="0.2">
      <c r="A10" s="3716" t="s">
        <v>847</v>
      </c>
      <c r="B10" s="3717" t="s">
        <v>1474</v>
      </c>
      <c r="C10" s="3718">
        <f>C11+C22+C25+C26+C27+C28+C29+C30</f>
        <v>58266000</v>
      </c>
      <c r="D10" s="3718">
        <f t="shared" ref="D10:H10" si="2">D11+D22+D25+D26+D27+D28+D29+D30</f>
        <v>0</v>
      </c>
      <c r="E10" s="3718">
        <f t="shared" si="2"/>
        <v>58266000</v>
      </c>
      <c r="F10" s="3718">
        <f t="shared" si="2"/>
        <v>79398767.900000006</v>
      </c>
      <c r="G10" s="3718">
        <f t="shared" si="2"/>
        <v>0</v>
      </c>
      <c r="H10" s="3718">
        <f t="shared" si="2"/>
        <v>79398767.900000006</v>
      </c>
      <c r="I10" s="3721">
        <f>F10/C10*100</f>
        <v>136.26946744241926</v>
      </c>
      <c r="J10" s="3719"/>
      <c r="K10" s="3720">
        <f t="shared" si="1"/>
        <v>136.26946744241926</v>
      </c>
      <c r="N10" s="3016">
        <f>[1]B48!D20</f>
        <v>110429011.65699999</v>
      </c>
      <c r="Q10" s="3018"/>
      <c r="R10" s="3017"/>
      <c r="T10" s="2982" t="e">
        <f>#REF!</f>
        <v>#REF!</v>
      </c>
      <c r="U10" s="2980" t="e">
        <f>H9-U9</f>
        <v>#REF!</v>
      </c>
      <c r="V10" s="2983"/>
      <c r="W10" s="2981">
        <v>5000</v>
      </c>
      <c r="X10" s="2981" t="s">
        <v>3358</v>
      </c>
      <c r="Y10" s="2981"/>
      <c r="Z10" s="2981"/>
      <c r="AA10" s="2981"/>
      <c r="AB10" s="2981"/>
      <c r="AC10" s="2981"/>
      <c r="AD10" s="2981"/>
      <c r="AE10" s="2981"/>
    </row>
    <row r="11" spans="1:31" s="3015" customFormat="1" ht="26.25" customHeight="1" x14ac:dyDescent="0.2">
      <c r="A11" s="3716" t="s">
        <v>849</v>
      </c>
      <c r="B11" s="3717" t="s">
        <v>884</v>
      </c>
      <c r="C11" s="3718">
        <f>D11+E11</f>
        <v>1003000</v>
      </c>
      <c r="D11" s="3718">
        <f>D12</f>
        <v>0</v>
      </c>
      <c r="E11" s="3718">
        <f>E12</f>
        <v>1003000</v>
      </c>
      <c r="F11" s="3718">
        <f>G11+H11</f>
        <v>1298671</v>
      </c>
      <c r="G11" s="3718">
        <f>G12+G21</f>
        <v>0</v>
      </c>
      <c r="H11" s="3718">
        <f>H12+H21</f>
        <v>1298671</v>
      </c>
      <c r="I11" s="3721">
        <f>F11/C11*100</f>
        <v>129.47866400797608</v>
      </c>
      <c r="J11" s="3719"/>
      <c r="K11" s="3720"/>
      <c r="N11" s="3016"/>
      <c r="Q11" s="3018"/>
      <c r="R11" s="3018"/>
      <c r="T11" s="2980" t="e">
        <f>G11+G41+G48+G55+#REF!+#REF!+#REF!</f>
        <v>#REF!</v>
      </c>
      <c r="U11" s="2979">
        <f>G11-[1]B52!D12</f>
        <v>-1298671</v>
      </c>
      <c r="V11" s="2983"/>
      <c r="W11" s="2979">
        <f>G11-[1]B52!D12</f>
        <v>-1298671</v>
      </c>
      <c r="X11" s="2981"/>
      <c r="Y11" s="2981"/>
      <c r="Z11" s="2981"/>
      <c r="AA11" s="2981"/>
      <c r="AB11" s="2981"/>
      <c r="AC11" s="2981"/>
      <c r="AD11" s="2981"/>
      <c r="AE11" s="2981"/>
    </row>
    <row r="12" spans="1:31" ht="32.25" customHeight="1" x14ac:dyDescent="0.25">
      <c r="A12" s="3722" t="s">
        <v>1773</v>
      </c>
      <c r="B12" s="3651" t="s">
        <v>1775</v>
      </c>
      <c r="C12" s="3723">
        <f>D12+E12</f>
        <v>1003000</v>
      </c>
      <c r="D12" s="3723">
        <f>D17+D18</f>
        <v>0</v>
      </c>
      <c r="E12" s="3723">
        <f>E17+E18</f>
        <v>1003000</v>
      </c>
      <c r="F12" s="3723">
        <f>G12+H12</f>
        <v>1298671</v>
      </c>
      <c r="G12" s="3723">
        <f>SUM(G17:G20)</f>
        <v>0</v>
      </c>
      <c r="H12" s="3723">
        <v>1298671</v>
      </c>
      <c r="I12" s="3724">
        <f>F12/C12*100</f>
        <v>129.47866400797608</v>
      </c>
      <c r="J12" s="3725"/>
      <c r="K12" s="3726"/>
      <c r="T12" s="2984">
        <f>G11+G34+G41+G48+G55+G57+G56</f>
        <v>0</v>
      </c>
      <c r="U12" s="2984" t="e">
        <f>F11+F41+F48+F55+F56+#REF!+#REF!+#REF!</f>
        <v>#REF!</v>
      </c>
      <c r="V12" s="2985"/>
      <c r="W12" s="2985"/>
    </row>
    <row r="13" spans="1:31" ht="24" customHeight="1" x14ac:dyDescent="0.25">
      <c r="A13" s="3722"/>
      <c r="B13" s="3651" t="s">
        <v>300</v>
      </c>
      <c r="C13" s="3723">
        <v>0</v>
      </c>
      <c r="D13" s="3723">
        <v>0</v>
      </c>
      <c r="E13" s="3723">
        <v>0</v>
      </c>
      <c r="F13" s="3723">
        <v>0</v>
      </c>
      <c r="G13" s="3723"/>
      <c r="H13" s="3723">
        <v>0</v>
      </c>
      <c r="I13" s="3721"/>
      <c r="J13" s="3719"/>
      <c r="K13" s="3720"/>
      <c r="T13" s="2984">
        <v>106906.207003</v>
      </c>
      <c r="U13" s="2984">
        <v>127354.660745</v>
      </c>
      <c r="V13" s="2985" t="s">
        <v>3526</v>
      </c>
    </row>
    <row r="14" spans="1:31" s="3019" customFormat="1" ht="24" customHeight="1" x14ac:dyDescent="0.25">
      <c r="A14" s="3727" t="s">
        <v>882</v>
      </c>
      <c r="B14" s="3728" t="s">
        <v>470</v>
      </c>
      <c r="C14" s="3729">
        <f>D14+E14</f>
        <v>800000</v>
      </c>
      <c r="D14" s="3729">
        <v>0</v>
      </c>
      <c r="E14" s="3729">
        <v>800000</v>
      </c>
      <c r="F14" s="3723">
        <f t="shared" ref="F14:F21" si="3">G14+H14</f>
        <v>399339</v>
      </c>
      <c r="G14" s="3729"/>
      <c r="H14" s="3729">
        <v>399339</v>
      </c>
      <c r="I14" s="3730">
        <f>F14/C14*100</f>
        <v>49.917375</v>
      </c>
      <c r="J14" s="3731"/>
      <c r="K14" s="3720"/>
      <c r="N14" s="3020">
        <f>N19-H9</f>
        <v>-110429011.557</v>
      </c>
      <c r="T14" s="2986">
        <f>T13-T12</f>
        <v>106906.207003</v>
      </c>
      <c r="U14" s="2986" t="e">
        <f>U13-U12</f>
        <v>#REF!</v>
      </c>
      <c r="V14" s="2987" t="s">
        <v>3527</v>
      </c>
      <c r="W14" s="2988"/>
      <c r="X14" s="2988"/>
      <c r="Y14" s="2988"/>
      <c r="Z14" s="2988"/>
      <c r="AA14" s="2988"/>
      <c r="AB14" s="2988"/>
      <c r="AC14" s="2988"/>
      <c r="AD14" s="2988"/>
      <c r="AE14" s="2988"/>
    </row>
    <row r="15" spans="1:31" ht="24" customHeight="1" x14ac:dyDescent="0.25">
      <c r="A15" s="3722" t="s">
        <v>882</v>
      </c>
      <c r="B15" s="3651" t="s">
        <v>471</v>
      </c>
      <c r="C15" s="3723">
        <v>0</v>
      </c>
      <c r="D15" s="3723"/>
      <c r="E15" s="3723">
        <v>0</v>
      </c>
      <c r="F15" s="3723">
        <f t="shared" si="3"/>
        <v>0</v>
      </c>
      <c r="G15" s="3723"/>
      <c r="H15" s="3723">
        <v>0</v>
      </c>
      <c r="I15" s="3721"/>
      <c r="J15" s="3719"/>
      <c r="K15" s="3720"/>
      <c r="V15" s="2985"/>
    </row>
    <row r="16" spans="1:31" s="3019" customFormat="1" ht="24" customHeight="1" x14ac:dyDescent="0.25">
      <c r="A16" s="3727"/>
      <c r="B16" s="3651" t="s">
        <v>340</v>
      </c>
      <c r="C16" s="3729">
        <v>0</v>
      </c>
      <c r="D16" s="3729"/>
      <c r="E16" s="3729">
        <v>0</v>
      </c>
      <c r="F16" s="3729">
        <f>G16+H16</f>
        <v>0</v>
      </c>
      <c r="G16" s="3729"/>
      <c r="H16" s="3729">
        <v>0</v>
      </c>
      <c r="I16" s="3721"/>
      <c r="J16" s="3719"/>
      <c r="K16" s="3720"/>
      <c r="N16" s="3020" t="e">
        <f>#REF!-G9</f>
        <v>#REF!</v>
      </c>
      <c r="T16" s="2988"/>
      <c r="U16" s="2988"/>
      <c r="V16" s="2987"/>
      <c r="W16" s="2988" t="s">
        <v>3331</v>
      </c>
      <c r="X16" s="2988"/>
      <c r="Y16" s="2988"/>
      <c r="Z16" s="2988"/>
      <c r="AA16" s="2988"/>
      <c r="AB16" s="2988"/>
      <c r="AC16" s="2988"/>
      <c r="AD16" s="2988"/>
      <c r="AE16" s="2988"/>
    </row>
    <row r="17" spans="1:31" ht="24" customHeight="1" x14ac:dyDescent="0.25">
      <c r="A17" s="3722" t="s">
        <v>882</v>
      </c>
      <c r="B17" s="3651" t="s">
        <v>3121</v>
      </c>
      <c r="C17" s="3723">
        <f>D17+E17</f>
        <v>0</v>
      </c>
      <c r="D17" s="3723"/>
      <c r="E17" s="3723">
        <v>0</v>
      </c>
      <c r="F17" s="3723">
        <f t="shared" si="3"/>
        <v>0</v>
      </c>
      <c r="G17" s="3723"/>
      <c r="H17" s="3723">
        <v>0</v>
      </c>
      <c r="I17" s="3724"/>
      <c r="J17" s="3725"/>
      <c r="K17" s="3720"/>
      <c r="Q17" s="3021"/>
      <c r="T17" s="2989"/>
      <c r="U17" s="2989"/>
      <c r="V17" s="2985"/>
      <c r="W17" s="2976" t="s">
        <v>3359</v>
      </c>
    </row>
    <row r="18" spans="1:31" ht="24" customHeight="1" x14ac:dyDescent="0.25">
      <c r="A18" s="3722" t="s">
        <v>711</v>
      </c>
      <c r="B18" s="3651" t="s">
        <v>3581</v>
      </c>
      <c r="C18" s="3723">
        <f>D18+E18</f>
        <v>1003000</v>
      </c>
      <c r="D18" s="3723"/>
      <c r="E18" s="3723">
        <v>1003000</v>
      </c>
      <c r="F18" s="3723">
        <f t="shared" si="3"/>
        <v>1298671</v>
      </c>
      <c r="G18" s="3723"/>
      <c r="H18" s="3723">
        <v>1298671</v>
      </c>
      <c r="I18" s="3724">
        <f>F18/C18*100</f>
        <v>129.47866400797608</v>
      </c>
      <c r="J18" s="3725"/>
      <c r="K18" s="3720"/>
      <c r="T18" s="2989"/>
      <c r="V18" s="2985"/>
      <c r="W18" s="2976" t="s">
        <v>3360</v>
      </c>
    </row>
    <row r="19" spans="1:31" ht="24" customHeight="1" x14ac:dyDescent="0.25">
      <c r="A19" s="3722" t="s">
        <v>882</v>
      </c>
      <c r="B19" s="3651" t="s">
        <v>2915</v>
      </c>
      <c r="C19" s="3723">
        <v>0</v>
      </c>
      <c r="D19" s="3723"/>
      <c r="E19" s="3723">
        <v>0</v>
      </c>
      <c r="F19" s="3723">
        <f t="shared" si="3"/>
        <v>0</v>
      </c>
      <c r="G19" s="3723"/>
      <c r="H19" s="3723"/>
      <c r="I19" s="3721"/>
      <c r="J19" s="3719"/>
      <c r="K19" s="3720"/>
      <c r="V19" s="2985"/>
      <c r="W19" s="2976" t="s">
        <v>3361</v>
      </c>
    </row>
    <row r="20" spans="1:31" ht="38.25" customHeight="1" x14ac:dyDescent="0.25">
      <c r="A20" s="3732" t="s">
        <v>882</v>
      </c>
      <c r="B20" s="3651" t="s">
        <v>3582</v>
      </c>
      <c r="C20" s="3723"/>
      <c r="D20" s="3723"/>
      <c r="E20" s="3723"/>
      <c r="F20" s="3723">
        <f t="shared" si="3"/>
        <v>0</v>
      </c>
      <c r="G20" s="3723"/>
      <c r="H20" s="3723"/>
      <c r="I20" s="3721"/>
      <c r="J20" s="3719"/>
      <c r="K20" s="3720"/>
      <c r="T20" s="2976">
        <v>15036.508201000001</v>
      </c>
      <c r="V20" s="2985"/>
    </row>
    <row r="21" spans="1:31" ht="24" customHeight="1" x14ac:dyDescent="0.25">
      <c r="A21" s="3722">
        <v>2</v>
      </c>
      <c r="B21" s="3651" t="s">
        <v>883</v>
      </c>
      <c r="C21" s="3723">
        <v>0</v>
      </c>
      <c r="D21" s="3723"/>
      <c r="E21" s="3723">
        <v>0</v>
      </c>
      <c r="F21" s="3723">
        <f t="shared" si="3"/>
        <v>0</v>
      </c>
      <c r="G21" s="3723"/>
      <c r="H21" s="3723"/>
      <c r="I21" s="3721"/>
      <c r="J21" s="3719"/>
      <c r="K21" s="3720"/>
      <c r="S21" s="3007">
        <v>18262</v>
      </c>
      <c r="T21" s="2978">
        <f>G20-T20</f>
        <v>-15036.508201000001</v>
      </c>
      <c r="U21" s="2978"/>
      <c r="V21" s="2985"/>
      <c r="W21" s="2985">
        <f>V21-588.244028</f>
        <v>-588.24402799999996</v>
      </c>
    </row>
    <row r="22" spans="1:31" s="3015" customFormat="1" ht="24" customHeight="1" x14ac:dyDescent="0.2">
      <c r="A22" s="3716" t="s">
        <v>866</v>
      </c>
      <c r="B22" s="3717" t="s">
        <v>885</v>
      </c>
      <c r="C22" s="3718">
        <f>D22+E22</f>
        <v>55936000</v>
      </c>
      <c r="D22" s="3718"/>
      <c r="E22" s="3718">
        <v>55936000</v>
      </c>
      <c r="F22" s="3718">
        <f>G22+H22</f>
        <v>77015655.900000006</v>
      </c>
      <c r="G22" s="3718"/>
      <c r="H22" s="3718">
        <f>77190295-50000-83000-41639.1</f>
        <v>77015655.900000006</v>
      </c>
      <c r="I22" s="3721">
        <f>F22/C22*100</f>
        <v>137.6853116061213</v>
      </c>
      <c r="J22" s="3719"/>
      <c r="K22" s="3720">
        <f t="shared" ref="K22:K57" si="4">H22/E22*100</f>
        <v>137.6853116061213</v>
      </c>
      <c r="N22" s="3016"/>
      <c r="S22" s="3015">
        <v>20051</v>
      </c>
      <c r="T22" s="2982" t="e">
        <f>G22+G37+G44+G51+#REF!+#REF!+#REF!+#REF!+#REF!+#REF!+#REF!+#REF!+#REF!+#REF!+#REF!+#REF!+#REF!+#REF!+#REF!+#REF!+#REF!+#REF!+#REF!+#REF!+#REF!+#REF!+#REF!+#REF!+#REF!</f>
        <v>#REF!</v>
      </c>
      <c r="U22" s="2990"/>
      <c r="V22" s="2990"/>
      <c r="W22" s="2981"/>
      <c r="X22" s="2981"/>
      <c r="Y22" s="2981"/>
      <c r="Z22" s="2981"/>
      <c r="AA22" s="2981"/>
      <c r="AB22" s="2981"/>
      <c r="AC22" s="2981"/>
      <c r="AD22" s="2981"/>
      <c r="AE22" s="2981"/>
    </row>
    <row r="23" spans="1:31" s="3019" customFormat="1" ht="24" customHeight="1" x14ac:dyDescent="0.25">
      <c r="A23" s="3727"/>
      <c r="B23" s="3728" t="s">
        <v>3122</v>
      </c>
      <c r="C23" s="3729">
        <f>D23+E23</f>
        <v>29988000</v>
      </c>
      <c r="D23" s="3729"/>
      <c r="E23" s="3729">
        <v>29988000</v>
      </c>
      <c r="F23" s="3729">
        <f>G23+H23</f>
        <v>30030457</v>
      </c>
      <c r="G23" s="3729"/>
      <c r="H23" s="3729">
        <v>30030457</v>
      </c>
      <c r="I23" s="3730">
        <f>F23/C23*100</f>
        <v>100.14157996531947</v>
      </c>
      <c r="J23" s="3731"/>
      <c r="K23" s="3733"/>
      <c r="N23" s="3020" t="e">
        <f>#REF!-G9</f>
        <v>#REF!</v>
      </c>
      <c r="S23" s="3019">
        <f>S21/S22*100</f>
        <v>91.077751733080646</v>
      </c>
      <c r="T23" s="2991" t="e">
        <f>T22-163125.535509</f>
        <v>#REF!</v>
      </c>
      <c r="U23" s="2986"/>
      <c r="V23" s="2988"/>
      <c r="W23" s="2988">
        <f>V23+5000000000</f>
        <v>5000000000</v>
      </c>
      <c r="X23" s="2988"/>
      <c r="Y23" s="2988"/>
      <c r="Z23" s="2988"/>
      <c r="AA23" s="2988"/>
      <c r="AB23" s="2988"/>
      <c r="AC23" s="2988"/>
      <c r="AD23" s="2988"/>
      <c r="AE23" s="2988"/>
    </row>
    <row r="24" spans="1:31" ht="24" customHeight="1" x14ac:dyDescent="0.25">
      <c r="A24" s="3722"/>
      <c r="B24" s="3651" t="s">
        <v>1813</v>
      </c>
      <c r="C24" s="3723">
        <v>0</v>
      </c>
      <c r="D24" s="3723">
        <v>0</v>
      </c>
      <c r="E24" s="3723">
        <v>0</v>
      </c>
      <c r="F24" s="3723">
        <f>G24+H24</f>
        <v>0</v>
      </c>
      <c r="G24" s="3723"/>
      <c r="H24" s="3723"/>
      <c r="I24" s="3721"/>
      <c r="J24" s="3719"/>
      <c r="K24" s="3720"/>
    </row>
    <row r="25" spans="1:31" s="3015" customFormat="1" ht="33.75" hidden="1" customHeight="1" x14ac:dyDescent="0.2">
      <c r="A25" s="3716" t="s">
        <v>872</v>
      </c>
      <c r="B25" s="3717" t="s">
        <v>23</v>
      </c>
      <c r="C25" s="3718">
        <v>0</v>
      </c>
      <c r="D25" s="3718">
        <v>0</v>
      </c>
      <c r="E25" s="3718">
        <v>0</v>
      </c>
      <c r="F25" s="3718">
        <f t="shared" ref="F25:F30" si="5">G25+H25</f>
        <v>0</v>
      </c>
      <c r="G25" s="3718"/>
      <c r="H25" s="3718"/>
      <c r="I25" s="3721" t="e">
        <f>F25/C25*100</f>
        <v>#DIV/0!</v>
      </c>
      <c r="J25" s="3719" t="e">
        <f>G25/D25*100</f>
        <v>#DIV/0!</v>
      </c>
      <c r="K25" s="3720" t="e">
        <f t="shared" si="4"/>
        <v>#DIV/0!</v>
      </c>
      <c r="N25" s="3016"/>
      <c r="S25" s="3015">
        <v>8292</v>
      </c>
      <c r="T25" s="2981"/>
      <c r="U25" s="2981"/>
      <c r="V25" s="2981"/>
      <c r="W25" s="2981"/>
      <c r="X25" s="2981"/>
      <c r="Y25" s="2981"/>
      <c r="Z25" s="2981"/>
      <c r="AA25" s="2981"/>
      <c r="AB25" s="2981"/>
      <c r="AC25" s="2981"/>
      <c r="AD25" s="2981"/>
      <c r="AE25" s="2981"/>
    </row>
    <row r="26" spans="1:31" s="3015" customFormat="1" ht="33.75" hidden="1" customHeight="1" x14ac:dyDescent="0.2">
      <c r="A26" s="3716" t="s">
        <v>873</v>
      </c>
      <c r="B26" s="3717" t="s">
        <v>1777</v>
      </c>
      <c r="C26" s="3718">
        <v>0</v>
      </c>
      <c r="D26" s="3718">
        <v>0</v>
      </c>
      <c r="E26" s="3718">
        <v>0</v>
      </c>
      <c r="F26" s="3718">
        <f t="shared" si="5"/>
        <v>0</v>
      </c>
      <c r="G26" s="3718"/>
      <c r="H26" s="3718"/>
      <c r="I26" s="3721" t="e">
        <f>F26/C26*100</f>
        <v>#DIV/0!</v>
      </c>
      <c r="J26" s="3719" t="e">
        <f>G26/D26*100</f>
        <v>#DIV/0!</v>
      </c>
      <c r="K26" s="3720" t="e">
        <f t="shared" si="4"/>
        <v>#DIV/0!</v>
      </c>
      <c r="N26" s="3016"/>
      <c r="S26" s="3015">
        <v>10856</v>
      </c>
      <c r="T26" s="2981"/>
      <c r="U26" s="2981"/>
      <c r="V26" s="2981"/>
      <c r="W26" s="2981"/>
      <c r="X26" s="2981"/>
      <c r="Y26" s="2981"/>
      <c r="Z26" s="2981"/>
      <c r="AA26" s="2981"/>
      <c r="AB26" s="2981"/>
      <c r="AC26" s="2981"/>
      <c r="AD26" s="2981"/>
      <c r="AE26" s="2981"/>
    </row>
    <row r="27" spans="1:31" s="3015" customFormat="1" ht="19.5" customHeight="1" x14ac:dyDescent="0.2">
      <c r="A27" s="3716" t="s">
        <v>872</v>
      </c>
      <c r="B27" s="3717" t="s">
        <v>924</v>
      </c>
      <c r="C27" s="3718">
        <f>D27+E27</f>
        <v>1327000</v>
      </c>
      <c r="D27" s="3718"/>
      <c r="E27" s="3718">
        <v>1327000</v>
      </c>
      <c r="F27" s="3718">
        <f t="shared" si="5"/>
        <v>0</v>
      </c>
      <c r="G27" s="3718"/>
      <c r="H27" s="3718"/>
      <c r="I27" s="3721"/>
      <c r="J27" s="3719"/>
      <c r="K27" s="3719"/>
      <c r="N27" s="3016"/>
      <c r="S27" s="3015">
        <f>S25/S26*100</f>
        <v>76.381724392041278</v>
      </c>
      <c r="T27" s="2981"/>
      <c r="U27" s="2981"/>
      <c r="V27" s="2981"/>
      <c r="W27" s="2981"/>
      <c r="X27" s="2981"/>
      <c r="Y27" s="2981"/>
      <c r="Z27" s="2981"/>
      <c r="AA27" s="2981"/>
      <c r="AB27" s="2981"/>
      <c r="AC27" s="2981"/>
      <c r="AD27" s="2981"/>
      <c r="AE27" s="2981"/>
    </row>
    <row r="28" spans="1:31" s="3015" customFormat="1" ht="31.5" customHeight="1" x14ac:dyDescent="0.2">
      <c r="A28" s="3716" t="s">
        <v>909</v>
      </c>
      <c r="B28" s="3717" t="s">
        <v>24</v>
      </c>
      <c r="C28" s="3718">
        <v>0</v>
      </c>
      <c r="D28" s="3718">
        <v>0</v>
      </c>
      <c r="E28" s="3718">
        <v>0</v>
      </c>
      <c r="F28" s="3718">
        <f t="shared" si="5"/>
        <v>0</v>
      </c>
      <c r="G28" s="3718"/>
      <c r="H28" s="3718"/>
      <c r="I28" s="3721"/>
      <c r="J28" s="3719"/>
      <c r="K28" s="3720"/>
      <c r="N28" s="3016"/>
      <c r="T28" s="2981"/>
      <c r="U28" s="2981"/>
      <c r="V28" s="2981"/>
      <c r="W28" s="2981"/>
      <c r="X28" s="2981"/>
      <c r="Y28" s="2981"/>
      <c r="Z28" s="2981"/>
      <c r="AA28" s="2981"/>
      <c r="AB28" s="2981"/>
      <c r="AC28" s="2981"/>
      <c r="AD28" s="2981"/>
      <c r="AE28" s="2981"/>
    </row>
    <row r="29" spans="1:31" s="3015" customFormat="1" ht="19.5" customHeight="1" x14ac:dyDescent="0.2">
      <c r="A29" s="3716" t="s">
        <v>877</v>
      </c>
      <c r="B29" s="3717" t="s">
        <v>562</v>
      </c>
      <c r="C29" s="3718">
        <v>0</v>
      </c>
      <c r="D29" s="3718">
        <v>0</v>
      </c>
      <c r="E29" s="3718">
        <v>0</v>
      </c>
      <c r="F29" s="3718">
        <f t="shared" si="5"/>
        <v>1084441</v>
      </c>
      <c r="G29" s="3718"/>
      <c r="H29" s="3718">
        <v>1084441</v>
      </c>
      <c r="I29" s="3721"/>
      <c r="J29" s="3719"/>
      <c r="K29" s="3720"/>
      <c r="N29" s="3016"/>
      <c r="T29" s="2981"/>
      <c r="U29" s="2981"/>
      <c r="V29" s="2981"/>
      <c r="W29" s="2981"/>
      <c r="X29" s="2981"/>
      <c r="Y29" s="2981"/>
      <c r="Z29" s="2981"/>
      <c r="AA29" s="2981"/>
      <c r="AB29" s="2981"/>
      <c r="AC29" s="2981"/>
      <c r="AD29" s="2981"/>
      <c r="AE29" s="2981"/>
    </row>
    <row r="30" spans="1:31" s="3015" customFormat="1" ht="33.75" hidden="1" customHeight="1" x14ac:dyDescent="0.2">
      <c r="A30" s="3716" t="s">
        <v>909</v>
      </c>
      <c r="B30" s="3717" t="s">
        <v>1814</v>
      </c>
      <c r="C30" s="3718">
        <v>0</v>
      </c>
      <c r="D30" s="3718">
        <v>0</v>
      </c>
      <c r="E30" s="3718">
        <v>0</v>
      </c>
      <c r="F30" s="3718">
        <f t="shared" si="5"/>
        <v>0</v>
      </c>
      <c r="G30" s="3718"/>
      <c r="H30" s="3718"/>
      <c r="I30" s="3721" t="e">
        <f>F30/C30*100</f>
        <v>#DIV/0!</v>
      </c>
      <c r="J30" s="3719" t="e">
        <f>G30/D30*100</f>
        <v>#DIV/0!</v>
      </c>
      <c r="K30" s="3720" t="e">
        <f t="shared" si="4"/>
        <v>#DIV/0!</v>
      </c>
      <c r="N30" s="3016"/>
      <c r="T30" s="2981"/>
      <c r="U30" s="2981"/>
      <c r="V30" s="2981"/>
      <c r="W30" s="2981"/>
      <c r="X30" s="2981"/>
      <c r="Y30" s="2981"/>
      <c r="Z30" s="2981"/>
      <c r="AA30" s="2981"/>
      <c r="AB30" s="2981"/>
      <c r="AC30" s="2981"/>
      <c r="AD30" s="2981"/>
      <c r="AE30" s="2981"/>
    </row>
    <row r="31" spans="1:31" s="3015" customFormat="1" ht="31.5" customHeight="1" x14ac:dyDescent="0.2">
      <c r="A31" s="3716" t="s">
        <v>848</v>
      </c>
      <c r="B31" s="3717" t="s">
        <v>3482</v>
      </c>
      <c r="C31" s="3718">
        <f>C32+C54</f>
        <v>13075000</v>
      </c>
      <c r="D31" s="3718">
        <f t="shared" ref="D31:H31" si="6">D32+D54</f>
        <v>0</v>
      </c>
      <c r="E31" s="3718">
        <f t="shared" si="6"/>
        <v>13075000</v>
      </c>
      <c r="F31" s="3718">
        <f t="shared" si="6"/>
        <v>14320456.1</v>
      </c>
      <c r="G31" s="3718">
        <f t="shared" si="6"/>
        <v>0</v>
      </c>
      <c r="H31" s="3718">
        <f t="shared" si="6"/>
        <v>14320456.1</v>
      </c>
      <c r="I31" s="3721">
        <f>F31/C31*100</f>
        <v>109.52547686424474</v>
      </c>
      <c r="J31" s="3719"/>
      <c r="K31" s="3720">
        <f t="shared" si="4"/>
        <v>109.52547686424474</v>
      </c>
      <c r="N31" s="3016">
        <v>43063.515801000001</v>
      </c>
      <c r="T31" s="2981"/>
      <c r="U31" s="2981"/>
      <c r="V31" s="2981"/>
      <c r="W31" s="2981"/>
      <c r="X31" s="2981"/>
      <c r="Y31" s="2981"/>
      <c r="Z31" s="2981"/>
      <c r="AA31" s="2981"/>
      <c r="AB31" s="2981"/>
      <c r="AC31" s="2981"/>
      <c r="AD31" s="2981"/>
      <c r="AE31" s="2981"/>
    </row>
    <row r="32" spans="1:31" s="3015" customFormat="1" ht="32.25" customHeight="1" x14ac:dyDescent="0.2">
      <c r="A32" s="3716" t="s">
        <v>849</v>
      </c>
      <c r="B32" s="3717" t="s">
        <v>26</v>
      </c>
      <c r="C32" s="3734">
        <f>C33+C40+C47</f>
        <v>12742000</v>
      </c>
      <c r="D32" s="3734">
        <f t="shared" ref="D32:H32" si="7">D33+D40+D47</f>
        <v>0</v>
      </c>
      <c r="E32" s="3734">
        <f t="shared" si="7"/>
        <v>12742000</v>
      </c>
      <c r="F32" s="3734">
        <f t="shared" si="7"/>
        <v>14145817</v>
      </c>
      <c r="G32" s="3734">
        <f t="shared" si="7"/>
        <v>0</v>
      </c>
      <c r="H32" s="3734">
        <f t="shared" si="7"/>
        <v>14145817</v>
      </c>
      <c r="I32" s="3721">
        <f>F32/C32*100</f>
        <v>111.01724219117879</v>
      </c>
      <c r="J32" s="3719"/>
      <c r="K32" s="3720">
        <f t="shared" si="4"/>
        <v>111.01724219117879</v>
      </c>
      <c r="N32" s="3016"/>
      <c r="T32" s="2992"/>
      <c r="U32" s="2993"/>
      <c r="V32" s="2981"/>
      <c r="W32" s="2981"/>
      <c r="X32" s="2981"/>
      <c r="Y32" s="2981"/>
      <c r="Z32" s="2981"/>
      <c r="AA32" s="2981"/>
      <c r="AB32" s="2981"/>
      <c r="AC32" s="2981"/>
      <c r="AD32" s="2981"/>
      <c r="AE32" s="2981"/>
    </row>
    <row r="33" spans="1:31" ht="33.75" customHeight="1" x14ac:dyDescent="0.25">
      <c r="A33" s="3735" t="s">
        <v>1773</v>
      </c>
      <c r="B33" s="3736" t="s">
        <v>3332</v>
      </c>
      <c r="C33" s="3737">
        <f t="shared" ref="C33:H33" si="8">C34+C37</f>
        <v>722000</v>
      </c>
      <c r="D33" s="3723"/>
      <c r="E33" s="3723">
        <f t="shared" si="8"/>
        <v>722000</v>
      </c>
      <c r="F33" s="3723">
        <f t="shared" si="8"/>
        <v>604889</v>
      </c>
      <c r="G33" s="3723">
        <f t="shared" si="8"/>
        <v>0</v>
      </c>
      <c r="H33" s="3723">
        <f t="shared" si="8"/>
        <v>604889</v>
      </c>
      <c r="I33" s="3724">
        <f>F33/C33*100</f>
        <v>83.779639889196673</v>
      </c>
      <c r="J33" s="3725"/>
      <c r="K33" s="3726">
        <f t="shared" si="4"/>
        <v>83.779639889196673</v>
      </c>
      <c r="N33" s="3008">
        <v>59736183000</v>
      </c>
      <c r="T33" s="2994"/>
      <c r="U33" s="2994"/>
      <c r="V33" s="2994"/>
    </row>
    <row r="34" spans="1:31" ht="27.75" customHeight="1" x14ac:dyDescent="0.25">
      <c r="A34" s="3735" t="s">
        <v>851</v>
      </c>
      <c r="B34" s="3736" t="s">
        <v>707</v>
      </c>
      <c r="C34" s="3723">
        <f t="shared" ref="C34:H34" si="9">C35+C36</f>
        <v>0</v>
      </c>
      <c r="D34" s="3723"/>
      <c r="E34" s="3723">
        <f t="shared" si="9"/>
        <v>0</v>
      </c>
      <c r="F34" s="3723">
        <f t="shared" si="9"/>
        <v>0</v>
      </c>
      <c r="G34" s="3723">
        <f t="shared" si="9"/>
        <v>0</v>
      </c>
      <c r="H34" s="3723">
        <f t="shared" si="9"/>
        <v>0</v>
      </c>
      <c r="I34" s="3721"/>
      <c r="J34" s="3719"/>
      <c r="K34" s="3720"/>
      <c r="N34" s="3008">
        <f>N33/1000000-C38</f>
        <v>-637096.81700000004</v>
      </c>
      <c r="T34" s="2995"/>
      <c r="U34" s="2995"/>
      <c r="V34" s="2995"/>
    </row>
    <row r="35" spans="1:31" ht="33.75" hidden="1" customHeight="1" x14ac:dyDescent="0.25">
      <c r="A35" s="3735"/>
      <c r="B35" s="3738" t="s">
        <v>341</v>
      </c>
      <c r="C35" s="3737"/>
      <c r="D35" s="3723"/>
      <c r="E35" s="3723"/>
      <c r="F35" s="3723">
        <f>G35+H35</f>
        <v>0</v>
      </c>
      <c r="G35" s="3723">
        <v>0</v>
      </c>
      <c r="H35" s="3723"/>
      <c r="I35" s="3721"/>
      <c r="J35" s="3719"/>
      <c r="K35" s="3720"/>
      <c r="T35" s="2995"/>
      <c r="U35" s="2995"/>
      <c r="V35" s="2995"/>
    </row>
    <row r="36" spans="1:31" hidden="1" x14ac:dyDescent="0.25">
      <c r="A36" s="3735"/>
      <c r="B36" s="3738" t="s">
        <v>2298</v>
      </c>
      <c r="C36" s="3737"/>
      <c r="D36" s="3723"/>
      <c r="E36" s="3723"/>
      <c r="F36" s="3723">
        <f>G36+H36</f>
        <v>0</v>
      </c>
      <c r="G36" s="3723">
        <v>0</v>
      </c>
      <c r="H36" s="3723"/>
      <c r="I36" s="3721"/>
      <c r="J36" s="3719"/>
      <c r="K36" s="3720"/>
      <c r="T36" s="2995"/>
      <c r="U36" s="2995"/>
      <c r="V36" s="2995"/>
    </row>
    <row r="37" spans="1:31" ht="21" customHeight="1" x14ac:dyDescent="0.25">
      <c r="A37" s="3735" t="s">
        <v>897</v>
      </c>
      <c r="B37" s="3739" t="s">
        <v>1471</v>
      </c>
      <c r="C37" s="3737">
        <f t="shared" ref="C37:G37" si="10">C38+C39</f>
        <v>722000</v>
      </c>
      <c r="D37" s="3723"/>
      <c r="E37" s="3723">
        <f t="shared" si="10"/>
        <v>722000</v>
      </c>
      <c r="F37" s="3723">
        <f>[1]B48!D30</f>
        <v>604889</v>
      </c>
      <c r="G37" s="3723">
        <f t="shared" si="10"/>
        <v>0</v>
      </c>
      <c r="H37" s="3723">
        <f>F37</f>
        <v>604889</v>
      </c>
      <c r="I37" s="3724">
        <f t="shared" ref="I37:I57" si="11">F37/C37*100</f>
        <v>83.779639889196673</v>
      </c>
      <c r="J37" s="3725"/>
      <c r="K37" s="3726">
        <f t="shared" si="4"/>
        <v>83.779639889196673</v>
      </c>
      <c r="T37" s="2995"/>
      <c r="U37" s="2995"/>
      <c r="V37" s="2995"/>
      <c r="W37" s="2977"/>
    </row>
    <row r="38" spans="1:31" s="3019" customFormat="1" hidden="1" x14ac:dyDescent="0.25">
      <c r="A38" s="3740"/>
      <c r="B38" s="3738" t="s">
        <v>341</v>
      </c>
      <c r="C38" s="3741">
        <f>D38+E38</f>
        <v>696833</v>
      </c>
      <c r="D38" s="3729"/>
      <c r="E38" s="3729">
        <f>[1]B48!C35</f>
        <v>696833</v>
      </c>
      <c r="F38" s="3729"/>
      <c r="G38" s="3729"/>
      <c r="H38" s="3729"/>
      <c r="I38" s="3730">
        <f t="shared" si="11"/>
        <v>0</v>
      </c>
      <c r="J38" s="3731"/>
      <c r="K38" s="3733">
        <f t="shared" si="4"/>
        <v>0</v>
      </c>
      <c r="N38" s="3020">
        <v>59736167076.248001</v>
      </c>
      <c r="O38" s="3022">
        <v>11352000000</v>
      </c>
      <c r="T38" s="2988"/>
      <c r="U38" s="2988"/>
      <c r="V38" s="2988"/>
      <c r="W38" s="2988"/>
      <c r="X38" s="2988"/>
      <c r="Y38" s="2988"/>
      <c r="Z38" s="2988"/>
      <c r="AA38" s="2988"/>
      <c r="AB38" s="2988"/>
      <c r="AC38" s="2988"/>
      <c r="AD38" s="2988"/>
      <c r="AE38" s="2988"/>
    </row>
    <row r="39" spans="1:31" s="3019" customFormat="1" hidden="1" x14ac:dyDescent="0.25">
      <c r="A39" s="3740"/>
      <c r="B39" s="3738" t="s">
        <v>2298</v>
      </c>
      <c r="C39" s="3741">
        <f>D39+E39</f>
        <v>25167</v>
      </c>
      <c r="D39" s="3729"/>
      <c r="E39" s="3729">
        <f>[1]B48!C36</f>
        <v>25167</v>
      </c>
      <c r="F39" s="3729"/>
      <c r="G39" s="3729"/>
      <c r="H39" s="3729"/>
      <c r="I39" s="3730">
        <f t="shared" si="11"/>
        <v>0</v>
      </c>
      <c r="J39" s="3731"/>
      <c r="K39" s="3733">
        <f t="shared" si="4"/>
        <v>0</v>
      </c>
      <c r="N39" s="3020"/>
      <c r="O39" s="3022"/>
      <c r="Q39" s="3023">
        <f>E39-H39</f>
        <v>25167</v>
      </c>
      <c r="T39" s="2987"/>
      <c r="U39" s="2988"/>
      <c r="V39" s="2988"/>
      <c r="W39" s="2988"/>
      <c r="X39" s="2988"/>
      <c r="Y39" s="2988"/>
      <c r="Z39" s="2988"/>
      <c r="AA39" s="2988"/>
      <c r="AB39" s="2988"/>
      <c r="AC39" s="2988"/>
      <c r="AD39" s="2988"/>
      <c r="AE39" s="2988"/>
    </row>
    <row r="40" spans="1:31" ht="30" x14ac:dyDescent="0.25">
      <c r="A40" s="3735" t="s">
        <v>1774</v>
      </c>
      <c r="B40" s="3736" t="s">
        <v>3333</v>
      </c>
      <c r="C40" s="3737">
        <f t="shared" ref="C40:H40" si="12">C41+C44</f>
        <v>3631000</v>
      </c>
      <c r="D40" s="3737"/>
      <c r="E40" s="3737">
        <f t="shared" si="12"/>
        <v>3631000</v>
      </c>
      <c r="F40" s="3737">
        <f t="shared" si="12"/>
        <v>5742395</v>
      </c>
      <c r="G40" s="3737">
        <f t="shared" si="12"/>
        <v>0</v>
      </c>
      <c r="H40" s="3737">
        <f t="shared" si="12"/>
        <v>5742395</v>
      </c>
      <c r="I40" s="3724">
        <f t="shared" si="11"/>
        <v>158.14913247039385</v>
      </c>
      <c r="J40" s="3725"/>
      <c r="K40" s="3726">
        <f t="shared" si="4"/>
        <v>158.14913247039385</v>
      </c>
      <c r="O40" s="3024"/>
      <c r="T40" s="2995"/>
      <c r="U40" s="2996"/>
      <c r="V40" s="2977"/>
    </row>
    <row r="41" spans="1:31" ht="20.25" customHeight="1" x14ac:dyDescent="0.25">
      <c r="A41" s="3735" t="s">
        <v>902</v>
      </c>
      <c r="B41" s="3736" t="s">
        <v>707</v>
      </c>
      <c r="C41" s="3723">
        <f>C42+C43</f>
        <v>2218000</v>
      </c>
      <c r="D41" s="3723"/>
      <c r="E41" s="3723">
        <f>E42+E43</f>
        <v>2218000</v>
      </c>
      <c r="F41" s="3723">
        <f>[1]B48!D38</f>
        <v>4800791</v>
      </c>
      <c r="G41" s="3723"/>
      <c r="H41" s="3723">
        <f>F41</f>
        <v>4800791</v>
      </c>
      <c r="I41" s="3724">
        <f t="shared" si="11"/>
        <v>216.44684400360683</v>
      </c>
      <c r="J41" s="3725"/>
      <c r="K41" s="3726">
        <f t="shared" si="4"/>
        <v>216.44684400360683</v>
      </c>
      <c r="O41" s="3024"/>
      <c r="T41" s="2997"/>
      <c r="U41" s="2997"/>
    </row>
    <row r="42" spans="1:31" s="3019" customFormat="1" hidden="1" x14ac:dyDescent="0.25">
      <c r="A42" s="3740"/>
      <c r="B42" s="3738" t="s">
        <v>341</v>
      </c>
      <c r="C42" s="3741">
        <f>D42+E42</f>
        <v>2131000</v>
      </c>
      <c r="D42" s="3729"/>
      <c r="E42" s="3729">
        <f>[1]B48!C39</f>
        <v>2131000</v>
      </c>
      <c r="F42" s="3729"/>
      <c r="G42" s="3742"/>
      <c r="H42" s="3723">
        <f t="shared" ref="H42:H43" si="13">F42</f>
        <v>0</v>
      </c>
      <c r="I42" s="3730">
        <f t="shared" si="11"/>
        <v>0</v>
      </c>
      <c r="J42" s="3731" t="e">
        <f>G42/D42*100</f>
        <v>#DIV/0!</v>
      </c>
      <c r="K42" s="3733">
        <f t="shared" si="4"/>
        <v>0</v>
      </c>
      <c r="N42" s="3020"/>
      <c r="O42" s="3022"/>
      <c r="T42" s="2997"/>
      <c r="U42" s="2988"/>
      <c r="V42" s="2988"/>
      <c r="W42" s="2988"/>
      <c r="X42" s="2988"/>
      <c r="Y42" s="2988"/>
      <c r="Z42" s="2988"/>
      <c r="AA42" s="2988"/>
      <c r="AB42" s="2988"/>
      <c r="AC42" s="2988"/>
      <c r="AD42" s="2988"/>
      <c r="AE42" s="2988"/>
    </row>
    <row r="43" spans="1:31" s="3019" customFormat="1" hidden="1" x14ac:dyDescent="0.25">
      <c r="A43" s="3740"/>
      <c r="B43" s="3738" t="s">
        <v>2298</v>
      </c>
      <c r="C43" s="3741">
        <f>D43+E43</f>
        <v>87000</v>
      </c>
      <c r="D43" s="3729"/>
      <c r="E43" s="3729">
        <f>[1]B48!C40</f>
        <v>87000</v>
      </c>
      <c r="F43" s="3729"/>
      <c r="G43" s="3742"/>
      <c r="H43" s="3723">
        <f t="shared" si="13"/>
        <v>0</v>
      </c>
      <c r="I43" s="3730">
        <f t="shared" si="11"/>
        <v>0</v>
      </c>
      <c r="J43" s="3731" t="e">
        <f>G43/D43*100</f>
        <v>#DIV/0!</v>
      </c>
      <c r="K43" s="3733">
        <f t="shared" si="4"/>
        <v>0</v>
      </c>
      <c r="N43" s="3020"/>
      <c r="O43" s="3022"/>
      <c r="T43" s="2998"/>
      <c r="U43" s="2998"/>
      <c r="V43" s="2988"/>
      <c r="W43" s="2988"/>
      <c r="X43" s="2988"/>
      <c r="Y43" s="2988"/>
      <c r="Z43" s="2988"/>
      <c r="AA43" s="2988"/>
      <c r="AB43" s="2988"/>
      <c r="AC43" s="2988"/>
      <c r="AD43" s="2988"/>
      <c r="AE43" s="2988"/>
    </row>
    <row r="44" spans="1:31" ht="24.75" customHeight="1" x14ac:dyDescent="0.25">
      <c r="A44" s="3735" t="s">
        <v>903</v>
      </c>
      <c r="B44" s="3736" t="s">
        <v>1471</v>
      </c>
      <c r="C44" s="3737">
        <f t="shared" ref="C44:G44" si="14">C45+C46</f>
        <v>1413000</v>
      </c>
      <c r="D44" s="3723"/>
      <c r="E44" s="3723">
        <f>E45+E46</f>
        <v>1413000</v>
      </c>
      <c r="F44" s="3723">
        <f>[1]B48!D41</f>
        <v>941604</v>
      </c>
      <c r="G44" s="3723">
        <f t="shared" si="14"/>
        <v>0</v>
      </c>
      <c r="H44" s="3723">
        <f>F44</f>
        <v>941604</v>
      </c>
      <c r="I44" s="3724">
        <f t="shared" si="11"/>
        <v>66.638641188959653</v>
      </c>
      <c r="J44" s="3725"/>
      <c r="K44" s="3726">
        <f t="shared" si="4"/>
        <v>66.638641188959653</v>
      </c>
      <c r="O44" s="3024"/>
      <c r="U44" s="2994"/>
      <c r="V44" s="2989"/>
    </row>
    <row r="45" spans="1:31" s="3019" customFormat="1" ht="21.75" customHeight="1" x14ac:dyDescent="0.25">
      <c r="A45" s="3740"/>
      <c r="B45" s="3738" t="s">
        <v>341</v>
      </c>
      <c r="C45" s="3741">
        <f>D45+E45</f>
        <v>1345000</v>
      </c>
      <c r="D45" s="3729"/>
      <c r="E45" s="3729">
        <f>[1]B48!C42</f>
        <v>1345000</v>
      </c>
      <c r="F45" s="3729">
        <f>G45+H45</f>
        <v>0</v>
      </c>
      <c r="G45" s="3729"/>
      <c r="H45" s="3729"/>
      <c r="I45" s="3730">
        <f t="shared" si="11"/>
        <v>0</v>
      </c>
      <c r="J45" s="3731" t="e">
        <f>G45/D45*100</f>
        <v>#DIV/0!</v>
      </c>
      <c r="K45" s="3733">
        <f t="shared" si="4"/>
        <v>0</v>
      </c>
      <c r="N45" s="3020"/>
      <c r="O45" s="3022"/>
      <c r="T45" s="2988"/>
      <c r="U45" s="2988"/>
      <c r="V45" s="2991"/>
      <c r="W45" s="2988"/>
      <c r="X45" s="2988"/>
      <c r="Y45" s="2988"/>
      <c r="Z45" s="2988"/>
      <c r="AA45" s="2988"/>
      <c r="AB45" s="2988"/>
      <c r="AC45" s="2988"/>
      <c r="AD45" s="2988"/>
      <c r="AE45" s="2988"/>
    </row>
    <row r="46" spans="1:31" s="3019" customFormat="1" ht="21.75" customHeight="1" x14ac:dyDescent="0.25">
      <c r="A46" s="3743"/>
      <c r="B46" s="3738" t="s">
        <v>2298</v>
      </c>
      <c r="C46" s="3741">
        <f>D46+E46</f>
        <v>68000</v>
      </c>
      <c r="D46" s="3729"/>
      <c r="E46" s="3729">
        <f>[1]B48!C43</f>
        <v>68000</v>
      </c>
      <c r="F46" s="3729">
        <f>G46+H46</f>
        <v>0</v>
      </c>
      <c r="G46" s="3729"/>
      <c r="H46" s="3729"/>
      <c r="I46" s="3730">
        <f t="shared" si="11"/>
        <v>0</v>
      </c>
      <c r="J46" s="3731" t="e">
        <f>G46/D46*100</f>
        <v>#DIV/0!</v>
      </c>
      <c r="K46" s="3733">
        <f t="shared" si="4"/>
        <v>0</v>
      </c>
      <c r="N46" s="3020"/>
      <c r="O46" s="3022"/>
      <c r="T46" s="2991"/>
      <c r="U46" s="2991"/>
      <c r="V46" s="2991"/>
      <c r="W46" s="2988"/>
      <c r="X46" s="2988"/>
      <c r="Y46" s="2988"/>
      <c r="Z46" s="2988"/>
      <c r="AA46" s="2988"/>
      <c r="AB46" s="2988"/>
      <c r="AC46" s="2988"/>
      <c r="AD46" s="2988"/>
      <c r="AE46" s="2988"/>
    </row>
    <row r="47" spans="1:31" ht="30.75" customHeight="1" x14ac:dyDescent="0.25">
      <c r="A47" s="3735">
        <v>3</v>
      </c>
      <c r="B47" s="3736" t="s">
        <v>3334</v>
      </c>
      <c r="C47" s="3737">
        <f t="shared" ref="C47:H47" si="15">C48+C51</f>
        <v>8389000</v>
      </c>
      <c r="D47" s="3737"/>
      <c r="E47" s="3737">
        <f t="shared" si="15"/>
        <v>8389000</v>
      </c>
      <c r="F47" s="3737">
        <f>F48+F51</f>
        <v>7798533</v>
      </c>
      <c r="G47" s="3737">
        <f t="shared" si="15"/>
        <v>0</v>
      </c>
      <c r="H47" s="3737">
        <f t="shared" si="15"/>
        <v>7798533</v>
      </c>
      <c r="I47" s="3724">
        <f t="shared" si="11"/>
        <v>92.961413756109195</v>
      </c>
      <c r="J47" s="3725"/>
      <c r="K47" s="3726">
        <f t="shared" si="4"/>
        <v>92.961413756109195</v>
      </c>
      <c r="O47" s="3024"/>
    </row>
    <row r="48" spans="1:31" ht="21" customHeight="1" x14ac:dyDescent="0.25">
      <c r="A48" s="3735" t="s">
        <v>174</v>
      </c>
      <c r="B48" s="3736" t="s">
        <v>707</v>
      </c>
      <c r="C48" s="3723">
        <f>C49+C50</f>
        <v>308000</v>
      </c>
      <c r="D48" s="3723"/>
      <c r="E48" s="3723">
        <f>E49+E50</f>
        <v>308000</v>
      </c>
      <c r="F48" s="3723">
        <f>[1]B48!D45</f>
        <v>308000</v>
      </c>
      <c r="G48" s="3723">
        <f>G49+G50</f>
        <v>0</v>
      </c>
      <c r="H48" s="3723">
        <f>F48</f>
        <v>308000</v>
      </c>
      <c r="I48" s="3724">
        <f t="shared" si="11"/>
        <v>100</v>
      </c>
      <c r="J48" s="3725"/>
      <c r="K48" s="3726">
        <f t="shared" si="4"/>
        <v>100</v>
      </c>
      <c r="O48" s="3024"/>
      <c r="T48" s="2999"/>
      <c r="U48" s="3000"/>
      <c r="V48" s="3000"/>
    </row>
    <row r="49" spans="1:31" s="3019" customFormat="1" hidden="1" x14ac:dyDescent="0.25">
      <c r="A49" s="3740"/>
      <c r="B49" s="3738" t="s">
        <v>341</v>
      </c>
      <c r="C49" s="3741">
        <f>D49+E49</f>
        <v>280000</v>
      </c>
      <c r="D49" s="3729"/>
      <c r="E49" s="3729">
        <f>[1]B48!C46</f>
        <v>280000</v>
      </c>
      <c r="F49" s="3729"/>
      <c r="G49" s="3729"/>
      <c r="H49" s="3729"/>
      <c r="I49" s="3730">
        <f t="shared" si="11"/>
        <v>0</v>
      </c>
      <c r="J49" s="3731"/>
      <c r="K49" s="3733">
        <f t="shared" si="4"/>
        <v>0</v>
      </c>
      <c r="N49" s="3020"/>
      <c r="O49" s="3022"/>
      <c r="T49" s="2997">
        <f>1052+13148.7</f>
        <v>14200.7</v>
      </c>
      <c r="U49" s="2998">
        <f>27748+2565+1052</f>
        <v>31365</v>
      </c>
      <c r="V49" s="2988"/>
      <c r="W49" s="2988"/>
      <c r="X49" s="2988"/>
      <c r="Y49" s="2988"/>
      <c r="Z49" s="2988"/>
      <c r="AA49" s="2988"/>
      <c r="AB49" s="2988"/>
      <c r="AC49" s="2988"/>
      <c r="AD49" s="2988"/>
      <c r="AE49" s="2988"/>
    </row>
    <row r="50" spans="1:31" s="3019" customFormat="1" hidden="1" x14ac:dyDescent="0.25">
      <c r="A50" s="3740"/>
      <c r="B50" s="3738" t="s">
        <v>2298</v>
      </c>
      <c r="C50" s="3741">
        <f>D50+E50</f>
        <v>28000</v>
      </c>
      <c r="D50" s="3729"/>
      <c r="E50" s="3729">
        <f>[1]B48!C47</f>
        <v>28000</v>
      </c>
      <c r="F50" s="3729"/>
      <c r="G50" s="3729"/>
      <c r="H50" s="3729"/>
      <c r="I50" s="3730">
        <f t="shared" si="11"/>
        <v>0</v>
      </c>
      <c r="J50" s="3731"/>
      <c r="K50" s="3733">
        <f t="shared" si="4"/>
        <v>0</v>
      </c>
      <c r="N50" s="3020"/>
      <c r="O50" s="3022"/>
      <c r="T50" s="2997">
        <f>57+678</f>
        <v>735</v>
      </c>
      <c r="U50" s="2998">
        <f>216+1498+57</f>
        <v>1771</v>
      </c>
      <c r="V50" s="2988"/>
      <c r="W50" s="2988"/>
      <c r="X50" s="2988"/>
      <c r="Y50" s="2988"/>
      <c r="Z50" s="2988"/>
      <c r="AA50" s="2988"/>
      <c r="AB50" s="2988"/>
      <c r="AC50" s="2988"/>
      <c r="AD50" s="2988"/>
      <c r="AE50" s="2988"/>
    </row>
    <row r="51" spans="1:31" ht="24" customHeight="1" x14ac:dyDescent="0.25">
      <c r="A51" s="3735" t="s">
        <v>796</v>
      </c>
      <c r="B51" s="3736" t="s">
        <v>1471</v>
      </c>
      <c r="C51" s="3737">
        <f t="shared" ref="C51:G51" si="16">C52+C53</f>
        <v>8081000</v>
      </c>
      <c r="D51" s="3723"/>
      <c r="E51" s="3723">
        <f t="shared" si="16"/>
        <v>8081000</v>
      </c>
      <c r="F51" s="3723">
        <f>[1]B48!D48</f>
        <v>7490533</v>
      </c>
      <c r="G51" s="3723">
        <f t="shared" si="16"/>
        <v>0</v>
      </c>
      <c r="H51" s="3723">
        <f>F51</f>
        <v>7490533</v>
      </c>
      <c r="I51" s="3724">
        <f t="shared" si="11"/>
        <v>92.693144412820189</v>
      </c>
      <c r="J51" s="3725"/>
      <c r="K51" s="3726">
        <f t="shared" si="4"/>
        <v>92.693144412820189</v>
      </c>
      <c r="O51" s="3024"/>
      <c r="T51" s="2977"/>
    </row>
    <row r="52" spans="1:31" s="3019" customFormat="1" hidden="1" x14ac:dyDescent="0.25">
      <c r="A52" s="3740"/>
      <c r="B52" s="3738" t="s">
        <v>341</v>
      </c>
      <c r="C52" s="3741">
        <f>D52+E52</f>
        <v>7835000</v>
      </c>
      <c r="D52" s="3729"/>
      <c r="E52" s="3729">
        <f>[1]B48!C49</f>
        <v>7835000</v>
      </c>
      <c r="F52" s="3729"/>
      <c r="G52" s="3729"/>
      <c r="H52" s="3729"/>
      <c r="I52" s="3730">
        <f t="shared" si="11"/>
        <v>0</v>
      </c>
      <c r="J52" s="3731"/>
      <c r="K52" s="3733">
        <f t="shared" si="4"/>
        <v>0</v>
      </c>
      <c r="N52" s="3020"/>
      <c r="O52" s="3022"/>
      <c r="T52" s="3001"/>
      <c r="U52" s="3002"/>
      <c r="V52" s="2988"/>
      <c r="W52" s="2988"/>
      <c r="X52" s="2988"/>
      <c r="Y52" s="2988"/>
      <c r="Z52" s="2988"/>
      <c r="AA52" s="2988"/>
      <c r="AB52" s="2988"/>
      <c r="AC52" s="2988"/>
      <c r="AD52" s="2988"/>
      <c r="AE52" s="2988"/>
    </row>
    <row r="53" spans="1:31" s="3019" customFormat="1" hidden="1" x14ac:dyDescent="0.25">
      <c r="A53" s="3740"/>
      <c r="B53" s="3738" t="s">
        <v>2298</v>
      </c>
      <c r="C53" s="3741">
        <f>D53+E53</f>
        <v>246000</v>
      </c>
      <c r="D53" s="3729"/>
      <c r="E53" s="3729">
        <f>[1]B48!C50</f>
        <v>246000</v>
      </c>
      <c r="F53" s="3729"/>
      <c r="G53" s="3729"/>
      <c r="H53" s="3729"/>
      <c r="I53" s="3730">
        <f t="shared" si="11"/>
        <v>0</v>
      </c>
      <c r="J53" s="3731"/>
      <c r="K53" s="3733">
        <f t="shared" si="4"/>
        <v>0</v>
      </c>
      <c r="N53" s="3020">
        <f>N38-H38</f>
        <v>59736167076.248001</v>
      </c>
      <c r="T53" s="3003"/>
      <c r="U53" s="3004"/>
      <c r="V53" s="2988"/>
      <c r="W53" s="2988"/>
      <c r="X53" s="2988"/>
      <c r="Y53" s="2988"/>
      <c r="Z53" s="2988"/>
      <c r="AA53" s="2988"/>
      <c r="AB53" s="2988"/>
      <c r="AC53" s="2988"/>
      <c r="AD53" s="2988"/>
      <c r="AE53" s="2988"/>
    </row>
    <row r="54" spans="1:31" s="3015" customFormat="1" ht="34.5" customHeight="1" x14ac:dyDescent="0.2">
      <c r="A54" s="3716" t="s">
        <v>866</v>
      </c>
      <c r="B54" s="3717" t="s">
        <v>27</v>
      </c>
      <c r="C54" s="3718">
        <f>SUM(C55:C57)</f>
        <v>333000</v>
      </c>
      <c r="D54" s="3718"/>
      <c r="E54" s="3718">
        <f>SUM(E55:E57)</f>
        <v>333000</v>
      </c>
      <c r="F54" s="3718">
        <f>SUM(F55:F57)</f>
        <v>174639.1</v>
      </c>
      <c r="G54" s="3718">
        <f>SUM(G55:G57)</f>
        <v>0</v>
      </c>
      <c r="H54" s="3718">
        <f>SUM(H55:H57)</f>
        <v>174639.1</v>
      </c>
      <c r="I54" s="3721">
        <f t="shared" si="11"/>
        <v>52.444174174174172</v>
      </c>
      <c r="J54" s="3719"/>
      <c r="K54" s="3720">
        <f t="shared" si="4"/>
        <v>52.444174174174172</v>
      </c>
      <c r="N54" s="3016" t="e">
        <f>#REF!-#REF!</f>
        <v>#REF!</v>
      </c>
      <c r="T54" s="2981"/>
      <c r="U54" s="2981"/>
      <c r="V54" s="2981"/>
      <c r="W54" s="2981"/>
      <c r="X54" s="2981"/>
      <c r="Y54" s="2981"/>
      <c r="Z54" s="2981"/>
      <c r="AA54" s="2981"/>
      <c r="AB54" s="2981"/>
      <c r="AC54" s="2981"/>
      <c r="AD54" s="2981"/>
      <c r="AE54" s="2981"/>
    </row>
    <row r="55" spans="1:31" ht="39" customHeight="1" x14ac:dyDescent="0.25">
      <c r="A55" s="3722">
        <v>1</v>
      </c>
      <c r="B55" s="3272" t="s">
        <v>3567</v>
      </c>
      <c r="C55" s="3723">
        <f>D55+E55</f>
        <v>50000</v>
      </c>
      <c r="D55" s="3723"/>
      <c r="E55" s="3723">
        <v>50000</v>
      </c>
      <c r="F55" s="3723">
        <v>50000</v>
      </c>
      <c r="G55" s="3723"/>
      <c r="H55" s="3723">
        <f>F55</f>
        <v>50000</v>
      </c>
      <c r="I55" s="3724">
        <f t="shared" si="11"/>
        <v>100</v>
      </c>
      <c r="J55" s="3725"/>
      <c r="K55" s="3726">
        <f t="shared" si="4"/>
        <v>100</v>
      </c>
      <c r="T55" s="2995"/>
      <c r="U55" s="2995"/>
      <c r="V55" s="2995"/>
    </row>
    <row r="56" spans="1:31" ht="39" customHeight="1" x14ac:dyDescent="0.25">
      <c r="A56" s="3722">
        <v>2</v>
      </c>
      <c r="B56" s="3272" t="s">
        <v>3568</v>
      </c>
      <c r="C56" s="3723">
        <f>D56+E56</f>
        <v>83000</v>
      </c>
      <c r="D56" s="3723"/>
      <c r="E56" s="3723">
        <v>83000</v>
      </c>
      <c r="F56" s="3723">
        <v>83000</v>
      </c>
      <c r="G56" s="3723"/>
      <c r="H56" s="3723">
        <f>F56</f>
        <v>83000</v>
      </c>
      <c r="I56" s="3724">
        <f t="shared" si="11"/>
        <v>100</v>
      </c>
      <c r="J56" s="3725"/>
      <c r="K56" s="3726">
        <f t="shared" si="4"/>
        <v>100</v>
      </c>
      <c r="T56" s="2995"/>
      <c r="U56" s="2995"/>
      <c r="V56" s="2995"/>
    </row>
    <row r="57" spans="1:31" ht="35.25" customHeight="1" x14ac:dyDescent="0.25">
      <c r="A57" s="3722">
        <v>3</v>
      </c>
      <c r="B57" s="3272" t="s">
        <v>3569</v>
      </c>
      <c r="C57" s="3723">
        <f>D57+E57</f>
        <v>200000</v>
      </c>
      <c r="D57" s="3723"/>
      <c r="E57" s="3723">
        <v>200000</v>
      </c>
      <c r="F57" s="3744">
        <v>41639.1</v>
      </c>
      <c r="G57" s="3723"/>
      <c r="H57" s="3723">
        <f>F57</f>
        <v>41639.1</v>
      </c>
      <c r="I57" s="3724">
        <f t="shared" si="11"/>
        <v>20.81955</v>
      </c>
      <c r="J57" s="3725"/>
      <c r="K57" s="3726">
        <f t="shared" si="4"/>
        <v>20.81955</v>
      </c>
      <c r="T57" s="2995"/>
      <c r="U57" s="2995"/>
      <c r="V57" s="2995"/>
    </row>
    <row r="58" spans="1:31" s="3015" customFormat="1" ht="19.5" customHeight="1" x14ac:dyDescent="0.2">
      <c r="A58" s="3745" t="s">
        <v>904</v>
      </c>
      <c r="B58" s="3746" t="s">
        <v>925</v>
      </c>
      <c r="C58" s="3747"/>
      <c r="D58" s="3747"/>
      <c r="E58" s="3747"/>
      <c r="F58" s="3748">
        <f>G58+H58</f>
        <v>16709787.557000002</v>
      </c>
      <c r="G58" s="3747"/>
      <c r="H58" s="3748">
        <v>16709787.557000002</v>
      </c>
      <c r="I58" s="3749"/>
      <c r="J58" s="3750"/>
      <c r="K58" s="3751"/>
      <c r="N58" s="3016">
        <v>43063.515801000001</v>
      </c>
      <c r="T58" s="2981"/>
      <c r="U58" s="2981"/>
      <c r="V58" s="2981"/>
      <c r="W58" s="2981"/>
      <c r="X58" s="2981"/>
      <c r="Y58" s="2981"/>
      <c r="Z58" s="2981"/>
      <c r="AA58" s="2981"/>
      <c r="AB58" s="2981"/>
      <c r="AC58" s="2981"/>
      <c r="AD58" s="2981"/>
      <c r="AE58" s="2981"/>
    </row>
    <row r="60" spans="1:31" hidden="1" x14ac:dyDescent="0.25">
      <c r="B60" s="4163" t="s">
        <v>3573</v>
      </c>
      <c r="C60" s="4163"/>
      <c r="D60" s="4163"/>
      <c r="H60" s="4159" t="s">
        <v>3585</v>
      </c>
      <c r="I60" s="4159"/>
      <c r="J60" s="4159"/>
      <c r="K60" s="4159"/>
    </row>
    <row r="61" spans="1:31" hidden="1" x14ac:dyDescent="0.25">
      <c r="B61" s="4163" t="s">
        <v>807</v>
      </c>
      <c r="C61" s="4163"/>
      <c r="D61" s="4163"/>
      <c r="H61" s="4160" t="s">
        <v>638</v>
      </c>
      <c r="I61" s="4160"/>
      <c r="J61" s="4160"/>
      <c r="K61" s="4160"/>
      <c r="T61" s="2994"/>
    </row>
    <row r="62" spans="1:31" hidden="1" x14ac:dyDescent="0.25">
      <c r="B62" s="3486"/>
      <c r="H62" s="4160" t="s">
        <v>639</v>
      </c>
      <c r="I62" s="4160"/>
      <c r="J62" s="4160"/>
      <c r="K62" s="4160"/>
    </row>
    <row r="63" spans="1:31" hidden="1" x14ac:dyDescent="0.25">
      <c r="B63" s="3486"/>
      <c r="H63" s="4159"/>
      <c r="I63" s="4159"/>
      <c r="J63" s="4159"/>
      <c r="T63" s="2989"/>
    </row>
    <row r="64" spans="1:31" hidden="1" x14ac:dyDescent="0.25">
      <c r="B64" s="3486"/>
      <c r="H64" s="3487"/>
      <c r="I64" s="3487"/>
      <c r="J64" s="3487"/>
      <c r="T64" s="2989"/>
    </row>
    <row r="65" spans="2:20" s="3007" customFormat="1" ht="15" hidden="1" customHeight="1" x14ac:dyDescent="0.25">
      <c r="B65" s="3486"/>
      <c r="C65" s="3024"/>
      <c r="D65" s="3024"/>
      <c r="E65" s="3024"/>
      <c r="F65" s="3026"/>
      <c r="G65" s="3026"/>
      <c r="H65" s="3487"/>
      <c r="I65" s="3487"/>
      <c r="J65" s="3487"/>
      <c r="N65" s="3008"/>
      <c r="T65" s="2989"/>
    </row>
    <row r="66" spans="2:20" s="3007" customFormat="1" ht="15" hidden="1" customHeight="1" x14ac:dyDescent="0.25">
      <c r="B66" s="3486"/>
      <c r="C66" s="3024"/>
      <c r="D66" s="3024"/>
      <c r="E66" s="3024"/>
      <c r="F66" s="3026"/>
      <c r="G66" s="3026"/>
      <c r="H66" s="3027"/>
      <c r="I66" s="3028"/>
      <c r="J66" s="3029"/>
      <c r="N66" s="3008"/>
      <c r="T66" s="2976"/>
    </row>
    <row r="67" spans="2:20" s="3007" customFormat="1" ht="15" hidden="1" customHeight="1" x14ac:dyDescent="0.25">
      <c r="C67" s="3024"/>
      <c r="D67" s="3024"/>
      <c r="E67" s="3024"/>
      <c r="F67" s="3026"/>
      <c r="G67" s="3026"/>
      <c r="H67" s="3027"/>
      <c r="I67" s="3028"/>
      <c r="J67" s="3029"/>
      <c r="N67" s="3008"/>
      <c r="T67" s="2976"/>
    </row>
    <row r="68" spans="2:20" s="3007" customFormat="1" ht="15" hidden="1" customHeight="1" x14ac:dyDescent="0.25">
      <c r="C68" s="3024"/>
      <c r="D68" s="3024"/>
      <c r="E68" s="3024"/>
      <c r="F68" s="3026"/>
      <c r="G68" s="3026"/>
      <c r="H68" s="3027"/>
      <c r="I68" s="3028"/>
      <c r="J68" s="3029"/>
      <c r="N68" s="3008"/>
      <c r="T68" s="2976"/>
    </row>
    <row r="69" spans="2:20" s="3007" customFormat="1" ht="15" hidden="1" customHeight="1" x14ac:dyDescent="0.25">
      <c r="B69" s="4163" t="s">
        <v>3574</v>
      </c>
      <c r="C69" s="4163"/>
      <c r="D69" s="4163"/>
      <c r="E69" s="3024"/>
      <c r="F69" s="3026"/>
      <c r="G69" s="3026"/>
      <c r="H69" s="4162" t="s">
        <v>3572</v>
      </c>
      <c r="I69" s="4162"/>
      <c r="J69" s="4162"/>
      <c r="K69" s="4162"/>
      <c r="N69" s="3008"/>
      <c r="T69" s="2976"/>
    </row>
    <row r="70" spans="2:20" s="3007" customFormat="1" ht="15" hidden="1" customHeight="1" x14ac:dyDescent="0.25">
      <c r="C70" s="3024"/>
      <c r="D70" s="3024"/>
      <c r="E70" s="3024"/>
      <c r="F70" s="3026"/>
      <c r="G70" s="3026"/>
      <c r="H70" s="3026"/>
      <c r="J70" s="3024"/>
      <c r="N70" s="3008"/>
      <c r="T70" s="2976"/>
    </row>
  </sheetData>
  <mergeCells count="21">
    <mergeCell ref="H1:K1"/>
    <mergeCell ref="H69:K69"/>
    <mergeCell ref="B60:D60"/>
    <mergeCell ref="B61:D61"/>
    <mergeCell ref="B69:D69"/>
    <mergeCell ref="A1:C1"/>
    <mergeCell ref="A4:K4"/>
    <mergeCell ref="A6:A7"/>
    <mergeCell ref="B6:B7"/>
    <mergeCell ref="C6:C7"/>
    <mergeCell ref="D6:E6"/>
    <mergeCell ref="F6:F7"/>
    <mergeCell ref="G6:H6"/>
    <mergeCell ref="I6:K6"/>
    <mergeCell ref="A2:K2"/>
    <mergeCell ref="A3:K3"/>
    <mergeCell ref="H5:K5"/>
    <mergeCell ref="H63:J63"/>
    <mergeCell ref="H60:K60"/>
    <mergeCell ref="H61:K61"/>
    <mergeCell ref="H62:K62"/>
  </mergeCells>
  <phoneticPr fontId="70" type="noConversion"/>
  <pageMargins left="0.74803149606299202" right="0.23622047244094499" top="0.62" bottom="0.51" header="0.43" footer="0.33"/>
  <pageSetup paperSize="9" scale="65" orientation="portrait" useFirstPageNumber="1" r:id="rId1"/>
  <headerFoot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FF00"/>
  </sheetPr>
  <dimension ref="A1:AG71"/>
  <sheetViews>
    <sheetView zoomScale="60" zoomScaleNormal="60" zoomScaleSheetLayoutView="85" zoomScalePageLayoutView="70" workbookViewId="0">
      <selection activeCell="A2" sqref="A2:U2"/>
    </sheetView>
  </sheetViews>
  <sheetFormatPr defaultColWidth="9.140625" defaultRowHeight="15.75" x14ac:dyDescent="0.25"/>
  <cols>
    <col min="1" max="1" width="5" style="2393" customWidth="1"/>
    <col min="2" max="2" width="43.5703125" style="2393" customWidth="1"/>
    <col min="3" max="3" width="16.42578125" style="3168" customWidth="1"/>
    <col min="4" max="4" width="16.42578125" style="3081" customWidth="1"/>
    <col min="5" max="5" width="16.42578125" style="3168" customWidth="1"/>
    <col min="6" max="6" width="16.28515625" style="3081" customWidth="1"/>
    <col min="7" max="8" width="16.42578125" style="3081" customWidth="1"/>
    <col min="9" max="9" width="16.42578125" style="3082" customWidth="1"/>
    <col min="10" max="10" width="16.42578125" style="3081" customWidth="1"/>
    <col min="11" max="11" width="16.42578125" style="3169" customWidth="1"/>
    <col min="12" max="14" width="16.42578125" style="3081" customWidth="1"/>
    <col min="15" max="15" width="1.28515625" style="3081" hidden="1" customWidth="1"/>
    <col min="16" max="16" width="9.42578125" style="3170" customWidth="1"/>
    <col min="17" max="17" width="9.42578125" style="3081" customWidth="1"/>
    <col min="18" max="18" width="9.42578125" style="3170" customWidth="1"/>
    <col min="19" max="21" width="9.42578125" style="3081" customWidth="1"/>
    <col min="22" max="22" width="2.5703125" style="2393" customWidth="1"/>
    <col min="23" max="23" width="23.42578125" style="1946" customWidth="1"/>
    <col min="24" max="33" width="9.140625" style="1946"/>
    <col min="34" max="16384" width="9.140625" style="2393"/>
  </cols>
  <sheetData>
    <row r="1" spans="1:33" ht="78.75" customHeight="1" x14ac:dyDescent="0.25">
      <c r="A1" s="4184" t="str">
        <f>'B53'!A1:C1</f>
        <v>UBND XÃ PHONG QUANG</v>
      </c>
      <c r="B1" s="4184"/>
      <c r="I1" s="3279"/>
      <c r="N1" s="4183" t="s">
        <v>4923</v>
      </c>
      <c r="O1" s="4183"/>
      <c r="P1" s="4183"/>
      <c r="Q1" s="4183"/>
      <c r="R1" s="4183"/>
      <c r="S1" s="4183"/>
      <c r="T1" s="4183"/>
      <c r="U1" s="4183"/>
      <c r="V1" s="3083"/>
    </row>
    <row r="2" spans="1:33" ht="24" customHeight="1" x14ac:dyDescent="0.25">
      <c r="A2" s="4147" t="s">
        <v>3611</v>
      </c>
      <c r="B2" s="4147"/>
      <c r="C2" s="4147"/>
      <c r="D2" s="4147"/>
      <c r="E2" s="4147"/>
      <c r="F2" s="4147"/>
      <c r="G2" s="4147"/>
      <c r="H2" s="4147"/>
      <c r="I2" s="4147"/>
      <c r="J2" s="4147"/>
      <c r="K2" s="4147"/>
      <c r="L2" s="4147"/>
      <c r="M2" s="4147"/>
      <c r="N2" s="4147"/>
      <c r="O2" s="4147"/>
      <c r="P2" s="4147"/>
      <c r="Q2" s="4147"/>
      <c r="R2" s="4147"/>
      <c r="S2" s="4147"/>
      <c r="T2" s="4147"/>
      <c r="U2" s="4147"/>
    </row>
    <row r="3" spans="1:33" ht="24" customHeight="1" x14ac:dyDescent="0.25">
      <c r="A3" s="4147" t="s">
        <v>4912</v>
      </c>
      <c r="B3" s="4147"/>
      <c r="C3" s="4147"/>
      <c r="D3" s="4147"/>
      <c r="E3" s="4147"/>
      <c r="F3" s="4147"/>
      <c r="G3" s="4147"/>
      <c r="H3" s="4147"/>
      <c r="I3" s="4147"/>
      <c r="J3" s="4147"/>
      <c r="K3" s="4147"/>
      <c r="L3" s="4147"/>
      <c r="M3" s="4147"/>
      <c r="N3" s="4147"/>
      <c r="O3" s="4147"/>
      <c r="P3" s="4147"/>
      <c r="Q3" s="4147"/>
      <c r="R3" s="4147"/>
      <c r="S3" s="4147"/>
      <c r="T3" s="4147"/>
      <c r="U3" s="4147"/>
    </row>
    <row r="4" spans="1:33" ht="28.5" customHeight="1" x14ac:dyDescent="0.25">
      <c r="A4" s="4156" t="str">
        <f>'B53'!A4:K4</f>
        <v>(Kèm theo Quyết định số         /QĐ-UBND ngày      tháng 4 năm 2026 của UBND xã Phong Quang)</v>
      </c>
      <c r="B4" s="4157"/>
      <c r="C4" s="4157"/>
      <c r="D4" s="4157"/>
      <c r="E4" s="4157"/>
      <c r="F4" s="4157"/>
      <c r="G4" s="4157"/>
      <c r="H4" s="4157"/>
      <c r="I4" s="4157"/>
      <c r="J4" s="4157"/>
      <c r="K4" s="4157"/>
      <c r="L4" s="4157"/>
      <c r="M4" s="4157"/>
      <c r="N4" s="4157"/>
      <c r="O4" s="4157"/>
      <c r="P4" s="4157"/>
      <c r="Q4" s="4157"/>
      <c r="R4" s="4157"/>
      <c r="S4" s="4157"/>
      <c r="T4" s="4157"/>
      <c r="U4" s="4157"/>
      <c r="W4" s="3163"/>
    </row>
    <row r="5" spans="1:33" ht="21" customHeight="1" x14ac:dyDescent="0.25">
      <c r="F5" s="3171"/>
      <c r="G5" s="3172"/>
      <c r="H5" s="3173"/>
      <c r="J5" s="3174"/>
      <c r="K5" s="3174"/>
      <c r="L5" s="3416">
        <f>K10-[2]B48!D23</f>
        <v>174639</v>
      </c>
      <c r="M5" s="4193">
        <f>I10-[2]B58!I11</f>
        <v>-1084441</v>
      </c>
      <c r="N5" s="4193"/>
      <c r="S5" s="3175" t="s">
        <v>3586</v>
      </c>
      <c r="U5" s="3176"/>
      <c r="W5" s="1946">
        <v>5762.4072980000001</v>
      </c>
    </row>
    <row r="6" spans="1:33" ht="22.5" customHeight="1" x14ac:dyDescent="0.25">
      <c r="A6" s="4187" t="s">
        <v>844</v>
      </c>
      <c r="B6" s="4187" t="s">
        <v>911</v>
      </c>
      <c r="C6" s="4190" t="s">
        <v>3564</v>
      </c>
      <c r="D6" s="4191"/>
      <c r="E6" s="4191"/>
      <c r="F6" s="4191"/>
      <c r="G6" s="4191"/>
      <c r="H6" s="4192"/>
      <c r="I6" s="4189" t="s">
        <v>3563</v>
      </c>
      <c r="J6" s="4189"/>
      <c r="K6" s="4189"/>
      <c r="L6" s="4189"/>
      <c r="M6" s="4189"/>
      <c r="N6" s="4189"/>
      <c r="O6" s="4189"/>
      <c r="P6" s="4186" t="s">
        <v>28</v>
      </c>
      <c r="Q6" s="4186"/>
      <c r="R6" s="4186"/>
      <c r="S6" s="4186"/>
      <c r="T6" s="4186"/>
      <c r="U6" s="4186"/>
      <c r="W6" s="3164">
        <f>N10-W5</f>
        <v>9031263.5927019995</v>
      </c>
    </row>
    <row r="7" spans="1:33" ht="44.25" customHeight="1" x14ac:dyDescent="0.25">
      <c r="A7" s="4187"/>
      <c r="B7" s="4187"/>
      <c r="C7" s="4189" t="s">
        <v>868</v>
      </c>
      <c r="D7" s="4186" t="s">
        <v>3555</v>
      </c>
      <c r="E7" s="4189" t="s">
        <v>3556</v>
      </c>
      <c r="F7" s="4186" t="s">
        <v>2220</v>
      </c>
      <c r="G7" s="4186"/>
      <c r="H7" s="4186"/>
      <c r="I7" s="4194" t="s">
        <v>868</v>
      </c>
      <c r="J7" s="4186" t="s">
        <v>3555</v>
      </c>
      <c r="K7" s="4185" t="s">
        <v>3556</v>
      </c>
      <c r="L7" s="4186" t="s">
        <v>2220</v>
      </c>
      <c r="M7" s="4186"/>
      <c r="N7" s="4186"/>
      <c r="O7" s="4186" t="s">
        <v>2221</v>
      </c>
      <c r="P7" s="4182" t="s">
        <v>868</v>
      </c>
      <c r="Q7" s="4182" t="s">
        <v>3557</v>
      </c>
      <c r="R7" s="4182" t="s">
        <v>3558</v>
      </c>
      <c r="S7" s="4182" t="s">
        <v>2220</v>
      </c>
      <c r="T7" s="4182"/>
      <c r="U7" s="4182"/>
      <c r="W7" s="1946">
        <f>210-22</f>
        <v>188</v>
      </c>
    </row>
    <row r="8" spans="1:33" ht="87.75" customHeight="1" x14ac:dyDescent="0.25">
      <c r="A8" s="4187"/>
      <c r="B8" s="4187"/>
      <c r="C8" s="4189"/>
      <c r="D8" s="4186"/>
      <c r="E8" s="4189"/>
      <c r="F8" s="3752" t="s">
        <v>868</v>
      </c>
      <c r="G8" s="3752" t="s">
        <v>884</v>
      </c>
      <c r="H8" s="3752" t="s">
        <v>885</v>
      </c>
      <c r="I8" s="4194"/>
      <c r="J8" s="4186"/>
      <c r="K8" s="4185"/>
      <c r="L8" s="3752" t="s">
        <v>868</v>
      </c>
      <c r="M8" s="3752" t="s">
        <v>884</v>
      </c>
      <c r="N8" s="3752" t="s">
        <v>885</v>
      </c>
      <c r="O8" s="4186"/>
      <c r="P8" s="4182"/>
      <c r="Q8" s="4182"/>
      <c r="R8" s="4182"/>
      <c r="S8" s="3753" t="s">
        <v>868</v>
      </c>
      <c r="T8" s="3753" t="s">
        <v>884</v>
      </c>
      <c r="U8" s="3753" t="s">
        <v>885</v>
      </c>
      <c r="V8" s="3178"/>
      <c r="W8" s="2615" t="s">
        <v>3335</v>
      </c>
    </row>
    <row r="9" spans="1:33" ht="22.5" customHeight="1" x14ac:dyDescent="0.25">
      <c r="A9" s="3754" t="s">
        <v>847</v>
      </c>
      <c r="B9" s="3754" t="s">
        <v>848</v>
      </c>
      <c r="C9" s="3752">
        <v>1</v>
      </c>
      <c r="D9" s="3752">
        <v>2</v>
      </c>
      <c r="E9" s="3752">
        <v>3</v>
      </c>
      <c r="F9" s="3752">
        <v>4</v>
      </c>
      <c r="G9" s="3752">
        <v>5</v>
      </c>
      <c r="H9" s="3752">
        <v>6</v>
      </c>
      <c r="I9" s="3752">
        <v>7</v>
      </c>
      <c r="J9" s="3752">
        <v>8</v>
      </c>
      <c r="K9" s="3752">
        <v>9</v>
      </c>
      <c r="L9" s="3752">
        <v>10</v>
      </c>
      <c r="M9" s="3752">
        <v>11</v>
      </c>
      <c r="N9" s="3752">
        <v>12</v>
      </c>
      <c r="O9" s="3752">
        <v>12</v>
      </c>
      <c r="P9" s="3753">
        <v>13</v>
      </c>
      <c r="Q9" s="3752">
        <v>14</v>
      </c>
      <c r="R9" s="3753">
        <v>15</v>
      </c>
      <c r="S9" s="3752">
        <v>16</v>
      </c>
      <c r="T9" s="3752">
        <v>17</v>
      </c>
      <c r="U9" s="3752">
        <v>18</v>
      </c>
      <c r="W9" s="3165">
        <f>I10</f>
        <v>92634783</v>
      </c>
    </row>
    <row r="10" spans="1:33" ht="25.5" customHeight="1" x14ac:dyDescent="0.25">
      <c r="A10" s="3754"/>
      <c r="B10" s="3754" t="s">
        <v>1114</v>
      </c>
      <c r="C10" s="3430">
        <f t="shared" ref="C10:V10" si="0">C11+C36+C39</f>
        <v>107030988.962</v>
      </c>
      <c r="D10" s="3430">
        <f t="shared" si="0"/>
        <v>1309745</v>
      </c>
      <c r="E10" s="3430">
        <f t="shared" si="0"/>
        <v>85558847.513999999</v>
      </c>
      <c r="F10" s="3430">
        <f t="shared" si="0"/>
        <v>19248896.447999999</v>
      </c>
      <c r="G10" s="3430">
        <f t="shared" si="0"/>
        <v>6987564.7070000004</v>
      </c>
      <c r="H10" s="3430">
        <f t="shared" si="0"/>
        <v>13174831.741</v>
      </c>
      <c r="I10" s="3755">
        <f t="shared" si="0"/>
        <v>92634783</v>
      </c>
      <c r="J10" s="3755">
        <f t="shared" si="0"/>
        <v>1298672</v>
      </c>
      <c r="K10" s="3755">
        <f t="shared" si="0"/>
        <v>77190295</v>
      </c>
      <c r="L10" s="3755">
        <f t="shared" si="0"/>
        <v>14145816</v>
      </c>
      <c r="M10" s="3755">
        <f t="shared" si="0"/>
        <v>5108790</v>
      </c>
      <c r="N10" s="3755">
        <f t="shared" si="0"/>
        <v>9037026</v>
      </c>
      <c r="O10" s="3430">
        <f t="shared" si="0"/>
        <v>0</v>
      </c>
      <c r="P10" s="3430">
        <f t="shared" si="0"/>
        <v>91.402761521343351</v>
      </c>
      <c r="Q10" s="3430">
        <f t="shared" si="0"/>
        <v>0</v>
      </c>
      <c r="R10" s="3430">
        <f t="shared" si="0"/>
        <v>95.687286712625806</v>
      </c>
      <c r="S10" s="3430">
        <f t="shared" si="0"/>
        <v>76.648958861579644</v>
      </c>
      <c r="T10" s="3430">
        <f t="shared" si="0"/>
        <v>0</v>
      </c>
      <c r="U10" s="3430">
        <f t="shared" si="0"/>
        <v>71.595760896673923</v>
      </c>
      <c r="V10" s="3429">
        <f t="shared" si="0"/>
        <v>0</v>
      </c>
      <c r="W10" s="691"/>
    </row>
    <row r="11" spans="1:33" s="3184" customFormat="1" ht="37.5" customHeight="1" x14ac:dyDescent="0.25">
      <c r="A11" s="3179" t="s">
        <v>849</v>
      </c>
      <c r="B11" s="3180" t="s">
        <v>3124</v>
      </c>
      <c r="C11" s="3296">
        <f t="shared" ref="C11:O11" si="1">SUM(C12:C35)</f>
        <v>101347904</v>
      </c>
      <c r="D11" s="3296">
        <f t="shared" si="1"/>
        <v>1309745</v>
      </c>
      <c r="E11" s="3296">
        <f t="shared" si="1"/>
        <v>80669332</v>
      </c>
      <c r="F11" s="3296">
        <f t="shared" si="1"/>
        <v>18455327</v>
      </c>
      <c r="G11" s="3296">
        <f t="shared" si="1"/>
        <v>6746535</v>
      </c>
      <c r="H11" s="3296">
        <f t="shared" si="1"/>
        <v>12622292</v>
      </c>
      <c r="I11" s="3307">
        <f t="shared" si="1"/>
        <v>92634783</v>
      </c>
      <c r="J11" s="3307">
        <f t="shared" si="1"/>
        <v>1298672</v>
      </c>
      <c r="K11" s="3307">
        <f t="shared" si="1"/>
        <v>77190295</v>
      </c>
      <c r="L11" s="3307">
        <f>SUM(L12:L35)</f>
        <v>14145816</v>
      </c>
      <c r="M11" s="3307">
        <f t="shared" si="1"/>
        <v>5108790</v>
      </c>
      <c r="N11" s="3307">
        <f t="shared" si="1"/>
        <v>9037026</v>
      </c>
      <c r="O11" s="3181">
        <f t="shared" si="1"/>
        <v>0</v>
      </c>
      <c r="P11" s="3182">
        <f t="shared" ref="P11:U11" si="2">I11/C11*100</f>
        <v>91.402761521343351</v>
      </c>
      <c r="Q11" s="3183"/>
      <c r="R11" s="3182">
        <f t="shared" si="2"/>
        <v>95.687286712625806</v>
      </c>
      <c r="S11" s="3183">
        <f t="shared" si="2"/>
        <v>76.648958861579644</v>
      </c>
      <c r="T11" s="3183"/>
      <c r="U11" s="3183">
        <f t="shared" si="2"/>
        <v>71.595760896673923</v>
      </c>
      <c r="W11" s="3166">
        <f>I10-[2]B58!I11</f>
        <v>-1084441</v>
      </c>
      <c r="X11" s="2710" t="s">
        <v>3336</v>
      </c>
      <c r="Y11" s="2710"/>
      <c r="Z11" s="2710"/>
      <c r="AA11" s="2710"/>
      <c r="AB11" s="2710"/>
      <c r="AC11" s="2710"/>
      <c r="AD11" s="2710"/>
      <c r="AE11" s="2710"/>
      <c r="AF11" s="2710"/>
      <c r="AG11" s="2710"/>
    </row>
    <row r="12" spans="1:33" ht="39" customHeight="1" x14ac:dyDescent="0.25">
      <c r="A12" s="3185">
        <v>1</v>
      </c>
      <c r="B12" s="3186" t="s">
        <v>3587</v>
      </c>
      <c r="C12" s="3291">
        <v>2938720</v>
      </c>
      <c r="D12" s="3292">
        <v>0</v>
      </c>
      <c r="E12" s="3297">
        <v>2938720</v>
      </c>
      <c r="F12" s="3297">
        <f>G12+H12</f>
        <v>0</v>
      </c>
      <c r="G12" s="3297">
        <v>0</v>
      </c>
      <c r="H12" s="3297">
        <v>0</v>
      </c>
      <c r="I12" s="3297">
        <f>J12+K12+L12</f>
        <v>2938720</v>
      </c>
      <c r="J12" s="3308">
        <v>0</v>
      </c>
      <c r="K12" s="3297">
        <v>2938720</v>
      </c>
      <c r="L12" s="3297">
        <f>M12+N12</f>
        <v>0</v>
      </c>
      <c r="M12" s="3297">
        <v>0</v>
      </c>
      <c r="N12" s="3297">
        <v>0</v>
      </c>
      <c r="O12" s="3187"/>
      <c r="P12" s="3756">
        <f>I12/C12*100</f>
        <v>100</v>
      </c>
      <c r="Q12" s="3757"/>
      <c r="R12" s="3756">
        <f>K12/E12*100</f>
        <v>100</v>
      </c>
      <c r="S12" s="3758"/>
      <c r="T12" s="3758"/>
      <c r="U12" s="3758"/>
      <c r="W12" s="3167">
        <f>I12-'[3]5.9 2024 G '!D12</f>
        <v>2926265.9358310001</v>
      </c>
    </row>
    <row r="13" spans="1:33" ht="39" customHeight="1" x14ac:dyDescent="0.25">
      <c r="A13" s="3185">
        <v>2</v>
      </c>
      <c r="B13" s="3186" t="s">
        <v>3588</v>
      </c>
      <c r="C13" s="3291">
        <v>4992790</v>
      </c>
      <c r="D13" s="3291">
        <v>0</v>
      </c>
      <c r="E13" s="3297">
        <v>4992790</v>
      </c>
      <c r="F13" s="3297">
        <f t="shared" ref="F13:F32" si="3">G13+H13</f>
        <v>0</v>
      </c>
      <c r="G13" s="3297">
        <v>0</v>
      </c>
      <c r="H13" s="3297">
        <v>0</v>
      </c>
      <c r="I13" s="3297">
        <f t="shared" ref="I13:I35" si="4">J13+K13+L13</f>
        <v>4936231</v>
      </c>
      <c r="J13" s="3297">
        <v>0</v>
      </c>
      <c r="K13" s="3309">
        <v>4936231</v>
      </c>
      <c r="L13" s="3297">
        <f t="shared" ref="L13:L29" si="5">M13+N13</f>
        <v>0</v>
      </c>
      <c r="M13" s="3297">
        <v>0</v>
      </c>
      <c r="N13" s="3297">
        <v>0</v>
      </c>
      <c r="O13" s="3187"/>
      <c r="P13" s="3756">
        <f t="shared" ref="P13:P35" si="6">I13/C13*100</f>
        <v>98.867186482908352</v>
      </c>
      <c r="Q13" s="3757"/>
      <c r="R13" s="3756">
        <f>K13/E13*100</f>
        <v>98.867186482908352</v>
      </c>
      <c r="S13" s="3758"/>
      <c r="T13" s="3758"/>
      <c r="U13" s="3758"/>
      <c r="W13" s="3167">
        <f>I13-'[3]5.9 2024 G '!D13</f>
        <v>4927682.0096209999</v>
      </c>
      <c r="X13" s="1946" t="s">
        <v>1267</v>
      </c>
    </row>
    <row r="14" spans="1:33" ht="31.5" customHeight="1" x14ac:dyDescent="0.25">
      <c r="A14" s="3185">
        <v>3</v>
      </c>
      <c r="B14" s="3188" t="s">
        <v>3589</v>
      </c>
      <c r="C14" s="3291">
        <v>14492499</v>
      </c>
      <c r="D14" s="3291">
        <v>0</v>
      </c>
      <c r="E14" s="3298">
        <v>14492499</v>
      </c>
      <c r="F14" s="3297">
        <f>G14+H14</f>
        <v>0</v>
      </c>
      <c r="G14" s="3297">
        <v>0</v>
      </c>
      <c r="H14" s="3297">
        <v>0</v>
      </c>
      <c r="I14" s="3297">
        <f t="shared" si="4"/>
        <v>13782105</v>
      </c>
      <c r="J14" s="3297">
        <v>0</v>
      </c>
      <c r="K14" s="3297">
        <v>13782105</v>
      </c>
      <c r="L14" s="3297">
        <f t="shared" si="5"/>
        <v>0</v>
      </c>
      <c r="M14" s="3297">
        <v>0</v>
      </c>
      <c r="N14" s="3297">
        <v>0</v>
      </c>
      <c r="O14" s="3187"/>
      <c r="P14" s="3756">
        <f t="shared" si="6"/>
        <v>95.098195280192883</v>
      </c>
      <c r="Q14" s="3757"/>
      <c r="R14" s="3756">
        <f t="shared" ref="R14:R23" si="7">K14/E14*100</f>
        <v>95.098195280192883</v>
      </c>
      <c r="S14" s="3758"/>
      <c r="T14" s="3758"/>
      <c r="U14" s="3758"/>
      <c r="W14" s="3167">
        <f>I14-'[3]5.9 2024 G '!D14</f>
        <v>13780822.856051</v>
      </c>
    </row>
    <row r="15" spans="1:33" ht="48.75" customHeight="1" x14ac:dyDescent="0.25">
      <c r="A15" s="3185">
        <v>4</v>
      </c>
      <c r="B15" s="3186" t="s">
        <v>3590</v>
      </c>
      <c r="C15" s="3291">
        <v>8351439</v>
      </c>
      <c r="D15" s="3291">
        <v>0</v>
      </c>
      <c r="E15" s="3297">
        <v>8351439</v>
      </c>
      <c r="F15" s="3297">
        <f t="shared" si="3"/>
        <v>0</v>
      </c>
      <c r="G15" s="3297">
        <v>0</v>
      </c>
      <c r="H15" s="3297">
        <v>0</v>
      </c>
      <c r="I15" s="3297">
        <f t="shared" si="4"/>
        <v>8351438</v>
      </c>
      <c r="J15" s="3297">
        <v>0</v>
      </c>
      <c r="K15" s="3297">
        <v>8351438</v>
      </c>
      <c r="L15" s="3297">
        <f t="shared" si="5"/>
        <v>0</v>
      </c>
      <c r="M15" s="3297">
        <v>0</v>
      </c>
      <c r="N15" s="3297">
        <v>0</v>
      </c>
      <c r="O15" s="3187"/>
      <c r="P15" s="3756">
        <f t="shared" si="6"/>
        <v>99.999988026015643</v>
      </c>
      <c r="Q15" s="3757"/>
      <c r="R15" s="3756">
        <f t="shared" si="7"/>
        <v>99.999988026015643</v>
      </c>
      <c r="S15" s="3758"/>
      <c r="T15" s="3758"/>
      <c r="U15" s="3758"/>
      <c r="W15" s="3167">
        <f>I15-'[3]5.9 2024 G '!D15</f>
        <v>8350007.5881200004</v>
      </c>
    </row>
    <row r="16" spans="1:33" ht="48.75" customHeight="1" x14ac:dyDescent="0.25">
      <c r="A16" s="3185">
        <v>5</v>
      </c>
      <c r="B16" s="3186" t="s">
        <v>3591</v>
      </c>
      <c r="C16" s="3291">
        <v>3394858</v>
      </c>
      <c r="D16" s="3291">
        <v>0</v>
      </c>
      <c r="E16" s="3297">
        <v>3394858</v>
      </c>
      <c r="F16" s="3297">
        <f t="shared" si="3"/>
        <v>0</v>
      </c>
      <c r="G16" s="3297">
        <v>0</v>
      </c>
      <c r="H16" s="3297">
        <v>0</v>
      </c>
      <c r="I16" s="3297">
        <f t="shared" si="4"/>
        <v>3394858</v>
      </c>
      <c r="J16" s="3297">
        <v>0</v>
      </c>
      <c r="K16" s="3297">
        <v>3394858</v>
      </c>
      <c r="L16" s="3297">
        <f t="shared" si="5"/>
        <v>0</v>
      </c>
      <c r="M16" s="3297">
        <v>0</v>
      </c>
      <c r="N16" s="3297">
        <v>0</v>
      </c>
      <c r="O16" s="3187"/>
      <c r="P16" s="3756">
        <f t="shared" si="6"/>
        <v>100</v>
      </c>
      <c r="Q16" s="3757"/>
      <c r="R16" s="3756">
        <f t="shared" si="7"/>
        <v>100</v>
      </c>
      <c r="S16" s="3758"/>
      <c r="T16" s="3758"/>
      <c r="U16" s="3758"/>
      <c r="W16" s="3167">
        <f>I16-'[3]5.9 2024 G '!D16</f>
        <v>3389515.7570239999</v>
      </c>
    </row>
    <row r="17" spans="1:33" ht="72.75" customHeight="1" x14ac:dyDescent="0.25">
      <c r="A17" s="3185">
        <v>6</v>
      </c>
      <c r="B17" s="3186" t="s">
        <v>3592</v>
      </c>
      <c r="C17" s="3291">
        <v>7183990</v>
      </c>
      <c r="D17" s="3291">
        <v>0</v>
      </c>
      <c r="E17" s="3297">
        <v>7183990</v>
      </c>
      <c r="F17" s="3297">
        <f>G17+H17</f>
        <v>0</v>
      </c>
      <c r="G17" s="3297">
        <v>0</v>
      </c>
      <c r="H17" s="3297">
        <v>0</v>
      </c>
      <c r="I17" s="3297">
        <f>J17+K17+L17</f>
        <v>7183990</v>
      </c>
      <c r="J17" s="3297">
        <v>0</v>
      </c>
      <c r="K17" s="3297">
        <v>7183990</v>
      </c>
      <c r="L17" s="3297">
        <f>M17+N17</f>
        <v>0</v>
      </c>
      <c r="M17" s="3297">
        <v>0</v>
      </c>
      <c r="N17" s="3297">
        <v>0</v>
      </c>
      <c r="O17" s="3187"/>
      <c r="P17" s="3756">
        <f t="shared" si="6"/>
        <v>100</v>
      </c>
      <c r="Q17" s="3757"/>
      <c r="R17" s="3756">
        <f t="shared" si="7"/>
        <v>100</v>
      </c>
      <c r="S17" s="3758"/>
      <c r="T17" s="3758"/>
      <c r="U17" s="3758"/>
      <c r="W17" s="3167">
        <f>I17-'[3]5.9 2024 G '!D17</f>
        <v>7183990</v>
      </c>
    </row>
    <row r="18" spans="1:33" ht="57.75" customHeight="1" x14ac:dyDescent="0.25">
      <c r="A18" s="3185">
        <v>7</v>
      </c>
      <c r="B18" s="3186" t="s">
        <v>3593</v>
      </c>
      <c r="C18" s="3291">
        <v>8604116</v>
      </c>
      <c r="D18" s="3291">
        <v>0</v>
      </c>
      <c r="E18" s="3297">
        <v>6493422</v>
      </c>
      <c r="F18" s="3297">
        <f t="shared" si="3"/>
        <v>2110694</v>
      </c>
      <c r="G18" s="3297">
        <v>0</v>
      </c>
      <c r="H18" s="3297">
        <v>2110694</v>
      </c>
      <c r="I18" s="3297">
        <f>J18+K18+L18</f>
        <v>7971535</v>
      </c>
      <c r="J18" s="3297">
        <v>0</v>
      </c>
      <c r="K18" s="3309">
        <v>5972169</v>
      </c>
      <c r="L18" s="3297">
        <f t="shared" si="5"/>
        <v>1999366</v>
      </c>
      <c r="M18" s="3297">
        <v>0</v>
      </c>
      <c r="N18" s="3297">
        <v>1999366</v>
      </c>
      <c r="O18" s="3187"/>
      <c r="P18" s="3756">
        <f t="shared" si="6"/>
        <v>92.647925713693297</v>
      </c>
      <c r="Q18" s="3757"/>
      <c r="R18" s="3756">
        <f t="shared" si="7"/>
        <v>91.972599347462719</v>
      </c>
      <c r="S18" s="3758">
        <f>L18/F18*100</f>
        <v>94.725526296090294</v>
      </c>
      <c r="T18" s="3758"/>
      <c r="U18" s="3758">
        <f>N18/H18*100</f>
        <v>94.725526296090294</v>
      </c>
      <c r="W18" s="3167">
        <f>I18-'[3]5.9 2024 G '!D18</f>
        <v>7939053.2523029996</v>
      </c>
      <c r="X18" s="2393"/>
      <c r="Y18" s="2393"/>
      <c r="Z18" s="2393"/>
      <c r="AA18" s="2393"/>
      <c r="AB18" s="2393"/>
      <c r="AC18" s="2393"/>
      <c r="AD18" s="2393"/>
      <c r="AE18" s="2393"/>
      <c r="AF18" s="2393"/>
      <c r="AG18" s="2393"/>
    </row>
    <row r="19" spans="1:33" ht="57.75" customHeight="1" x14ac:dyDescent="0.25">
      <c r="A19" s="3185">
        <v>8</v>
      </c>
      <c r="B19" s="3186" t="s">
        <v>3594</v>
      </c>
      <c r="C19" s="3291">
        <v>521300</v>
      </c>
      <c r="D19" s="3291">
        <v>0</v>
      </c>
      <c r="E19" s="3297">
        <v>521300</v>
      </c>
      <c r="F19" s="3297">
        <f t="shared" si="3"/>
        <v>0</v>
      </c>
      <c r="G19" s="3297">
        <v>0</v>
      </c>
      <c r="H19" s="3297">
        <v>0</v>
      </c>
      <c r="I19" s="3297">
        <f>J19+K19+L19</f>
        <v>521250</v>
      </c>
      <c r="J19" s="3297">
        <v>0</v>
      </c>
      <c r="K19" s="3297">
        <v>521250</v>
      </c>
      <c r="L19" s="3297">
        <f t="shared" si="5"/>
        <v>0</v>
      </c>
      <c r="M19" s="3297">
        <v>0</v>
      </c>
      <c r="N19" s="3297">
        <v>0</v>
      </c>
      <c r="O19" s="3187"/>
      <c r="P19" s="3756">
        <f t="shared" si="6"/>
        <v>99.990408593899872</v>
      </c>
      <c r="Q19" s="3757"/>
      <c r="R19" s="3756">
        <f t="shared" si="7"/>
        <v>99.990408593899872</v>
      </c>
      <c r="S19" s="3758"/>
      <c r="T19" s="3758"/>
      <c r="U19" s="3758"/>
      <c r="W19" s="3167">
        <f>I19-'[3]5.9 2024 G '!D19</f>
        <v>517128.35603999998</v>
      </c>
      <c r="X19" s="2393"/>
      <c r="Y19" s="2393"/>
      <c r="Z19" s="2393"/>
      <c r="AA19" s="2393"/>
      <c r="AB19" s="2393"/>
      <c r="AC19" s="2393"/>
      <c r="AD19" s="2393"/>
      <c r="AE19" s="2393"/>
      <c r="AF19" s="2393"/>
      <c r="AG19" s="2393"/>
    </row>
    <row r="20" spans="1:33" ht="57.75" customHeight="1" x14ac:dyDescent="0.25">
      <c r="A20" s="3185">
        <v>9</v>
      </c>
      <c r="B20" s="3186" t="s">
        <v>3595</v>
      </c>
      <c r="C20" s="3291">
        <v>14788210</v>
      </c>
      <c r="D20" s="3291">
        <v>0</v>
      </c>
      <c r="E20" s="3297">
        <v>4388612</v>
      </c>
      <c r="F20" s="3297">
        <f t="shared" si="3"/>
        <v>10399598</v>
      </c>
      <c r="G20" s="3297">
        <v>0</v>
      </c>
      <c r="H20" s="3297">
        <v>10399598</v>
      </c>
      <c r="I20" s="3297">
        <f>J20+K20+L20</f>
        <v>9183164</v>
      </c>
      <c r="J20" s="3297">
        <v>0</v>
      </c>
      <c r="K20" s="3297">
        <v>2257504</v>
      </c>
      <c r="L20" s="3297">
        <f t="shared" si="5"/>
        <v>6925660</v>
      </c>
      <c r="M20" s="3297">
        <v>0</v>
      </c>
      <c r="N20" s="3297">
        <v>6925660</v>
      </c>
      <c r="O20" s="3187"/>
      <c r="P20" s="3756">
        <f t="shared" si="6"/>
        <v>62.097873914422365</v>
      </c>
      <c r="Q20" s="3757"/>
      <c r="R20" s="3756">
        <f t="shared" si="7"/>
        <v>51.440045280831391</v>
      </c>
      <c r="S20" s="3758"/>
      <c r="T20" s="3758"/>
      <c r="U20" s="3758"/>
      <c r="W20" s="3167">
        <f>I20-'[3]5.9 2024 G '!D20</f>
        <v>9179810.7601219993</v>
      </c>
      <c r="X20" s="2393"/>
      <c r="Y20" s="2393"/>
      <c r="Z20" s="2393"/>
      <c r="AA20" s="2393"/>
      <c r="AB20" s="2393"/>
      <c r="AC20" s="2393"/>
      <c r="AD20" s="2393"/>
      <c r="AE20" s="2393"/>
      <c r="AF20" s="2393"/>
      <c r="AG20" s="2393"/>
    </row>
    <row r="21" spans="1:33" ht="48.75" customHeight="1" x14ac:dyDescent="0.25">
      <c r="A21" s="3185">
        <v>10</v>
      </c>
      <c r="B21" s="3186" t="s">
        <v>3596</v>
      </c>
      <c r="C21" s="3291">
        <v>27998702</v>
      </c>
      <c r="D21" s="3291">
        <v>0</v>
      </c>
      <c r="E21" s="3297">
        <v>27886702</v>
      </c>
      <c r="F21" s="3297">
        <f t="shared" si="3"/>
        <v>112000</v>
      </c>
      <c r="G21" s="3297">
        <v>0</v>
      </c>
      <c r="H21" s="3297">
        <v>112000</v>
      </c>
      <c r="I21" s="3297">
        <f t="shared" si="4"/>
        <v>27939030</v>
      </c>
      <c r="J21" s="3297">
        <v>0</v>
      </c>
      <c r="K21" s="3309">
        <v>27827030</v>
      </c>
      <c r="L21" s="3297">
        <f t="shared" si="5"/>
        <v>112000</v>
      </c>
      <c r="M21" s="3297">
        <v>0</v>
      </c>
      <c r="N21" s="3297">
        <v>112000</v>
      </c>
      <c r="O21" s="3187"/>
      <c r="P21" s="3756">
        <f t="shared" si="6"/>
        <v>99.786875834458328</v>
      </c>
      <c r="Q21" s="3757"/>
      <c r="R21" s="3756">
        <f t="shared" si="7"/>
        <v>99.786019874275553</v>
      </c>
      <c r="S21" s="3758">
        <f>L21/F21*100</f>
        <v>100</v>
      </c>
      <c r="T21" s="3758"/>
      <c r="U21" s="3758">
        <f>N21/H21*100</f>
        <v>100</v>
      </c>
      <c r="W21" s="3167">
        <f>I21-'[3]5.9 2024 G '!D21</f>
        <v>27936894.559144001</v>
      </c>
      <c r="X21" s="2393"/>
      <c r="Y21" s="2393"/>
      <c r="Z21" s="2393"/>
      <c r="AA21" s="2393"/>
      <c r="AB21" s="2393"/>
      <c r="AC21" s="2393"/>
      <c r="AD21" s="2393"/>
      <c r="AE21" s="2393"/>
      <c r="AF21" s="2393"/>
      <c r="AG21" s="2393"/>
    </row>
    <row r="22" spans="1:33" ht="48.75" customHeight="1" x14ac:dyDescent="0.25">
      <c r="A22" s="3185">
        <v>11</v>
      </c>
      <c r="B22" s="3759" t="s">
        <v>3109</v>
      </c>
      <c r="C22" s="3291">
        <v>25000</v>
      </c>
      <c r="D22" s="3291"/>
      <c r="E22" s="3297">
        <v>25000</v>
      </c>
      <c r="F22" s="3297"/>
      <c r="G22" s="3297"/>
      <c r="H22" s="3297"/>
      <c r="I22" s="3297">
        <f t="shared" si="4"/>
        <v>25000</v>
      </c>
      <c r="J22" s="3297"/>
      <c r="K22" s="3309">
        <v>25000</v>
      </c>
      <c r="L22" s="3297"/>
      <c r="M22" s="3297"/>
      <c r="N22" s="3297"/>
      <c r="O22" s="3187"/>
      <c r="P22" s="3756">
        <f t="shared" si="6"/>
        <v>100</v>
      </c>
      <c r="Q22" s="3757"/>
      <c r="R22" s="3756">
        <f t="shared" si="7"/>
        <v>100</v>
      </c>
      <c r="S22" s="3758"/>
      <c r="T22" s="3758"/>
      <c r="U22" s="3758"/>
      <c r="W22" s="3167"/>
      <c r="X22" s="2393"/>
      <c r="Y22" s="2393"/>
      <c r="Z22" s="2393"/>
      <c r="AA22" s="2393"/>
      <c r="AB22" s="2393"/>
      <c r="AC22" s="2393"/>
      <c r="AD22" s="2393"/>
      <c r="AE22" s="2393"/>
      <c r="AF22" s="2393"/>
      <c r="AG22" s="2393"/>
    </row>
    <row r="23" spans="1:33" ht="48.75" customHeight="1" x14ac:dyDescent="0.25">
      <c r="A23" s="3185">
        <v>12</v>
      </c>
      <c r="B23" s="3186" t="s">
        <v>3597</v>
      </c>
      <c r="C23" s="3291">
        <v>0</v>
      </c>
      <c r="D23" s="3291">
        <v>0</v>
      </c>
      <c r="E23" s="3297">
        <v>0</v>
      </c>
      <c r="F23" s="3297">
        <f t="shared" si="3"/>
        <v>0</v>
      </c>
      <c r="G23" s="3297">
        <v>0</v>
      </c>
      <c r="H23" s="3297">
        <v>0</v>
      </c>
      <c r="I23" s="3297">
        <f t="shared" si="4"/>
        <v>457727</v>
      </c>
      <c r="J23" s="3297">
        <v>457727</v>
      </c>
      <c r="K23" s="3297">
        <v>0</v>
      </c>
      <c r="L23" s="3297">
        <f t="shared" si="5"/>
        <v>0</v>
      </c>
      <c r="M23" s="3297">
        <v>0</v>
      </c>
      <c r="N23" s="3297">
        <v>0</v>
      </c>
      <c r="O23" s="3187"/>
      <c r="P23" s="3756" t="e">
        <f t="shared" si="6"/>
        <v>#DIV/0!</v>
      </c>
      <c r="Q23" s="3757"/>
      <c r="R23" s="3756" t="e">
        <f t="shared" si="7"/>
        <v>#DIV/0!</v>
      </c>
      <c r="S23" s="3758"/>
      <c r="T23" s="3758"/>
      <c r="U23" s="3758"/>
      <c r="W23" s="3167">
        <f>I23-'[3]5.9 2024 G '!D22</f>
        <v>456565.82936500001</v>
      </c>
      <c r="X23" s="2393"/>
      <c r="Y23" s="2393"/>
      <c r="Z23" s="2393"/>
      <c r="AA23" s="2393"/>
      <c r="AB23" s="2393"/>
      <c r="AC23" s="2393"/>
      <c r="AD23" s="2393"/>
      <c r="AE23" s="2393"/>
      <c r="AF23" s="2393"/>
      <c r="AG23" s="2393"/>
    </row>
    <row r="24" spans="1:33" ht="48.75" customHeight="1" x14ac:dyDescent="0.25">
      <c r="A24" s="3185">
        <v>13</v>
      </c>
      <c r="B24" s="3186" t="s">
        <v>3598</v>
      </c>
      <c r="C24" s="3291">
        <v>2056482</v>
      </c>
      <c r="D24" s="3291">
        <v>0</v>
      </c>
      <c r="E24" s="3297">
        <v>0</v>
      </c>
      <c r="F24" s="3297">
        <f t="shared" si="3"/>
        <v>2056482</v>
      </c>
      <c r="G24" s="3297">
        <v>2056482</v>
      </c>
      <c r="H24" s="3297">
        <v>0</v>
      </c>
      <c r="I24" s="3297">
        <f t="shared" si="4"/>
        <v>1164306</v>
      </c>
      <c r="J24" s="3297">
        <v>0</v>
      </c>
      <c r="K24" s="3297">
        <v>0</v>
      </c>
      <c r="L24" s="3297">
        <f t="shared" si="5"/>
        <v>1164306</v>
      </c>
      <c r="M24" s="3297">
        <v>1164306</v>
      </c>
      <c r="N24" s="3297">
        <v>0</v>
      </c>
      <c r="O24" s="3187"/>
      <c r="P24" s="3756">
        <f t="shared" si="6"/>
        <v>56.616396350660978</v>
      </c>
      <c r="Q24" s="3757"/>
      <c r="R24" s="3756" t="e">
        <f>K24/E24*100</f>
        <v>#DIV/0!</v>
      </c>
      <c r="S24" s="3758">
        <f>L24/F24*100</f>
        <v>56.616396350660978</v>
      </c>
      <c r="T24" s="3758"/>
      <c r="U24" s="3758"/>
      <c r="W24" s="3167">
        <f>I24-'[3]5.9 2024 G '!D23</f>
        <v>1162407.387902</v>
      </c>
      <c r="X24" s="2393"/>
      <c r="Y24" s="2393"/>
      <c r="Z24" s="2393"/>
      <c r="AA24" s="2393"/>
      <c r="AB24" s="2393"/>
      <c r="AC24" s="2393"/>
      <c r="AD24" s="2393"/>
      <c r="AE24" s="2393"/>
      <c r="AF24" s="2393"/>
      <c r="AG24" s="2393"/>
    </row>
    <row r="25" spans="1:33" ht="48.75" customHeight="1" x14ac:dyDescent="0.25">
      <c r="A25" s="3185">
        <v>14</v>
      </c>
      <c r="B25" s="3186" t="s">
        <v>3599</v>
      </c>
      <c r="C25" s="3291">
        <v>1556973</v>
      </c>
      <c r="D25" s="3291">
        <v>500000</v>
      </c>
      <c r="E25" s="3297">
        <v>0</v>
      </c>
      <c r="F25" s="3297">
        <f t="shared" si="3"/>
        <v>1056973</v>
      </c>
      <c r="G25" s="3297">
        <v>1056973</v>
      </c>
      <c r="H25" s="3297">
        <v>0</v>
      </c>
      <c r="I25" s="3297">
        <f>J25+K25+L25</f>
        <v>1152187</v>
      </c>
      <c r="J25" s="3297">
        <v>399339</v>
      </c>
      <c r="K25" s="3297">
        <v>0</v>
      </c>
      <c r="L25" s="3297">
        <f t="shared" si="5"/>
        <v>752848</v>
      </c>
      <c r="M25" s="3297">
        <v>752848</v>
      </c>
      <c r="N25" s="3297">
        <v>0</v>
      </c>
      <c r="O25" s="3187"/>
      <c r="P25" s="3756">
        <f t="shared" si="6"/>
        <v>74.00173284957414</v>
      </c>
      <c r="Q25" s="3757"/>
      <c r="R25" s="3756" t="e">
        <f t="shared" ref="R25:R35" si="8">K25/E25*100</f>
        <v>#DIV/0!</v>
      </c>
      <c r="S25" s="3758"/>
      <c r="T25" s="3758"/>
      <c r="U25" s="3758"/>
      <c r="W25" s="3167">
        <f>I25-'[3]5.9 2024 G '!D24</f>
        <v>1150995.9238100001</v>
      </c>
      <c r="X25" s="2393"/>
      <c r="Y25" s="2393"/>
      <c r="Z25" s="2393"/>
      <c r="AA25" s="2393"/>
      <c r="AB25" s="2393"/>
      <c r="AC25" s="2393"/>
      <c r="AD25" s="2393"/>
      <c r="AE25" s="2393"/>
      <c r="AF25" s="2393"/>
      <c r="AG25" s="2393"/>
    </row>
    <row r="26" spans="1:33" ht="50.25" customHeight="1" x14ac:dyDescent="0.25">
      <c r="A26" s="3185">
        <v>15</v>
      </c>
      <c r="B26" s="3186" t="s">
        <v>3600</v>
      </c>
      <c r="C26" s="3291">
        <v>1838780</v>
      </c>
      <c r="D26" s="3291">
        <v>300000</v>
      </c>
      <c r="E26" s="3297">
        <v>0</v>
      </c>
      <c r="F26" s="3297">
        <f>G26+H26</f>
        <v>1538780</v>
      </c>
      <c r="G26" s="3297">
        <v>1538780</v>
      </c>
      <c r="H26" s="3297">
        <v>0</v>
      </c>
      <c r="I26" s="3297">
        <f t="shared" si="4"/>
        <v>1461629</v>
      </c>
      <c r="J26" s="3297">
        <v>0</v>
      </c>
      <c r="K26" s="3297">
        <v>0</v>
      </c>
      <c r="L26" s="3297">
        <f t="shared" si="5"/>
        <v>1461629</v>
      </c>
      <c r="M26" s="3297">
        <v>1461629</v>
      </c>
      <c r="N26" s="3297">
        <v>0</v>
      </c>
      <c r="O26" s="3187"/>
      <c r="P26" s="3756">
        <f t="shared" si="6"/>
        <v>79.489063400733102</v>
      </c>
      <c r="Q26" s="3757"/>
      <c r="R26" s="3756" t="e">
        <f t="shared" si="8"/>
        <v>#DIV/0!</v>
      </c>
      <c r="S26" s="3758">
        <f>L26/F26*100</f>
        <v>94.986222851869655</v>
      </c>
      <c r="T26" s="3758"/>
      <c r="U26" s="3758"/>
      <c r="W26" s="3167">
        <f>I26-'[3]5.9 2024 G '!D25</f>
        <v>1459478.730585</v>
      </c>
      <c r="X26" s="2393"/>
      <c r="Y26" s="2393"/>
      <c r="Z26" s="2393"/>
      <c r="AA26" s="2393"/>
      <c r="AB26" s="2393"/>
      <c r="AC26" s="2393"/>
      <c r="AD26" s="2393"/>
      <c r="AE26" s="2393"/>
      <c r="AF26" s="2393"/>
      <c r="AG26" s="2393"/>
    </row>
    <row r="27" spans="1:33" ht="56.25" customHeight="1" x14ac:dyDescent="0.25">
      <c r="A27" s="3185">
        <v>16</v>
      </c>
      <c r="B27" s="3186" t="s">
        <v>3601</v>
      </c>
      <c r="C27" s="3291">
        <f>500000/2</f>
        <v>250000</v>
      </c>
      <c r="D27" s="3291">
        <v>0</v>
      </c>
      <c r="E27" s="3297">
        <v>0</v>
      </c>
      <c r="F27" s="3297">
        <f t="shared" si="3"/>
        <v>250000</v>
      </c>
      <c r="G27" s="3297">
        <f>500000/2</f>
        <v>250000</v>
      </c>
      <c r="H27" s="3297">
        <v>0</v>
      </c>
      <c r="I27" s="3297">
        <f>J27+K27+L27</f>
        <v>190885</v>
      </c>
      <c r="J27" s="3297">
        <v>0</v>
      </c>
      <c r="K27" s="3297">
        <v>0</v>
      </c>
      <c r="L27" s="3297">
        <f t="shared" si="5"/>
        <v>190885</v>
      </c>
      <c r="M27" s="3297">
        <v>190885</v>
      </c>
      <c r="N27" s="3297">
        <v>0</v>
      </c>
      <c r="O27" s="3187"/>
      <c r="P27" s="3756">
        <f t="shared" si="6"/>
        <v>76.353999999999999</v>
      </c>
      <c r="Q27" s="3757"/>
      <c r="R27" s="3756" t="e">
        <f>K27/E27*100</f>
        <v>#DIV/0!</v>
      </c>
      <c r="S27" s="3758"/>
      <c r="T27" s="3758"/>
      <c r="U27" s="3758"/>
      <c r="W27" s="3167">
        <f>I27-'[3]5.9 2024 G '!D26</f>
        <v>189704.74011899999</v>
      </c>
      <c r="X27" s="2393"/>
      <c r="Y27" s="2393"/>
      <c r="Z27" s="2393"/>
      <c r="AA27" s="2393"/>
      <c r="AB27" s="2393"/>
      <c r="AC27" s="2393"/>
      <c r="AD27" s="2393"/>
      <c r="AE27" s="2393"/>
      <c r="AF27" s="2393"/>
      <c r="AG27" s="2393"/>
    </row>
    <row r="28" spans="1:33" ht="56.25" customHeight="1" x14ac:dyDescent="0.25">
      <c r="A28" s="3185">
        <v>17</v>
      </c>
      <c r="B28" s="3186" t="s">
        <v>3602</v>
      </c>
      <c r="C28" s="3291">
        <f>79400/2</f>
        <v>39700</v>
      </c>
      <c r="D28" s="3291">
        <v>0</v>
      </c>
      <c r="E28" s="3297">
        <v>0</v>
      </c>
      <c r="F28" s="3297">
        <f t="shared" si="3"/>
        <v>39700</v>
      </c>
      <c r="G28" s="3297">
        <f>79400/2</f>
        <v>39700</v>
      </c>
      <c r="H28" s="3297">
        <v>0</v>
      </c>
      <c r="I28" s="3297">
        <f t="shared" si="4"/>
        <v>39700</v>
      </c>
      <c r="J28" s="3297">
        <v>0</v>
      </c>
      <c r="K28" s="3297">
        <v>0</v>
      </c>
      <c r="L28" s="3297">
        <f t="shared" si="5"/>
        <v>39700</v>
      </c>
      <c r="M28" s="3297">
        <v>39700</v>
      </c>
      <c r="N28" s="3297">
        <v>0</v>
      </c>
      <c r="O28" s="3187"/>
      <c r="P28" s="3756">
        <f t="shared" si="6"/>
        <v>100</v>
      </c>
      <c r="Q28" s="3757"/>
      <c r="R28" s="3756" t="e">
        <f t="shared" si="8"/>
        <v>#DIV/0!</v>
      </c>
      <c r="S28" s="3758"/>
      <c r="T28" s="3758"/>
      <c r="U28" s="3758"/>
      <c r="W28" s="3167">
        <f>I28-'[3]5.9 2024 G '!D27</f>
        <v>38784.130740000001</v>
      </c>
      <c r="X28" s="2393"/>
      <c r="Y28" s="2393"/>
      <c r="Z28" s="2393"/>
      <c r="AA28" s="2393"/>
      <c r="AB28" s="2393"/>
      <c r="AC28" s="2393"/>
      <c r="AD28" s="2393"/>
      <c r="AE28" s="2393"/>
      <c r="AF28" s="2393"/>
      <c r="AG28" s="2393"/>
    </row>
    <row r="29" spans="1:33" ht="72.75" customHeight="1" x14ac:dyDescent="0.25">
      <c r="A29" s="3185">
        <v>18</v>
      </c>
      <c r="B29" s="3186" t="s">
        <v>3603</v>
      </c>
      <c r="C29" s="3291">
        <f>130400/2</f>
        <v>65200</v>
      </c>
      <c r="D29" s="3291">
        <v>0</v>
      </c>
      <c r="E29" s="3297">
        <v>0</v>
      </c>
      <c r="F29" s="3297">
        <f t="shared" si="3"/>
        <v>65200</v>
      </c>
      <c r="G29" s="3297">
        <f>130400/2</f>
        <v>65200</v>
      </c>
      <c r="H29" s="3297">
        <v>0</v>
      </c>
      <c r="I29" s="3297">
        <f t="shared" si="4"/>
        <v>61619</v>
      </c>
      <c r="J29" s="3297">
        <v>0</v>
      </c>
      <c r="K29" s="3297">
        <v>0</v>
      </c>
      <c r="L29" s="3297">
        <f t="shared" si="5"/>
        <v>61619</v>
      </c>
      <c r="M29" s="3297">
        <v>61619</v>
      </c>
      <c r="N29" s="3297">
        <v>0</v>
      </c>
      <c r="O29" s="3187"/>
      <c r="P29" s="3756">
        <f t="shared" si="6"/>
        <v>94.50766871165645</v>
      </c>
      <c r="Q29" s="3757"/>
      <c r="R29" s="3756" t="e">
        <f t="shared" si="8"/>
        <v>#DIV/0!</v>
      </c>
      <c r="S29" s="3758"/>
      <c r="T29" s="3758"/>
      <c r="U29" s="3758"/>
      <c r="W29" s="3167">
        <f>I29-'[3]5.9 2024 G '!D28</f>
        <v>61305.247388999996</v>
      </c>
      <c r="X29" s="2393"/>
      <c r="Y29" s="2393"/>
      <c r="Z29" s="2393"/>
      <c r="AA29" s="2393"/>
      <c r="AB29" s="2393"/>
      <c r="AC29" s="2393"/>
      <c r="AD29" s="2393"/>
      <c r="AE29" s="2393"/>
      <c r="AF29" s="2393"/>
      <c r="AG29" s="2393"/>
    </row>
    <row r="30" spans="1:33" ht="91.5" customHeight="1" x14ac:dyDescent="0.25">
      <c r="A30" s="3185">
        <v>19</v>
      </c>
      <c r="B30" s="3186" t="s">
        <v>3604</v>
      </c>
      <c r="C30" s="3291">
        <v>109278</v>
      </c>
      <c r="D30" s="3291">
        <v>109278</v>
      </c>
      <c r="E30" s="3297">
        <v>0</v>
      </c>
      <c r="F30" s="3297">
        <f t="shared" si="3"/>
        <v>0</v>
      </c>
      <c r="G30" s="3297">
        <v>0</v>
      </c>
      <c r="H30" s="3297">
        <v>0</v>
      </c>
      <c r="I30" s="3297">
        <f t="shared" si="4"/>
        <v>74081</v>
      </c>
      <c r="J30" s="3297">
        <v>74081</v>
      </c>
      <c r="K30" s="3297">
        <v>0</v>
      </c>
      <c r="L30" s="3297"/>
      <c r="M30" s="3297">
        <v>0</v>
      </c>
      <c r="N30" s="3297">
        <v>0</v>
      </c>
      <c r="O30" s="3187"/>
      <c r="P30" s="3756">
        <f t="shared" si="6"/>
        <v>67.791321217445415</v>
      </c>
      <c r="Q30" s="3757"/>
      <c r="R30" s="3756" t="e">
        <f>K30/E30*100</f>
        <v>#DIV/0!</v>
      </c>
      <c r="S30" s="3758"/>
      <c r="T30" s="3758"/>
      <c r="U30" s="3758"/>
      <c r="W30" s="3167">
        <f>I30-'[3]5.9 2024 G '!D29</f>
        <v>73748.428799999994</v>
      </c>
      <c r="X30" s="2393"/>
      <c r="Y30" s="2393"/>
      <c r="Z30" s="2393"/>
      <c r="AA30" s="2393"/>
      <c r="AB30" s="2393"/>
      <c r="AC30" s="2393"/>
      <c r="AD30" s="2393"/>
      <c r="AE30" s="2393"/>
      <c r="AF30" s="2393"/>
      <c r="AG30" s="2393"/>
    </row>
    <row r="31" spans="1:33" ht="72.75" customHeight="1" x14ac:dyDescent="0.25">
      <c r="A31" s="3185">
        <v>20</v>
      </c>
      <c r="B31" s="3186" t="s">
        <v>3605</v>
      </c>
      <c r="C31" s="3291">
        <v>107800</v>
      </c>
      <c r="D31" s="3291">
        <v>107800</v>
      </c>
      <c r="E31" s="3297">
        <v>0</v>
      </c>
      <c r="F31" s="3297">
        <f t="shared" si="3"/>
        <v>0</v>
      </c>
      <c r="G31" s="3297">
        <v>0</v>
      </c>
      <c r="H31" s="3297">
        <v>0</v>
      </c>
      <c r="I31" s="3297">
        <f t="shared" si="4"/>
        <v>103536</v>
      </c>
      <c r="J31" s="3297">
        <v>103536</v>
      </c>
      <c r="K31" s="3297">
        <v>0</v>
      </c>
      <c r="L31" s="3297"/>
      <c r="M31" s="3297">
        <v>0</v>
      </c>
      <c r="N31" s="3297">
        <v>0</v>
      </c>
      <c r="O31" s="3187"/>
      <c r="P31" s="3756">
        <f t="shared" si="6"/>
        <v>96.044526901669755</v>
      </c>
      <c r="Q31" s="3757"/>
      <c r="R31" s="3756" t="e">
        <f t="shared" si="8"/>
        <v>#DIV/0!</v>
      </c>
      <c r="S31" s="3758"/>
      <c r="T31" s="3758"/>
      <c r="U31" s="3758"/>
      <c r="W31" s="3167">
        <f>I31-'[3]5.9 2024 G '!D30</f>
        <v>103456.512</v>
      </c>
      <c r="X31" s="2393"/>
      <c r="Y31" s="2393"/>
      <c r="Z31" s="2393"/>
      <c r="AA31" s="2393"/>
      <c r="AB31" s="2393"/>
      <c r="AC31" s="2393"/>
      <c r="AD31" s="2393"/>
      <c r="AE31" s="2393"/>
      <c r="AF31" s="2393"/>
      <c r="AG31" s="2393"/>
    </row>
    <row r="32" spans="1:33" ht="72.75" customHeight="1" x14ac:dyDescent="0.25">
      <c r="A32" s="3185">
        <v>21</v>
      </c>
      <c r="B32" s="3186" t="s">
        <v>3606</v>
      </c>
      <c r="C32" s="3291">
        <f>585334/2</f>
        <v>292667</v>
      </c>
      <c r="D32" s="3291">
        <f>585334/2</f>
        <v>292667</v>
      </c>
      <c r="E32" s="3297">
        <v>0</v>
      </c>
      <c r="F32" s="3297">
        <f t="shared" si="3"/>
        <v>0</v>
      </c>
      <c r="G32" s="3297">
        <v>0</v>
      </c>
      <c r="H32" s="3297">
        <v>0</v>
      </c>
      <c r="I32" s="3297">
        <f t="shared" si="4"/>
        <v>263989</v>
      </c>
      <c r="J32" s="3297">
        <v>263989</v>
      </c>
      <c r="K32" s="3297">
        <v>0</v>
      </c>
      <c r="L32" s="3297"/>
      <c r="M32" s="3297">
        <v>0</v>
      </c>
      <c r="N32" s="3297">
        <v>0</v>
      </c>
      <c r="O32" s="3187"/>
      <c r="P32" s="3756">
        <f t="shared" si="6"/>
        <v>90.201150112585296</v>
      </c>
      <c r="Q32" s="3757"/>
      <c r="R32" s="3756" t="e">
        <f t="shared" si="8"/>
        <v>#DIV/0!</v>
      </c>
      <c r="S32" s="3758"/>
      <c r="T32" s="3758"/>
      <c r="U32" s="3758"/>
      <c r="W32" s="3167">
        <f>I32-'[3]5.9 2024 G '!D31</f>
        <v>263869.76</v>
      </c>
      <c r="X32" s="2393"/>
      <c r="Y32" s="2393"/>
      <c r="Z32" s="2393"/>
      <c r="AA32" s="2393"/>
      <c r="AB32" s="2393"/>
      <c r="AC32" s="2393"/>
      <c r="AD32" s="2393"/>
      <c r="AE32" s="2393"/>
      <c r="AF32" s="2393"/>
      <c r="AG32" s="2393"/>
    </row>
    <row r="33" spans="1:33" ht="72.75" customHeight="1" x14ac:dyDescent="0.25">
      <c r="A33" s="3185">
        <v>22</v>
      </c>
      <c r="B33" s="3186" t="s">
        <v>3607</v>
      </c>
      <c r="C33" s="3291">
        <f>1827000/2</f>
        <v>913500</v>
      </c>
      <c r="D33" s="3291">
        <v>0</v>
      </c>
      <c r="E33" s="3297">
        <v>0</v>
      </c>
      <c r="F33" s="3297"/>
      <c r="G33" s="3297">
        <f>1827000/2</f>
        <v>913500</v>
      </c>
      <c r="H33" s="3297">
        <v>0</v>
      </c>
      <c r="I33" s="3297">
        <f t="shared" si="4"/>
        <v>623867</v>
      </c>
      <c r="J33" s="3297">
        <v>0</v>
      </c>
      <c r="K33" s="3297">
        <v>0</v>
      </c>
      <c r="L33" s="3297">
        <f>M33+N33</f>
        <v>623867</v>
      </c>
      <c r="M33" s="3297">
        <v>623867</v>
      </c>
      <c r="N33" s="3297">
        <v>0</v>
      </c>
      <c r="O33" s="3187"/>
      <c r="P33" s="3756"/>
      <c r="Q33" s="3757"/>
      <c r="R33" s="3756"/>
      <c r="S33" s="3758"/>
      <c r="T33" s="3758"/>
      <c r="U33" s="3758"/>
      <c r="W33" s="3167">
        <f>I33-'[3]5.9 2024 G '!D32</f>
        <v>623734.96200000006</v>
      </c>
      <c r="X33" s="2393"/>
      <c r="Y33" s="2393"/>
      <c r="Z33" s="2393"/>
      <c r="AA33" s="2393"/>
      <c r="AB33" s="2393"/>
      <c r="AC33" s="2393"/>
      <c r="AD33" s="2393"/>
      <c r="AE33" s="2393"/>
      <c r="AF33" s="2393"/>
      <c r="AG33" s="2393"/>
    </row>
    <row r="34" spans="1:33" ht="72.75" customHeight="1" x14ac:dyDescent="0.25">
      <c r="A34" s="3185">
        <v>23</v>
      </c>
      <c r="B34" s="3186" t="s">
        <v>3608</v>
      </c>
      <c r="C34" s="3291">
        <f>616000/2</f>
        <v>308000</v>
      </c>
      <c r="D34" s="3291">
        <v>0</v>
      </c>
      <c r="E34" s="3297">
        <v>0</v>
      </c>
      <c r="F34" s="3297">
        <f>G34+H34</f>
        <v>308000</v>
      </c>
      <c r="G34" s="3297">
        <f>616000/2</f>
        <v>308000</v>
      </c>
      <c r="H34" s="3297">
        <v>0</v>
      </c>
      <c r="I34" s="3297">
        <f t="shared" si="4"/>
        <v>308000</v>
      </c>
      <c r="J34" s="3297">
        <v>0</v>
      </c>
      <c r="K34" s="3297">
        <v>0</v>
      </c>
      <c r="L34" s="3297">
        <f>M34+N34</f>
        <v>308000</v>
      </c>
      <c r="M34" s="3297">
        <v>308000</v>
      </c>
      <c r="N34" s="3297">
        <v>0</v>
      </c>
      <c r="O34" s="3187"/>
      <c r="P34" s="3756">
        <f t="shared" si="6"/>
        <v>100</v>
      </c>
      <c r="Q34" s="3757"/>
      <c r="R34" s="3756" t="e">
        <f t="shared" si="8"/>
        <v>#DIV/0!</v>
      </c>
      <c r="S34" s="3758"/>
      <c r="T34" s="3758"/>
      <c r="U34" s="3758"/>
      <c r="W34" s="3167">
        <f>I34-'[3]5.9 2024 G '!D33</f>
        <v>304011.54262999998</v>
      </c>
    </row>
    <row r="35" spans="1:33" ht="72.75" customHeight="1" x14ac:dyDescent="0.25">
      <c r="A35" s="3185">
        <v>24</v>
      </c>
      <c r="B35" s="3186" t="s">
        <v>3609</v>
      </c>
      <c r="C35" s="3291">
        <v>517900</v>
      </c>
      <c r="D35" s="3291">
        <v>0</v>
      </c>
      <c r="E35" s="3297">
        <v>0</v>
      </c>
      <c r="F35" s="3297">
        <f>G35+H35</f>
        <v>517900</v>
      </c>
      <c r="G35" s="3297">
        <v>517900</v>
      </c>
      <c r="H35" s="3297">
        <v>0</v>
      </c>
      <c r="I35" s="3297">
        <f t="shared" si="4"/>
        <v>505936</v>
      </c>
      <c r="J35" s="3297">
        <v>0</v>
      </c>
      <c r="K35" s="3297">
        <v>0</v>
      </c>
      <c r="L35" s="3297">
        <f>M35+N35</f>
        <v>505936</v>
      </c>
      <c r="M35" s="3297">
        <v>505936</v>
      </c>
      <c r="N35" s="3297">
        <v>0</v>
      </c>
      <c r="O35" s="3187"/>
      <c r="P35" s="3756">
        <f t="shared" si="6"/>
        <v>97.689901525390994</v>
      </c>
      <c r="Q35" s="3757"/>
      <c r="R35" s="3756" t="e">
        <f t="shared" si="8"/>
        <v>#DIV/0!</v>
      </c>
      <c r="S35" s="3758">
        <f>L35/F35*100</f>
        <v>97.689901525390994</v>
      </c>
      <c r="T35" s="3758"/>
      <c r="U35" s="3758"/>
      <c r="W35" s="3167">
        <f>I35-'[3]5.9 2024 G '!D34</f>
        <v>505936</v>
      </c>
    </row>
    <row r="36" spans="1:33" s="2392" customFormat="1" ht="36" customHeight="1" x14ac:dyDescent="0.25">
      <c r="A36" s="3190" t="s">
        <v>872</v>
      </c>
      <c r="B36" s="3191" t="s">
        <v>2627</v>
      </c>
      <c r="C36" s="3294">
        <f>C37</f>
        <v>0</v>
      </c>
      <c r="D36" s="3276">
        <f>D37</f>
        <v>0</v>
      </c>
      <c r="E36" s="3276">
        <f t="shared" ref="E36:N36" si="9">E37+E38</f>
        <v>0</v>
      </c>
      <c r="F36" s="3310">
        <f t="shared" si="9"/>
        <v>0</v>
      </c>
      <c r="G36" s="3310">
        <f t="shared" si="9"/>
        <v>0</v>
      </c>
      <c r="H36" s="3310">
        <f t="shared" si="9"/>
        <v>0</v>
      </c>
      <c r="I36" s="3310">
        <f t="shared" si="9"/>
        <v>0</v>
      </c>
      <c r="J36" s="3310">
        <f t="shared" si="9"/>
        <v>0</v>
      </c>
      <c r="K36" s="3310">
        <f t="shared" si="9"/>
        <v>0</v>
      </c>
      <c r="L36" s="3310">
        <f t="shared" si="9"/>
        <v>0</v>
      </c>
      <c r="M36" s="3310">
        <f t="shared" si="9"/>
        <v>0</v>
      </c>
      <c r="N36" s="3310">
        <f t="shared" si="9"/>
        <v>0</v>
      </c>
      <c r="O36" s="3192">
        <f>O37</f>
        <v>0</v>
      </c>
      <c r="P36" s="3760"/>
      <c r="Q36" s="3757"/>
      <c r="R36" s="3756"/>
      <c r="S36" s="3761"/>
      <c r="T36" s="3758"/>
      <c r="U36" s="3758"/>
      <c r="W36" s="2615" t="s">
        <v>3337</v>
      </c>
      <c r="X36" s="2615"/>
      <c r="Y36" s="2615"/>
      <c r="Z36" s="2615"/>
      <c r="AA36" s="2615"/>
      <c r="AB36" s="2615"/>
      <c r="AC36" s="2615"/>
      <c r="AD36" s="2615"/>
      <c r="AE36" s="2615"/>
      <c r="AF36" s="2615"/>
      <c r="AG36" s="2615"/>
    </row>
    <row r="37" spans="1:33" ht="24.75" hidden="1" customHeight="1" x14ac:dyDescent="0.25">
      <c r="A37" s="3185"/>
      <c r="B37" s="3189"/>
      <c r="C37" s="3291"/>
      <c r="D37" s="3275">
        <f>D40</f>
        <v>0</v>
      </c>
      <c r="E37" s="3275"/>
      <c r="F37" s="3297"/>
      <c r="G37" s="3297">
        <f>G40</f>
        <v>0</v>
      </c>
      <c r="H37" s="3297"/>
      <c r="I37" s="3297"/>
      <c r="J37" s="3297"/>
      <c r="K37" s="3309"/>
      <c r="L37" s="3297">
        <f>L40</f>
        <v>0</v>
      </c>
      <c r="M37" s="3297">
        <f>M40</f>
        <v>0</v>
      </c>
      <c r="N37" s="3297">
        <f>N40</f>
        <v>0</v>
      </c>
      <c r="O37" s="3187">
        <f>O40</f>
        <v>0</v>
      </c>
      <c r="P37" s="3756" t="e">
        <f t="shared" ref="P37" si="10">I37/C37*100</f>
        <v>#DIV/0!</v>
      </c>
      <c r="Q37" s="3757"/>
      <c r="R37" s="3756" t="e">
        <f t="shared" ref="R37" si="11">K37/E37*100</f>
        <v>#DIV/0!</v>
      </c>
      <c r="S37" s="3761"/>
      <c r="T37" s="3758"/>
      <c r="U37" s="3758"/>
    </row>
    <row r="38" spans="1:33" ht="24.75" hidden="1" customHeight="1" x14ac:dyDescent="0.25">
      <c r="A38" s="3185">
        <v>2</v>
      </c>
      <c r="B38" s="3189" t="s">
        <v>3345</v>
      </c>
      <c r="C38" s="3291"/>
      <c r="D38" s="3275"/>
      <c r="E38" s="3275"/>
      <c r="F38" s="3297"/>
      <c r="G38" s="3297"/>
      <c r="H38" s="3297"/>
      <c r="I38" s="3297">
        <f>J38+K38+L38</f>
        <v>0</v>
      </c>
      <c r="J38" s="3297"/>
      <c r="K38" s="3309"/>
      <c r="L38" s="3297"/>
      <c r="M38" s="3297"/>
      <c r="N38" s="3297"/>
      <c r="O38" s="3187"/>
      <c r="P38" s="3756"/>
      <c r="Q38" s="3757"/>
      <c r="R38" s="3756"/>
      <c r="S38" s="3761"/>
      <c r="T38" s="3758"/>
      <c r="U38" s="3758"/>
    </row>
    <row r="39" spans="1:33" s="2392" customFormat="1" ht="41.25" customHeight="1" x14ac:dyDescent="0.25">
      <c r="A39" s="3190" t="s">
        <v>873</v>
      </c>
      <c r="B39" s="3191" t="s">
        <v>3515</v>
      </c>
      <c r="C39" s="3294">
        <f t="shared" ref="C39:U39" si="12">SUM(C40:C41)</f>
        <v>5683084.9620000003</v>
      </c>
      <c r="D39" s="3276">
        <f t="shared" si="12"/>
        <v>0</v>
      </c>
      <c r="E39" s="3310">
        <f t="shared" si="12"/>
        <v>4889515.5140000004</v>
      </c>
      <c r="F39" s="3310">
        <f t="shared" si="12"/>
        <v>793569.44800000009</v>
      </c>
      <c r="G39" s="3310">
        <f t="shared" si="12"/>
        <v>241029.70699999999</v>
      </c>
      <c r="H39" s="3310">
        <f t="shared" si="12"/>
        <v>552539.74100000004</v>
      </c>
      <c r="I39" s="3310">
        <f t="shared" si="12"/>
        <v>0</v>
      </c>
      <c r="J39" s="3310">
        <f t="shared" si="12"/>
        <v>0</v>
      </c>
      <c r="K39" s="3310">
        <f t="shared" si="12"/>
        <v>0</v>
      </c>
      <c r="L39" s="3310">
        <f t="shared" si="12"/>
        <v>0</v>
      </c>
      <c r="M39" s="3310">
        <f t="shared" si="12"/>
        <v>0</v>
      </c>
      <c r="N39" s="3310">
        <f t="shared" si="12"/>
        <v>0</v>
      </c>
      <c r="O39" s="3192">
        <f t="shared" si="12"/>
        <v>0</v>
      </c>
      <c r="P39" s="3762">
        <f t="shared" si="12"/>
        <v>0</v>
      </c>
      <c r="Q39" s="3762">
        <f t="shared" si="12"/>
        <v>0</v>
      </c>
      <c r="R39" s="3762">
        <f t="shared" si="12"/>
        <v>0</v>
      </c>
      <c r="S39" s="3763">
        <f t="shared" si="12"/>
        <v>0</v>
      </c>
      <c r="T39" s="3763">
        <f t="shared" si="12"/>
        <v>0</v>
      </c>
      <c r="U39" s="3763">
        <f t="shared" si="12"/>
        <v>0</v>
      </c>
      <c r="W39" s="2615"/>
      <c r="X39" s="2615"/>
      <c r="Y39" s="2615"/>
      <c r="Z39" s="2615"/>
      <c r="AA39" s="2615"/>
      <c r="AB39" s="2615"/>
      <c r="AC39" s="2615"/>
      <c r="AD39" s="2615"/>
      <c r="AE39" s="2615"/>
      <c r="AF39" s="2615"/>
      <c r="AG39" s="2615"/>
    </row>
    <row r="40" spans="1:33" ht="36" customHeight="1" x14ac:dyDescent="0.25">
      <c r="A40" s="3185">
        <v>1</v>
      </c>
      <c r="B40" s="3189" t="s">
        <v>3626</v>
      </c>
      <c r="C40" s="3291">
        <f>D40+E40+F40</f>
        <v>4889515.5140000004</v>
      </c>
      <c r="D40" s="3275"/>
      <c r="E40" s="3297">
        <v>4889515.5140000004</v>
      </c>
      <c r="F40" s="3297">
        <f>G40+H40</f>
        <v>0</v>
      </c>
      <c r="G40" s="3297"/>
      <c r="H40" s="3297"/>
      <c r="I40" s="3297"/>
      <c r="J40" s="3297"/>
      <c r="K40" s="3309"/>
      <c r="L40" s="3297"/>
      <c r="M40" s="3297"/>
      <c r="N40" s="3297"/>
      <c r="O40" s="3187"/>
      <c r="P40" s="3756"/>
      <c r="Q40" s="3757"/>
      <c r="R40" s="3756"/>
      <c r="S40" s="3761"/>
      <c r="T40" s="3758"/>
      <c r="U40" s="3758"/>
    </row>
    <row r="41" spans="1:33" ht="75.75" customHeight="1" x14ac:dyDescent="0.25">
      <c r="A41" s="3185">
        <v>2</v>
      </c>
      <c r="B41" s="3193" t="s">
        <v>4726</v>
      </c>
      <c r="C41" s="3291">
        <f>D41+E41+F41</f>
        <v>793569.44800000009</v>
      </c>
      <c r="D41" s="3275"/>
      <c r="E41" s="3275"/>
      <c r="F41" s="3297">
        <f>SUM(G41:H41)</f>
        <v>793569.44800000009</v>
      </c>
      <c r="G41" s="3297">
        <v>241029.70699999999</v>
      </c>
      <c r="H41" s="3297">
        <v>552539.74100000004</v>
      </c>
      <c r="I41" s="3297"/>
      <c r="J41" s="3297"/>
      <c r="K41" s="3309"/>
      <c r="L41" s="3297">
        <v>0</v>
      </c>
      <c r="M41" s="3297">
        <v>0</v>
      </c>
      <c r="N41" s="3297"/>
      <c r="O41" s="3187"/>
      <c r="P41" s="3756"/>
      <c r="Q41" s="3757"/>
      <c r="R41" s="3756"/>
      <c r="S41" s="3761"/>
      <c r="T41" s="3758"/>
      <c r="U41" s="3758"/>
    </row>
    <row r="42" spans="1:33" ht="56.25" customHeight="1" x14ac:dyDescent="0.25">
      <c r="A42" s="3194" t="s">
        <v>909</v>
      </c>
      <c r="B42" s="3195" t="s">
        <v>2222</v>
      </c>
      <c r="C42" s="3295">
        <f>D42+E42+F42</f>
        <v>0</v>
      </c>
      <c r="D42" s="3277"/>
      <c r="E42" s="3277">
        <v>0</v>
      </c>
      <c r="F42" s="3293"/>
      <c r="G42" s="3293"/>
      <c r="H42" s="3293"/>
      <c r="I42" s="3311">
        <f>J42+K42+L42</f>
        <v>0</v>
      </c>
      <c r="J42" s="3311"/>
      <c r="K42" s="3311"/>
      <c r="L42" s="3311">
        <f>M42+N42+O42</f>
        <v>0</v>
      </c>
      <c r="M42" s="3311"/>
      <c r="N42" s="3311"/>
      <c r="O42" s="3196"/>
      <c r="P42" s="3764"/>
      <c r="Q42" s="3765"/>
      <c r="R42" s="3764"/>
      <c r="S42" s="3766"/>
      <c r="T42" s="3767"/>
      <c r="U42" s="3767"/>
    </row>
    <row r="43" spans="1:33" ht="15.75" hidden="1" customHeight="1" x14ac:dyDescent="0.25">
      <c r="A43" s="3197" t="s">
        <v>2223</v>
      </c>
      <c r="L43" s="3169"/>
    </row>
    <row r="44" spans="1:33" ht="15.75" hidden="1" customHeight="1" x14ac:dyDescent="0.25">
      <c r="A44" s="3198" t="s">
        <v>2224</v>
      </c>
    </row>
    <row r="45" spans="1:33" hidden="1" x14ac:dyDescent="0.25">
      <c r="A45" s="3198" t="s">
        <v>2225</v>
      </c>
    </row>
    <row r="46" spans="1:33" x14ac:dyDescent="0.25">
      <c r="A46" s="3199"/>
      <c r="N46" s="4188"/>
      <c r="O46" s="4188"/>
      <c r="P46" s="4188"/>
      <c r="Q46" s="4188"/>
      <c r="R46" s="4188"/>
      <c r="S46" s="4188"/>
      <c r="T46" s="4188"/>
      <c r="U46" s="4188"/>
    </row>
    <row r="47" spans="1:33" ht="18.75" hidden="1" customHeight="1" x14ac:dyDescent="0.25">
      <c r="A47" s="3200"/>
      <c r="B47" s="4181" t="s">
        <v>3573</v>
      </c>
      <c r="C47" s="4181"/>
      <c r="D47" s="4181"/>
      <c r="E47" s="3201"/>
      <c r="F47" s="3202"/>
      <c r="G47" s="3202"/>
      <c r="H47" s="2393"/>
      <c r="J47" s="2393"/>
      <c r="L47" s="4157" t="s">
        <v>3721</v>
      </c>
      <c r="M47" s="4157"/>
      <c r="N47" s="4157"/>
      <c r="O47" s="4157"/>
      <c r="P47" s="4157"/>
      <c r="Q47" s="4157"/>
      <c r="R47" s="4157"/>
      <c r="S47" s="3203"/>
      <c r="T47" s="3203"/>
      <c r="U47" s="3203"/>
    </row>
    <row r="48" spans="1:33" ht="18.75" hidden="1" customHeight="1" x14ac:dyDescent="0.25">
      <c r="A48" s="3200"/>
      <c r="B48" s="4181" t="s">
        <v>807</v>
      </c>
      <c r="C48" s="4181"/>
      <c r="D48" s="4181"/>
      <c r="E48" s="3201"/>
      <c r="F48" s="3202"/>
      <c r="G48" s="3202"/>
      <c r="H48" s="2393"/>
      <c r="J48" s="2393"/>
      <c r="L48" s="4147" t="s">
        <v>638</v>
      </c>
      <c r="M48" s="4147"/>
      <c r="N48" s="4147"/>
      <c r="O48" s="4147"/>
      <c r="P48" s="4147"/>
      <c r="Q48" s="4147"/>
      <c r="R48" s="4147"/>
      <c r="S48" s="3203"/>
      <c r="T48" s="3203"/>
      <c r="U48" s="3203"/>
    </row>
    <row r="49" spans="1:33" ht="29.25" hidden="1" customHeight="1" x14ac:dyDescent="0.25">
      <c r="A49" s="3200"/>
      <c r="B49" s="3488"/>
      <c r="C49" s="3201"/>
      <c r="D49" s="3202"/>
      <c r="E49" s="3201"/>
      <c r="F49" s="3202"/>
      <c r="G49" s="3202"/>
      <c r="H49" s="2393"/>
      <c r="J49" s="2393"/>
      <c r="L49" s="4147" t="s">
        <v>639</v>
      </c>
      <c r="M49" s="4147"/>
      <c r="N49" s="4147"/>
      <c r="O49" s="4147"/>
      <c r="P49" s="4147"/>
      <c r="Q49" s="4147"/>
      <c r="R49" s="4147"/>
      <c r="S49" s="3204"/>
      <c r="T49" s="3204"/>
      <c r="U49" s="3204"/>
    </row>
    <row r="50" spans="1:33" ht="29.25" hidden="1" customHeight="1" x14ac:dyDescent="0.25">
      <c r="A50" s="3200"/>
      <c r="B50" s="3488"/>
      <c r="C50" s="3201"/>
      <c r="D50" s="3202"/>
      <c r="E50" s="3201"/>
      <c r="F50" s="3202"/>
      <c r="G50" s="3202"/>
      <c r="H50" s="2393"/>
      <c r="J50" s="2393"/>
      <c r="L50" s="3485"/>
      <c r="M50" s="3485"/>
      <c r="N50" s="3485"/>
      <c r="O50" s="3485"/>
      <c r="P50" s="3485"/>
      <c r="Q50" s="3485"/>
      <c r="R50" s="3485"/>
      <c r="S50" s="3204"/>
      <c r="T50" s="3204"/>
      <c r="U50" s="3204"/>
    </row>
    <row r="51" spans="1:33" ht="29.25" hidden="1" customHeight="1" x14ac:dyDescent="0.25">
      <c r="A51" s="3200"/>
      <c r="B51" s="3488"/>
      <c r="C51" s="3201"/>
      <c r="D51" s="3202"/>
      <c r="E51" s="3201"/>
      <c r="F51" s="3202"/>
      <c r="G51" s="3202"/>
      <c r="H51" s="2393"/>
      <c r="J51" s="2393"/>
      <c r="L51" s="3485"/>
      <c r="M51" s="3485"/>
      <c r="N51" s="3485"/>
      <c r="O51" s="3485"/>
      <c r="P51" s="3485"/>
      <c r="Q51" s="3485"/>
      <c r="R51" s="3485"/>
      <c r="S51" s="3204"/>
      <c r="T51" s="3204"/>
      <c r="U51" s="3204"/>
    </row>
    <row r="52" spans="1:33" ht="29.25" hidden="1" customHeight="1" x14ac:dyDescent="0.25">
      <c r="A52" s="3200"/>
      <c r="B52" s="3488"/>
      <c r="C52" s="3201"/>
      <c r="D52" s="3202"/>
      <c r="E52" s="3201"/>
      <c r="F52" s="3202"/>
      <c r="G52" s="3202"/>
      <c r="H52" s="2393"/>
      <c r="J52" s="2393"/>
      <c r="L52" s="3485"/>
      <c r="M52" s="3485"/>
      <c r="N52" s="3485"/>
      <c r="O52" s="3485"/>
      <c r="P52" s="3205"/>
      <c r="Q52" s="3485"/>
      <c r="R52" s="3205"/>
      <c r="S52" s="3204"/>
      <c r="T52" s="3204"/>
      <c r="U52" s="3204"/>
    </row>
    <row r="53" spans="1:33" hidden="1" x14ac:dyDescent="0.25">
      <c r="A53" s="3200"/>
      <c r="B53" s="3488"/>
      <c r="C53" s="3201"/>
      <c r="D53" s="3202"/>
      <c r="E53" s="3201"/>
      <c r="F53" s="3202"/>
      <c r="G53" s="3202"/>
      <c r="M53" s="4157"/>
      <c r="N53" s="4157"/>
      <c r="O53" s="4157"/>
      <c r="P53" s="3206"/>
    </row>
    <row r="54" spans="1:33" hidden="1" x14ac:dyDescent="0.25">
      <c r="A54" s="3200"/>
      <c r="B54" s="3207"/>
      <c r="C54" s="3201"/>
      <c r="D54" s="3202"/>
      <c r="E54" s="3201"/>
      <c r="F54" s="3202"/>
      <c r="G54" s="3202"/>
      <c r="M54" s="3174"/>
      <c r="P54" s="3206"/>
    </row>
    <row r="55" spans="1:33" hidden="1" x14ac:dyDescent="0.25">
      <c r="A55" s="3200"/>
      <c r="B55" s="4181" t="s">
        <v>3574</v>
      </c>
      <c r="C55" s="4181"/>
      <c r="D55" s="4181"/>
      <c r="E55" s="3201"/>
      <c r="F55" s="3202"/>
      <c r="G55" s="3202"/>
      <c r="L55" s="4146" t="s">
        <v>3572</v>
      </c>
      <c r="M55" s="4146"/>
      <c r="N55" s="4146"/>
      <c r="O55" s="4146"/>
      <c r="P55" s="4146"/>
      <c r="Q55" s="4146"/>
      <c r="R55" s="4146"/>
    </row>
    <row r="56" spans="1:33" x14ac:dyDescent="0.25">
      <c r="A56" s="3200"/>
      <c r="B56" s="3207"/>
      <c r="C56" s="3201"/>
      <c r="D56" s="3202"/>
      <c r="E56" s="3201"/>
      <c r="F56" s="3202"/>
      <c r="G56" s="3202"/>
      <c r="H56" s="3202"/>
      <c r="I56" s="3208"/>
      <c r="J56" s="3209"/>
      <c r="K56" s="3210"/>
    </row>
    <row r="57" spans="1:33" x14ac:dyDescent="0.25">
      <c r="B57" s="3207"/>
      <c r="C57" s="3201"/>
      <c r="D57" s="3202"/>
      <c r="E57" s="3201"/>
      <c r="F57" s="3202"/>
      <c r="G57" s="3202"/>
      <c r="H57" s="3202"/>
      <c r="I57" s="3208"/>
      <c r="J57" s="3209"/>
      <c r="K57" s="3210"/>
    </row>
    <row r="58" spans="1:33" x14ac:dyDescent="0.25">
      <c r="B58" s="3211"/>
      <c r="K58" s="3171"/>
    </row>
    <row r="59" spans="1:33" x14ac:dyDescent="0.25">
      <c r="B59" s="3211"/>
    </row>
    <row r="60" spans="1:33" x14ac:dyDescent="0.25">
      <c r="B60" s="3081"/>
      <c r="K60" s="3174"/>
    </row>
    <row r="61" spans="1:33" x14ac:dyDescent="0.25">
      <c r="B61" s="3081"/>
    </row>
    <row r="62" spans="1:33" x14ac:dyDescent="0.25">
      <c r="B62" s="3081"/>
    </row>
    <row r="63" spans="1:33" s="3082" customFormat="1" x14ac:dyDescent="0.25">
      <c r="A63" s="2393"/>
      <c r="B63" s="3081"/>
      <c r="C63" s="3168"/>
      <c r="D63" s="3081"/>
      <c r="E63" s="3168"/>
      <c r="F63" s="3081"/>
      <c r="G63" s="3081"/>
      <c r="H63" s="3081"/>
      <c r="J63" s="3081"/>
      <c r="K63" s="3169"/>
      <c r="L63" s="3081"/>
      <c r="M63" s="3081"/>
      <c r="N63" s="3081"/>
      <c r="O63" s="3081"/>
      <c r="P63" s="3170"/>
      <c r="Q63" s="3081"/>
      <c r="R63" s="3170"/>
      <c r="S63" s="3081"/>
      <c r="T63" s="3081"/>
      <c r="U63" s="3081"/>
      <c r="V63" s="2393"/>
      <c r="W63" s="1946"/>
      <c r="X63" s="1946"/>
      <c r="Y63" s="2890"/>
      <c r="Z63" s="2890"/>
      <c r="AA63" s="2890"/>
      <c r="AB63" s="2890"/>
      <c r="AC63" s="2890"/>
      <c r="AD63" s="2890"/>
      <c r="AE63" s="2890"/>
      <c r="AF63" s="2890"/>
      <c r="AG63" s="2890"/>
    </row>
    <row r="64" spans="1:33" s="3082" customFormat="1" x14ac:dyDescent="0.25">
      <c r="A64" s="2393"/>
      <c r="B64" s="3177"/>
      <c r="C64" s="3168"/>
      <c r="D64" s="3081"/>
      <c r="E64" s="3168"/>
      <c r="F64" s="3081"/>
      <c r="G64" s="3081"/>
      <c r="H64" s="3081"/>
      <c r="J64" s="3081"/>
      <c r="K64" s="3169"/>
      <c r="L64" s="3081"/>
      <c r="M64" s="3081"/>
      <c r="N64" s="3081"/>
      <c r="O64" s="3081"/>
      <c r="P64" s="3170"/>
      <c r="Q64" s="3081"/>
      <c r="R64" s="3170"/>
      <c r="S64" s="3081"/>
      <c r="T64" s="3081"/>
      <c r="U64" s="3081"/>
      <c r="V64" s="2393"/>
      <c r="W64" s="1946"/>
      <c r="X64" s="1946"/>
      <c r="Y64" s="2890"/>
      <c r="Z64" s="2890"/>
      <c r="AA64" s="2890"/>
      <c r="AB64" s="2890"/>
      <c r="AC64" s="2890"/>
      <c r="AD64" s="2890"/>
      <c r="AE64" s="2890"/>
      <c r="AF64" s="2890"/>
      <c r="AG64" s="2890"/>
    </row>
    <row r="65" spans="1:33" s="3082" customFormat="1" x14ac:dyDescent="0.25">
      <c r="A65" s="2393"/>
      <c r="B65" s="3178"/>
      <c r="C65" s="3168"/>
      <c r="D65" s="3081"/>
      <c r="E65" s="3168"/>
      <c r="F65" s="3081"/>
      <c r="G65" s="3081"/>
      <c r="H65" s="3081"/>
      <c r="J65" s="3081"/>
      <c r="K65" s="3169"/>
      <c r="L65" s="3081"/>
      <c r="M65" s="3081"/>
      <c r="N65" s="3081"/>
      <c r="O65" s="3081"/>
      <c r="P65" s="3170"/>
      <c r="Q65" s="3081"/>
      <c r="R65" s="3170"/>
      <c r="S65" s="3081"/>
      <c r="T65" s="3081"/>
      <c r="U65" s="3081"/>
      <c r="V65" s="2393"/>
      <c r="W65" s="1946"/>
      <c r="X65" s="1946"/>
      <c r="Y65" s="2890"/>
      <c r="Z65" s="2890"/>
      <c r="AA65" s="2890"/>
      <c r="AB65" s="2890"/>
      <c r="AC65" s="2890"/>
      <c r="AD65" s="2890"/>
      <c r="AE65" s="2890"/>
      <c r="AF65" s="2890"/>
      <c r="AG65" s="2890"/>
    </row>
    <row r="66" spans="1:33" s="3082" customFormat="1" x14ac:dyDescent="0.25">
      <c r="A66" s="2393"/>
      <c r="B66" s="3178"/>
      <c r="C66" s="3168"/>
      <c r="D66" s="3081"/>
      <c r="E66" s="3168"/>
      <c r="F66" s="3081"/>
      <c r="G66" s="3081"/>
      <c r="H66" s="3081"/>
      <c r="J66" s="3081"/>
      <c r="K66" s="3169"/>
      <c r="L66" s="3081"/>
      <c r="M66" s="3081"/>
      <c r="N66" s="3081"/>
      <c r="O66" s="3081"/>
      <c r="P66" s="3170"/>
      <c r="Q66" s="3081"/>
      <c r="R66" s="3170"/>
      <c r="S66" s="3081"/>
      <c r="T66" s="3081"/>
      <c r="U66" s="3081"/>
      <c r="V66" s="2393"/>
      <c r="W66" s="1946"/>
      <c r="X66" s="1946"/>
      <c r="Y66" s="2890"/>
      <c r="Z66" s="2890"/>
      <c r="AA66" s="2890"/>
      <c r="AB66" s="2890"/>
      <c r="AC66" s="2890"/>
      <c r="AD66" s="2890"/>
      <c r="AE66" s="2890"/>
      <c r="AF66" s="2890"/>
      <c r="AG66" s="2890"/>
    </row>
    <row r="67" spans="1:33" s="3082" customFormat="1" x14ac:dyDescent="0.25">
      <c r="A67" s="2393"/>
      <c r="B67" s="3081"/>
      <c r="C67" s="3168"/>
      <c r="D67" s="3081"/>
      <c r="E67" s="3168"/>
      <c r="F67" s="3081"/>
      <c r="G67" s="3081"/>
      <c r="H67" s="3081"/>
      <c r="J67" s="3081"/>
      <c r="K67" s="3169"/>
      <c r="L67" s="3081"/>
      <c r="M67" s="3081"/>
      <c r="N67" s="3081"/>
      <c r="O67" s="3081"/>
      <c r="P67" s="3170"/>
      <c r="Q67" s="3081"/>
      <c r="R67" s="3170"/>
      <c r="S67" s="3081"/>
      <c r="T67" s="3081"/>
      <c r="U67" s="3081"/>
      <c r="V67" s="2393"/>
      <c r="W67" s="1946"/>
      <c r="X67" s="1946"/>
      <c r="Y67" s="2890"/>
      <c r="Z67" s="2890"/>
      <c r="AA67" s="2890"/>
      <c r="AB67" s="2890"/>
      <c r="AC67" s="2890"/>
      <c r="AD67" s="2890"/>
      <c r="AE67" s="2890"/>
      <c r="AF67" s="2890"/>
      <c r="AG67" s="2890"/>
    </row>
    <row r="68" spans="1:33" s="3082" customFormat="1" x14ac:dyDescent="0.25">
      <c r="A68" s="2393"/>
      <c r="B68" s="3178"/>
      <c r="C68" s="3168"/>
      <c r="D68" s="3081"/>
      <c r="E68" s="3168"/>
      <c r="F68" s="3081"/>
      <c r="G68" s="3081"/>
      <c r="H68" s="3081"/>
      <c r="J68" s="3081"/>
      <c r="K68" s="3169"/>
      <c r="L68" s="3081"/>
      <c r="M68" s="3081"/>
      <c r="N68" s="3081"/>
      <c r="O68" s="3081"/>
      <c r="P68" s="3170"/>
      <c r="Q68" s="3081"/>
      <c r="R68" s="3170"/>
      <c r="S68" s="3081"/>
      <c r="T68" s="3081"/>
      <c r="U68" s="3081"/>
      <c r="V68" s="2393"/>
      <c r="W68" s="1946"/>
      <c r="X68" s="1946"/>
      <c r="Y68" s="2890"/>
      <c r="Z68" s="2890"/>
      <c r="AA68" s="2890"/>
      <c r="AB68" s="2890"/>
      <c r="AC68" s="2890"/>
      <c r="AD68" s="2890"/>
      <c r="AE68" s="2890"/>
      <c r="AF68" s="2890"/>
      <c r="AG68" s="2890"/>
    </row>
    <row r="69" spans="1:33" s="3082" customFormat="1" x14ac:dyDescent="0.25">
      <c r="A69" s="2393"/>
      <c r="B69" s="3178"/>
      <c r="C69" s="3168"/>
      <c r="D69" s="3081"/>
      <c r="E69" s="3168"/>
      <c r="F69" s="3081"/>
      <c r="G69" s="3081"/>
      <c r="H69" s="3081"/>
      <c r="J69" s="3081"/>
      <c r="K69" s="3169"/>
      <c r="L69" s="3081"/>
      <c r="M69" s="3081"/>
      <c r="N69" s="3081"/>
      <c r="O69" s="3081"/>
      <c r="P69" s="3170"/>
      <c r="Q69" s="3081"/>
      <c r="R69" s="3170"/>
      <c r="S69" s="3081"/>
      <c r="T69" s="3081"/>
      <c r="U69" s="3081"/>
      <c r="V69" s="2393"/>
      <c r="W69" s="1946"/>
      <c r="X69" s="1946"/>
      <c r="Y69" s="2890"/>
      <c r="Z69" s="2890"/>
      <c r="AA69" s="2890"/>
      <c r="AB69" s="2890"/>
      <c r="AC69" s="2890"/>
      <c r="AD69" s="2890"/>
      <c r="AE69" s="2890"/>
      <c r="AF69" s="2890"/>
      <c r="AG69" s="2890"/>
    </row>
    <row r="71" spans="1:33" s="3082" customFormat="1" x14ac:dyDescent="0.25">
      <c r="A71" s="2393"/>
      <c r="B71" s="3211"/>
      <c r="C71" s="3168"/>
      <c r="D71" s="3081"/>
      <c r="E71" s="3168"/>
      <c r="F71" s="3081"/>
      <c r="G71" s="3081"/>
      <c r="H71" s="3081"/>
      <c r="J71" s="3081"/>
      <c r="K71" s="3169"/>
      <c r="L71" s="3081"/>
      <c r="M71" s="3081"/>
      <c r="N71" s="3081"/>
      <c r="O71" s="3081"/>
      <c r="P71" s="3170"/>
      <c r="Q71" s="3081"/>
      <c r="R71" s="3170"/>
      <c r="S71" s="3081"/>
      <c r="T71" s="3081"/>
      <c r="U71" s="3081"/>
      <c r="V71" s="2393"/>
      <c r="W71" s="1946"/>
      <c r="X71" s="1946"/>
      <c r="Y71" s="2890"/>
      <c r="Z71" s="2890"/>
      <c r="AA71" s="2890"/>
      <c r="AB71" s="2890"/>
      <c r="AC71" s="2890"/>
      <c r="AD71" s="2890"/>
      <c r="AE71" s="2890"/>
      <c r="AF71" s="2890"/>
      <c r="AG71" s="2890"/>
    </row>
  </sheetData>
  <mergeCells count="33">
    <mergeCell ref="C6:H6"/>
    <mergeCell ref="C7:C8"/>
    <mergeCell ref="M53:O53"/>
    <mergeCell ref="P6:U6"/>
    <mergeCell ref="M5:N5"/>
    <mergeCell ref="I7:I8"/>
    <mergeCell ref="J7:J8"/>
    <mergeCell ref="L47:R47"/>
    <mergeCell ref="L48:R48"/>
    <mergeCell ref="I6:O6"/>
    <mergeCell ref="N46:U46"/>
    <mergeCell ref="B48:D48"/>
    <mergeCell ref="L49:R49"/>
    <mergeCell ref="B47:D47"/>
    <mergeCell ref="D7:D8"/>
    <mergeCell ref="E7:E8"/>
    <mergeCell ref="F7:H7"/>
    <mergeCell ref="B55:D55"/>
    <mergeCell ref="L55:R55"/>
    <mergeCell ref="S7:U7"/>
    <mergeCell ref="N1:U1"/>
    <mergeCell ref="A1:B1"/>
    <mergeCell ref="K7:K8"/>
    <mergeCell ref="L7:N7"/>
    <mergeCell ref="O7:O8"/>
    <mergeCell ref="R7:R8"/>
    <mergeCell ref="P7:P8"/>
    <mergeCell ref="Q7:Q8"/>
    <mergeCell ref="A2:U2"/>
    <mergeCell ref="A4:U4"/>
    <mergeCell ref="A6:A8"/>
    <mergeCell ref="B6:B8"/>
    <mergeCell ref="A3:U3"/>
  </mergeCells>
  <pageMargins left="0.37" right="0.15748031496063" top="0.45" bottom="0.43" header="0.31496062992126" footer="0.31496062992126"/>
  <pageSetup paperSize="9" scale="45" orientation="landscape" useFirstPageNumber="1" r:id="rId1"/>
  <headerFooter>
    <oddFooter>&amp;C&amp;P</oddFooter>
  </headerFooter>
  <colBreaks count="1" manualBreakCount="1">
    <brk id="21"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AM123"/>
  <sheetViews>
    <sheetView zoomScale="90" zoomScaleNormal="90" zoomScaleSheetLayoutView="100" zoomScalePageLayoutView="70" workbookViewId="0">
      <pane xSplit="2" ySplit="9" topLeftCell="K16" activePane="bottomRight" state="frozen"/>
      <selection pane="topRight" activeCell="C1" sqref="C1"/>
      <selection pane="bottomLeft" activeCell="A9" sqref="A9"/>
      <selection pane="bottomRight" activeCell="L17" sqref="L17"/>
    </sheetView>
  </sheetViews>
  <sheetFormatPr defaultColWidth="9" defaultRowHeight="12" x14ac:dyDescent="0.25"/>
  <cols>
    <col min="1" max="1" width="4.28515625" style="183" customWidth="1"/>
    <col min="2" max="2" width="28.42578125" style="184" customWidth="1"/>
    <col min="3" max="3" width="11.140625" style="1977" customWidth="1"/>
    <col min="4" max="14" width="11.140625" style="1978" customWidth="1"/>
    <col min="15" max="16" width="11.140625" style="183" customWidth="1"/>
    <col min="17" max="20" width="10.7109375" style="183" customWidth="1"/>
    <col min="21" max="24" width="11.140625" style="183" customWidth="1"/>
    <col min="25" max="25" width="11.140625" style="2290" customWidth="1"/>
    <col min="26" max="26" width="9" style="183"/>
    <col min="27" max="27" width="14.5703125" style="183" customWidth="1"/>
    <col min="28" max="28" width="16.5703125" style="183" customWidth="1"/>
    <col min="29" max="29" width="16.85546875" style="183" customWidth="1"/>
    <col min="30" max="30" width="9" style="3032" customWidth="1"/>
    <col min="31" max="32" width="7.5703125" style="183" customWidth="1"/>
    <col min="33" max="33" width="9" style="183"/>
    <col min="34" max="34" width="9" style="3032"/>
    <col min="35" max="37" width="12.85546875" style="183" customWidth="1"/>
    <col min="38" max="38" width="9" style="183"/>
    <col min="39" max="39" width="12.140625" style="183" customWidth="1"/>
    <col min="40" max="16384" width="9" style="183"/>
  </cols>
  <sheetData>
    <row r="1" spans="1:37" s="1982" customFormat="1" ht="32.25" customHeight="1" x14ac:dyDescent="0.25">
      <c r="A1" s="4210" t="str">
        <f>'B54'!A1:B1</f>
        <v>UBND XÃ PHONG QUANG</v>
      </c>
      <c r="B1" s="4210"/>
      <c r="C1" s="1980"/>
      <c r="D1" s="1981"/>
      <c r="E1" s="1981"/>
      <c r="F1" s="1981"/>
      <c r="G1" s="1981"/>
      <c r="H1" s="1981"/>
      <c r="I1" s="1981"/>
      <c r="J1" s="1981"/>
      <c r="K1" s="1981"/>
      <c r="L1" s="1981"/>
      <c r="Q1" s="3415"/>
      <c r="R1" s="3415"/>
      <c r="S1" s="3415"/>
      <c r="T1" s="4122" t="s">
        <v>4922</v>
      </c>
      <c r="U1" s="4198"/>
      <c r="V1" s="4198"/>
      <c r="W1" s="4198"/>
      <c r="X1" s="4198"/>
      <c r="Y1" s="2289"/>
      <c r="AD1" s="2296"/>
      <c r="AH1" s="2296"/>
    </row>
    <row r="2" spans="1:37" ht="25.5" customHeight="1" x14ac:dyDescent="0.25">
      <c r="A2" s="4201" t="s">
        <v>3610</v>
      </c>
      <c r="B2" s="4202"/>
      <c r="C2" s="4202"/>
      <c r="D2" s="4202"/>
      <c r="E2" s="4202"/>
      <c r="F2" s="4202"/>
      <c r="G2" s="4202"/>
      <c r="H2" s="4202"/>
      <c r="I2" s="4202"/>
      <c r="J2" s="4202"/>
      <c r="K2" s="4202"/>
      <c r="L2" s="4202"/>
      <c r="M2" s="4202"/>
      <c r="N2" s="4202"/>
      <c r="O2" s="4202"/>
      <c r="P2" s="4202"/>
      <c r="Q2" s="4202"/>
      <c r="R2" s="4202"/>
      <c r="S2" s="4202"/>
      <c r="T2" s="4202"/>
      <c r="U2" s="4202"/>
      <c r="V2" s="4202"/>
      <c r="W2" s="4202"/>
      <c r="X2" s="4202"/>
      <c r="Y2" s="4202"/>
    </row>
    <row r="3" spans="1:37" ht="25.5" customHeight="1" x14ac:dyDescent="0.25">
      <c r="A3" s="4201" t="s">
        <v>4912</v>
      </c>
      <c r="B3" s="4201"/>
      <c r="C3" s="4201"/>
      <c r="D3" s="4201"/>
      <c r="E3" s="4201"/>
      <c r="F3" s="4201"/>
      <c r="G3" s="4201"/>
      <c r="H3" s="4201"/>
      <c r="I3" s="4201"/>
      <c r="J3" s="4201"/>
      <c r="K3" s="4201"/>
      <c r="L3" s="4201"/>
      <c r="M3" s="4201"/>
      <c r="N3" s="4201"/>
      <c r="O3" s="4201"/>
      <c r="P3" s="4201"/>
      <c r="Q3" s="4201"/>
      <c r="R3" s="4201"/>
      <c r="S3" s="4201"/>
      <c r="T3" s="4201"/>
      <c r="U3" s="4201"/>
      <c r="V3" s="4201"/>
      <c r="W3" s="4201"/>
      <c r="X3" s="4201"/>
      <c r="Y3" s="4201"/>
    </row>
    <row r="4" spans="1:37" ht="27" customHeight="1" x14ac:dyDescent="0.25">
      <c r="A4" s="4211" t="str">
        <f>'B53'!A4:K4</f>
        <v>(Kèm theo Quyết định số         /QĐ-UBND ngày      tháng 4 năm 2026 của UBND xã Phong Quang)</v>
      </c>
      <c r="B4" s="4212"/>
      <c r="C4" s="4212"/>
      <c r="D4" s="4212"/>
      <c r="E4" s="4212"/>
      <c r="F4" s="4212"/>
      <c r="G4" s="4212"/>
      <c r="H4" s="4212"/>
      <c r="I4" s="4212"/>
      <c r="J4" s="4212"/>
      <c r="K4" s="4212"/>
      <c r="L4" s="4212"/>
      <c r="M4" s="4212"/>
      <c r="N4" s="4212"/>
      <c r="O4" s="4212"/>
      <c r="P4" s="4212"/>
      <c r="Q4" s="4212"/>
      <c r="R4" s="4212"/>
      <c r="S4" s="4212"/>
      <c r="T4" s="4212"/>
      <c r="U4" s="4212"/>
      <c r="V4" s="4212"/>
      <c r="W4" s="4212"/>
      <c r="X4" s="4212"/>
      <c r="Y4" s="4212"/>
    </row>
    <row r="5" spans="1:37" ht="15" customHeight="1" x14ac:dyDescent="0.2">
      <c r="A5" s="2398"/>
      <c r="B5" s="2399"/>
      <c r="C5" s="2935"/>
      <c r="D5" s="2321"/>
      <c r="E5" s="2936"/>
      <c r="F5" s="2936"/>
      <c r="G5" s="2937"/>
      <c r="H5" s="2321"/>
      <c r="I5" s="2936"/>
      <c r="J5" s="2936"/>
      <c r="K5" s="2936"/>
      <c r="L5" s="2321"/>
      <c r="M5" s="2936"/>
      <c r="N5" s="2936"/>
      <c r="O5" s="2938"/>
      <c r="P5" s="2936"/>
      <c r="Q5" s="2936"/>
      <c r="R5" s="2936"/>
      <c r="S5" s="2936"/>
      <c r="T5" s="2936"/>
      <c r="U5" s="2936"/>
      <c r="V5" s="4204" t="s">
        <v>3566</v>
      </c>
      <c r="W5" s="4204"/>
      <c r="X5" s="4204"/>
      <c r="Y5" s="4204"/>
    </row>
    <row r="6" spans="1:37" ht="30" customHeight="1" x14ac:dyDescent="0.25">
      <c r="A6" s="4203" t="s">
        <v>3516</v>
      </c>
      <c r="B6" s="4203" t="s">
        <v>911</v>
      </c>
      <c r="C6" s="4200" t="s">
        <v>846</v>
      </c>
      <c r="D6" s="4200" t="s">
        <v>13</v>
      </c>
      <c r="E6" s="4200" t="s">
        <v>892</v>
      </c>
      <c r="F6" s="4200" t="s">
        <v>3324</v>
      </c>
      <c r="G6" s="4200" t="s">
        <v>947</v>
      </c>
      <c r="H6" s="4200" t="s">
        <v>1476</v>
      </c>
      <c r="I6" s="4200" t="s">
        <v>948</v>
      </c>
      <c r="J6" s="4200" t="s">
        <v>949</v>
      </c>
      <c r="K6" s="4200" t="s">
        <v>545</v>
      </c>
      <c r="L6" s="4200" t="s">
        <v>1477</v>
      </c>
      <c r="M6" s="4200" t="s">
        <v>950</v>
      </c>
      <c r="N6" s="4200" t="s">
        <v>1478</v>
      </c>
      <c r="O6" s="4200" t="s">
        <v>907</v>
      </c>
      <c r="P6" s="4200"/>
      <c r="Q6" s="4200"/>
      <c r="R6" s="4200"/>
      <c r="S6" s="4200"/>
      <c r="T6" s="4200"/>
      <c r="U6" s="4200"/>
      <c r="V6" s="4205" t="s">
        <v>3325</v>
      </c>
      <c r="W6" s="4200" t="s">
        <v>3039</v>
      </c>
      <c r="X6" s="4207" t="s">
        <v>2916</v>
      </c>
      <c r="Y6" s="4208" t="s">
        <v>28</v>
      </c>
    </row>
    <row r="7" spans="1:37" s="2400" customFormat="1" ht="100.5" customHeight="1" x14ac:dyDescent="0.25">
      <c r="A7" s="4203"/>
      <c r="B7" s="4203"/>
      <c r="C7" s="4200"/>
      <c r="D7" s="4200"/>
      <c r="E7" s="4200"/>
      <c r="F7" s="4200"/>
      <c r="G7" s="4200"/>
      <c r="H7" s="4200"/>
      <c r="I7" s="4200"/>
      <c r="J7" s="4200"/>
      <c r="K7" s="4200"/>
      <c r="L7" s="4200"/>
      <c r="M7" s="4200"/>
      <c r="N7" s="4200"/>
      <c r="O7" s="3069" t="s">
        <v>550</v>
      </c>
      <c r="P7" s="3069" t="s">
        <v>3326</v>
      </c>
      <c r="Q7" s="3069" t="s">
        <v>3543</v>
      </c>
      <c r="R7" s="3070" t="s">
        <v>3544</v>
      </c>
      <c r="S7" s="3069" t="s">
        <v>3545</v>
      </c>
      <c r="T7" s="3069" t="s">
        <v>3546</v>
      </c>
      <c r="U7" s="3069" t="s">
        <v>3518</v>
      </c>
      <c r="V7" s="4206"/>
      <c r="W7" s="4200"/>
      <c r="X7" s="4207"/>
      <c r="Y7" s="4209"/>
      <c r="AI7" s="3033"/>
      <c r="AJ7" s="3033"/>
      <c r="AK7" s="3033"/>
    </row>
    <row r="8" spans="1:37" s="2400" customFormat="1" ht="23.25" customHeight="1" x14ac:dyDescent="0.25">
      <c r="A8" s="3071" t="s">
        <v>847</v>
      </c>
      <c r="B8" s="3071" t="s">
        <v>848</v>
      </c>
      <c r="C8" s="3072">
        <v>1</v>
      </c>
      <c r="D8" s="3072">
        <v>2</v>
      </c>
      <c r="E8" s="3072">
        <v>3</v>
      </c>
      <c r="F8" s="3072">
        <v>4</v>
      </c>
      <c r="G8" s="3072">
        <v>5</v>
      </c>
      <c r="H8" s="3072">
        <v>6</v>
      </c>
      <c r="I8" s="3072">
        <v>7</v>
      </c>
      <c r="J8" s="3072">
        <v>8</v>
      </c>
      <c r="K8" s="3072">
        <v>9</v>
      </c>
      <c r="L8" s="3072">
        <v>10</v>
      </c>
      <c r="M8" s="3072">
        <v>11</v>
      </c>
      <c r="N8" s="3072">
        <v>12</v>
      </c>
      <c r="O8" s="3072" t="s">
        <v>3327</v>
      </c>
      <c r="P8" s="3072" t="s">
        <v>3328</v>
      </c>
      <c r="Q8" s="3072" t="s">
        <v>3547</v>
      </c>
      <c r="R8" s="3072" t="s">
        <v>3548</v>
      </c>
      <c r="S8" s="3072" t="s">
        <v>3549</v>
      </c>
      <c r="T8" s="3072" t="s">
        <v>3550</v>
      </c>
      <c r="U8" s="3072" t="s">
        <v>3551</v>
      </c>
      <c r="V8" s="3072">
        <v>13</v>
      </c>
      <c r="W8" s="3072">
        <v>14</v>
      </c>
      <c r="X8" s="3072">
        <v>15</v>
      </c>
      <c r="Y8" s="3073" t="s">
        <v>3329</v>
      </c>
      <c r="AA8" s="3034"/>
    </row>
    <row r="9" spans="1:37" s="2336" customFormat="1" ht="22.5" customHeight="1" x14ac:dyDescent="0.25">
      <c r="A9" s="3490"/>
      <c r="B9" s="3074" t="s">
        <v>1516</v>
      </c>
      <c r="C9" s="3280">
        <f>C10</f>
        <v>8056280</v>
      </c>
      <c r="D9" s="3280">
        <f t="shared" ref="D9:X9" si="0">D10</f>
        <v>6407462.1730000004</v>
      </c>
      <c r="E9" s="3280">
        <f t="shared" si="0"/>
        <v>3778124</v>
      </c>
      <c r="F9" s="3280">
        <f t="shared" si="0"/>
        <v>0</v>
      </c>
      <c r="G9" s="3280">
        <f t="shared" si="0"/>
        <v>0</v>
      </c>
      <c r="H9" s="3280">
        <f t="shared" si="0"/>
        <v>0</v>
      </c>
      <c r="I9" s="3280">
        <f t="shared" si="0"/>
        <v>0</v>
      </c>
      <c r="J9" s="3280">
        <f t="shared" si="0"/>
        <v>0</v>
      </c>
      <c r="K9" s="3280">
        <f t="shared" si="0"/>
        <v>0</v>
      </c>
      <c r="L9" s="3280">
        <f t="shared" si="0"/>
        <v>39700</v>
      </c>
      <c r="M9" s="3280">
        <f t="shared" si="0"/>
        <v>0</v>
      </c>
      <c r="N9" s="3280">
        <f t="shared" si="0"/>
        <v>2589640</v>
      </c>
      <c r="O9" s="3288">
        <f t="shared" si="0"/>
        <v>61619</v>
      </c>
      <c r="P9" s="3288">
        <f t="shared" si="0"/>
        <v>1307420</v>
      </c>
      <c r="Q9" s="3288">
        <f t="shared" si="0"/>
        <v>0</v>
      </c>
      <c r="R9" s="3288">
        <f t="shared" si="0"/>
        <v>0</v>
      </c>
      <c r="S9" s="3288">
        <f t="shared" si="0"/>
        <v>0</v>
      </c>
      <c r="T9" s="3288">
        <f t="shared" si="0"/>
        <v>0</v>
      </c>
      <c r="U9" s="3288">
        <f t="shared" si="0"/>
        <v>912601</v>
      </c>
      <c r="V9" s="3280">
        <f t="shared" si="0"/>
        <v>0</v>
      </c>
      <c r="W9" s="3280">
        <f t="shared" si="0"/>
        <v>308000</v>
      </c>
      <c r="X9" s="3280">
        <f t="shared" si="0"/>
        <v>0</v>
      </c>
      <c r="Y9" s="3035">
        <f t="shared" ref="Y9:Y19" si="1">D9/C9</f>
        <v>0.79533757180733544</v>
      </c>
      <c r="AB9" s="3036"/>
      <c r="AC9" s="3036"/>
      <c r="AD9" s="3037"/>
      <c r="AH9" s="3038"/>
    </row>
    <row r="10" spans="1:37" s="918" customFormat="1" ht="22.5" customHeight="1" x14ac:dyDescent="0.25">
      <c r="A10" s="3490" t="s">
        <v>849</v>
      </c>
      <c r="B10" s="3075" t="s">
        <v>726</v>
      </c>
      <c r="C10" s="3281">
        <f t="shared" ref="C10:X10" si="2">SUM(C12:C25)</f>
        <v>8056280</v>
      </c>
      <c r="D10" s="3281">
        <f t="shared" si="2"/>
        <v>6407462.1730000004</v>
      </c>
      <c r="E10" s="3281">
        <f t="shared" si="2"/>
        <v>3778124</v>
      </c>
      <c r="F10" s="3281">
        <f t="shared" si="2"/>
        <v>0</v>
      </c>
      <c r="G10" s="3281">
        <f t="shared" si="2"/>
        <v>0</v>
      </c>
      <c r="H10" s="3281">
        <f t="shared" si="2"/>
        <v>0</v>
      </c>
      <c r="I10" s="3281">
        <f t="shared" si="2"/>
        <v>0</v>
      </c>
      <c r="J10" s="3281">
        <f t="shared" si="2"/>
        <v>0</v>
      </c>
      <c r="K10" s="3281">
        <f t="shared" si="2"/>
        <v>0</v>
      </c>
      <c r="L10" s="3281">
        <f t="shared" si="2"/>
        <v>39700</v>
      </c>
      <c r="M10" s="3281">
        <f t="shared" si="2"/>
        <v>0</v>
      </c>
      <c r="N10" s="3281">
        <f t="shared" si="2"/>
        <v>2589640</v>
      </c>
      <c r="O10" s="3289">
        <f t="shared" si="2"/>
        <v>61619</v>
      </c>
      <c r="P10" s="3289">
        <f t="shared" si="2"/>
        <v>1307420</v>
      </c>
      <c r="Q10" s="3289">
        <f t="shared" si="2"/>
        <v>0</v>
      </c>
      <c r="R10" s="3289">
        <f t="shared" si="2"/>
        <v>0</v>
      </c>
      <c r="S10" s="3289">
        <f t="shared" si="2"/>
        <v>0</v>
      </c>
      <c r="T10" s="3289">
        <f t="shared" si="2"/>
        <v>0</v>
      </c>
      <c r="U10" s="3289">
        <f t="shared" si="2"/>
        <v>912601</v>
      </c>
      <c r="V10" s="3281">
        <f t="shared" si="2"/>
        <v>0</v>
      </c>
      <c r="W10" s="3281">
        <f t="shared" si="2"/>
        <v>308000</v>
      </c>
      <c r="X10" s="3281">
        <f t="shared" si="2"/>
        <v>0</v>
      </c>
      <c r="Y10" s="3039">
        <f t="shared" si="1"/>
        <v>0.79533757180733544</v>
      </c>
      <c r="AA10" s="3040"/>
      <c r="AB10" s="3036"/>
      <c r="AC10" s="3036"/>
      <c r="AD10" s="3037"/>
      <c r="AH10" s="3037"/>
    </row>
    <row r="11" spans="1:37" s="918" customFormat="1" ht="22.5" customHeight="1" x14ac:dyDescent="0.25">
      <c r="A11" s="3490"/>
      <c r="B11" s="3285" t="s">
        <v>3625</v>
      </c>
      <c r="C11" s="3281">
        <f>SUM(C12:C24)</f>
        <v>8056280</v>
      </c>
      <c r="D11" s="3281">
        <f t="shared" ref="D11:X11" si="3">SUM(D12:D24)</f>
        <v>6407462.1730000004</v>
      </c>
      <c r="E11" s="3281">
        <f t="shared" si="3"/>
        <v>3778124</v>
      </c>
      <c r="F11" s="3281">
        <f t="shared" si="3"/>
        <v>0</v>
      </c>
      <c r="G11" s="3281">
        <f t="shared" si="3"/>
        <v>0</v>
      </c>
      <c r="H11" s="3281">
        <f t="shared" si="3"/>
        <v>0</v>
      </c>
      <c r="I11" s="3281">
        <f t="shared" si="3"/>
        <v>0</v>
      </c>
      <c r="J11" s="3281">
        <f t="shared" si="3"/>
        <v>0</v>
      </c>
      <c r="K11" s="3281">
        <f t="shared" si="3"/>
        <v>0</v>
      </c>
      <c r="L11" s="3281">
        <f t="shared" si="3"/>
        <v>39700</v>
      </c>
      <c r="M11" s="3281">
        <f t="shared" si="3"/>
        <v>0</v>
      </c>
      <c r="N11" s="3281">
        <f t="shared" si="3"/>
        <v>2589640</v>
      </c>
      <c r="O11" s="3281">
        <f t="shared" si="3"/>
        <v>61619</v>
      </c>
      <c r="P11" s="3281">
        <f t="shared" si="3"/>
        <v>1307420</v>
      </c>
      <c r="Q11" s="3281">
        <f t="shared" si="3"/>
        <v>0</v>
      </c>
      <c r="R11" s="3281">
        <f t="shared" si="3"/>
        <v>0</v>
      </c>
      <c r="S11" s="3281">
        <f t="shared" si="3"/>
        <v>0</v>
      </c>
      <c r="T11" s="3281">
        <f t="shared" si="3"/>
        <v>0</v>
      </c>
      <c r="U11" s="3281">
        <f t="shared" si="3"/>
        <v>912601</v>
      </c>
      <c r="V11" s="3281">
        <f t="shared" si="3"/>
        <v>0</v>
      </c>
      <c r="W11" s="3281">
        <f t="shared" si="3"/>
        <v>308000</v>
      </c>
      <c r="X11" s="3281">
        <f t="shared" si="3"/>
        <v>0</v>
      </c>
      <c r="Y11" s="3039"/>
      <c r="AA11" s="3040"/>
      <c r="AB11" s="3036"/>
      <c r="AC11" s="3036"/>
      <c r="AD11" s="3037"/>
      <c r="AH11" s="3037"/>
    </row>
    <row r="12" spans="1:37" s="918" customFormat="1" ht="53.25" customHeight="1" x14ac:dyDescent="0.25">
      <c r="A12" s="3071">
        <v>1</v>
      </c>
      <c r="B12" s="3278" t="s">
        <v>3612</v>
      </c>
      <c r="C12" s="3290">
        <v>0</v>
      </c>
      <c r="D12" s="3290">
        <v>457726.6</v>
      </c>
      <c r="E12" s="3286"/>
      <c r="F12" s="3118"/>
      <c r="G12" s="3118">
        <v>0</v>
      </c>
      <c r="H12" s="3118"/>
      <c r="I12" s="3118">
        <v>0</v>
      </c>
      <c r="J12" s="3118"/>
      <c r="K12" s="3118">
        <v>0</v>
      </c>
      <c r="L12" s="3282">
        <v>0</v>
      </c>
      <c r="M12" s="3118">
        <v>0</v>
      </c>
      <c r="N12" s="3282">
        <v>457727</v>
      </c>
      <c r="O12" s="3119"/>
      <c r="P12" s="3119"/>
      <c r="Q12" s="3119"/>
      <c r="R12" s="3119"/>
      <c r="S12" s="3119"/>
      <c r="T12" s="3119">
        <v>0</v>
      </c>
      <c r="U12" s="3287">
        <v>457727</v>
      </c>
      <c r="V12" s="3118"/>
      <c r="W12" s="3118"/>
      <c r="X12" s="3118"/>
      <c r="Y12" s="3039"/>
      <c r="AB12" s="3036"/>
      <c r="AC12" s="3036"/>
      <c r="AD12" s="3037"/>
      <c r="AH12" s="3037"/>
    </row>
    <row r="13" spans="1:37" s="918" customFormat="1" ht="46.5" customHeight="1" x14ac:dyDescent="0.25">
      <c r="A13" s="3071">
        <v>2</v>
      </c>
      <c r="B13" s="3278" t="s">
        <v>3613</v>
      </c>
      <c r="C13" s="3282">
        <v>2056482</v>
      </c>
      <c r="D13" s="3282">
        <v>1164307</v>
      </c>
      <c r="E13" s="3286">
        <v>1164307</v>
      </c>
      <c r="F13" s="3118"/>
      <c r="G13" s="3118"/>
      <c r="H13" s="3118"/>
      <c r="I13" s="3118"/>
      <c r="J13" s="3118"/>
      <c r="K13" s="3118"/>
      <c r="L13" s="3282">
        <v>0</v>
      </c>
      <c r="M13" s="3118"/>
      <c r="N13" s="3282">
        <v>0</v>
      </c>
      <c r="O13" s="3119"/>
      <c r="P13" s="3119"/>
      <c r="Q13" s="3119"/>
      <c r="R13" s="3119"/>
      <c r="S13" s="3119"/>
      <c r="T13" s="3119"/>
      <c r="U13" s="3119"/>
      <c r="V13" s="3118"/>
      <c r="W13" s="3118"/>
      <c r="X13" s="3118"/>
      <c r="Y13" s="3039"/>
      <c r="AB13" s="3036"/>
      <c r="AC13" s="3036"/>
      <c r="AD13" s="3037"/>
      <c r="AH13" s="3037"/>
    </row>
    <row r="14" spans="1:37" s="918" customFormat="1" ht="53.25" customHeight="1" x14ac:dyDescent="0.25">
      <c r="A14" s="3071">
        <v>3</v>
      </c>
      <c r="B14" s="3278" t="s">
        <v>3614</v>
      </c>
      <c r="C14" s="3283">
        <v>1556973</v>
      </c>
      <c r="D14" s="3768">
        <v>1152187.6000000001</v>
      </c>
      <c r="E14" s="3286">
        <v>1152188</v>
      </c>
      <c r="F14" s="3118"/>
      <c r="G14" s="3118"/>
      <c r="H14" s="3118"/>
      <c r="I14" s="3118"/>
      <c r="J14" s="3118"/>
      <c r="K14" s="3118"/>
      <c r="L14" s="3282">
        <v>0</v>
      </c>
      <c r="M14" s="3118"/>
      <c r="N14" s="3282">
        <v>0</v>
      </c>
      <c r="O14" s="3119"/>
      <c r="P14" s="3119"/>
      <c r="Q14" s="3119"/>
      <c r="R14" s="3119"/>
      <c r="S14" s="3119"/>
      <c r="T14" s="3119"/>
      <c r="U14" s="3119"/>
      <c r="V14" s="3118"/>
      <c r="W14" s="3118"/>
      <c r="X14" s="3118"/>
      <c r="Y14" s="3039">
        <f t="shared" si="1"/>
        <v>0.74001771385887882</v>
      </c>
      <c r="AB14" s="3036"/>
      <c r="AC14" s="3036"/>
      <c r="AD14" s="3037"/>
      <c r="AH14" s="3037"/>
    </row>
    <row r="15" spans="1:37" s="918" customFormat="1" ht="66.75" customHeight="1" x14ac:dyDescent="0.25">
      <c r="A15" s="3071">
        <v>4</v>
      </c>
      <c r="B15" s="3278" t="s">
        <v>3615</v>
      </c>
      <c r="C15" s="3282">
        <v>1838780</v>
      </c>
      <c r="D15" s="3282">
        <v>1461628.5190000001</v>
      </c>
      <c r="E15" s="3286">
        <v>1461629</v>
      </c>
      <c r="F15" s="3769"/>
      <c r="G15" s="3118"/>
      <c r="H15" s="3118"/>
      <c r="I15" s="3118"/>
      <c r="J15" s="3118"/>
      <c r="K15" s="3118"/>
      <c r="L15" s="3282">
        <v>0</v>
      </c>
      <c r="M15" s="3118"/>
      <c r="N15" s="3282">
        <v>0</v>
      </c>
      <c r="O15" s="3119"/>
      <c r="P15" s="3119"/>
      <c r="Q15" s="3119"/>
      <c r="R15" s="3119"/>
      <c r="S15" s="3119"/>
      <c r="T15" s="3119"/>
      <c r="U15" s="3119"/>
      <c r="V15" s="3118"/>
      <c r="W15" s="3118"/>
      <c r="X15" s="3118"/>
      <c r="Y15" s="3039">
        <f t="shared" si="1"/>
        <v>0.79489037242084426</v>
      </c>
      <c r="AB15" s="3036"/>
      <c r="AC15" s="3036"/>
      <c r="AD15" s="3037"/>
      <c r="AH15" s="3037"/>
    </row>
    <row r="16" spans="1:37" s="918" customFormat="1" ht="53.25" customHeight="1" x14ac:dyDescent="0.25">
      <c r="A16" s="3071">
        <v>5</v>
      </c>
      <c r="B16" s="3278" t="s">
        <v>3616</v>
      </c>
      <c r="C16" s="3282">
        <f>500000/2</f>
        <v>250000</v>
      </c>
      <c r="D16" s="3282">
        <v>190884.864</v>
      </c>
      <c r="E16" s="3286">
        <v>0</v>
      </c>
      <c r="F16" s="3118"/>
      <c r="G16" s="3118"/>
      <c r="H16" s="3118"/>
      <c r="I16" s="3118"/>
      <c r="J16" s="3118"/>
      <c r="K16" s="3118"/>
      <c r="L16" s="3282">
        <v>0</v>
      </c>
      <c r="M16" s="3118"/>
      <c r="N16" s="3282">
        <v>190885</v>
      </c>
      <c r="O16" s="3119"/>
      <c r="P16" s="3119"/>
      <c r="Q16" s="3119"/>
      <c r="R16" s="3119"/>
      <c r="S16" s="3119"/>
      <c r="T16" s="3119"/>
      <c r="U16" s="3287">
        <v>190885</v>
      </c>
      <c r="V16" s="3118"/>
      <c r="W16" s="3118"/>
      <c r="X16" s="3118"/>
      <c r="Y16" s="3039"/>
      <c r="AB16" s="3036"/>
      <c r="AC16" s="3036"/>
      <c r="AD16" s="3037"/>
      <c r="AH16" s="3037"/>
    </row>
    <row r="17" spans="1:39" s="191" customFormat="1" ht="41.25" customHeight="1" x14ac:dyDescent="0.25">
      <c r="A17" s="3071">
        <v>6</v>
      </c>
      <c r="B17" s="3278" t="s">
        <v>3617</v>
      </c>
      <c r="C17" s="3282">
        <f>79400/2</f>
        <v>39700</v>
      </c>
      <c r="D17" s="3282">
        <v>39700</v>
      </c>
      <c r="E17" s="3286">
        <v>0</v>
      </c>
      <c r="F17" s="3118"/>
      <c r="G17" s="3118"/>
      <c r="H17" s="3118"/>
      <c r="I17" s="3118"/>
      <c r="J17" s="3118"/>
      <c r="K17" s="3118"/>
      <c r="L17" s="3283">
        <v>39700</v>
      </c>
      <c r="M17" s="3118"/>
      <c r="N17" s="3282">
        <v>0</v>
      </c>
      <c r="O17" s="3119"/>
      <c r="P17" s="3119"/>
      <c r="Q17" s="3119"/>
      <c r="R17" s="3119"/>
      <c r="S17" s="3119"/>
      <c r="T17" s="3119"/>
      <c r="U17" s="3119"/>
      <c r="V17" s="3118"/>
      <c r="W17" s="3118"/>
      <c r="X17" s="3118"/>
      <c r="Y17" s="3039">
        <f t="shared" si="1"/>
        <v>1</v>
      </c>
      <c r="AA17" s="918"/>
      <c r="AB17" s="3041"/>
      <c r="AC17" s="3041"/>
      <c r="AD17" s="3042"/>
      <c r="AH17" s="3042"/>
    </row>
    <row r="18" spans="1:39" s="191" customFormat="1" ht="41.25" customHeight="1" x14ac:dyDescent="0.25">
      <c r="A18" s="3071">
        <v>7</v>
      </c>
      <c r="B18" s="3284" t="s">
        <v>3618</v>
      </c>
      <c r="C18" s="3282">
        <f>130400/2</f>
        <v>65200</v>
      </c>
      <c r="D18" s="3282">
        <v>61618.8</v>
      </c>
      <c r="E18" s="3286">
        <v>0</v>
      </c>
      <c r="F18" s="3118"/>
      <c r="G18" s="3118"/>
      <c r="H18" s="3118"/>
      <c r="I18" s="3118"/>
      <c r="J18" s="3118"/>
      <c r="K18" s="3118"/>
      <c r="L18" s="3282">
        <v>0</v>
      </c>
      <c r="M18" s="3118"/>
      <c r="N18" s="3282">
        <v>61619</v>
      </c>
      <c r="O18" s="3287">
        <v>61619</v>
      </c>
      <c r="P18" s="3119"/>
      <c r="Q18" s="3119"/>
      <c r="R18" s="3119"/>
      <c r="S18" s="3119"/>
      <c r="T18" s="3119"/>
      <c r="U18" s="3119"/>
      <c r="V18" s="3118"/>
      <c r="W18" s="3118"/>
      <c r="X18" s="3118"/>
      <c r="Y18" s="3039">
        <f t="shared" si="1"/>
        <v>0.94507361963190184</v>
      </c>
      <c r="AB18" s="3041"/>
      <c r="AC18" s="3041"/>
      <c r="AD18" s="3042"/>
      <c r="AH18" s="3042"/>
    </row>
    <row r="19" spans="1:39" s="191" customFormat="1" ht="41.25" customHeight="1" x14ac:dyDescent="0.25">
      <c r="A19" s="3071">
        <v>8</v>
      </c>
      <c r="B19" s="3278" t="s">
        <v>3619</v>
      </c>
      <c r="C19" s="3282">
        <v>109278</v>
      </c>
      <c r="D19" s="3768">
        <v>74080.600000000006</v>
      </c>
      <c r="E19" s="3286">
        <v>0</v>
      </c>
      <c r="F19" s="3118"/>
      <c r="G19" s="3118"/>
      <c r="H19" s="3118"/>
      <c r="I19" s="3118"/>
      <c r="J19" s="3118"/>
      <c r="K19" s="3118"/>
      <c r="L19" s="3282">
        <v>0</v>
      </c>
      <c r="M19" s="3118"/>
      <c r="N19" s="3282">
        <v>74081</v>
      </c>
      <c r="O19" s="3119"/>
      <c r="P19" s="3287">
        <v>74081</v>
      </c>
      <c r="Q19" s="3119"/>
      <c r="R19" s="3119"/>
      <c r="S19" s="3119"/>
      <c r="T19" s="3119"/>
      <c r="U19" s="3119"/>
      <c r="V19" s="3118"/>
      <c r="W19" s="3118"/>
      <c r="X19" s="3118"/>
      <c r="Y19" s="3039">
        <f t="shared" si="1"/>
        <v>0.67790955178535484</v>
      </c>
      <c r="AB19" s="3041"/>
      <c r="AC19" s="3041"/>
      <c r="AD19" s="3042"/>
      <c r="AH19" s="3042"/>
    </row>
    <row r="20" spans="1:39" s="191" customFormat="1" ht="41.25" customHeight="1" x14ac:dyDescent="0.25">
      <c r="A20" s="3071">
        <v>9</v>
      </c>
      <c r="B20" s="3278" t="s">
        <v>3620</v>
      </c>
      <c r="C20" s="3282">
        <v>107800</v>
      </c>
      <c r="D20" s="3282">
        <v>103536</v>
      </c>
      <c r="E20" s="3286">
        <v>0</v>
      </c>
      <c r="F20" s="3118"/>
      <c r="G20" s="3118"/>
      <c r="H20" s="3118"/>
      <c r="I20" s="3118"/>
      <c r="J20" s="3118"/>
      <c r="K20" s="3118"/>
      <c r="L20" s="3282">
        <v>0</v>
      </c>
      <c r="M20" s="3118"/>
      <c r="N20" s="3282">
        <v>103536</v>
      </c>
      <c r="O20" s="3119"/>
      <c r="P20" s="3287">
        <v>103536</v>
      </c>
      <c r="Q20" s="3119"/>
      <c r="R20" s="3119"/>
      <c r="S20" s="3119"/>
      <c r="T20" s="3119"/>
      <c r="U20" s="3119"/>
      <c r="V20" s="3118"/>
      <c r="W20" s="3118"/>
      <c r="X20" s="3118"/>
      <c r="Y20" s="3039"/>
      <c r="AB20" s="3041"/>
      <c r="AC20" s="3041"/>
      <c r="AD20" s="3042"/>
      <c r="AH20" s="3042"/>
    </row>
    <row r="21" spans="1:39" s="191" customFormat="1" ht="54.75" customHeight="1" x14ac:dyDescent="0.25">
      <c r="A21" s="3071">
        <v>10</v>
      </c>
      <c r="B21" s="3278" t="s">
        <v>3621</v>
      </c>
      <c r="C21" s="3282">
        <f>585334/2</f>
        <v>292667</v>
      </c>
      <c r="D21" s="3282">
        <v>263988.93699999998</v>
      </c>
      <c r="E21" s="3118">
        <v>0</v>
      </c>
      <c r="F21" s="3118"/>
      <c r="G21" s="3118"/>
      <c r="H21" s="3118"/>
      <c r="I21" s="3118"/>
      <c r="J21" s="3118"/>
      <c r="K21" s="3118"/>
      <c r="L21" s="3282">
        <v>0</v>
      </c>
      <c r="M21" s="3118"/>
      <c r="N21" s="3282">
        <v>263989</v>
      </c>
      <c r="O21" s="3119"/>
      <c r="P21" s="3119"/>
      <c r="Q21" s="3119"/>
      <c r="R21" s="3119"/>
      <c r="S21" s="3119"/>
      <c r="T21" s="3119"/>
      <c r="U21" s="3287">
        <v>263989</v>
      </c>
      <c r="V21" s="3118"/>
      <c r="W21" s="3118"/>
      <c r="X21" s="3118"/>
      <c r="Y21" s="3039"/>
      <c r="AB21" s="3041"/>
      <c r="AC21" s="3041"/>
      <c r="AD21" s="3042"/>
      <c r="AH21" s="3042"/>
    </row>
    <row r="22" spans="1:39" s="191" customFormat="1" ht="41.25" customHeight="1" x14ac:dyDescent="0.25">
      <c r="A22" s="3071"/>
      <c r="B22" s="3278" t="s">
        <v>3622</v>
      </c>
      <c r="C22" s="3282">
        <f>1827000/2</f>
        <v>913500</v>
      </c>
      <c r="D22" s="3282">
        <v>623866.78599999996</v>
      </c>
      <c r="E22" s="3118"/>
      <c r="F22" s="3118"/>
      <c r="G22" s="3118"/>
      <c r="H22" s="3118"/>
      <c r="I22" s="3118"/>
      <c r="J22" s="3118"/>
      <c r="K22" s="3118"/>
      <c r="L22" s="3118"/>
      <c r="M22" s="3118"/>
      <c r="N22" s="3282">
        <v>623867</v>
      </c>
      <c r="O22" s="3119"/>
      <c r="P22" s="3287">
        <v>623867</v>
      </c>
      <c r="Q22" s="3119"/>
      <c r="R22" s="3119"/>
      <c r="S22" s="3119"/>
      <c r="T22" s="3119"/>
      <c r="U22" s="3119"/>
      <c r="V22" s="3118"/>
      <c r="W22" s="3118"/>
      <c r="X22" s="3118"/>
      <c r="Y22" s="3039"/>
      <c r="AB22" s="3041"/>
      <c r="AC22" s="3041"/>
      <c r="AD22" s="3042"/>
      <c r="AH22" s="3042"/>
    </row>
    <row r="23" spans="1:39" s="191" customFormat="1" ht="51.75" customHeight="1" x14ac:dyDescent="0.25">
      <c r="A23" s="3071"/>
      <c r="B23" s="3278" t="s">
        <v>3623</v>
      </c>
      <c r="C23" s="3282">
        <f>616000/2</f>
        <v>308000</v>
      </c>
      <c r="D23" s="3282">
        <v>308000</v>
      </c>
      <c r="E23" s="3118"/>
      <c r="F23" s="3118"/>
      <c r="G23" s="3118"/>
      <c r="H23" s="3118"/>
      <c r="I23" s="3118"/>
      <c r="J23" s="3118"/>
      <c r="K23" s="3118"/>
      <c r="L23" s="3118"/>
      <c r="M23" s="3118"/>
      <c r="N23" s="3282">
        <v>308000</v>
      </c>
      <c r="O23" s="3119"/>
      <c r="P23" s="3119"/>
      <c r="Q23" s="3119"/>
      <c r="R23" s="3119"/>
      <c r="S23" s="3119"/>
      <c r="T23" s="3287"/>
      <c r="U23" s="3119"/>
      <c r="V23" s="3118"/>
      <c r="W23" s="3282">
        <v>308000</v>
      </c>
      <c r="X23" s="3118"/>
      <c r="Y23" s="3039"/>
      <c r="AB23" s="3041"/>
      <c r="AC23" s="3041"/>
      <c r="AD23" s="3042"/>
      <c r="AH23" s="3042"/>
    </row>
    <row r="24" spans="1:39" s="191" customFormat="1" ht="41.25" customHeight="1" x14ac:dyDescent="0.25">
      <c r="A24" s="3071"/>
      <c r="B24" s="3278" t="s">
        <v>3624</v>
      </c>
      <c r="C24" s="3282">
        <v>517900</v>
      </c>
      <c r="D24" s="3282">
        <v>505936.467</v>
      </c>
      <c r="E24" s="3118"/>
      <c r="F24" s="3118"/>
      <c r="G24" s="3118"/>
      <c r="H24" s="3118"/>
      <c r="I24" s="3118"/>
      <c r="J24" s="3118"/>
      <c r="K24" s="3118"/>
      <c r="L24" s="3118"/>
      <c r="M24" s="3118"/>
      <c r="N24" s="3282">
        <v>505936</v>
      </c>
      <c r="O24" s="3119"/>
      <c r="P24" s="3287">
        <v>505936</v>
      </c>
      <c r="Q24" s="3119"/>
      <c r="R24" s="3119"/>
      <c r="S24" s="3119"/>
      <c r="T24" s="3119"/>
      <c r="U24" s="3119"/>
      <c r="V24" s="3118"/>
      <c r="W24" s="3118"/>
      <c r="X24" s="3118"/>
      <c r="Y24" s="3039"/>
      <c r="AB24" s="3041"/>
      <c r="AC24" s="3041"/>
      <c r="AD24" s="3042"/>
      <c r="AH24" s="3042"/>
    </row>
    <row r="25" spans="1:39" s="191" customFormat="1" ht="30" customHeight="1" x14ac:dyDescent="0.2">
      <c r="A25" s="3071"/>
      <c r="B25" s="3770"/>
      <c r="C25" s="3771"/>
      <c r="D25" s="3769"/>
      <c r="E25" s="3772"/>
      <c r="F25" s="3772"/>
      <c r="G25" s="3772"/>
      <c r="H25" s="3772"/>
      <c r="I25" s="3772"/>
      <c r="J25" s="3772"/>
      <c r="K25" s="3772"/>
      <c r="L25" s="3772"/>
      <c r="M25" s="3772"/>
      <c r="N25" s="3118"/>
      <c r="O25" s="3773"/>
      <c r="P25" s="3119"/>
      <c r="Q25" s="3119"/>
      <c r="R25" s="3119"/>
      <c r="S25" s="3119"/>
      <c r="T25" s="3119"/>
      <c r="U25" s="3119"/>
      <c r="V25" s="3772"/>
      <c r="W25" s="3772"/>
      <c r="X25" s="3772"/>
      <c r="Y25" s="3039"/>
      <c r="AB25" s="188"/>
      <c r="AC25" s="188"/>
      <c r="AD25" s="3528"/>
      <c r="AE25" s="249"/>
      <c r="AF25" s="249"/>
      <c r="AH25" s="3042"/>
      <c r="AI25" s="250"/>
      <c r="AJ25" s="250"/>
      <c r="AK25" s="250"/>
      <c r="AM25" s="249"/>
    </row>
    <row r="26" spans="1:39" ht="15.75" customHeight="1" x14ac:dyDescent="0.25">
      <c r="AA26" s="7"/>
      <c r="AB26" s="1064"/>
      <c r="AC26" s="1064"/>
      <c r="AD26" s="3043"/>
      <c r="AE26" s="3044"/>
      <c r="AF26" s="3044"/>
      <c r="AI26" s="3045"/>
      <c r="AJ26" s="3045"/>
      <c r="AK26" s="3045"/>
      <c r="AM26" s="3046" t="e">
        <f>#REF!/1000000</f>
        <v>#REF!</v>
      </c>
    </row>
    <row r="27" spans="1:39" ht="21.75" hidden="1" customHeight="1" x14ac:dyDescent="0.25">
      <c r="P27" s="4199" t="s">
        <v>3571</v>
      </c>
      <c r="Q27" s="4199"/>
      <c r="R27" s="4199"/>
      <c r="S27" s="4199"/>
      <c r="T27" s="4199"/>
      <c r="AA27" s="7"/>
      <c r="AB27" s="1064"/>
      <c r="AC27" s="1064"/>
      <c r="AD27" s="3043"/>
      <c r="AE27" s="3044"/>
      <c r="AF27" s="3044"/>
      <c r="AI27" s="3045"/>
      <c r="AJ27" s="3045"/>
      <c r="AK27" s="3045"/>
      <c r="AM27" s="3046"/>
    </row>
    <row r="28" spans="1:39" s="949" customFormat="1" ht="27" hidden="1" customHeight="1" x14ac:dyDescent="0.3">
      <c r="B28" s="4197" t="s">
        <v>3573</v>
      </c>
      <c r="C28" s="4197"/>
      <c r="D28" s="4197"/>
      <c r="E28" s="3047"/>
      <c r="F28" s="3048"/>
      <c r="G28" s="3048"/>
      <c r="H28" s="2772"/>
      <c r="I28" s="3049"/>
      <c r="J28" s="2772"/>
      <c r="K28" s="3050"/>
      <c r="L28" s="3938" t="s">
        <v>638</v>
      </c>
      <c r="M28" s="3938"/>
      <c r="N28" s="3938"/>
      <c r="O28" s="3938"/>
      <c r="P28" s="3938"/>
      <c r="Q28" s="3938"/>
      <c r="R28" s="3938"/>
      <c r="S28" s="3938"/>
      <c r="T28" s="3938"/>
      <c r="U28" s="3938"/>
      <c r="V28" s="3938"/>
      <c r="W28" s="3938"/>
      <c r="X28" s="3938"/>
      <c r="Y28" s="3938"/>
      <c r="AB28" s="3051"/>
      <c r="AC28" s="948"/>
      <c r="AD28" s="3052"/>
      <c r="AH28" s="3053"/>
      <c r="AI28" s="948"/>
      <c r="AJ28" s="948"/>
      <c r="AK28" s="948"/>
      <c r="AM28" s="3054"/>
    </row>
    <row r="29" spans="1:39" s="949" customFormat="1" ht="18.75" hidden="1" customHeight="1" x14ac:dyDescent="0.3">
      <c r="B29" s="4197" t="s">
        <v>3720</v>
      </c>
      <c r="C29" s="4197"/>
      <c r="D29" s="4197"/>
      <c r="E29" s="3047"/>
      <c r="F29" s="3048"/>
      <c r="G29" s="3048"/>
      <c r="H29" s="2772"/>
      <c r="I29" s="3049"/>
      <c r="J29" s="2772"/>
      <c r="K29" s="3050"/>
      <c r="L29" s="3938" t="s">
        <v>639</v>
      </c>
      <c r="M29" s="3938"/>
      <c r="N29" s="3938"/>
      <c r="O29" s="3938"/>
      <c r="P29" s="3938"/>
      <c r="Q29" s="3938"/>
      <c r="R29" s="3938"/>
      <c r="S29" s="3938"/>
      <c r="T29" s="3938"/>
      <c r="U29" s="3938"/>
      <c r="V29" s="3938"/>
      <c r="W29" s="3938"/>
      <c r="X29" s="3938"/>
      <c r="Y29" s="3938"/>
      <c r="AB29" s="948"/>
      <c r="AC29" s="948"/>
      <c r="AD29" s="4195"/>
      <c r="AE29" s="3054"/>
      <c r="AF29" s="3054"/>
      <c r="AH29" s="3053"/>
      <c r="AI29" s="948"/>
      <c r="AJ29" s="948"/>
      <c r="AK29" s="948"/>
    </row>
    <row r="30" spans="1:39" s="949" customFormat="1" ht="23.25" hidden="1" customHeight="1" x14ac:dyDescent="0.3">
      <c r="B30" s="3491"/>
      <c r="C30" s="3047"/>
      <c r="D30" s="3048"/>
      <c r="E30" s="3047"/>
      <c r="F30" s="3048"/>
      <c r="G30" s="3048"/>
      <c r="H30" s="2772"/>
      <c r="I30" s="3049"/>
      <c r="J30" s="2772"/>
      <c r="K30" s="3050"/>
      <c r="L30" s="3938"/>
      <c r="M30" s="3938"/>
      <c r="N30" s="3938"/>
      <c r="O30" s="3938"/>
      <c r="P30" s="3938"/>
      <c r="Q30" s="3938"/>
      <c r="R30" s="3938"/>
      <c r="S30" s="3938"/>
      <c r="T30" s="3938"/>
      <c r="U30" s="3938"/>
      <c r="V30" s="3938"/>
      <c r="W30" s="3938"/>
      <c r="Y30" s="3055"/>
      <c r="AB30" s="948"/>
      <c r="AC30" s="3056"/>
      <c r="AD30" s="4195"/>
      <c r="AE30" s="3054"/>
      <c r="AF30" s="3054"/>
      <c r="AG30" s="3054"/>
      <c r="AH30" s="3053"/>
      <c r="AI30" s="948"/>
      <c r="AJ30" s="948"/>
      <c r="AK30" s="948"/>
      <c r="AM30" s="3054" t="e">
        <f>#REF!+#REF!</f>
        <v>#REF!</v>
      </c>
    </row>
    <row r="31" spans="1:39" s="949" customFormat="1" ht="23.25" hidden="1" customHeight="1" x14ac:dyDescent="0.3">
      <c r="B31" s="3491"/>
      <c r="C31" s="3047"/>
      <c r="D31" s="3048"/>
      <c r="E31" s="3047"/>
      <c r="F31" s="3048"/>
      <c r="G31" s="3048"/>
      <c r="H31" s="2772"/>
      <c r="I31" s="3049"/>
      <c r="J31" s="2772"/>
      <c r="K31" s="3050"/>
      <c r="L31" s="3477"/>
      <c r="M31" s="3477"/>
      <c r="N31" s="3477"/>
      <c r="O31" s="3477"/>
      <c r="P31" s="3477"/>
      <c r="Q31" s="3477"/>
      <c r="R31" s="3477"/>
      <c r="S31" s="3477"/>
      <c r="T31" s="3477"/>
      <c r="U31" s="3477"/>
      <c r="V31" s="3477"/>
      <c r="W31" s="3477"/>
      <c r="Y31" s="3055"/>
      <c r="AB31" s="948"/>
      <c r="AC31" s="3056"/>
      <c r="AD31" s="4195"/>
      <c r="AE31" s="3054"/>
      <c r="AF31" s="3054"/>
      <c r="AG31" s="3054"/>
      <c r="AH31" s="3053"/>
      <c r="AI31" s="948"/>
      <c r="AJ31" s="948"/>
      <c r="AK31" s="948"/>
      <c r="AM31" s="3054"/>
    </row>
    <row r="32" spans="1:39" s="949" customFormat="1" ht="27.75" hidden="1" customHeight="1" x14ac:dyDescent="0.3">
      <c r="B32" s="3491"/>
      <c r="C32" s="3047"/>
      <c r="D32" s="3048"/>
      <c r="E32" s="3047"/>
      <c r="F32" s="3048"/>
      <c r="G32" s="3048"/>
      <c r="H32" s="3057"/>
      <c r="I32" s="3049"/>
      <c r="J32" s="3057"/>
      <c r="K32" s="3050"/>
      <c r="L32" s="3057"/>
      <c r="M32" s="4196"/>
      <c r="N32" s="4196"/>
      <c r="O32" s="4196"/>
      <c r="P32" s="3058"/>
      <c r="Q32" s="3058"/>
      <c r="R32" s="3058"/>
      <c r="S32" s="3058"/>
      <c r="T32" s="3058"/>
      <c r="U32" s="3058"/>
      <c r="V32" s="3057"/>
      <c r="W32" s="3057"/>
      <c r="Y32" s="3055"/>
      <c r="AB32" s="948"/>
      <c r="AC32" s="948"/>
      <c r="AD32" s="4195"/>
      <c r="AE32" s="3054"/>
      <c r="AF32" s="3054"/>
      <c r="AH32" s="3053"/>
      <c r="AI32" s="948"/>
      <c r="AJ32" s="948"/>
      <c r="AK32" s="948"/>
      <c r="AM32" s="3051" t="e">
        <f>AE33-#REF!</f>
        <v>#REF!</v>
      </c>
    </row>
    <row r="33" spans="2:37" s="949" customFormat="1" ht="27.75" hidden="1" customHeight="1" x14ac:dyDescent="0.3">
      <c r="B33" s="2771"/>
      <c r="C33" s="3047"/>
      <c r="D33" s="3048"/>
      <c r="E33" s="3047"/>
      <c r="F33" s="3048"/>
      <c r="G33" s="3048"/>
      <c r="H33" s="3057"/>
      <c r="I33" s="3049"/>
      <c r="J33" s="3057"/>
      <c r="K33" s="3050"/>
      <c r="L33" s="3057"/>
      <c r="M33" s="3059"/>
      <c r="N33" s="3057"/>
      <c r="O33" s="3057"/>
      <c r="P33" s="3058"/>
      <c r="Q33" s="3058"/>
      <c r="R33" s="3058"/>
      <c r="S33" s="3058"/>
      <c r="T33" s="3058"/>
      <c r="U33" s="3058"/>
      <c r="V33" s="3057"/>
      <c r="W33" s="3057"/>
      <c r="Y33" s="3055"/>
      <c r="AB33" s="948"/>
      <c r="AC33" s="948"/>
      <c r="AD33" s="3052"/>
      <c r="AE33" s="3060"/>
      <c r="AF33" s="3060"/>
      <c r="AH33" s="3053"/>
      <c r="AI33" s="948"/>
      <c r="AJ33" s="948"/>
      <c r="AK33" s="948"/>
    </row>
    <row r="34" spans="2:37" s="949" customFormat="1" ht="30" hidden="1" customHeight="1" x14ac:dyDescent="0.3">
      <c r="B34" s="2771"/>
      <c r="C34" s="3047"/>
      <c r="D34" s="3048"/>
      <c r="E34" s="3047"/>
      <c r="F34" s="3048"/>
      <c r="G34" s="3048"/>
      <c r="H34" s="3057"/>
      <c r="I34" s="3049"/>
      <c r="J34" s="3057"/>
      <c r="K34" s="3050"/>
      <c r="L34" s="3057"/>
      <c r="M34" s="3059"/>
      <c r="N34" s="3057"/>
      <c r="O34" s="3057"/>
      <c r="P34" s="3058"/>
      <c r="Q34" s="3058"/>
      <c r="R34" s="3058"/>
      <c r="S34" s="3058"/>
      <c r="T34" s="3058"/>
      <c r="U34" s="3058"/>
      <c r="V34" s="3057"/>
      <c r="W34" s="3057"/>
      <c r="Y34" s="3055"/>
      <c r="AB34" s="948"/>
      <c r="AC34" s="948"/>
      <c r="AD34" s="3052"/>
      <c r="AE34" s="3054"/>
      <c r="AF34" s="3054"/>
      <c r="AG34" s="3054"/>
      <c r="AH34" s="3053"/>
      <c r="AI34" s="948"/>
      <c r="AJ34" s="948"/>
      <c r="AK34" s="948"/>
    </row>
    <row r="35" spans="2:37" s="949" customFormat="1" ht="16.5" hidden="1" customHeight="1" x14ac:dyDescent="0.3">
      <c r="B35" s="4197" t="s">
        <v>3574</v>
      </c>
      <c r="C35" s="4197"/>
      <c r="D35" s="4197"/>
      <c r="E35" s="3047"/>
      <c r="F35" s="3048"/>
      <c r="G35" s="3048"/>
      <c r="H35" s="3057"/>
      <c r="I35" s="3049"/>
      <c r="J35" s="3057"/>
      <c r="K35" s="3050"/>
      <c r="L35" s="3938" t="s">
        <v>3572</v>
      </c>
      <c r="M35" s="3938"/>
      <c r="N35" s="3938"/>
      <c r="O35" s="3938"/>
      <c r="P35" s="3938"/>
      <c r="Q35" s="3938"/>
      <c r="R35" s="3938"/>
      <c r="S35" s="3938"/>
      <c r="T35" s="3938"/>
      <c r="U35" s="3938"/>
      <c r="V35" s="3938"/>
      <c r="W35" s="3938"/>
      <c r="X35" s="3938"/>
      <c r="Y35" s="3938"/>
      <c r="AB35" s="948"/>
      <c r="AC35" s="3056"/>
      <c r="AD35" s="4198"/>
      <c r="AE35" s="3054"/>
      <c r="AF35" s="3054"/>
      <c r="AH35" s="3053"/>
      <c r="AI35" s="3061"/>
      <c r="AJ35" s="3061"/>
      <c r="AK35" s="3061"/>
    </row>
    <row r="36" spans="2:37" ht="15.75" hidden="1" customHeight="1" x14ac:dyDescent="0.25">
      <c r="B36" s="1979"/>
      <c r="C36" s="1980"/>
      <c r="D36" s="1981"/>
      <c r="E36" s="1981"/>
      <c r="F36" s="1981"/>
      <c r="G36" s="1981"/>
      <c r="H36" s="1981"/>
      <c r="I36" s="1981"/>
      <c r="J36" s="1981"/>
      <c r="K36" s="1981"/>
      <c r="L36" s="1981"/>
      <c r="M36" s="1981"/>
      <c r="N36" s="1981"/>
      <c r="O36" s="1982"/>
      <c r="P36" s="1982"/>
      <c r="Q36" s="1982"/>
      <c r="R36" s="1982"/>
      <c r="S36" s="1982"/>
      <c r="T36" s="1982"/>
      <c r="U36" s="1982"/>
      <c r="V36" s="1982"/>
      <c r="W36" s="1982"/>
      <c r="X36" s="1982"/>
      <c r="Y36" s="2289"/>
      <c r="AA36" s="7"/>
      <c r="AB36" s="1064"/>
      <c r="AC36" s="3062"/>
      <c r="AD36" s="4198"/>
      <c r="AE36" s="3046"/>
      <c r="AF36" s="3046"/>
      <c r="AI36" s="3045"/>
      <c r="AJ36" s="3045"/>
      <c r="AK36" s="3045"/>
    </row>
    <row r="37" spans="2:37" ht="15.75" hidden="1" customHeight="1" x14ac:dyDescent="0.25">
      <c r="B37" s="183"/>
      <c r="C37" s="183"/>
      <c r="D37" s="183"/>
      <c r="E37" s="183"/>
      <c r="F37" s="183"/>
      <c r="G37" s="183"/>
      <c r="H37" s="183"/>
      <c r="I37" s="183"/>
      <c r="J37" s="183"/>
      <c r="K37" s="183"/>
      <c r="L37" s="183"/>
      <c r="M37" s="183"/>
      <c r="N37" s="183"/>
      <c r="Y37" s="183"/>
      <c r="AA37" s="7"/>
      <c r="AB37" s="3063"/>
      <c r="AC37" s="3063"/>
      <c r="AD37" s="4198"/>
      <c r="AE37" s="3044"/>
      <c r="AF37" s="3044"/>
      <c r="AI37" s="3045"/>
      <c r="AJ37" s="3045"/>
      <c r="AK37" s="3045"/>
    </row>
    <row r="38" spans="2:37" ht="12.75" hidden="1" customHeight="1" x14ac:dyDescent="0.25">
      <c r="B38" s="183"/>
      <c r="C38" s="183"/>
      <c r="D38" s="183"/>
      <c r="E38" s="183"/>
      <c r="F38" s="183"/>
      <c r="G38" s="183"/>
      <c r="H38" s="183"/>
      <c r="I38" s="183"/>
      <c r="J38" s="183"/>
      <c r="K38" s="183"/>
      <c r="L38" s="183"/>
      <c r="M38" s="183"/>
      <c r="N38" s="183"/>
      <c r="Y38" s="183"/>
      <c r="AA38" s="7"/>
      <c r="AI38" s="3045"/>
      <c r="AJ38" s="3045"/>
      <c r="AK38" s="3045"/>
    </row>
    <row r="39" spans="2:37" ht="15.75" hidden="1" customHeight="1" x14ac:dyDescent="0.25">
      <c r="B39" s="183"/>
      <c r="C39" s="183"/>
      <c r="D39" s="183"/>
      <c r="E39" s="183"/>
      <c r="F39" s="183"/>
      <c r="G39" s="183"/>
      <c r="H39" s="183"/>
      <c r="I39" s="183"/>
      <c r="J39" s="183"/>
      <c r="K39" s="183"/>
      <c r="L39" s="183"/>
      <c r="M39" s="183"/>
      <c r="N39" s="183"/>
      <c r="Y39" s="183"/>
      <c r="AA39" s="7"/>
      <c r="AB39" s="1064"/>
      <c r="AC39" s="1064"/>
      <c r="AE39" s="3046"/>
      <c r="AF39" s="3046"/>
      <c r="AI39" s="3045"/>
      <c r="AJ39" s="3045"/>
      <c r="AK39" s="3045"/>
    </row>
    <row r="40" spans="2:37" ht="12.75" hidden="1" customHeight="1" x14ac:dyDescent="0.25">
      <c r="B40" s="183"/>
      <c r="C40" s="183"/>
      <c r="D40" s="183"/>
      <c r="E40" s="183"/>
      <c r="F40" s="183"/>
      <c r="G40" s="183"/>
      <c r="H40" s="183"/>
      <c r="I40" s="183"/>
      <c r="J40" s="183"/>
      <c r="K40" s="183"/>
      <c r="L40" s="183"/>
      <c r="M40" s="183"/>
      <c r="N40" s="183"/>
      <c r="Y40" s="183"/>
      <c r="AA40" s="7"/>
      <c r="AB40" s="1064"/>
      <c r="AC40" s="1064"/>
      <c r="AD40" s="4198"/>
      <c r="AE40" s="3046"/>
      <c r="AF40" s="3046"/>
      <c r="AG40" s="298"/>
      <c r="AI40" s="189"/>
      <c r="AJ40" s="189"/>
      <c r="AK40" s="189"/>
    </row>
    <row r="41" spans="2:37" ht="27.75" hidden="1" customHeight="1" x14ac:dyDescent="0.25">
      <c r="B41" s="183"/>
      <c r="C41" s="183"/>
      <c r="D41" s="183"/>
      <c r="E41" s="183"/>
      <c r="F41" s="183"/>
      <c r="G41" s="183"/>
      <c r="H41" s="183"/>
      <c r="I41" s="183"/>
      <c r="J41" s="183"/>
      <c r="K41" s="183"/>
      <c r="L41" s="183"/>
      <c r="M41" s="183"/>
      <c r="N41" s="183"/>
      <c r="Y41" s="183"/>
      <c r="AA41" s="7"/>
      <c r="AB41" s="1064"/>
      <c r="AC41" s="1064"/>
      <c r="AD41" s="4198"/>
      <c r="AE41" s="3046"/>
      <c r="AF41" s="3046"/>
      <c r="AG41" s="3064"/>
      <c r="AI41" s="189"/>
      <c r="AJ41" s="189"/>
      <c r="AK41" s="189"/>
    </row>
    <row r="42" spans="2:37" ht="15.75" hidden="1" customHeight="1" x14ac:dyDescent="0.25">
      <c r="B42" s="183"/>
      <c r="C42" s="183"/>
      <c r="D42" s="183"/>
      <c r="E42" s="183"/>
      <c r="F42" s="183"/>
      <c r="G42" s="183"/>
      <c r="H42" s="183"/>
      <c r="I42" s="183"/>
      <c r="J42" s="183"/>
      <c r="K42" s="183"/>
      <c r="L42" s="183"/>
      <c r="M42" s="183"/>
      <c r="N42" s="183"/>
      <c r="Y42" s="183"/>
      <c r="AA42" s="7"/>
      <c r="AB42" s="1064"/>
      <c r="AC42" s="1064"/>
      <c r="AD42" s="4198"/>
      <c r="AE42" s="3046"/>
      <c r="AF42" s="3046"/>
      <c r="AG42" s="298"/>
      <c r="AH42" s="3065"/>
      <c r="AI42" s="3066"/>
      <c r="AJ42" s="3066"/>
      <c r="AK42" s="3066"/>
    </row>
    <row r="43" spans="2:37" ht="15.75" hidden="1" customHeight="1" x14ac:dyDescent="0.25">
      <c r="B43" s="183"/>
      <c r="C43" s="183"/>
      <c r="D43" s="183"/>
      <c r="E43" s="183"/>
      <c r="F43" s="183"/>
      <c r="G43" s="183"/>
      <c r="H43" s="183"/>
      <c r="I43" s="183"/>
      <c r="J43" s="183"/>
      <c r="K43" s="183"/>
      <c r="L43" s="183"/>
      <c r="M43" s="183"/>
      <c r="N43" s="183"/>
      <c r="Y43" s="183"/>
      <c r="AA43" s="7"/>
      <c r="AB43" s="1064"/>
      <c r="AC43" s="1064"/>
      <c r="AD43" s="4198"/>
      <c r="AE43" s="3046"/>
      <c r="AF43" s="3046"/>
      <c r="AG43" s="298"/>
      <c r="AH43" s="3065"/>
      <c r="AI43" s="189"/>
      <c r="AJ43" s="189"/>
      <c r="AK43" s="189"/>
    </row>
    <row r="44" spans="2:37" ht="15.75" hidden="1" customHeight="1" x14ac:dyDescent="0.25">
      <c r="B44" s="183"/>
      <c r="C44" s="183"/>
      <c r="D44" s="183"/>
      <c r="E44" s="183"/>
      <c r="F44" s="183"/>
      <c r="G44" s="183"/>
      <c r="H44" s="183"/>
      <c r="I44" s="183"/>
      <c r="J44" s="183"/>
      <c r="K44" s="183"/>
      <c r="L44" s="183"/>
      <c r="M44" s="183"/>
      <c r="N44" s="183"/>
      <c r="Y44" s="183"/>
      <c r="AA44" s="7"/>
      <c r="AB44" s="1064"/>
      <c r="AC44" s="1064"/>
      <c r="AE44" s="3046"/>
      <c r="AF44" s="3046"/>
    </row>
    <row r="45" spans="2:37" ht="15.75" hidden="1" customHeight="1" x14ac:dyDescent="0.25">
      <c r="B45" s="183"/>
      <c r="C45" s="183"/>
      <c r="D45" s="183"/>
      <c r="E45" s="183"/>
      <c r="F45" s="183"/>
      <c r="G45" s="183"/>
      <c r="H45" s="183"/>
      <c r="I45" s="183"/>
      <c r="J45" s="183"/>
      <c r="K45" s="183"/>
      <c r="L45" s="183"/>
      <c r="M45" s="183"/>
      <c r="N45" s="183"/>
      <c r="Y45" s="183"/>
      <c r="AA45" s="7"/>
      <c r="AB45" s="1064"/>
      <c r="AC45" s="1064"/>
      <c r="AD45" s="4198"/>
      <c r="AE45" s="3046"/>
      <c r="AF45" s="3046"/>
      <c r="AI45" s="3045"/>
      <c r="AJ45" s="3045"/>
      <c r="AK45" s="3045"/>
    </row>
    <row r="46" spans="2:37" ht="15.75" x14ac:dyDescent="0.25">
      <c r="B46" s="183"/>
      <c r="C46" s="183"/>
      <c r="D46" s="183"/>
      <c r="E46" s="183"/>
      <c r="F46" s="183"/>
      <c r="G46" s="183"/>
      <c r="H46" s="183"/>
      <c r="I46" s="183"/>
      <c r="J46" s="183"/>
      <c r="K46" s="183"/>
      <c r="L46" s="183"/>
      <c r="M46" s="183"/>
      <c r="N46" s="183"/>
      <c r="Y46" s="183"/>
      <c r="AA46" s="7"/>
      <c r="AB46" s="1064"/>
      <c r="AC46" s="1064"/>
      <c r="AD46" s="4198"/>
      <c r="AE46" s="3046"/>
      <c r="AF46" s="3046"/>
      <c r="AG46" s="298"/>
      <c r="AI46" s="189"/>
      <c r="AJ46" s="189"/>
      <c r="AK46" s="189"/>
    </row>
    <row r="47" spans="2:37" ht="15.75" x14ac:dyDescent="0.25">
      <c r="B47" s="183"/>
      <c r="C47" s="183"/>
      <c r="D47" s="183"/>
      <c r="E47" s="183"/>
      <c r="F47" s="183"/>
      <c r="G47" s="183"/>
      <c r="H47" s="183"/>
      <c r="I47" s="183"/>
      <c r="J47" s="183"/>
      <c r="K47" s="183"/>
      <c r="L47" s="183"/>
      <c r="M47" s="183"/>
      <c r="N47" s="183"/>
      <c r="Y47" s="183"/>
      <c r="AA47" s="7"/>
      <c r="AB47" s="1064"/>
      <c r="AC47" s="1064"/>
      <c r="AD47" s="4198"/>
      <c r="AE47" s="3046"/>
      <c r="AF47" s="3046"/>
      <c r="AG47" s="3064"/>
      <c r="AI47" s="189"/>
      <c r="AJ47" s="189"/>
      <c r="AK47" s="189"/>
    </row>
    <row r="48" spans="2:37" ht="15.75" x14ac:dyDescent="0.25">
      <c r="B48" s="183"/>
      <c r="C48" s="183"/>
      <c r="D48" s="183"/>
      <c r="E48" s="183"/>
      <c r="F48" s="183"/>
      <c r="G48" s="183"/>
      <c r="H48" s="183"/>
      <c r="I48" s="183"/>
      <c r="J48" s="183"/>
      <c r="K48" s="183"/>
      <c r="L48" s="183"/>
      <c r="M48" s="183"/>
      <c r="N48" s="183"/>
      <c r="Y48" s="183"/>
      <c r="AA48" s="7"/>
      <c r="AB48" s="1064"/>
      <c r="AC48" s="1064"/>
      <c r="AD48" s="4198"/>
      <c r="AE48" s="3046"/>
      <c r="AF48" s="3046"/>
      <c r="AG48" s="298"/>
      <c r="AH48" s="3065"/>
      <c r="AI48" s="3066"/>
      <c r="AJ48" s="3066"/>
      <c r="AK48" s="3066"/>
    </row>
    <row r="49" spans="2:37" ht="15.75" x14ac:dyDescent="0.25">
      <c r="B49" s="183"/>
      <c r="C49" s="183"/>
      <c r="D49" s="183"/>
      <c r="E49" s="183"/>
      <c r="F49" s="183"/>
      <c r="G49" s="183"/>
      <c r="H49" s="183"/>
      <c r="I49" s="183"/>
      <c r="J49" s="183"/>
      <c r="K49" s="183"/>
      <c r="L49" s="183"/>
      <c r="M49" s="183"/>
      <c r="N49" s="183"/>
      <c r="Y49" s="183"/>
      <c r="AA49" s="7"/>
      <c r="AB49" s="1064"/>
      <c r="AC49" s="1064"/>
      <c r="AD49" s="4198"/>
      <c r="AE49" s="3046"/>
      <c r="AF49" s="3046"/>
      <c r="AG49" s="298"/>
      <c r="AH49" s="3065"/>
      <c r="AI49" s="189"/>
      <c r="AJ49" s="189"/>
      <c r="AK49" s="189"/>
    </row>
    <row r="50" spans="2:37" ht="12.75" customHeight="1" x14ac:dyDescent="0.25">
      <c r="B50" s="183"/>
      <c r="C50" s="183"/>
      <c r="D50" s="183"/>
      <c r="E50" s="183"/>
      <c r="F50" s="183"/>
      <c r="G50" s="183"/>
      <c r="H50" s="183"/>
      <c r="I50" s="183"/>
      <c r="J50" s="183"/>
      <c r="K50" s="183"/>
      <c r="L50" s="183"/>
      <c r="M50" s="183"/>
      <c r="N50" s="183"/>
      <c r="Y50" s="183"/>
      <c r="AA50" s="7"/>
      <c r="AB50" s="1064"/>
      <c r="AC50" s="1064"/>
      <c r="AE50" s="3046"/>
      <c r="AF50" s="3046"/>
    </row>
    <row r="51" spans="2:37" ht="12.75" customHeight="1" x14ac:dyDescent="0.25">
      <c r="B51" s="183"/>
      <c r="C51" s="183"/>
      <c r="D51" s="183"/>
      <c r="E51" s="183"/>
      <c r="F51" s="183"/>
      <c r="G51" s="183"/>
      <c r="H51" s="183"/>
      <c r="I51" s="183"/>
      <c r="J51" s="183"/>
      <c r="K51" s="183"/>
      <c r="L51" s="183"/>
      <c r="M51" s="183"/>
      <c r="N51" s="183"/>
      <c r="Y51" s="183"/>
      <c r="AA51" s="7"/>
      <c r="AB51" s="1064"/>
      <c r="AC51" s="1064"/>
      <c r="AD51" s="4198"/>
      <c r="AE51" s="3046"/>
      <c r="AF51" s="3046"/>
      <c r="AI51" s="3045"/>
      <c r="AJ51" s="3045"/>
      <c r="AK51" s="3045"/>
    </row>
    <row r="52" spans="2:37" ht="12.75" customHeight="1" x14ac:dyDescent="0.25">
      <c r="B52" s="183"/>
      <c r="C52" s="183"/>
      <c r="D52" s="183"/>
      <c r="E52" s="183"/>
      <c r="F52" s="183"/>
      <c r="G52" s="183"/>
      <c r="H52" s="183"/>
      <c r="I52" s="183"/>
      <c r="J52" s="183"/>
      <c r="K52" s="183"/>
      <c r="L52" s="183"/>
      <c r="M52" s="183"/>
      <c r="N52" s="183"/>
      <c r="Y52" s="183"/>
      <c r="AA52" s="7"/>
      <c r="AB52" s="1064"/>
      <c r="AC52" s="1064"/>
      <c r="AD52" s="4198"/>
      <c r="AE52" s="3046"/>
      <c r="AF52" s="3046"/>
      <c r="AG52" s="298"/>
      <c r="AI52" s="189"/>
      <c r="AJ52" s="189"/>
      <c r="AK52" s="189"/>
    </row>
    <row r="53" spans="2:37" ht="12.75" customHeight="1" x14ac:dyDescent="0.25">
      <c r="B53" s="183"/>
      <c r="C53" s="183"/>
      <c r="D53" s="183"/>
      <c r="E53" s="183"/>
      <c r="F53" s="183"/>
      <c r="G53" s="183"/>
      <c r="H53" s="183"/>
      <c r="I53" s="183"/>
      <c r="J53" s="183"/>
      <c r="K53" s="183"/>
      <c r="L53" s="183"/>
      <c r="M53" s="183"/>
      <c r="N53" s="183"/>
      <c r="Y53" s="183"/>
      <c r="AA53" s="7"/>
      <c r="AB53" s="1064"/>
      <c r="AC53" s="1064"/>
      <c r="AD53" s="4198"/>
      <c r="AE53" s="3046"/>
      <c r="AF53" s="3046"/>
      <c r="AG53" s="3064"/>
      <c r="AI53" s="189"/>
      <c r="AJ53" s="189"/>
      <c r="AK53" s="189"/>
    </row>
    <row r="54" spans="2:37" ht="12.75" customHeight="1" x14ac:dyDescent="0.25">
      <c r="B54" s="183"/>
      <c r="C54" s="183"/>
      <c r="D54" s="183"/>
      <c r="E54" s="183"/>
      <c r="F54" s="183"/>
      <c r="G54" s="183"/>
      <c r="H54" s="183"/>
      <c r="I54" s="183"/>
      <c r="J54" s="183"/>
      <c r="K54" s="183"/>
      <c r="L54" s="183"/>
      <c r="M54" s="183"/>
      <c r="N54" s="183"/>
      <c r="Y54" s="183"/>
      <c r="AA54" s="7"/>
      <c r="AB54" s="1064"/>
      <c r="AC54" s="1064"/>
      <c r="AD54" s="4198"/>
      <c r="AE54" s="3046"/>
      <c r="AF54" s="3046"/>
      <c r="AG54" s="298"/>
      <c r="AH54" s="3065"/>
      <c r="AI54" s="3066"/>
      <c r="AJ54" s="3066"/>
      <c r="AK54" s="3066"/>
    </row>
    <row r="55" spans="2:37" ht="15.75" x14ac:dyDescent="0.25">
      <c r="B55" s="183"/>
      <c r="C55" s="183"/>
      <c r="D55" s="183"/>
      <c r="E55" s="183"/>
      <c r="F55" s="183"/>
      <c r="G55" s="183"/>
      <c r="H55" s="183"/>
      <c r="I55" s="183"/>
      <c r="J55" s="183"/>
      <c r="K55" s="183"/>
      <c r="L55" s="183"/>
      <c r="M55" s="183"/>
      <c r="N55" s="183"/>
      <c r="Y55" s="183"/>
      <c r="AA55" s="7"/>
      <c r="AB55" s="1064"/>
      <c r="AC55" s="1064"/>
      <c r="AD55" s="4198"/>
      <c r="AE55" s="3046"/>
      <c r="AF55" s="3046"/>
      <c r="AG55" s="298"/>
      <c r="AH55" s="3065"/>
      <c r="AI55" s="189"/>
      <c r="AJ55" s="189"/>
      <c r="AK55" s="189"/>
    </row>
    <row r="56" spans="2:37" ht="15.75" x14ac:dyDescent="0.25">
      <c r="B56" s="183"/>
      <c r="C56" s="183"/>
      <c r="D56" s="183"/>
      <c r="E56" s="183"/>
      <c r="F56" s="183"/>
      <c r="G56" s="183"/>
      <c r="H56" s="183"/>
      <c r="I56" s="183"/>
      <c r="J56" s="183"/>
      <c r="K56" s="183"/>
      <c r="L56" s="183"/>
      <c r="M56" s="183"/>
      <c r="N56" s="183"/>
      <c r="Y56" s="183"/>
      <c r="AA56" s="7"/>
      <c r="AB56" s="1064"/>
      <c r="AC56" s="1064"/>
      <c r="AE56" s="3046"/>
      <c r="AF56" s="3046"/>
    </row>
    <row r="57" spans="2:37" ht="15.75" x14ac:dyDescent="0.25">
      <c r="B57" s="183"/>
      <c r="C57" s="183"/>
      <c r="D57" s="183"/>
      <c r="E57" s="183"/>
      <c r="F57" s="183"/>
      <c r="G57" s="183"/>
      <c r="H57" s="183"/>
      <c r="I57" s="183"/>
      <c r="J57" s="183"/>
      <c r="K57" s="183"/>
      <c r="L57" s="183"/>
      <c r="M57" s="183"/>
      <c r="N57" s="183"/>
      <c r="Y57" s="183"/>
      <c r="AB57" s="1064"/>
      <c r="AC57" s="1064"/>
      <c r="AE57" s="3046"/>
      <c r="AF57" s="3046"/>
    </row>
    <row r="58" spans="2:37" ht="15.75" x14ac:dyDescent="0.25">
      <c r="B58" s="183"/>
      <c r="C58" s="183"/>
      <c r="D58" s="183"/>
      <c r="E58" s="183"/>
      <c r="F58" s="183"/>
      <c r="G58" s="183"/>
      <c r="H58" s="183"/>
      <c r="I58" s="183"/>
      <c r="J58" s="183"/>
      <c r="K58" s="183"/>
      <c r="L58" s="183"/>
      <c r="M58" s="183"/>
      <c r="N58" s="183"/>
      <c r="Y58" s="183"/>
      <c r="AB58" s="1064"/>
      <c r="AC58" s="1064"/>
    </row>
    <row r="59" spans="2:37" ht="15.75" x14ac:dyDescent="0.25">
      <c r="B59" s="183"/>
      <c r="C59" s="183"/>
      <c r="D59" s="183"/>
      <c r="E59" s="183"/>
      <c r="F59" s="183"/>
      <c r="G59" s="183"/>
      <c r="H59" s="183"/>
      <c r="I59" s="183"/>
      <c r="J59" s="183"/>
      <c r="K59" s="183"/>
      <c r="L59" s="183"/>
      <c r="M59" s="183"/>
      <c r="N59" s="183"/>
      <c r="Y59" s="183"/>
      <c r="AA59" s="7"/>
      <c r="AB59" s="1064"/>
      <c r="AC59" s="1064"/>
      <c r="AD59" s="7"/>
      <c r="AE59" s="3046"/>
      <c r="AF59" s="3046"/>
      <c r="AG59" s="298"/>
      <c r="AI59" s="189"/>
      <c r="AJ59" s="189"/>
      <c r="AK59" s="189"/>
    </row>
    <row r="60" spans="2:37" ht="15.75" x14ac:dyDescent="0.25">
      <c r="B60" s="183"/>
      <c r="C60" s="183"/>
      <c r="D60" s="183"/>
      <c r="E60" s="183"/>
      <c r="F60" s="183"/>
      <c r="G60" s="183"/>
      <c r="H60" s="183"/>
      <c r="I60" s="183"/>
      <c r="J60" s="183"/>
      <c r="K60" s="183"/>
      <c r="L60" s="183"/>
      <c r="M60" s="183"/>
      <c r="N60" s="183"/>
      <c r="Y60" s="183"/>
      <c r="AA60" s="7"/>
      <c r="AB60" s="1064"/>
      <c r="AC60" s="1064"/>
      <c r="AD60" s="7"/>
      <c r="AE60" s="3046"/>
      <c r="AF60" s="3046"/>
      <c r="AG60" s="3064"/>
      <c r="AI60" s="189"/>
      <c r="AJ60" s="189"/>
      <c r="AK60" s="189"/>
    </row>
    <row r="61" spans="2:37" ht="15.75" x14ac:dyDescent="0.25">
      <c r="B61" s="183"/>
      <c r="C61" s="183"/>
      <c r="D61" s="183"/>
      <c r="E61" s="183"/>
      <c r="F61" s="183"/>
      <c r="G61" s="183"/>
      <c r="H61" s="183"/>
      <c r="I61" s="183"/>
      <c r="J61" s="183"/>
      <c r="K61" s="183"/>
      <c r="L61" s="183"/>
      <c r="M61" s="183"/>
      <c r="N61" s="183"/>
      <c r="Y61" s="183"/>
      <c r="AA61" s="7"/>
      <c r="AB61" s="1064"/>
      <c r="AC61" s="1064"/>
      <c r="AE61" s="3046"/>
      <c r="AF61" s="3046"/>
      <c r="AI61" s="3046"/>
      <c r="AJ61" s="3046"/>
      <c r="AK61" s="3046"/>
    </row>
    <row r="62" spans="2:37" ht="15.75" x14ac:dyDescent="0.25">
      <c r="B62" s="183"/>
      <c r="C62" s="183"/>
      <c r="D62" s="183"/>
      <c r="E62" s="183"/>
      <c r="F62" s="183"/>
      <c r="G62" s="183"/>
      <c r="H62" s="183"/>
      <c r="I62" s="183"/>
      <c r="J62" s="183"/>
      <c r="K62" s="183"/>
      <c r="L62" s="183"/>
      <c r="M62" s="183"/>
      <c r="N62" s="183"/>
      <c r="Y62" s="183"/>
      <c r="AA62" s="7"/>
      <c r="AB62" s="1064"/>
      <c r="AC62" s="1064"/>
      <c r="AD62" s="4198"/>
      <c r="AE62" s="3046"/>
      <c r="AF62" s="3046"/>
      <c r="AI62" s="3045"/>
      <c r="AJ62" s="3045"/>
      <c r="AK62" s="3045"/>
    </row>
    <row r="63" spans="2:37" ht="15.75" x14ac:dyDescent="0.25">
      <c r="B63" s="183"/>
      <c r="C63" s="183"/>
      <c r="D63" s="183"/>
      <c r="E63" s="183"/>
      <c r="F63" s="183"/>
      <c r="G63" s="183"/>
      <c r="H63" s="183"/>
      <c r="I63" s="183"/>
      <c r="J63" s="183"/>
      <c r="K63" s="183"/>
      <c r="L63" s="183"/>
      <c r="M63" s="183"/>
      <c r="N63" s="183"/>
      <c r="Y63" s="183"/>
      <c r="AA63" s="7"/>
      <c r="AB63" s="1064"/>
      <c r="AC63" s="1064"/>
      <c r="AD63" s="4198"/>
      <c r="AE63" s="3046"/>
      <c r="AF63" s="3046"/>
      <c r="AG63" s="298"/>
      <c r="AI63" s="189"/>
      <c r="AJ63" s="189"/>
      <c r="AK63" s="189"/>
    </row>
    <row r="64" spans="2:37" ht="15.75" x14ac:dyDescent="0.25">
      <c r="B64" s="183"/>
      <c r="C64" s="183"/>
      <c r="D64" s="183"/>
      <c r="E64" s="183"/>
      <c r="F64" s="183"/>
      <c r="G64" s="183"/>
      <c r="H64" s="183"/>
      <c r="I64" s="183"/>
      <c r="J64" s="183"/>
      <c r="K64" s="183"/>
      <c r="L64" s="183"/>
      <c r="M64" s="183"/>
      <c r="N64" s="183"/>
      <c r="Y64" s="183"/>
      <c r="AA64" s="7"/>
      <c r="AB64" s="1064"/>
      <c r="AC64" s="1064"/>
      <c r="AD64" s="4198"/>
      <c r="AE64" s="3046"/>
      <c r="AF64" s="3046"/>
      <c r="AG64" s="3064"/>
      <c r="AI64" s="189"/>
      <c r="AJ64" s="189"/>
      <c r="AK64" s="189"/>
    </row>
    <row r="65" spans="2:39" ht="15.75" x14ac:dyDescent="0.25">
      <c r="B65" s="183"/>
      <c r="C65" s="183"/>
      <c r="D65" s="183"/>
      <c r="E65" s="183"/>
      <c r="F65" s="183"/>
      <c r="G65" s="183"/>
      <c r="H65" s="183"/>
      <c r="I65" s="183"/>
      <c r="J65" s="183"/>
      <c r="K65" s="183"/>
      <c r="L65" s="183"/>
      <c r="M65" s="183"/>
      <c r="N65" s="183"/>
      <c r="Y65" s="183"/>
      <c r="AA65" s="7"/>
      <c r="AB65" s="1064"/>
      <c r="AC65" s="1064"/>
      <c r="AD65" s="4198"/>
      <c r="AE65" s="3046"/>
      <c r="AF65" s="3046"/>
      <c r="AG65" s="298"/>
      <c r="AH65" s="3065"/>
      <c r="AI65" s="3066"/>
      <c r="AJ65" s="3066"/>
      <c r="AK65" s="3066"/>
    </row>
    <row r="66" spans="2:39" ht="15.75" x14ac:dyDescent="0.25">
      <c r="B66" s="183"/>
      <c r="C66" s="183"/>
      <c r="D66" s="183"/>
      <c r="E66" s="183"/>
      <c r="F66" s="183"/>
      <c r="G66" s="183"/>
      <c r="H66" s="183"/>
      <c r="I66" s="183"/>
      <c r="J66" s="183"/>
      <c r="K66" s="183"/>
      <c r="L66" s="183"/>
      <c r="M66" s="183"/>
      <c r="N66" s="183"/>
      <c r="Y66" s="183"/>
      <c r="AB66" s="1064"/>
      <c r="AC66" s="1064"/>
      <c r="AE66" s="3046"/>
      <c r="AF66" s="3046"/>
    </row>
    <row r="67" spans="2:39" ht="15.75" x14ac:dyDescent="0.25">
      <c r="B67" s="183"/>
      <c r="C67" s="183"/>
      <c r="D67" s="183"/>
      <c r="E67" s="183"/>
      <c r="F67" s="183"/>
      <c r="G67" s="183"/>
      <c r="H67" s="183"/>
      <c r="I67" s="183"/>
      <c r="J67" s="183"/>
      <c r="K67" s="183"/>
      <c r="L67" s="183"/>
      <c r="M67" s="183"/>
      <c r="N67" s="183"/>
      <c r="Y67" s="183"/>
      <c r="AA67" s="7"/>
      <c r="AB67" s="1064"/>
      <c r="AC67" s="1064"/>
      <c r="AD67" s="4198"/>
      <c r="AE67" s="3046"/>
      <c r="AF67" s="3046"/>
      <c r="AI67" s="3045"/>
      <c r="AJ67" s="3045"/>
      <c r="AK67" s="3045"/>
    </row>
    <row r="68" spans="2:39" ht="15.75" x14ac:dyDescent="0.25">
      <c r="B68" s="183"/>
      <c r="C68" s="183"/>
      <c r="D68" s="183"/>
      <c r="E68" s="183"/>
      <c r="F68" s="183"/>
      <c r="G68" s="183"/>
      <c r="H68" s="183"/>
      <c r="I68" s="183"/>
      <c r="J68" s="183"/>
      <c r="K68" s="183"/>
      <c r="L68" s="183"/>
      <c r="M68" s="183"/>
      <c r="N68" s="183"/>
      <c r="Y68" s="183"/>
      <c r="AA68" s="7"/>
      <c r="AB68" s="1064"/>
      <c r="AC68" s="1064"/>
      <c r="AD68" s="4198"/>
      <c r="AE68" s="3046"/>
      <c r="AF68" s="3046"/>
      <c r="AG68" s="298"/>
      <c r="AI68" s="189"/>
      <c r="AJ68" s="189"/>
      <c r="AK68" s="189"/>
    </row>
    <row r="69" spans="2:39" ht="15.75" x14ac:dyDescent="0.25">
      <c r="B69" s="183"/>
      <c r="C69" s="183"/>
      <c r="D69" s="183"/>
      <c r="E69" s="183"/>
      <c r="F69" s="183"/>
      <c r="G69" s="183"/>
      <c r="H69" s="183"/>
      <c r="I69" s="183"/>
      <c r="J69" s="183"/>
      <c r="K69" s="183"/>
      <c r="L69" s="183"/>
      <c r="M69" s="183"/>
      <c r="N69" s="183"/>
      <c r="Y69" s="183"/>
      <c r="AA69" s="7"/>
      <c r="AB69" s="1064"/>
      <c r="AC69" s="1064"/>
      <c r="AD69" s="4198"/>
      <c r="AE69" s="3046"/>
      <c r="AF69" s="3046"/>
      <c r="AG69" s="3064"/>
      <c r="AI69" s="189"/>
      <c r="AJ69" s="189"/>
      <c r="AK69" s="189"/>
    </row>
    <row r="70" spans="2:39" ht="15.75" x14ac:dyDescent="0.25">
      <c r="B70" s="183"/>
      <c r="C70" s="183"/>
      <c r="D70" s="183"/>
      <c r="E70" s="183"/>
      <c r="F70" s="183"/>
      <c r="G70" s="183"/>
      <c r="H70" s="183"/>
      <c r="I70" s="183"/>
      <c r="J70" s="183"/>
      <c r="K70" s="183"/>
      <c r="L70" s="183"/>
      <c r="M70" s="183"/>
      <c r="N70" s="183"/>
      <c r="Y70" s="183"/>
      <c r="AB70" s="1064"/>
      <c r="AC70" s="1064"/>
      <c r="AE70" s="3046"/>
      <c r="AF70" s="3046"/>
    </row>
    <row r="72" spans="2:39" ht="15.75" x14ac:dyDescent="0.25">
      <c r="B72" s="183"/>
      <c r="C72" s="183"/>
      <c r="D72" s="183"/>
      <c r="E72" s="183"/>
      <c r="F72" s="183"/>
      <c r="G72" s="183"/>
      <c r="H72" s="183"/>
      <c r="I72" s="183"/>
      <c r="J72" s="183"/>
      <c r="K72" s="183"/>
      <c r="L72" s="183"/>
      <c r="M72" s="183"/>
      <c r="N72" s="183"/>
      <c r="Y72" s="183"/>
      <c r="AA72" s="7"/>
      <c r="AB72" s="1064"/>
      <c r="AC72" s="1064"/>
      <c r="AE72" s="3046"/>
      <c r="AF72" s="3046"/>
    </row>
    <row r="73" spans="2:39" ht="15.75" x14ac:dyDescent="0.25">
      <c r="B73" s="183"/>
      <c r="C73" s="183"/>
      <c r="D73" s="183"/>
      <c r="E73" s="183"/>
      <c r="F73" s="183"/>
      <c r="G73" s="183"/>
      <c r="H73" s="183"/>
      <c r="I73" s="183"/>
      <c r="J73" s="183"/>
      <c r="K73" s="183"/>
      <c r="L73" s="183"/>
      <c r="M73" s="183"/>
      <c r="N73" s="183"/>
      <c r="Y73" s="183"/>
      <c r="AA73" s="7"/>
      <c r="AB73" s="1064"/>
      <c r="AC73" s="1064"/>
      <c r="AD73" s="4198"/>
      <c r="AE73" s="3046"/>
      <c r="AF73" s="3046"/>
      <c r="AI73" s="3045"/>
      <c r="AJ73" s="3045"/>
      <c r="AK73" s="3045"/>
      <c r="AM73" s="3046"/>
    </row>
    <row r="74" spans="2:39" ht="15.75" x14ac:dyDescent="0.25">
      <c r="B74" s="183"/>
      <c r="C74" s="183"/>
      <c r="D74" s="183"/>
      <c r="E74" s="183"/>
      <c r="F74" s="183"/>
      <c r="G74" s="183"/>
      <c r="H74" s="183"/>
      <c r="I74" s="183"/>
      <c r="J74" s="183"/>
      <c r="K74" s="183"/>
      <c r="L74" s="183"/>
      <c r="M74" s="183"/>
      <c r="N74" s="183"/>
      <c r="Y74" s="183"/>
      <c r="AA74" s="7"/>
      <c r="AB74" s="1064"/>
      <c r="AC74" s="1064"/>
      <c r="AD74" s="4198"/>
      <c r="AE74" s="3046"/>
      <c r="AF74" s="3046"/>
      <c r="AG74" s="298"/>
      <c r="AI74" s="189"/>
      <c r="AJ74" s="189"/>
      <c r="AK74" s="189"/>
      <c r="AM74" s="3046"/>
    </row>
    <row r="75" spans="2:39" ht="15.75" x14ac:dyDescent="0.25">
      <c r="B75" s="183"/>
      <c r="C75" s="183"/>
      <c r="D75" s="183"/>
      <c r="E75" s="183"/>
      <c r="F75" s="183"/>
      <c r="G75" s="183"/>
      <c r="H75" s="183"/>
      <c r="I75" s="183"/>
      <c r="J75" s="183"/>
      <c r="K75" s="183"/>
      <c r="L75" s="183"/>
      <c r="M75" s="183"/>
      <c r="N75" s="183"/>
      <c r="Y75" s="183"/>
      <c r="AA75" s="7"/>
      <c r="AB75" s="1064"/>
      <c r="AC75" s="1064"/>
      <c r="AD75" s="4198"/>
      <c r="AE75" s="3046"/>
      <c r="AF75" s="3046"/>
      <c r="AG75" s="3064"/>
      <c r="AI75" s="189"/>
      <c r="AJ75" s="189"/>
      <c r="AK75" s="189"/>
    </row>
    <row r="76" spans="2:39" ht="15.75" x14ac:dyDescent="0.25">
      <c r="B76" s="183"/>
      <c r="C76" s="183"/>
      <c r="D76" s="183"/>
      <c r="E76" s="183"/>
      <c r="F76" s="183"/>
      <c r="G76" s="183"/>
      <c r="H76" s="183"/>
      <c r="I76" s="183"/>
      <c r="J76" s="183"/>
      <c r="K76" s="183"/>
      <c r="L76" s="183"/>
      <c r="M76" s="183"/>
      <c r="N76" s="183"/>
      <c r="Y76" s="183"/>
      <c r="AA76" s="7"/>
      <c r="AB76" s="1064"/>
      <c r="AC76" s="1064"/>
      <c r="AD76" s="4198"/>
      <c r="AE76" s="3046"/>
      <c r="AF76" s="3046"/>
      <c r="AI76" s="3067"/>
      <c r="AJ76" s="3067"/>
      <c r="AK76" s="3067"/>
    </row>
    <row r="77" spans="2:39" ht="15.75" x14ac:dyDescent="0.25">
      <c r="B77" s="183"/>
      <c r="C77" s="183"/>
      <c r="D77" s="183"/>
      <c r="E77" s="183"/>
      <c r="F77" s="183"/>
      <c r="G77" s="183"/>
      <c r="H77" s="183"/>
      <c r="I77" s="183"/>
      <c r="J77" s="183"/>
      <c r="K77" s="183"/>
      <c r="L77" s="183"/>
      <c r="M77" s="183"/>
      <c r="N77" s="183"/>
      <c r="Y77" s="183"/>
      <c r="AB77" s="1064"/>
      <c r="AC77" s="1064"/>
      <c r="AD77" s="4198"/>
      <c r="AE77" s="3046"/>
      <c r="AF77" s="3046"/>
      <c r="AI77" s="3064"/>
      <c r="AJ77" s="298"/>
      <c r="AK77" s="298"/>
    </row>
    <row r="78" spans="2:39" ht="12.75" x14ac:dyDescent="0.25">
      <c r="B78" s="183"/>
      <c r="C78" s="183"/>
      <c r="D78" s="183"/>
      <c r="E78" s="183"/>
      <c r="F78" s="183"/>
      <c r="G78" s="183"/>
      <c r="H78" s="183"/>
      <c r="I78" s="183"/>
      <c r="J78" s="183"/>
      <c r="K78" s="183"/>
      <c r="L78" s="183"/>
      <c r="M78" s="183"/>
      <c r="N78" s="183"/>
      <c r="Y78" s="183"/>
      <c r="AI78" s="298"/>
      <c r="AJ78" s="298"/>
      <c r="AK78" s="298"/>
    </row>
    <row r="79" spans="2:39" ht="15.75" x14ac:dyDescent="0.25">
      <c r="B79" s="183"/>
      <c r="C79" s="183"/>
      <c r="D79" s="183"/>
      <c r="E79" s="183"/>
      <c r="F79" s="183"/>
      <c r="G79" s="183"/>
      <c r="H79" s="183"/>
      <c r="I79" s="183"/>
      <c r="J79" s="183"/>
      <c r="K79" s="183"/>
      <c r="L79" s="183"/>
      <c r="M79" s="183"/>
      <c r="N79" s="183"/>
      <c r="Y79" s="183"/>
      <c r="AA79" s="7"/>
      <c r="AB79" s="1064"/>
      <c r="AC79" s="1064"/>
      <c r="AE79" s="3046"/>
      <c r="AF79" s="3046"/>
    </row>
    <row r="80" spans="2:39" ht="15.75" x14ac:dyDescent="0.25">
      <c r="B80" s="183"/>
      <c r="C80" s="183"/>
      <c r="D80" s="183"/>
      <c r="E80" s="183"/>
      <c r="F80" s="183"/>
      <c r="G80" s="183"/>
      <c r="H80" s="183"/>
      <c r="I80" s="183"/>
      <c r="J80" s="183"/>
      <c r="K80" s="183"/>
      <c r="L80" s="183"/>
      <c r="M80" s="183"/>
      <c r="N80" s="183"/>
      <c r="Y80" s="183"/>
      <c r="AA80" s="7"/>
      <c r="AB80" s="1064"/>
      <c r="AC80" s="1064"/>
      <c r="AD80" s="4198"/>
      <c r="AE80" s="3046"/>
      <c r="AF80" s="3046"/>
      <c r="AI80" s="3045"/>
      <c r="AJ80" s="3045"/>
      <c r="AK80" s="3045"/>
    </row>
    <row r="81" spans="2:37" ht="15.75" x14ac:dyDescent="0.25">
      <c r="B81" s="183"/>
      <c r="C81" s="183"/>
      <c r="D81" s="183"/>
      <c r="E81" s="183"/>
      <c r="F81" s="183"/>
      <c r="G81" s="183"/>
      <c r="H81" s="183"/>
      <c r="I81" s="183"/>
      <c r="J81" s="183"/>
      <c r="K81" s="183"/>
      <c r="L81" s="183"/>
      <c r="M81" s="183"/>
      <c r="N81" s="183"/>
      <c r="Y81" s="183"/>
      <c r="AA81" s="7"/>
      <c r="AB81" s="1064"/>
      <c r="AC81" s="1064"/>
      <c r="AD81" s="4198"/>
      <c r="AE81" s="3046"/>
      <c r="AF81" s="3046"/>
      <c r="AG81" s="298"/>
      <c r="AI81" s="189"/>
      <c r="AJ81" s="189"/>
      <c r="AK81" s="189"/>
    </row>
    <row r="82" spans="2:37" ht="15.75" x14ac:dyDescent="0.25">
      <c r="B82" s="183"/>
      <c r="C82" s="183"/>
      <c r="D82" s="183"/>
      <c r="E82" s="183"/>
      <c r="F82" s="183"/>
      <c r="G82" s="183"/>
      <c r="H82" s="183"/>
      <c r="I82" s="183"/>
      <c r="J82" s="183"/>
      <c r="K82" s="183"/>
      <c r="L82" s="183"/>
      <c r="M82" s="183"/>
      <c r="N82" s="183"/>
      <c r="Y82" s="183"/>
      <c r="AA82" s="7"/>
      <c r="AB82" s="1064"/>
      <c r="AC82" s="1064"/>
      <c r="AD82" s="4198"/>
      <c r="AE82" s="3046"/>
      <c r="AF82" s="3046"/>
      <c r="AG82" s="3064"/>
      <c r="AI82" s="189"/>
      <c r="AJ82" s="189"/>
      <c r="AK82" s="189"/>
    </row>
    <row r="83" spans="2:37" ht="15.75" x14ac:dyDescent="0.25">
      <c r="B83" s="183"/>
      <c r="C83" s="183"/>
      <c r="D83" s="183"/>
      <c r="E83" s="183"/>
      <c r="F83" s="183"/>
      <c r="G83" s="183"/>
      <c r="H83" s="183"/>
      <c r="I83" s="183"/>
      <c r="J83" s="183"/>
      <c r="K83" s="183"/>
      <c r="L83" s="183"/>
      <c r="M83" s="183"/>
      <c r="N83" s="183"/>
      <c r="Y83" s="183"/>
      <c r="AA83" s="7"/>
      <c r="AB83" s="1064"/>
      <c r="AC83" s="1064"/>
      <c r="AD83" s="4198"/>
      <c r="AE83" s="3046"/>
      <c r="AF83" s="3046"/>
      <c r="AG83" s="3064"/>
      <c r="AI83" s="189"/>
      <c r="AJ83" s="189"/>
      <c r="AK83" s="189"/>
    </row>
    <row r="84" spans="2:37" ht="15.75" x14ac:dyDescent="0.25">
      <c r="B84" s="183"/>
      <c r="C84" s="183"/>
      <c r="D84" s="183"/>
      <c r="E84" s="183"/>
      <c r="F84" s="183"/>
      <c r="G84" s="183"/>
      <c r="H84" s="183"/>
      <c r="I84" s="183"/>
      <c r="J84" s="183"/>
      <c r="K84" s="183"/>
      <c r="L84" s="183"/>
      <c r="M84" s="183"/>
      <c r="N84" s="183"/>
      <c r="Y84" s="183"/>
      <c r="AA84" s="7"/>
      <c r="AB84" s="1064"/>
      <c r="AC84" s="1064"/>
      <c r="AD84" s="4198"/>
      <c r="AE84" s="3046"/>
      <c r="AF84" s="3046"/>
      <c r="AI84" s="3067"/>
      <c r="AJ84" s="3067"/>
      <c r="AK84" s="3067"/>
    </row>
    <row r="85" spans="2:37" ht="15.75" x14ac:dyDescent="0.25">
      <c r="B85" s="183"/>
      <c r="C85" s="183"/>
      <c r="D85" s="183"/>
      <c r="E85" s="183"/>
      <c r="F85" s="183"/>
      <c r="G85" s="183"/>
      <c r="H85" s="183"/>
      <c r="I85" s="183"/>
      <c r="J85" s="183"/>
      <c r="K85" s="183"/>
      <c r="L85" s="183"/>
      <c r="M85" s="183"/>
      <c r="N85" s="183"/>
      <c r="Y85" s="183"/>
      <c r="AB85" s="3063"/>
      <c r="AC85" s="3063"/>
      <c r="AD85" s="4198"/>
      <c r="AE85" s="3046"/>
      <c r="AF85" s="3046"/>
      <c r="AI85" s="3064"/>
      <c r="AJ85" s="298"/>
      <c r="AK85" s="298"/>
    </row>
    <row r="87" spans="2:37" ht="15.75" x14ac:dyDescent="0.25">
      <c r="B87" s="183"/>
      <c r="C87" s="183"/>
      <c r="D87" s="183"/>
      <c r="E87" s="183"/>
      <c r="F87" s="183"/>
      <c r="G87" s="183"/>
      <c r="H87" s="183"/>
      <c r="I87" s="183"/>
      <c r="J87" s="183"/>
      <c r="K87" s="183"/>
      <c r="L87" s="183"/>
      <c r="M87" s="183"/>
      <c r="N87" s="183"/>
      <c r="Y87" s="183"/>
      <c r="AA87" s="7"/>
      <c r="AB87" s="1064"/>
      <c r="AC87" s="1064"/>
      <c r="AD87" s="7"/>
      <c r="AE87" s="3046"/>
      <c r="AF87" s="3046"/>
      <c r="AG87" s="298"/>
      <c r="AI87" s="189"/>
      <c r="AJ87" s="189"/>
      <c r="AK87" s="189"/>
    </row>
    <row r="88" spans="2:37" ht="15.75" x14ac:dyDescent="0.25">
      <c r="B88" s="183"/>
      <c r="C88" s="183"/>
      <c r="D88" s="183"/>
      <c r="E88" s="183"/>
      <c r="F88" s="183"/>
      <c r="G88" s="183"/>
      <c r="H88" s="183"/>
      <c r="I88" s="183"/>
      <c r="J88" s="183"/>
      <c r="K88" s="183"/>
      <c r="L88" s="183"/>
      <c r="M88" s="183"/>
      <c r="N88" s="183"/>
      <c r="Y88" s="183"/>
      <c r="AA88" s="7"/>
      <c r="AB88" s="1064"/>
      <c r="AC88" s="1064"/>
      <c r="AD88" s="3489"/>
      <c r="AE88" s="3046"/>
      <c r="AF88" s="3046"/>
      <c r="AG88" s="3064"/>
      <c r="AI88" s="189"/>
      <c r="AJ88" s="189"/>
      <c r="AK88" s="189"/>
    </row>
    <row r="89" spans="2:37" ht="15.75" x14ac:dyDescent="0.25">
      <c r="B89" s="183"/>
      <c r="C89" s="183"/>
      <c r="D89" s="183"/>
      <c r="E89" s="183"/>
      <c r="F89" s="183"/>
      <c r="G89" s="183"/>
      <c r="H89" s="183"/>
      <c r="I89" s="183"/>
      <c r="J89" s="183"/>
      <c r="K89" s="183"/>
      <c r="L89" s="183"/>
      <c r="M89" s="183"/>
      <c r="N89" s="183"/>
      <c r="Y89" s="183"/>
      <c r="AA89" s="7"/>
      <c r="AB89" s="3063"/>
      <c r="AC89" s="3063"/>
      <c r="AE89" s="3046"/>
      <c r="AF89" s="3046"/>
      <c r="AI89" s="3046"/>
      <c r="AJ89" s="3046"/>
      <c r="AK89" s="3046"/>
    </row>
    <row r="91" spans="2:37" ht="15.75" x14ac:dyDescent="0.25">
      <c r="B91" s="183"/>
      <c r="C91" s="183"/>
      <c r="D91" s="183"/>
      <c r="E91" s="183"/>
      <c r="F91" s="183"/>
      <c r="G91" s="183"/>
      <c r="H91" s="183"/>
      <c r="I91" s="183"/>
      <c r="J91" s="183"/>
      <c r="K91" s="183"/>
      <c r="L91" s="183"/>
      <c r="M91" s="183"/>
      <c r="N91" s="183"/>
      <c r="Y91" s="183"/>
      <c r="AA91" s="7"/>
      <c r="AB91" s="1064"/>
      <c r="AC91" s="1064"/>
      <c r="AD91" s="4198"/>
      <c r="AE91" s="3046"/>
      <c r="AF91" s="3046"/>
      <c r="AI91" s="3045"/>
      <c r="AJ91" s="3045"/>
      <c r="AK91" s="3045"/>
    </row>
    <row r="92" spans="2:37" ht="15.75" x14ac:dyDescent="0.25">
      <c r="B92" s="183"/>
      <c r="C92" s="183"/>
      <c r="D92" s="183"/>
      <c r="E92" s="183"/>
      <c r="F92" s="183"/>
      <c r="G92" s="183"/>
      <c r="H92" s="183"/>
      <c r="I92" s="183"/>
      <c r="J92" s="183"/>
      <c r="K92" s="183"/>
      <c r="L92" s="183"/>
      <c r="M92" s="183"/>
      <c r="N92" s="183"/>
      <c r="Y92" s="183"/>
      <c r="AA92" s="7"/>
      <c r="AB92" s="1064"/>
      <c r="AC92" s="1064"/>
      <c r="AD92" s="4198"/>
      <c r="AE92" s="3046"/>
      <c r="AF92" s="3046"/>
      <c r="AG92" s="298"/>
      <c r="AI92" s="189"/>
      <c r="AJ92" s="189"/>
      <c r="AK92" s="189"/>
    </row>
    <row r="93" spans="2:37" ht="15.75" x14ac:dyDescent="0.25">
      <c r="B93" s="183"/>
      <c r="C93" s="183"/>
      <c r="D93" s="183"/>
      <c r="E93" s="183"/>
      <c r="F93" s="183"/>
      <c r="G93" s="183"/>
      <c r="H93" s="183"/>
      <c r="I93" s="183"/>
      <c r="J93" s="183"/>
      <c r="K93" s="183"/>
      <c r="L93" s="183"/>
      <c r="M93" s="183"/>
      <c r="N93" s="183"/>
      <c r="Y93" s="183"/>
      <c r="AA93" s="7"/>
      <c r="AB93" s="1064"/>
      <c r="AC93" s="1064"/>
      <c r="AD93" s="4198"/>
      <c r="AE93" s="3046"/>
      <c r="AF93" s="3046"/>
      <c r="AG93" s="3064"/>
      <c r="AI93" s="189"/>
      <c r="AJ93" s="189"/>
      <c r="AK93" s="189"/>
    </row>
    <row r="94" spans="2:37" ht="15.75" x14ac:dyDescent="0.25">
      <c r="B94" s="183"/>
      <c r="C94" s="183"/>
      <c r="D94" s="183"/>
      <c r="E94" s="183"/>
      <c r="F94" s="183"/>
      <c r="G94" s="183"/>
      <c r="H94" s="183"/>
      <c r="I94" s="183"/>
      <c r="J94" s="183"/>
      <c r="K94" s="183"/>
      <c r="L94" s="183"/>
      <c r="M94" s="183"/>
      <c r="N94" s="183"/>
      <c r="Y94" s="183"/>
      <c r="AA94" s="7"/>
      <c r="AB94" s="1064"/>
      <c r="AC94" s="1064"/>
      <c r="AD94" s="4198"/>
      <c r="AE94" s="3046"/>
      <c r="AF94" s="3046"/>
      <c r="AG94" s="3064"/>
      <c r="AI94" s="3066"/>
      <c r="AJ94" s="3066"/>
      <c r="AK94" s="3066"/>
    </row>
    <row r="95" spans="2:37" ht="15.75" x14ac:dyDescent="0.25">
      <c r="B95" s="183"/>
      <c r="C95" s="183"/>
      <c r="D95" s="183"/>
      <c r="E95" s="183"/>
      <c r="F95" s="183"/>
      <c r="G95" s="183"/>
      <c r="H95" s="183"/>
      <c r="I95" s="183"/>
      <c r="J95" s="183"/>
      <c r="K95" s="183"/>
      <c r="L95" s="183"/>
      <c r="M95" s="183"/>
      <c r="N95" s="183"/>
      <c r="Y95" s="183"/>
      <c r="AA95" s="7"/>
      <c r="AB95" s="1064"/>
      <c r="AC95" s="1064"/>
      <c r="AD95" s="4198"/>
      <c r="AE95" s="3046"/>
      <c r="AF95" s="3046"/>
      <c r="AI95" s="3067"/>
      <c r="AJ95" s="3067"/>
      <c r="AK95" s="3067"/>
    </row>
    <row r="96" spans="2:37" ht="15.75" x14ac:dyDescent="0.25">
      <c r="B96" s="183"/>
      <c r="C96" s="183"/>
      <c r="D96" s="183"/>
      <c r="E96" s="183"/>
      <c r="F96" s="183"/>
      <c r="G96" s="183"/>
      <c r="H96" s="183"/>
      <c r="I96" s="183"/>
      <c r="J96" s="183"/>
      <c r="K96" s="183"/>
      <c r="L96" s="183"/>
      <c r="M96" s="183"/>
      <c r="N96" s="183"/>
      <c r="Y96" s="183"/>
      <c r="AB96" s="3063"/>
      <c r="AC96" s="3063"/>
      <c r="AD96" s="4198"/>
      <c r="AE96" s="3046"/>
      <c r="AF96" s="3046"/>
      <c r="AI96" s="3064"/>
      <c r="AJ96" s="298"/>
      <c r="AK96" s="298"/>
    </row>
    <row r="97" spans="2:37" x14ac:dyDescent="0.25">
      <c r="B97" s="183"/>
      <c r="C97" s="183"/>
      <c r="D97" s="183"/>
      <c r="E97" s="183"/>
      <c r="F97" s="183"/>
      <c r="G97" s="183"/>
      <c r="H97" s="183"/>
      <c r="I97" s="183"/>
      <c r="J97" s="183"/>
      <c r="K97" s="183"/>
      <c r="L97" s="183"/>
      <c r="M97" s="183"/>
      <c r="N97" s="183"/>
      <c r="Y97" s="183"/>
      <c r="AI97" s="3046"/>
    </row>
    <row r="98" spans="2:37" ht="15.75" x14ac:dyDescent="0.25">
      <c r="B98" s="183"/>
      <c r="C98" s="183"/>
      <c r="D98" s="183"/>
      <c r="E98" s="183"/>
      <c r="F98" s="183"/>
      <c r="G98" s="183"/>
      <c r="H98" s="183"/>
      <c r="I98" s="183"/>
      <c r="J98" s="183"/>
      <c r="K98" s="183"/>
      <c r="L98" s="183"/>
      <c r="M98" s="183"/>
      <c r="N98" s="183"/>
      <c r="Y98" s="183"/>
      <c r="AA98" s="7"/>
      <c r="AB98" s="1064"/>
      <c r="AC98" s="1064"/>
      <c r="AD98" s="4198"/>
      <c r="AE98" s="3046"/>
      <c r="AF98" s="3046"/>
      <c r="AG98" s="298"/>
      <c r="AI98" s="189"/>
      <c r="AJ98" s="189"/>
      <c r="AK98" s="189"/>
    </row>
    <row r="99" spans="2:37" ht="15.75" x14ac:dyDescent="0.25">
      <c r="B99" s="183"/>
      <c r="C99" s="183"/>
      <c r="D99" s="183"/>
      <c r="E99" s="183"/>
      <c r="F99" s="183"/>
      <c r="G99" s="183"/>
      <c r="H99" s="183"/>
      <c r="I99" s="183"/>
      <c r="J99" s="183"/>
      <c r="K99" s="183"/>
      <c r="L99" s="183"/>
      <c r="M99" s="183"/>
      <c r="N99" s="183"/>
      <c r="Y99" s="183"/>
      <c r="AA99" s="7"/>
      <c r="AB99" s="1064"/>
      <c r="AC99" s="1064"/>
      <c r="AD99" s="4198"/>
      <c r="AE99" s="3046"/>
      <c r="AF99" s="3046"/>
      <c r="AG99" s="3064"/>
      <c r="AI99" s="189"/>
      <c r="AJ99" s="189"/>
      <c r="AK99" s="189"/>
    </row>
    <row r="100" spans="2:37" ht="15.75" x14ac:dyDescent="0.25">
      <c r="B100" s="183"/>
      <c r="C100" s="183"/>
      <c r="D100" s="183"/>
      <c r="E100" s="183"/>
      <c r="F100" s="183"/>
      <c r="G100" s="183"/>
      <c r="H100" s="183"/>
      <c r="I100" s="183"/>
      <c r="J100" s="183"/>
      <c r="K100" s="183"/>
      <c r="L100" s="183"/>
      <c r="M100" s="183"/>
      <c r="N100" s="183"/>
      <c r="Y100" s="183"/>
      <c r="AA100" s="7"/>
      <c r="AB100" s="1064"/>
      <c r="AC100" s="1064"/>
      <c r="AD100" s="4198"/>
      <c r="AE100" s="3046"/>
      <c r="AF100" s="3046"/>
      <c r="AG100" s="3064"/>
      <c r="AI100" s="3066"/>
      <c r="AJ100" s="3066"/>
      <c r="AK100" s="3066"/>
    </row>
    <row r="101" spans="2:37" ht="15.75" x14ac:dyDescent="0.25">
      <c r="B101" s="183"/>
      <c r="C101" s="183"/>
      <c r="D101" s="183"/>
      <c r="E101" s="183"/>
      <c r="F101" s="183"/>
      <c r="G101" s="183"/>
      <c r="H101" s="183"/>
      <c r="I101" s="183"/>
      <c r="J101" s="183"/>
      <c r="K101" s="183"/>
      <c r="L101" s="183"/>
      <c r="M101" s="183"/>
      <c r="N101" s="183"/>
      <c r="Y101" s="183"/>
      <c r="AB101" s="3063"/>
      <c r="AC101" s="3063"/>
      <c r="AD101" s="4198"/>
      <c r="AE101" s="3046"/>
      <c r="AF101" s="3046"/>
      <c r="AI101" s="3064"/>
      <c r="AJ101" s="298"/>
      <c r="AK101" s="298"/>
    </row>
    <row r="103" spans="2:37" ht="15.75" x14ac:dyDescent="0.25">
      <c r="B103" s="183"/>
      <c r="C103" s="183"/>
      <c r="D103" s="183"/>
      <c r="E103" s="183"/>
      <c r="F103" s="183"/>
      <c r="G103" s="183"/>
      <c r="H103" s="183"/>
      <c r="I103" s="183"/>
      <c r="J103" s="183"/>
      <c r="K103" s="183"/>
      <c r="L103" s="183"/>
      <c r="M103" s="183"/>
      <c r="N103" s="183"/>
      <c r="Y103" s="183"/>
      <c r="AA103" s="7"/>
      <c r="AB103" s="1064"/>
      <c r="AC103" s="1064"/>
      <c r="AD103" s="4198"/>
      <c r="AE103" s="3046"/>
      <c r="AF103" s="3046"/>
      <c r="AG103" s="298"/>
      <c r="AI103" s="189"/>
      <c r="AJ103" s="189"/>
      <c r="AK103" s="189"/>
    </row>
    <row r="104" spans="2:37" ht="15.75" x14ac:dyDescent="0.25">
      <c r="B104" s="183"/>
      <c r="C104" s="183"/>
      <c r="D104" s="183"/>
      <c r="E104" s="183"/>
      <c r="F104" s="183"/>
      <c r="G104" s="183"/>
      <c r="H104" s="183"/>
      <c r="I104" s="183"/>
      <c r="J104" s="183"/>
      <c r="K104" s="183"/>
      <c r="L104" s="183"/>
      <c r="M104" s="183"/>
      <c r="N104" s="183"/>
      <c r="Y104" s="183"/>
      <c r="AA104" s="7"/>
      <c r="AB104" s="1064"/>
      <c r="AC104" s="1064"/>
      <c r="AD104" s="4198"/>
      <c r="AE104" s="3046"/>
      <c r="AF104" s="3046"/>
      <c r="AG104" s="3064"/>
      <c r="AI104" s="189"/>
      <c r="AJ104" s="189"/>
      <c r="AK104" s="189"/>
    </row>
    <row r="105" spans="2:37" ht="15.75" x14ac:dyDescent="0.25">
      <c r="B105" s="183"/>
      <c r="C105" s="183"/>
      <c r="D105" s="183"/>
      <c r="E105" s="183"/>
      <c r="F105" s="183"/>
      <c r="G105" s="183"/>
      <c r="H105" s="183"/>
      <c r="I105" s="183"/>
      <c r="J105" s="183"/>
      <c r="K105" s="183"/>
      <c r="L105" s="183"/>
      <c r="M105" s="183"/>
      <c r="N105" s="183"/>
      <c r="Y105" s="183"/>
      <c r="AA105" s="7"/>
      <c r="AB105" s="1064"/>
      <c r="AC105" s="1064"/>
      <c r="AD105" s="4198"/>
      <c r="AE105" s="3046"/>
      <c r="AF105" s="3046"/>
      <c r="AG105" s="3064"/>
      <c r="AI105" s="3066"/>
      <c r="AJ105" s="3066"/>
      <c r="AK105" s="3066"/>
    </row>
    <row r="106" spans="2:37" ht="15.75" x14ac:dyDescent="0.25">
      <c r="B106" s="183"/>
      <c r="C106" s="183"/>
      <c r="D106" s="183"/>
      <c r="E106" s="183"/>
      <c r="F106" s="183"/>
      <c r="G106" s="183"/>
      <c r="H106" s="183"/>
      <c r="I106" s="183"/>
      <c r="J106" s="183"/>
      <c r="K106" s="183"/>
      <c r="L106" s="183"/>
      <c r="M106" s="183"/>
      <c r="N106" s="183"/>
      <c r="Y106" s="183"/>
      <c r="AA106" s="7"/>
      <c r="AB106" s="1064"/>
      <c r="AC106" s="1064"/>
      <c r="AD106" s="4198"/>
      <c r="AE106" s="3046"/>
      <c r="AF106" s="3046"/>
      <c r="AI106" s="3067"/>
      <c r="AJ106" s="3067"/>
      <c r="AK106" s="3067"/>
    </row>
    <row r="107" spans="2:37" ht="15.75" x14ac:dyDescent="0.25">
      <c r="B107" s="183"/>
      <c r="C107" s="183"/>
      <c r="D107" s="183"/>
      <c r="E107" s="183"/>
      <c r="F107" s="183"/>
      <c r="G107" s="183"/>
      <c r="H107" s="183"/>
      <c r="I107" s="183"/>
      <c r="J107" s="183"/>
      <c r="K107" s="183"/>
      <c r="L107" s="183"/>
      <c r="M107" s="183"/>
      <c r="N107" s="183"/>
      <c r="Y107" s="183"/>
      <c r="AB107" s="3063"/>
      <c r="AC107" s="3063"/>
      <c r="AD107" s="4198"/>
      <c r="AE107" s="3046"/>
      <c r="AF107" s="3046"/>
      <c r="AI107" s="3064"/>
      <c r="AJ107" s="298"/>
      <c r="AK107" s="298"/>
    </row>
    <row r="108" spans="2:37" x14ac:dyDescent="0.25">
      <c r="B108" s="183"/>
      <c r="C108" s="183"/>
      <c r="D108" s="183"/>
      <c r="E108" s="183"/>
      <c r="F108" s="183"/>
      <c r="G108" s="183"/>
      <c r="H108" s="183"/>
      <c r="I108" s="183"/>
      <c r="J108" s="183"/>
      <c r="K108" s="183"/>
      <c r="L108" s="183"/>
      <c r="M108" s="183"/>
      <c r="N108" s="183"/>
      <c r="Y108" s="183"/>
      <c r="AI108" s="3046"/>
    </row>
    <row r="109" spans="2:37" ht="15.75" x14ac:dyDescent="0.25">
      <c r="B109" s="183"/>
      <c r="C109" s="183"/>
      <c r="D109" s="183"/>
      <c r="E109" s="183"/>
      <c r="F109" s="183"/>
      <c r="G109" s="183"/>
      <c r="H109" s="183"/>
      <c r="I109" s="183"/>
      <c r="J109" s="183"/>
      <c r="K109" s="183"/>
      <c r="L109" s="183"/>
      <c r="M109" s="183"/>
      <c r="N109" s="183"/>
      <c r="Y109" s="183"/>
      <c r="AA109" s="7"/>
      <c r="AB109" s="1064"/>
      <c r="AC109" s="1064"/>
      <c r="AE109" s="3046"/>
      <c r="AF109" s="3046"/>
      <c r="AI109" s="3046"/>
    </row>
    <row r="110" spans="2:37" ht="15.75" x14ac:dyDescent="0.25">
      <c r="B110" s="183"/>
      <c r="C110" s="183"/>
      <c r="D110" s="183"/>
      <c r="E110" s="183"/>
      <c r="F110" s="183"/>
      <c r="G110" s="183"/>
      <c r="H110" s="183"/>
      <c r="I110" s="183"/>
      <c r="J110" s="183"/>
      <c r="K110" s="183"/>
      <c r="L110" s="183"/>
      <c r="M110" s="183"/>
      <c r="N110" s="183"/>
      <c r="Y110" s="183"/>
      <c r="AA110" s="7"/>
      <c r="AB110" s="1064"/>
      <c r="AC110" s="1064"/>
      <c r="AD110" s="4198"/>
      <c r="AE110" s="3046"/>
      <c r="AF110" s="3046"/>
      <c r="AG110" s="298"/>
      <c r="AI110" s="189"/>
      <c r="AJ110" s="189"/>
      <c r="AK110" s="189"/>
    </row>
    <row r="111" spans="2:37" ht="15.75" x14ac:dyDescent="0.25">
      <c r="B111" s="183"/>
      <c r="C111" s="183"/>
      <c r="D111" s="183"/>
      <c r="E111" s="183"/>
      <c r="F111" s="183"/>
      <c r="G111" s="183"/>
      <c r="H111" s="183"/>
      <c r="I111" s="183"/>
      <c r="J111" s="183"/>
      <c r="K111" s="183"/>
      <c r="L111" s="183"/>
      <c r="M111" s="183"/>
      <c r="N111" s="183"/>
      <c r="Y111" s="183"/>
      <c r="AA111" s="7"/>
      <c r="AB111" s="1064"/>
      <c r="AC111" s="1064"/>
      <c r="AD111" s="4198"/>
      <c r="AE111" s="3046"/>
      <c r="AF111" s="3046"/>
      <c r="AG111" s="3064"/>
      <c r="AI111" s="189"/>
      <c r="AJ111" s="189"/>
      <c r="AK111" s="189"/>
    </row>
    <row r="112" spans="2:37" ht="15.75" x14ac:dyDescent="0.25">
      <c r="B112" s="183"/>
      <c r="C112" s="183"/>
      <c r="D112" s="183"/>
      <c r="E112" s="183"/>
      <c r="F112" s="183"/>
      <c r="G112" s="183"/>
      <c r="H112" s="183"/>
      <c r="I112" s="183"/>
      <c r="J112" s="183"/>
      <c r="K112" s="183"/>
      <c r="L112" s="183"/>
      <c r="M112" s="183"/>
      <c r="N112" s="183"/>
      <c r="Y112" s="183"/>
      <c r="AA112" s="7"/>
      <c r="AB112" s="1064"/>
      <c r="AC112" s="1064"/>
      <c r="AD112" s="4198"/>
      <c r="AE112" s="3046"/>
      <c r="AF112" s="3046"/>
      <c r="AG112" s="3064"/>
      <c r="AI112" s="3066"/>
      <c r="AJ112" s="3066"/>
      <c r="AK112" s="3066"/>
    </row>
    <row r="113" spans="2:37" ht="15.75" x14ac:dyDescent="0.25">
      <c r="B113" s="183"/>
      <c r="C113" s="183"/>
      <c r="D113" s="183"/>
      <c r="E113" s="183"/>
      <c r="F113" s="183"/>
      <c r="G113" s="183"/>
      <c r="H113" s="183"/>
      <c r="I113" s="183"/>
      <c r="J113" s="183"/>
      <c r="K113" s="183"/>
      <c r="L113" s="183"/>
      <c r="M113" s="183"/>
      <c r="N113" s="183"/>
      <c r="Y113" s="183"/>
      <c r="AA113" s="7"/>
      <c r="AB113" s="1064"/>
      <c r="AC113" s="1064"/>
      <c r="AD113" s="4198"/>
      <c r="AE113" s="3046"/>
      <c r="AF113" s="3046"/>
      <c r="AI113" s="3067"/>
      <c r="AJ113" s="3067"/>
      <c r="AK113" s="3067"/>
    </row>
    <row r="114" spans="2:37" ht="15.75" x14ac:dyDescent="0.25">
      <c r="B114" s="183"/>
      <c r="C114" s="183"/>
      <c r="D114" s="183"/>
      <c r="E114" s="183"/>
      <c r="F114" s="183"/>
      <c r="G114" s="183"/>
      <c r="H114" s="183"/>
      <c r="I114" s="183"/>
      <c r="J114" s="183"/>
      <c r="K114" s="183"/>
      <c r="L114" s="183"/>
      <c r="M114" s="183"/>
      <c r="N114" s="183"/>
      <c r="Y114" s="183"/>
      <c r="AB114" s="1064"/>
      <c r="AC114" s="1064"/>
      <c r="AD114" s="4198"/>
      <c r="AE114" s="3046"/>
      <c r="AF114" s="3046"/>
      <c r="AI114" s="3064"/>
      <c r="AJ114" s="298"/>
      <c r="AK114" s="298"/>
    </row>
    <row r="115" spans="2:37" ht="15.75" x14ac:dyDescent="0.25">
      <c r="B115" s="183"/>
      <c r="C115" s="183"/>
      <c r="D115" s="183"/>
      <c r="E115" s="183"/>
      <c r="F115" s="183"/>
      <c r="G115" s="183"/>
      <c r="H115" s="183"/>
      <c r="I115" s="183"/>
      <c r="J115" s="183"/>
      <c r="K115" s="183"/>
      <c r="L115" s="183"/>
      <c r="M115" s="183"/>
      <c r="N115" s="183"/>
      <c r="Y115" s="183"/>
      <c r="AB115" s="1064"/>
      <c r="AC115" s="1064"/>
    </row>
    <row r="116" spans="2:37" ht="15.75" x14ac:dyDescent="0.25">
      <c r="B116" s="183"/>
      <c r="C116" s="183"/>
      <c r="D116" s="183"/>
      <c r="E116" s="183"/>
      <c r="F116" s="183"/>
      <c r="G116" s="183"/>
      <c r="H116" s="183"/>
      <c r="I116" s="183"/>
      <c r="J116" s="183"/>
      <c r="K116" s="183"/>
      <c r="L116" s="183"/>
      <c r="M116" s="183"/>
      <c r="N116" s="183"/>
      <c r="Y116" s="183"/>
      <c r="AA116" s="7"/>
      <c r="AB116" s="1064"/>
      <c r="AC116" s="1064"/>
      <c r="AD116" s="4198"/>
      <c r="AE116" s="3046"/>
      <c r="AF116" s="3046"/>
      <c r="AG116" s="298"/>
      <c r="AI116" s="189"/>
      <c r="AJ116" s="189"/>
      <c r="AK116" s="189"/>
    </row>
    <row r="117" spans="2:37" ht="15.75" x14ac:dyDescent="0.25">
      <c r="B117" s="183"/>
      <c r="C117" s="183"/>
      <c r="D117" s="183"/>
      <c r="E117" s="183"/>
      <c r="F117" s="183"/>
      <c r="G117" s="183"/>
      <c r="H117" s="183"/>
      <c r="I117" s="183"/>
      <c r="J117" s="183"/>
      <c r="K117" s="183"/>
      <c r="L117" s="183"/>
      <c r="M117" s="183"/>
      <c r="N117" s="183"/>
      <c r="Y117" s="183"/>
      <c r="AA117" s="7"/>
      <c r="AB117" s="1064"/>
      <c r="AC117" s="1064"/>
      <c r="AD117" s="4198"/>
      <c r="AE117" s="3046"/>
      <c r="AF117" s="3046"/>
      <c r="AG117" s="3064"/>
      <c r="AI117" s="189"/>
      <c r="AJ117" s="189"/>
      <c r="AK117" s="189"/>
    </row>
    <row r="118" spans="2:37" ht="15.75" x14ac:dyDescent="0.25">
      <c r="B118" s="183"/>
      <c r="C118" s="183"/>
      <c r="D118" s="183"/>
      <c r="E118" s="183"/>
      <c r="F118" s="183"/>
      <c r="G118" s="183"/>
      <c r="H118" s="183"/>
      <c r="I118" s="183"/>
      <c r="J118" s="183"/>
      <c r="K118" s="183"/>
      <c r="L118" s="183"/>
      <c r="M118" s="183"/>
      <c r="N118" s="183"/>
      <c r="Y118" s="183"/>
      <c r="AA118" s="7"/>
      <c r="AB118" s="1064"/>
      <c r="AC118" s="1064"/>
      <c r="AD118" s="4198"/>
      <c r="AE118" s="3046"/>
      <c r="AF118" s="3046"/>
      <c r="AG118" s="3064"/>
      <c r="AI118" s="3066"/>
      <c r="AJ118" s="3066"/>
      <c r="AK118" s="3066"/>
    </row>
    <row r="119" spans="2:37" ht="15.75" x14ac:dyDescent="0.25">
      <c r="B119" s="183"/>
      <c r="C119" s="183"/>
      <c r="D119" s="183"/>
      <c r="E119" s="183"/>
      <c r="F119" s="183"/>
      <c r="G119" s="183"/>
      <c r="H119" s="183"/>
      <c r="I119" s="183"/>
      <c r="J119" s="183"/>
      <c r="K119" s="183"/>
      <c r="L119" s="183"/>
      <c r="M119" s="183"/>
      <c r="N119" s="183"/>
      <c r="Y119" s="183"/>
      <c r="AA119" s="7"/>
      <c r="AB119" s="1064"/>
      <c r="AC119" s="1064"/>
      <c r="AD119" s="4198"/>
      <c r="AE119" s="3046"/>
      <c r="AF119" s="3046"/>
      <c r="AI119" s="3067"/>
      <c r="AJ119" s="3067"/>
      <c r="AK119" s="3067"/>
    </row>
    <row r="120" spans="2:37" ht="15.75" x14ac:dyDescent="0.25">
      <c r="B120" s="183"/>
      <c r="C120" s="183"/>
      <c r="D120" s="183"/>
      <c r="E120" s="183"/>
      <c r="F120" s="183"/>
      <c r="G120" s="183"/>
      <c r="H120" s="183"/>
      <c r="I120" s="183"/>
      <c r="J120" s="183"/>
      <c r="K120" s="183"/>
      <c r="L120" s="183"/>
      <c r="M120" s="183"/>
      <c r="N120" s="183"/>
      <c r="Y120" s="183"/>
      <c r="AB120" s="3063"/>
      <c r="AC120" s="3063"/>
      <c r="AD120" s="4198"/>
      <c r="AE120" s="3046"/>
      <c r="AF120" s="3046"/>
      <c r="AI120" s="3064"/>
      <c r="AJ120" s="298"/>
      <c r="AK120" s="298"/>
    </row>
    <row r="121" spans="2:37" ht="15.75" x14ac:dyDescent="0.25">
      <c r="B121" s="183"/>
      <c r="C121" s="183"/>
      <c r="D121" s="183"/>
      <c r="E121" s="183"/>
      <c r="F121" s="183"/>
      <c r="G121" s="183"/>
      <c r="H121" s="183"/>
      <c r="I121" s="183"/>
      <c r="J121" s="183"/>
      <c r="K121" s="183"/>
      <c r="L121" s="183"/>
      <c r="M121" s="183"/>
      <c r="N121" s="183"/>
      <c r="Y121" s="183"/>
      <c r="AB121" s="1064"/>
      <c r="AC121" s="1064"/>
    </row>
    <row r="122" spans="2:37" ht="15.75" x14ac:dyDescent="0.25">
      <c r="B122" s="183"/>
      <c r="C122" s="183"/>
      <c r="D122" s="183"/>
      <c r="E122" s="183"/>
      <c r="F122" s="183"/>
      <c r="G122" s="183"/>
      <c r="H122" s="183"/>
      <c r="I122" s="183"/>
      <c r="J122" s="183"/>
      <c r="K122" s="183"/>
      <c r="L122" s="183"/>
      <c r="M122" s="183"/>
      <c r="N122" s="183"/>
      <c r="Y122" s="183"/>
      <c r="AB122" s="1064"/>
      <c r="AC122" s="1064"/>
    </row>
    <row r="123" spans="2:37" ht="15.75" x14ac:dyDescent="0.25">
      <c r="B123" s="183"/>
      <c r="C123" s="183"/>
      <c r="D123" s="183"/>
      <c r="E123" s="183"/>
      <c r="F123" s="183"/>
      <c r="G123" s="183"/>
      <c r="H123" s="183"/>
      <c r="I123" s="183"/>
      <c r="J123" s="183"/>
      <c r="K123" s="183"/>
      <c r="L123" s="183"/>
      <c r="M123" s="183"/>
      <c r="N123" s="183"/>
      <c r="Y123" s="183"/>
      <c r="AB123" s="1064"/>
      <c r="AC123" s="1064"/>
    </row>
  </sheetData>
  <mergeCells count="48">
    <mergeCell ref="AD110:AD114"/>
    <mergeCell ref="AD116:AD120"/>
    <mergeCell ref="A1:B1"/>
    <mergeCell ref="A3:Y3"/>
    <mergeCell ref="AD73:AD77"/>
    <mergeCell ref="AD80:AD85"/>
    <mergeCell ref="AD91:AD96"/>
    <mergeCell ref="AD98:AD101"/>
    <mergeCell ref="AD103:AD107"/>
    <mergeCell ref="AD40:AD43"/>
    <mergeCell ref="AD45:AD49"/>
    <mergeCell ref="AD51:AD55"/>
    <mergeCell ref="AD62:AD65"/>
    <mergeCell ref="AD67:AD69"/>
    <mergeCell ref="T1:X1"/>
    <mergeCell ref="A4:Y4"/>
    <mergeCell ref="O6:U6"/>
    <mergeCell ref="V6:V7"/>
    <mergeCell ref="W6:W7"/>
    <mergeCell ref="X6:X7"/>
    <mergeCell ref="Y6:Y7"/>
    <mergeCell ref="F6:F7"/>
    <mergeCell ref="G6:G7"/>
    <mergeCell ref="H6:H7"/>
    <mergeCell ref="I6:I7"/>
    <mergeCell ref="A2:Y2"/>
    <mergeCell ref="J6:J7"/>
    <mergeCell ref="K6:K7"/>
    <mergeCell ref="L6:L7"/>
    <mergeCell ref="M6:M7"/>
    <mergeCell ref="N6:N7"/>
    <mergeCell ref="A6:A7"/>
    <mergeCell ref="B6:B7"/>
    <mergeCell ref="C6:C7"/>
    <mergeCell ref="D6:D7"/>
    <mergeCell ref="E6:E7"/>
    <mergeCell ref="V5:Y5"/>
    <mergeCell ref="B28:D28"/>
    <mergeCell ref="L28:Y28"/>
    <mergeCell ref="P27:T27"/>
    <mergeCell ref="B29:D29"/>
    <mergeCell ref="L29:Y29"/>
    <mergeCell ref="AD29:AD32"/>
    <mergeCell ref="L30:W30"/>
    <mergeCell ref="M32:O32"/>
    <mergeCell ref="B35:D35"/>
    <mergeCell ref="L35:Y35"/>
    <mergeCell ref="AD35:AD37"/>
  </mergeCells>
  <phoneticPr fontId="70" type="noConversion"/>
  <pageMargins left="0.38" right="0.19" top="0.43" bottom="0.32" header="0.31496062992126" footer="0.31496062992126"/>
  <pageSetup paperSize="9" scale="50" orientation="landscape" useFirstPageNumber="1" r:id="rId1"/>
  <headerFooter>
    <oddHeader xml:space="preserve">&amp;RBiểu số 5.8          </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71"/>
  <sheetViews>
    <sheetView workbookViewId="0">
      <pane ySplit="9" topLeftCell="A10" activePane="bottomLeft" state="frozen"/>
      <selection activeCell="C1" sqref="C1"/>
      <selection pane="bottomLeft" sqref="A1:XFD1048576"/>
    </sheetView>
  </sheetViews>
  <sheetFormatPr defaultColWidth="9.140625" defaultRowHeight="12.75" zeroHeight="1" x14ac:dyDescent="0.2"/>
  <cols>
    <col min="1" max="1" width="9.140625" style="786"/>
    <col min="2" max="2" width="20" style="785" customWidth="1"/>
    <col min="3" max="10" width="9.140625" style="785"/>
    <col min="11" max="12" width="0" style="785" hidden="1" customWidth="1"/>
    <col min="13" max="13" width="13" style="785" customWidth="1"/>
    <col min="14" max="14" width="11.140625" style="785" customWidth="1"/>
    <col min="15" max="15" width="11.5703125" style="785" customWidth="1"/>
    <col min="16" max="17" width="9.140625" style="785"/>
    <col min="18" max="19" width="9.140625" style="785" hidden="1" customWidth="1"/>
    <col min="20" max="20" width="0" style="785" hidden="1" customWidth="1"/>
    <col min="21" max="26" width="9.140625" style="785"/>
    <col min="27" max="27" width="7.28515625" style="785" customWidth="1"/>
    <col min="28" max="16384" width="9.140625" style="785"/>
  </cols>
  <sheetData>
    <row r="1" spans="1:27" ht="27" hidden="1" customHeight="1" x14ac:dyDescent="0.3">
      <c r="A1" s="3969" t="s">
        <v>1762</v>
      </c>
      <c r="B1" s="3969"/>
      <c r="C1" s="3969"/>
      <c r="D1" s="3969"/>
      <c r="E1" s="3969"/>
      <c r="F1" s="3969"/>
      <c r="G1" s="3969"/>
      <c r="H1" s="3969"/>
      <c r="I1" s="3969"/>
      <c r="J1" s="3969"/>
      <c r="K1" s="3969"/>
      <c r="L1" s="3969"/>
      <c r="M1" s="3969"/>
      <c r="N1" s="3969"/>
      <c r="O1" s="3969"/>
      <c r="P1" s="3969"/>
      <c r="Q1" s="3969"/>
      <c r="R1" s="3969"/>
      <c r="S1" s="3969"/>
      <c r="T1" s="3969"/>
      <c r="U1" s="3969"/>
      <c r="V1" s="3969"/>
      <c r="W1" s="3969"/>
      <c r="X1" s="3969"/>
      <c r="Y1" s="3969"/>
      <c r="Z1" s="3969"/>
      <c r="AA1" s="3969"/>
    </row>
    <row r="2" spans="1:27" hidden="1" x14ac:dyDescent="0.2">
      <c r="N2" s="787"/>
      <c r="O2" s="787"/>
      <c r="P2" s="787"/>
      <c r="Q2" s="787"/>
      <c r="R2" s="787"/>
      <c r="S2" s="787"/>
      <c r="T2" s="788"/>
      <c r="U2" s="788"/>
      <c r="V2" s="788"/>
      <c r="W2" s="3970" t="s">
        <v>843</v>
      </c>
      <c r="X2" s="3970"/>
      <c r="Y2" s="3970"/>
      <c r="Z2" s="3970"/>
    </row>
    <row r="3" spans="1:27" s="789" customFormat="1" hidden="1" x14ac:dyDescent="0.25">
      <c r="A3" s="3960" t="s">
        <v>844</v>
      </c>
      <c r="B3" s="3960" t="s">
        <v>845</v>
      </c>
      <c r="C3" s="3971" t="s">
        <v>1281</v>
      </c>
      <c r="D3" s="3972"/>
      <c r="E3" s="3972"/>
      <c r="F3" s="3972"/>
      <c r="G3" s="3972"/>
      <c r="H3" s="3972"/>
      <c r="I3" s="3972"/>
      <c r="J3" s="3972"/>
      <c r="K3" s="3972"/>
      <c r="L3" s="3972"/>
      <c r="M3" s="3972"/>
      <c r="N3" s="3972"/>
      <c r="O3" s="3972"/>
      <c r="P3" s="3973"/>
      <c r="Q3" s="3974" t="s">
        <v>1282</v>
      </c>
      <c r="R3" s="3975"/>
      <c r="S3" s="3975"/>
      <c r="T3" s="3975"/>
      <c r="U3" s="3975"/>
      <c r="V3" s="3976"/>
      <c r="W3" s="3960" t="s">
        <v>1283</v>
      </c>
      <c r="X3" s="3960"/>
      <c r="Y3" s="3960"/>
      <c r="Z3" s="3960"/>
      <c r="AA3" s="3960" t="s">
        <v>1267</v>
      </c>
    </row>
    <row r="4" spans="1:27" s="789" customFormat="1" hidden="1" x14ac:dyDescent="0.25">
      <c r="A4" s="3960"/>
      <c r="B4" s="3960"/>
      <c r="C4" s="3977" t="s">
        <v>868</v>
      </c>
      <c r="D4" s="3957" t="s">
        <v>1206</v>
      </c>
      <c r="E4" s="3957"/>
      <c r="F4" s="3957"/>
      <c r="G4" s="3968" t="s">
        <v>1207</v>
      </c>
      <c r="H4" s="3962" t="s">
        <v>1284</v>
      </c>
      <c r="I4" s="3963"/>
      <c r="J4" s="3963"/>
      <c r="K4" s="3963"/>
      <c r="L4" s="3963"/>
      <c r="M4" s="3964"/>
      <c r="N4" s="3968" t="s">
        <v>1285</v>
      </c>
      <c r="O4" s="3968" t="s">
        <v>1286</v>
      </c>
      <c r="P4" s="3956" t="s">
        <v>1287</v>
      </c>
      <c r="Q4" s="3962"/>
      <c r="R4" s="3963"/>
      <c r="S4" s="3963"/>
      <c r="T4" s="3963"/>
      <c r="U4" s="3963"/>
      <c r="V4" s="3964"/>
      <c r="W4" s="3958" t="s">
        <v>868</v>
      </c>
      <c r="X4" s="3960" t="s">
        <v>907</v>
      </c>
      <c r="Y4" s="3960"/>
      <c r="Z4" s="3960"/>
      <c r="AA4" s="3960"/>
    </row>
    <row r="5" spans="1:27" s="789" customFormat="1" hidden="1" x14ac:dyDescent="0.25">
      <c r="A5" s="3960"/>
      <c r="B5" s="3960"/>
      <c r="C5" s="3977"/>
      <c r="D5" s="3961" t="s">
        <v>868</v>
      </c>
      <c r="E5" s="3961" t="s">
        <v>1271</v>
      </c>
      <c r="F5" s="3961" t="s">
        <v>34</v>
      </c>
      <c r="G5" s="3968"/>
      <c r="H5" s="3957" t="s">
        <v>1114</v>
      </c>
      <c r="I5" s="3962" t="s">
        <v>907</v>
      </c>
      <c r="J5" s="3963"/>
      <c r="K5" s="3963"/>
      <c r="L5" s="3963"/>
      <c r="M5" s="3964"/>
      <c r="N5" s="3968"/>
      <c r="O5" s="3968"/>
      <c r="P5" s="3956"/>
      <c r="Q5" s="3958" t="s">
        <v>1114</v>
      </c>
      <c r="R5" s="790"/>
      <c r="S5" s="3965" t="s">
        <v>907</v>
      </c>
      <c r="T5" s="3966"/>
      <c r="U5" s="3966"/>
      <c r="V5" s="3967"/>
      <c r="W5" s="3958"/>
      <c r="X5" s="3961" t="s">
        <v>925</v>
      </c>
      <c r="Y5" s="3961" t="s">
        <v>1312</v>
      </c>
      <c r="Z5" s="3961" t="s">
        <v>1276</v>
      </c>
      <c r="AA5" s="3960"/>
    </row>
    <row r="6" spans="1:27" s="789" customFormat="1" ht="76.5" hidden="1" x14ac:dyDescent="0.25">
      <c r="A6" s="3960"/>
      <c r="B6" s="3960"/>
      <c r="C6" s="3978"/>
      <c r="D6" s="3957"/>
      <c r="E6" s="3957"/>
      <c r="F6" s="3957"/>
      <c r="G6" s="3964"/>
      <c r="H6" s="3958"/>
      <c r="I6" s="791" t="s">
        <v>1288</v>
      </c>
      <c r="J6" s="791" t="s">
        <v>1289</v>
      </c>
      <c r="K6" s="791" t="s">
        <v>1290</v>
      </c>
      <c r="L6" s="791" t="s">
        <v>1291</v>
      </c>
      <c r="M6" s="792" t="s">
        <v>1292</v>
      </c>
      <c r="N6" s="3964"/>
      <c r="O6" s="3964"/>
      <c r="P6" s="3957"/>
      <c r="Q6" s="3958"/>
      <c r="R6" s="792" t="s">
        <v>1293</v>
      </c>
      <c r="S6" s="792" t="s">
        <v>1294</v>
      </c>
      <c r="T6" s="792" t="s">
        <v>1295</v>
      </c>
      <c r="U6" s="792" t="s">
        <v>1296</v>
      </c>
      <c r="V6" s="792" t="s">
        <v>1297</v>
      </c>
      <c r="W6" s="3958"/>
      <c r="X6" s="3957"/>
      <c r="Y6" s="3957"/>
      <c r="Z6" s="3957"/>
      <c r="AA6" s="3960"/>
    </row>
    <row r="7" spans="1:27" s="789" customFormat="1" ht="25.5" hidden="1" x14ac:dyDescent="0.25">
      <c r="A7" s="793" t="s">
        <v>847</v>
      </c>
      <c r="B7" s="793" t="s">
        <v>848</v>
      </c>
      <c r="C7" s="794" t="s">
        <v>1298</v>
      </c>
      <c r="D7" s="793" t="s">
        <v>1278</v>
      </c>
      <c r="E7" s="793">
        <v>3</v>
      </c>
      <c r="F7" s="795">
        <v>4</v>
      </c>
      <c r="G7" s="795">
        <v>5</v>
      </c>
      <c r="H7" s="796" t="s">
        <v>1299</v>
      </c>
      <c r="I7" s="795">
        <v>7</v>
      </c>
      <c r="J7" s="795">
        <v>8</v>
      </c>
      <c r="K7" s="795">
        <v>9</v>
      </c>
      <c r="L7" s="795">
        <v>10</v>
      </c>
      <c r="M7" s="795">
        <v>11</v>
      </c>
      <c r="N7" s="793">
        <v>12</v>
      </c>
      <c r="O7" s="793"/>
      <c r="P7" s="793"/>
      <c r="Q7" s="796" t="s">
        <v>1300</v>
      </c>
      <c r="R7" s="796"/>
      <c r="S7" s="793">
        <v>14</v>
      </c>
      <c r="T7" s="795">
        <v>15</v>
      </c>
      <c r="U7" s="795"/>
      <c r="V7" s="795">
        <v>16</v>
      </c>
      <c r="W7" s="795" t="s">
        <v>1301</v>
      </c>
      <c r="X7" s="793">
        <v>18</v>
      </c>
      <c r="Y7" s="793"/>
      <c r="Z7" s="793">
        <v>19</v>
      </c>
      <c r="AA7" s="793">
        <v>20</v>
      </c>
    </row>
    <row r="8" spans="1:27" s="803" customFormat="1" ht="46.15" hidden="1" customHeight="1" x14ac:dyDescent="0.25">
      <c r="A8" s="797">
        <v>1</v>
      </c>
      <c r="B8" s="798" t="s">
        <v>1302</v>
      </c>
      <c r="C8" s="799">
        <f>D8+G8+H8+N8+P8</f>
        <v>9534.4546279999995</v>
      </c>
      <c r="D8" s="800">
        <f>SUM(E8:F8)</f>
        <v>4256.9459999999999</v>
      </c>
      <c r="E8" s="800">
        <v>4108.8459999999995</v>
      </c>
      <c r="F8" s="799">
        <v>148.1</v>
      </c>
      <c r="G8" s="799"/>
      <c r="H8" s="799">
        <f>SUM(I8:M8)</f>
        <v>4506.8366999999998</v>
      </c>
      <c r="I8" s="799">
        <v>2875</v>
      </c>
      <c r="J8" s="799">
        <v>43.256700000000002</v>
      </c>
      <c r="K8" s="799"/>
      <c r="L8" s="801"/>
      <c r="M8" s="799">
        <v>1588.58</v>
      </c>
      <c r="N8" s="799">
        <v>770.67192799999998</v>
      </c>
      <c r="O8" s="799">
        <v>119.04673600000001</v>
      </c>
      <c r="P8" s="799"/>
      <c r="Q8" s="799">
        <f>U8+S8+T8+V8</f>
        <v>8348.2737660000003</v>
      </c>
      <c r="R8" s="799"/>
      <c r="S8" s="799"/>
      <c r="T8" s="800"/>
      <c r="U8" s="800">
        <v>8348.2737660000003</v>
      </c>
      <c r="V8" s="799"/>
      <c r="W8" s="800">
        <f>C8-Q8</f>
        <v>1186.1808619999993</v>
      </c>
      <c r="X8" s="800">
        <f>64.678+25.6</f>
        <v>90.277999999999992</v>
      </c>
      <c r="Y8" s="800">
        <v>35.193857000000001</v>
      </c>
      <c r="Z8" s="800">
        <f>W8-X8-Y8</f>
        <v>1060.7090049999993</v>
      </c>
      <c r="AA8" s="802"/>
    </row>
    <row r="9" spans="1:27" s="803" customFormat="1" hidden="1" x14ac:dyDescent="0.25">
      <c r="A9" s="804"/>
      <c r="B9" s="805"/>
      <c r="C9" s="806"/>
      <c r="D9" s="807"/>
      <c r="E9" s="807"/>
      <c r="F9" s="806"/>
      <c r="G9" s="806"/>
      <c r="H9" s="806"/>
      <c r="I9" s="806"/>
      <c r="J9" s="806"/>
      <c r="K9" s="806"/>
      <c r="L9" s="808"/>
      <c r="M9" s="806"/>
      <c r="N9" s="806"/>
      <c r="O9" s="806"/>
      <c r="P9" s="806"/>
      <c r="Q9" s="806"/>
      <c r="R9" s="806"/>
      <c r="S9" s="806"/>
      <c r="T9" s="807"/>
      <c r="U9" s="807"/>
      <c r="V9" s="806"/>
      <c r="W9" s="807"/>
      <c r="X9" s="807"/>
      <c r="Y9" s="807"/>
      <c r="Z9" s="807"/>
      <c r="AA9" s="809"/>
    </row>
    <row r="10" spans="1:27" s="811" customFormat="1" ht="33" hidden="1" customHeight="1" x14ac:dyDescent="0.25">
      <c r="A10" s="810"/>
      <c r="E10" s="812"/>
      <c r="F10" s="813"/>
      <c r="G10" s="813"/>
      <c r="H10" s="813"/>
      <c r="I10" s="813"/>
      <c r="J10" s="813"/>
      <c r="K10" s="813"/>
      <c r="L10" s="814"/>
      <c r="M10" s="813"/>
      <c r="N10" s="813"/>
      <c r="O10" s="813"/>
      <c r="P10" s="813"/>
      <c r="V10" s="3953" t="s">
        <v>104</v>
      </c>
      <c r="W10" s="3953"/>
      <c r="X10" s="3953"/>
      <c r="Y10" s="3953"/>
      <c r="Z10" s="3953"/>
      <c r="AA10" s="815"/>
    </row>
    <row r="11" spans="1:27" s="811" customFormat="1" ht="16.5" hidden="1" x14ac:dyDescent="0.25">
      <c r="A11" s="810"/>
      <c r="B11" s="3954" t="s">
        <v>1303</v>
      </c>
      <c r="C11" s="3954"/>
      <c r="D11" s="3954"/>
      <c r="E11" s="812"/>
      <c r="F11" s="813"/>
      <c r="G11" s="813"/>
      <c r="H11" s="813"/>
      <c r="I11" s="813"/>
      <c r="J11" s="813"/>
      <c r="K11" s="813"/>
      <c r="L11" s="814"/>
      <c r="M11" s="813"/>
      <c r="N11" s="813"/>
      <c r="O11" s="813"/>
      <c r="P11" s="813"/>
      <c r="V11" s="3955" t="s">
        <v>1441</v>
      </c>
      <c r="W11" s="3955"/>
      <c r="X11" s="3955"/>
      <c r="Y11" s="3955"/>
      <c r="Z11" s="3955"/>
      <c r="AA11" s="815"/>
    </row>
    <row r="12" spans="1:27" s="811" customFormat="1" ht="16.5" hidden="1" x14ac:dyDescent="0.25">
      <c r="A12" s="810"/>
      <c r="B12" s="816"/>
      <c r="C12" s="816"/>
      <c r="D12" s="816"/>
      <c r="E12" s="812"/>
      <c r="F12" s="813"/>
      <c r="G12" s="813"/>
      <c r="H12" s="813"/>
      <c r="I12" s="813"/>
      <c r="J12" s="813"/>
      <c r="K12" s="813"/>
      <c r="L12" s="814"/>
      <c r="M12" s="813"/>
      <c r="N12" s="813"/>
      <c r="O12" s="813"/>
      <c r="P12" s="813"/>
      <c r="V12" s="817"/>
      <c r="W12" s="817"/>
      <c r="X12" s="817"/>
      <c r="Y12" s="817"/>
      <c r="Z12" s="817"/>
      <c r="AA12" s="815"/>
    </row>
    <row r="13" spans="1:27" s="811" customFormat="1" ht="16.5" hidden="1" x14ac:dyDescent="0.25">
      <c r="A13" s="810"/>
      <c r="B13" s="816"/>
      <c r="C13" s="816"/>
      <c r="D13" s="816"/>
      <c r="E13" s="812"/>
      <c r="F13" s="813"/>
      <c r="G13" s="813"/>
      <c r="H13" s="813"/>
      <c r="I13" s="813"/>
      <c r="J13" s="813"/>
      <c r="K13" s="813"/>
      <c r="L13" s="814"/>
      <c r="M13" s="813"/>
      <c r="N13" s="813"/>
      <c r="O13" s="813"/>
      <c r="P13" s="813"/>
      <c r="V13" s="817"/>
      <c r="W13" s="817"/>
      <c r="X13" s="817"/>
      <c r="Y13" s="817"/>
      <c r="Z13" s="817"/>
      <c r="AA13" s="815"/>
    </row>
    <row r="14" spans="1:27" s="811" customFormat="1" ht="16.5" hidden="1" x14ac:dyDescent="0.25">
      <c r="A14" s="810"/>
      <c r="B14" s="816"/>
      <c r="C14" s="816"/>
      <c r="D14" s="816"/>
      <c r="E14" s="812"/>
      <c r="F14" s="813"/>
      <c r="G14" s="813"/>
      <c r="H14" s="813"/>
      <c r="I14" s="813"/>
      <c r="J14" s="813"/>
      <c r="K14" s="813"/>
      <c r="L14" s="814"/>
      <c r="M14" s="813"/>
      <c r="N14" s="813"/>
      <c r="O14" s="813"/>
      <c r="P14" s="813"/>
      <c r="V14" s="817"/>
      <c r="W14" s="817"/>
      <c r="X14" s="817"/>
      <c r="Y14" s="817"/>
      <c r="Z14" s="817"/>
      <c r="AA14" s="815"/>
    </row>
    <row r="15" spans="1:27" s="811" customFormat="1" ht="16.5" hidden="1" x14ac:dyDescent="0.25">
      <c r="A15" s="810"/>
      <c r="B15" s="818"/>
      <c r="C15" s="815"/>
      <c r="D15" s="819"/>
      <c r="E15" s="812"/>
      <c r="F15" s="813"/>
      <c r="G15" s="813"/>
      <c r="H15" s="813"/>
      <c r="I15" s="813"/>
      <c r="J15" s="813"/>
      <c r="K15" s="813"/>
      <c r="L15" s="814"/>
      <c r="M15" s="813"/>
      <c r="N15" s="813"/>
      <c r="O15" s="813"/>
      <c r="P15" s="813"/>
      <c r="V15" s="3953"/>
      <c r="W15" s="3953"/>
      <c r="X15" s="3953"/>
      <c r="Y15" s="3953"/>
      <c r="Z15" s="3953"/>
      <c r="AA15" s="815"/>
    </row>
    <row r="16" spans="1:27" s="811" customFormat="1" ht="16.5" hidden="1" x14ac:dyDescent="0.25">
      <c r="A16" s="810"/>
      <c r="B16" s="818"/>
      <c r="C16" s="815"/>
      <c r="D16" s="819"/>
      <c r="E16" s="812"/>
      <c r="F16" s="813"/>
      <c r="G16" s="813"/>
      <c r="H16" s="813"/>
      <c r="I16" s="813"/>
      <c r="J16" s="813"/>
      <c r="K16" s="813"/>
      <c r="L16" s="814"/>
      <c r="M16" s="813"/>
      <c r="N16" s="813"/>
      <c r="O16" s="813"/>
      <c r="P16" s="813"/>
      <c r="V16" s="813"/>
      <c r="W16" s="813"/>
      <c r="X16" s="820"/>
      <c r="Y16" s="821"/>
      <c r="Z16" s="822"/>
      <c r="AA16" s="815"/>
    </row>
    <row r="17" spans="1:27" s="811" customFormat="1" ht="16.5" hidden="1" x14ac:dyDescent="0.25">
      <c r="A17" s="810"/>
      <c r="B17" s="3954" t="s">
        <v>1304</v>
      </c>
      <c r="C17" s="3954"/>
      <c r="D17" s="3954"/>
      <c r="E17" s="812"/>
      <c r="F17" s="813"/>
      <c r="G17" s="813"/>
      <c r="H17" s="813"/>
      <c r="I17" s="813"/>
      <c r="J17" s="813"/>
      <c r="K17" s="813"/>
      <c r="L17" s="814"/>
      <c r="M17" s="813"/>
      <c r="N17" s="813"/>
      <c r="O17" s="813"/>
      <c r="P17" s="813"/>
      <c r="Q17" s="813"/>
      <c r="R17" s="813"/>
      <c r="S17" s="813"/>
      <c r="T17" s="812"/>
      <c r="U17" s="812"/>
      <c r="V17" s="3959" t="s">
        <v>808</v>
      </c>
      <c r="W17" s="3959"/>
      <c r="X17" s="3959"/>
      <c r="Y17" s="3959"/>
      <c r="Z17" s="3959"/>
      <c r="AA17" s="815"/>
    </row>
    <row r="18" spans="1:27" s="811" customFormat="1" ht="16.5" hidden="1" x14ac:dyDescent="0.25">
      <c r="A18" s="810"/>
      <c r="B18" s="823"/>
      <c r="C18" s="813"/>
      <c r="D18" s="812"/>
      <c r="E18" s="812"/>
      <c r="F18" s="813"/>
      <c r="G18" s="813"/>
      <c r="H18" s="813"/>
      <c r="I18" s="813"/>
      <c r="J18" s="813"/>
      <c r="K18" s="813"/>
      <c r="L18" s="814"/>
      <c r="M18" s="813"/>
      <c r="N18" s="813"/>
      <c r="O18" s="813"/>
      <c r="P18" s="813"/>
      <c r="Q18" s="813"/>
      <c r="R18" s="813"/>
      <c r="S18" s="813"/>
      <c r="T18" s="812"/>
      <c r="U18" s="812"/>
      <c r="V18" s="813"/>
      <c r="W18" s="812"/>
      <c r="X18" s="812"/>
      <c r="Y18" s="812"/>
      <c r="Z18" s="812"/>
      <c r="AA18" s="815"/>
    </row>
    <row r="19" spans="1:27" s="803" customFormat="1" hidden="1" x14ac:dyDescent="0.25">
      <c r="A19" s="804"/>
      <c r="B19" s="805"/>
      <c r="C19" s="806"/>
      <c r="D19" s="807"/>
      <c r="E19" s="807"/>
      <c r="F19" s="806"/>
      <c r="G19" s="806"/>
      <c r="H19" s="806"/>
      <c r="I19" s="806"/>
      <c r="J19" s="806"/>
      <c r="K19" s="806"/>
      <c r="L19" s="808"/>
      <c r="M19" s="806"/>
      <c r="N19" s="806"/>
      <c r="O19" s="806"/>
      <c r="P19" s="806"/>
      <c r="Q19" s="806"/>
      <c r="R19" s="806"/>
      <c r="S19" s="806"/>
      <c r="T19" s="807"/>
      <c r="U19" s="807"/>
      <c r="V19" s="806"/>
      <c r="W19" s="807"/>
      <c r="X19" s="807"/>
      <c r="Y19" s="807"/>
      <c r="Z19" s="807"/>
      <c r="AA19" s="809"/>
    </row>
    <row r="20" spans="1:27" s="803" customFormat="1" hidden="1" x14ac:dyDescent="0.25">
      <c r="A20" s="804"/>
      <c r="B20" s="805"/>
      <c r="C20" s="806"/>
      <c r="D20" s="807"/>
      <c r="E20" s="807"/>
      <c r="F20" s="806"/>
      <c r="G20" s="806"/>
      <c r="H20" s="806"/>
      <c r="I20" s="806"/>
      <c r="J20" s="806"/>
      <c r="K20" s="806"/>
      <c r="L20" s="808"/>
      <c r="M20" s="806"/>
      <c r="N20" s="806"/>
      <c r="O20" s="806"/>
      <c r="P20" s="806"/>
      <c r="Q20" s="806"/>
      <c r="R20" s="806"/>
      <c r="S20" s="806"/>
      <c r="T20" s="807"/>
      <c r="U20" s="807"/>
      <c r="V20" s="806"/>
      <c r="W20" s="807"/>
      <c r="X20" s="807"/>
      <c r="Y20" s="807"/>
      <c r="Z20" s="807"/>
      <c r="AA20" s="809"/>
    </row>
    <row r="21" spans="1:27" s="803" customFormat="1" hidden="1" x14ac:dyDescent="0.25">
      <c r="A21" s="804"/>
      <c r="B21" s="805"/>
      <c r="C21" s="806"/>
      <c r="D21" s="807"/>
      <c r="E21" s="807"/>
      <c r="F21" s="806"/>
      <c r="G21" s="806"/>
      <c r="H21" s="806"/>
      <c r="I21" s="806"/>
      <c r="J21" s="806"/>
      <c r="K21" s="806"/>
      <c r="L21" s="808"/>
      <c r="M21" s="806"/>
      <c r="N21" s="806"/>
      <c r="O21" s="806"/>
      <c r="P21" s="806"/>
      <c r="Q21" s="806"/>
      <c r="R21" s="806"/>
      <c r="S21" s="806"/>
      <c r="T21" s="807"/>
      <c r="U21" s="807"/>
      <c r="V21" s="806"/>
      <c r="W21" s="807"/>
      <c r="X21" s="807"/>
      <c r="Y21" s="807"/>
      <c r="Z21" s="807"/>
      <c r="AA21" s="809"/>
    </row>
    <row r="22" spans="1:27" s="803" customFormat="1" hidden="1" x14ac:dyDescent="0.25">
      <c r="A22" s="804"/>
      <c r="B22" s="805"/>
      <c r="C22" s="806"/>
      <c r="D22" s="807"/>
      <c r="E22" s="807"/>
      <c r="F22" s="806"/>
      <c r="G22" s="806"/>
      <c r="H22" s="806"/>
      <c r="I22" s="806"/>
      <c r="J22" s="806"/>
      <c r="K22" s="806"/>
      <c r="L22" s="808"/>
      <c r="M22" s="806"/>
      <c r="N22" s="806"/>
      <c r="O22" s="806"/>
      <c r="P22" s="806"/>
      <c r="Q22" s="806"/>
      <c r="R22" s="806"/>
      <c r="S22" s="806"/>
      <c r="T22" s="807"/>
      <c r="U22" s="807"/>
      <c r="V22" s="806"/>
      <c r="W22" s="807"/>
      <c r="X22" s="807"/>
      <c r="Y22" s="807"/>
      <c r="Z22" s="807"/>
      <c r="AA22" s="809"/>
    </row>
    <row r="23" spans="1:27" s="803" customFormat="1" hidden="1" x14ac:dyDescent="0.25">
      <c r="A23" s="804"/>
      <c r="B23" s="805"/>
      <c r="C23" s="806"/>
      <c r="D23" s="807"/>
      <c r="E23" s="807"/>
      <c r="F23" s="806"/>
      <c r="G23" s="806"/>
      <c r="H23" s="806"/>
      <c r="I23" s="806"/>
      <c r="J23" s="806"/>
      <c r="K23" s="806"/>
      <c r="L23" s="808"/>
      <c r="M23" s="806"/>
      <c r="N23" s="806"/>
      <c r="O23" s="806"/>
      <c r="P23" s="806"/>
      <c r="Q23" s="806"/>
      <c r="R23" s="806"/>
      <c r="S23" s="806"/>
      <c r="T23" s="807"/>
      <c r="U23" s="807"/>
      <c r="V23" s="806"/>
      <c r="W23" s="807"/>
      <c r="X23" s="807"/>
      <c r="Y23" s="807"/>
      <c r="Z23" s="807"/>
      <c r="AA23" s="809"/>
    </row>
    <row r="24" spans="1:27" s="803" customFormat="1" hidden="1" x14ac:dyDescent="0.25">
      <c r="A24" s="804"/>
      <c r="B24" s="805"/>
      <c r="C24" s="806"/>
      <c r="D24" s="807"/>
      <c r="E24" s="807"/>
      <c r="F24" s="806"/>
      <c r="G24" s="806"/>
      <c r="H24" s="806"/>
      <c r="I24" s="806"/>
      <c r="J24" s="806"/>
      <c r="K24" s="806"/>
      <c r="L24" s="808"/>
      <c r="M24" s="806"/>
      <c r="N24" s="806"/>
      <c r="O24" s="806"/>
      <c r="P24" s="806"/>
      <c r="Q24" s="806"/>
      <c r="R24" s="806"/>
      <c r="S24" s="806"/>
      <c r="T24" s="807"/>
      <c r="U24" s="807"/>
      <c r="V24" s="806"/>
      <c r="W24" s="807"/>
      <c r="X24" s="807"/>
      <c r="Y24" s="807"/>
      <c r="Z24" s="807"/>
      <c r="AA24" s="809"/>
    </row>
    <row r="25" spans="1:27" s="803" customFormat="1" hidden="1" x14ac:dyDescent="0.25">
      <c r="A25" s="804"/>
      <c r="B25" s="805"/>
      <c r="C25" s="806"/>
      <c r="D25" s="807"/>
      <c r="E25" s="807"/>
      <c r="F25" s="806"/>
      <c r="G25" s="806"/>
      <c r="H25" s="806"/>
      <c r="I25" s="806"/>
      <c r="J25" s="806"/>
      <c r="K25" s="806"/>
      <c r="L25" s="808"/>
      <c r="M25" s="806"/>
      <c r="N25" s="806"/>
      <c r="O25" s="806"/>
      <c r="P25" s="806"/>
      <c r="Q25" s="806"/>
      <c r="R25" s="806"/>
      <c r="S25" s="806"/>
      <c r="T25" s="807"/>
      <c r="U25" s="807"/>
      <c r="V25" s="806"/>
      <c r="W25" s="807"/>
      <c r="X25" s="807"/>
      <c r="Y25" s="807"/>
      <c r="Z25" s="807"/>
      <c r="AA25" s="809"/>
    </row>
    <row r="26" spans="1:27" s="803" customFormat="1" hidden="1" x14ac:dyDescent="0.25">
      <c r="A26" s="804"/>
      <c r="B26" s="805"/>
      <c r="C26" s="806"/>
      <c r="D26" s="807"/>
      <c r="E26" s="807"/>
      <c r="F26" s="806"/>
      <c r="G26" s="806"/>
      <c r="H26" s="806"/>
      <c r="I26" s="806"/>
      <c r="J26" s="806"/>
      <c r="K26" s="806"/>
      <c r="L26" s="808"/>
      <c r="M26" s="806"/>
      <c r="N26" s="806"/>
      <c r="O26" s="806"/>
      <c r="P26" s="806"/>
      <c r="Q26" s="806"/>
      <c r="R26" s="806"/>
      <c r="S26" s="806"/>
      <c r="T26" s="807"/>
      <c r="U26" s="807"/>
      <c r="V26" s="806"/>
      <c r="W26" s="807"/>
      <c r="X26" s="807"/>
      <c r="Y26" s="807"/>
      <c r="Z26" s="807"/>
      <c r="AA26" s="809"/>
    </row>
    <row r="27" spans="1:27" s="803" customFormat="1" hidden="1" x14ac:dyDescent="0.25">
      <c r="A27" s="804"/>
      <c r="B27" s="805"/>
      <c r="C27" s="806"/>
      <c r="D27" s="807"/>
      <c r="E27" s="807"/>
      <c r="F27" s="806"/>
      <c r="G27" s="806"/>
      <c r="H27" s="806"/>
      <c r="I27" s="806"/>
      <c r="J27" s="806"/>
      <c r="K27" s="806"/>
      <c r="L27" s="808"/>
      <c r="M27" s="806"/>
      <c r="N27" s="806"/>
      <c r="O27" s="806"/>
      <c r="P27" s="806"/>
      <c r="Q27" s="806"/>
      <c r="R27" s="806"/>
      <c r="S27" s="806"/>
      <c r="T27" s="807"/>
      <c r="U27" s="807"/>
      <c r="V27" s="806"/>
      <c r="W27" s="807"/>
      <c r="X27" s="807"/>
      <c r="Y27" s="807"/>
      <c r="Z27" s="807"/>
      <c r="AA27" s="809"/>
    </row>
    <row r="28" spans="1:27" s="803" customFormat="1" hidden="1" x14ac:dyDescent="0.25">
      <c r="A28" s="804"/>
      <c r="B28" s="805"/>
      <c r="C28" s="806"/>
      <c r="D28" s="807"/>
      <c r="E28" s="807"/>
      <c r="F28" s="806"/>
      <c r="G28" s="806"/>
      <c r="H28" s="806"/>
      <c r="I28" s="806"/>
      <c r="J28" s="806"/>
      <c r="K28" s="806"/>
      <c r="L28" s="808"/>
      <c r="M28" s="806"/>
      <c r="N28" s="806"/>
      <c r="O28" s="806"/>
      <c r="P28" s="806"/>
      <c r="Q28" s="806"/>
      <c r="R28" s="806"/>
      <c r="S28" s="806"/>
      <c r="T28" s="807"/>
      <c r="U28" s="807"/>
      <c r="V28" s="806"/>
      <c r="W28" s="807"/>
      <c r="X28" s="807"/>
      <c r="Y28" s="807"/>
      <c r="Z28" s="807"/>
      <c r="AA28" s="809"/>
    </row>
    <row r="29" spans="1:27" s="803" customFormat="1" hidden="1" x14ac:dyDescent="0.25">
      <c r="A29" s="804"/>
      <c r="B29" s="805"/>
      <c r="C29" s="806"/>
      <c r="D29" s="807"/>
      <c r="E29" s="807"/>
      <c r="F29" s="806"/>
      <c r="G29" s="806"/>
      <c r="H29" s="806"/>
      <c r="I29" s="806"/>
      <c r="J29" s="806"/>
      <c r="K29" s="806"/>
      <c r="L29" s="808"/>
      <c r="M29" s="806"/>
      <c r="N29" s="806"/>
      <c r="O29" s="806"/>
      <c r="P29" s="806"/>
      <c r="Q29" s="806"/>
      <c r="R29" s="806"/>
      <c r="S29" s="806"/>
      <c r="T29" s="807"/>
      <c r="U29" s="807"/>
      <c r="V29" s="806"/>
      <c r="W29" s="807"/>
      <c r="X29" s="807"/>
      <c r="Y29" s="807"/>
      <c r="Z29" s="807"/>
      <c r="AA29" s="809"/>
    </row>
    <row r="30" spans="1:27" s="803" customFormat="1" hidden="1" x14ac:dyDescent="0.25">
      <c r="A30" s="804"/>
      <c r="B30" s="805"/>
      <c r="C30" s="806"/>
      <c r="D30" s="807"/>
      <c r="E30" s="807"/>
      <c r="F30" s="806"/>
      <c r="G30" s="806"/>
      <c r="H30" s="806"/>
      <c r="I30" s="806"/>
      <c r="J30" s="806"/>
      <c r="K30" s="806"/>
      <c r="L30" s="808"/>
      <c r="M30" s="806"/>
      <c r="N30" s="806"/>
      <c r="O30" s="806"/>
      <c r="P30" s="806"/>
      <c r="Q30" s="806"/>
      <c r="R30" s="806"/>
      <c r="S30" s="806"/>
      <c r="T30" s="807"/>
      <c r="U30" s="807"/>
      <c r="V30" s="806"/>
      <c r="W30" s="807"/>
      <c r="X30" s="807"/>
      <c r="Y30" s="807"/>
      <c r="Z30" s="807"/>
      <c r="AA30" s="809"/>
    </row>
    <row r="31" spans="1:27" s="803" customFormat="1" hidden="1" x14ac:dyDescent="0.25">
      <c r="A31" s="804"/>
      <c r="B31" s="805"/>
      <c r="C31" s="806"/>
      <c r="D31" s="807"/>
      <c r="E31" s="807"/>
      <c r="F31" s="806"/>
      <c r="G31" s="806"/>
      <c r="H31" s="806"/>
      <c r="I31" s="806"/>
      <c r="J31" s="806"/>
      <c r="K31" s="806"/>
      <c r="L31" s="808"/>
      <c r="M31" s="806"/>
      <c r="N31" s="806"/>
      <c r="O31" s="806"/>
      <c r="P31" s="806"/>
      <c r="Q31" s="806"/>
      <c r="R31" s="806"/>
      <c r="S31" s="806"/>
      <c r="T31" s="807"/>
      <c r="U31" s="807"/>
      <c r="V31" s="806"/>
      <c r="W31" s="807"/>
      <c r="X31" s="807"/>
      <c r="Y31" s="807"/>
      <c r="Z31" s="807"/>
      <c r="AA31" s="809"/>
    </row>
    <row r="32" spans="1:27" s="803" customFormat="1" hidden="1" x14ac:dyDescent="0.25">
      <c r="A32" s="804"/>
      <c r="B32" s="805"/>
      <c r="C32" s="806"/>
      <c r="D32" s="807"/>
      <c r="E32" s="807"/>
      <c r="F32" s="806"/>
      <c r="G32" s="806"/>
      <c r="H32" s="806"/>
      <c r="I32" s="806"/>
      <c r="J32" s="806"/>
      <c r="K32" s="806"/>
      <c r="L32" s="808"/>
      <c r="M32" s="806"/>
      <c r="N32" s="806"/>
      <c r="O32" s="806"/>
      <c r="P32" s="806"/>
      <c r="Q32" s="806"/>
      <c r="R32" s="806"/>
      <c r="S32" s="806"/>
      <c r="T32" s="807"/>
      <c r="U32" s="807"/>
      <c r="V32" s="806"/>
      <c r="W32" s="807"/>
      <c r="X32" s="807"/>
      <c r="Y32" s="807"/>
      <c r="Z32" s="807"/>
      <c r="AA32" s="809"/>
    </row>
    <row r="33" spans="1:27" s="803" customFormat="1" hidden="1" x14ac:dyDescent="0.25">
      <c r="A33" s="804"/>
      <c r="B33" s="805"/>
      <c r="C33" s="806"/>
      <c r="D33" s="807"/>
      <c r="E33" s="807"/>
      <c r="F33" s="806"/>
      <c r="G33" s="806"/>
      <c r="H33" s="806"/>
      <c r="I33" s="806"/>
      <c r="J33" s="806"/>
      <c r="K33" s="806"/>
      <c r="L33" s="808"/>
      <c r="M33" s="806"/>
      <c r="N33" s="806"/>
      <c r="O33" s="806"/>
      <c r="P33" s="806"/>
      <c r="Q33" s="806"/>
      <c r="R33" s="806"/>
      <c r="S33" s="806"/>
      <c r="T33" s="807"/>
      <c r="U33" s="807"/>
      <c r="V33" s="806"/>
      <c r="W33" s="807"/>
      <c r="X33" s="807"/>
      <c r="Y33" s="807"/>
      <c r="Z33" s="807"/>
      <c r="AA33" s="809"/>
    </row>
    <row r="34" spans="1:27" s="803" customFormat="1" hidden="1" x14ac:dyDescent="0.25">
      <c r="A34" s="804"/>
      <c r="B34" s="805"/>
      <c r="C34" s="806"/>
      <c r="D34" s="807"/>
      <c r="E34" s="807"/>
      <c r="F34" s="806"/>
      <c r="G34" s="806"/>
      <c r="H34" s="806"/>
      <c r="I34" s="806"/>
      <c r="J34" s="806"/>
      <c r="K34" s="806"/>
      <c r="L34" s="808"/>
      <c r="M34" s="806"/>
      <c r="N34" s="806"/>
      <c r="O34" s="806"/>
      <c r="P34" s="806"/>
      <c r="Q34" s="806"/>
      <c r="R34" s="806"/>
      <c r="S34" s="806"/>
      <c r="T34" s="807"/>
      <c r="U34" s="807"/>
      <c r="V34" s="806"/>
      <c r="W34" s="807"/>
      <c r="X34" s="807"/>
      <c r="Y34" s="807"/>
      <c r="Z34" s="807"/>
      <c r="AA34" s="809"/>
    </row>
    <row r="35" spans="1:27" s="803" customFormat="1" hidden="1" x14ac:dyDescent="0.25">
      <c r="A35" s="804"/>
      <c r="B35" s="805"/>
      <c r="C35" s="806"/>
      <c r="D35" s="807"/>
      <c r="E35" s="807"/>
      <c r="F35" s="806"/>
      <c r="G35" s="806"/>
      <c r="H35" s="806"/>
      <c r="I35" s="806"/>
      <c r="J35" s="806"/>
      <c r="K35" s="806"/>
      <c r="L35" s="808"/>
      <c r="M35" s="806"/>
      <c r="N35" s="806"/>
      <c r="O35" s="806"/>
      <c r="P35" s="806"/>
      <c r="Q35" s="806"/>
      <c r="R35" s="806"/>
      <c r="S35" s="806"/>
      <c r="T35" s="807"/>
      <c r="U35" s="807"/>
      <c r="V35" s="806"/>
      <c r="W35" s="807"/>
      <c r="X35" s="807"/>
      <c r="Y35" s="807"/>
      <c r="Z35" s="807"/>
      <c r="AA35" s="809"/>
    </row>
    <row r="36" spans="1:27" s="803" customFormat="1" hidden="1" x14ac:dyDescent="0.25">
      <c r="A36" s="804"/>
      <c r="B36" s="805"/>
      <c r="C36" s="806"/>
      <c r="D36" s="807"/>
      <c r="E36" s="807"/>
      <c r="F36" s="806"/>
      <c r="G36" s="806"/>
      <c r="H36" s="806"/>
      <c r="I36" s="806"/>
      <c r="J36" s="806"/>
      <c r="K36" s="806"/>
      <c r="L36" s="808"/>
      <c r="M36" s="806"/>
      <c r="N36" s="806"/>
      <c r="O36" s="806"/>
      <c r="P36" s="806"/>
      <c r="Q36" s="806"/>
      <c r="R36" s="806"/>
      <c r="S36" s="806"/>
      <c r="T36" s="807"/>
      <c r="U36" s="807"/>
      <c r="V36" s="806"/>
      <c r="W36" s="807"/>
      <c r="X36" s="807"/>
      <c r="Y36" s="807"/>
      <c r="Z36" s="807"/>
      <c r="AA36" s="809"/>
    </row>
    <row r="37" spans="1:27" s="803" customFormat="1" hidden="1" x14ac:dyDescent="0.25">
      <c r="A37" s="804"/>
      <c r="B37" s="805"/>
      <c r="C37" s="806"/>
      <c r="D37" s="807"/>
      <c r="E37" s="807"/>
      <c r="F37" s="806"/>
      <c r="G37" s="806"/>
      <c r="H37" s="806"/>
      <c r="I37" s="806"/>
      <c r="J37" s="806"/>
      <c r="K37" s="806"/>
      <c r="L37" s="808"/>
      <c r="M37" s="806"/>
      <c r="N37" s="806"/>
      <c r="O37" s="806"/>
      <c r="P37" s="806"/>
      <c r="Q37" s="806"/>
      <c r="R37" s="806"/>
      <c r="S37" s="806"/>
      <c r="T37" s="807"/>
      <c r="U37" s="807"/>
      <c r="V37" s="806"/>
      <c r="W37" s="807"/>
      <c r="X37" s="807"/>
      <c r="Y37" s="807"/>
      <c r="Z37" s="807"/>
      <c r="AA37" s="809"/>
    </row>
    <row r="38" spans="1:27" s="803" customFormat="1" hidden="1" x14ac:dyDescent="0.25">
      <c r="A38" s="804"/>
      <c r="B38" s="805"/>
      <c r="C38" s="806"/>
      <c r="D38" s="807"/>
      <c r="E38" s="807"/>
      <c r="F38" s="806"/>
      <c r="G38" s="806"/>
      <c r="H38" s="806"/>
      <c r="I38" s="806"/>
      <c r="J38" s="806"/>
      <c r="K38" s="806"/>
      <c r="L38" s="808"/>
      <c r="M38" s="806"/>
      <c r="N38" s="806"/>
      <c r="O38" s="806"/>
      <c r="P38" s="806"/>
      <c r="Q38" s="806"/>
      <c r="R38" s="806"/>
      <c r="S38" s="806"/>
      <c r="T38" s="807"/>
      <c r="U38" s="807"/>
      <c r="V38" s="806"/>
      <c r="W38" s="807"/>
      <c r="X38" s="807"/>
      <c r="Y38" s="807"/>
      <c r="Z38" s="807"/>
      <c r="AA38" s="809"/>
    </row>
    <row r="39" spans="1:27" s="803" customFormat="1" hidden="1" x14ac:dyDescent="0.25">
      <c r="A39" s="804"/>
      <c r="B39" s="805"/>
      <c r="C39" s="806"/>
      <c r="D39" s="807"/>
      <c r="E39" s="807"/>
      <c r="F39" s="806"/>
      <c r="G39" s="806"/>
      <c r="H39" s="806"/>
      <c r="I39" s="806"/>
      <c r="J39" s="806"/>
      <c r="K39" s="806"/>
      <c r="L39" s="808"/>
      <c r="M39" s="806"/>
      <c r="N39" s="806"/>
      <c r="O39" s="806"/>
      <c r="P39" s="806"/>
      <c r="Q39" s="806"/>
      <c r="R39" s="806"/>
      <c r="S39" s="806"/>
      <c r="T39" s="807"/>
      <c r="U39" s="807"/>
      <c r="V39" s="806"/>
      <c r="W39" s="807"/>
      <c r="X39" s="807"/>
      <c r="Y39" s="807"/>
      <c r="Z39" s="807"/>
      <c r="AA39" s="809"/>
    </row>
    <row r="40" spans="1:27" s="803" customFormat="1" hidden="1" x14ac:dyDescent="0.25">
      <c r="A40" s="804"/>
      <c r="B40" s="805"/>
      <c r="C40" s="806"/>
      <c r="D40" s="807"/>
      <c r="E40" s="807"/>
      <c r="F40" s="806"/>
      <c r="G40" s="806"/>
      <c r="H40" s="806"/>
      <c r="I40" s="806"/>
      <c r="J40" s="806"/>
      <c r="K40" s="806"/>
      <c r="L40" s="808"/>
      <c r="M40" s="806"/>
      <c r="N40" s="806"/>
      <c r="O40" s="806"/>
      <c r="P40" s="806"/>
      <c r="Q40" s="806"/>
      <c r="R40" s="806"/>
      <c r="S40" s="806"/>
      <c r="T40" s="807"/>
      <c r="U40" s="807"/>
      <c r="V40" s="806"/>
      <c r="W40" s="807"/>
      <c r="X40" s="807"/>
      <c r="Y40" s="807"/>
      <c r="Z40" s="807"/>
      <c r="AA40" s="809"/>
    </row>
    <row r="41" spans="1:27" s="803" customFormat="1" hidden="1" x14ac:dyDescent="0.25">
      <c r="A41" s="804"/>
      <c r="B41" s="805"/>
      <c r="C41" s="806"/>
      <c r="D41" s="807"/>
      <c r="E41" s="807"/>
      <c r="F41" s="806"/>
      <c r="G41" s="806"/>
      <c r="H41" s="806"/>
      <c r="I41" s="806"/>
      <c r="J41" s="806"/>
      <c r="K41" s="806"/>
      <c r="L41" s="808"/>
      <c r="M41" s="806"/>
      <c r="N41" s="806"/>
      <c r="O41" s="806"/>
      <c r="P41" s="806"/>
      <c r="Q41" s="806"/>
      <c r="R41" s="806"/>
      <c r="S41" s="806"/>
      <c r="T41" s="807"/>
      <c r="U41" s="807"/>
      <c r="V41" s="806"/>
      <c r="W41" s="807"/>
      <c r="X41" s="807"/>
      <c r="Y41" s="807"/>
      <c r="Z41" s="807"/>
      <c r="AA41" s="809"/>
    </row>
    <row r="42" spans="1:27" s="803" customFormat="1" hidden="1" x14ac:dyDescent="0.25">
      <c r="A42" s="804"/>
      <c r="B42" s="805"/>
      <c r="C42" s="806"/>
      <c r="D42" s="807"/>
      <c r="E42" s="807"/>
      <c r="F42" s="806"/>
      <c r="G42" s="806"/>
      <c r="H42" s="806"/>
      <c r="I42" s="806"/>
      <c r="J42" s="806"/>
      <c r="K42" s="806"/>
      <c r="L42" s="808"/>
      <c r="M42" s="806"/>
      <c r="N42" s="806"/>
      <c r="O42" s="806"/>
      <c r="P42" s="806"/>
      <c r="Q42" s="806"/>
      <c r="R42" s="806"/>
      <c r="S42" s="806"/>
      <c r="T42" s="807"/>
      <c r="U42" s="807"/>
      <c r="V42" s="806"/>
      <c r="W42" s="807"/>
      <c r="X42" s="807"/>
      <c r="Y42" s="807"/>
      <c r="Z42" s="807"/>
      <c r="AA42" s="809"/>
    </row>
    <row r="43" spans="1:27" s="803" customFormat="1" hidden="1" x14ac:dyDescent="0.25">
      <c r="A43" s="804"/>
      <c r="B43" s="805"/>
      <c r="C43" s="806"/>
      <c r="D43" s="807"/>
      <c r="E43" s="807"/>
      <c r="F43" s="806"/>
      <c r="G43" s="806"/>
      <c r="H43" s="806"/>
      <c r="I43" s="806"/>
      <c r="J43" s="806"/>
      <c r="K43" s="806"/>
      <c r="L43" s="808"/>
      <c r="M43" s="806"/>
      <c r="N43" s="806"/>
      <c r="O43" s="806"/>
      <c r="P43" s="806"/>
      <c r="Q43" s="806"/>
      <c r="R43" s="806"/>
      <c r="S43" s="806"/>
      <c r="T43" s="807"/>
      <c r="U43" s="807"/>
      <c r="V43" s="806"/>
      <c r="W43" s="807"/>
      <c r="X43" s="807"/>
      <c r="Y43" s="807"/>
      <c r="Z43" s="807"/>
      <c r="AA43" s="809"/>
    </row>
    <row r="44" spans="1:27" s="803" customFormat="1" hidden="1" x14ac:dyDescent="0.25">
      <c r="A44" s="804"/>
      <c r="B44" s="805"/>
      <c r="C44" s="806"/>
      <c r="D44" s="807"/>
      <c r="E44" s="807"/>
      <c r="F44" s="806"/>
      <c r="G44" s="806"/>
      <c r="H44" s="806"/>
      <c r="I44" s="806"/>
      <c r="J44" s="806"/>
      <c r="K44" s="806"/>
      <c r="L44" s="808"/>
      <c r="M44" s="806"/>
      <c r="N44" s="806"/>
      <c r="O44" s="806"/>
      <c r="P44" s="806"/>
      <c r="Q44" s="806"/>
      <c r="R44" s="806"/>
      <c r="S44" s="806"/>
      <c r="T44" s="807"/>
      <c r="U44" s="807"/>
      <c r="V44" s="806"/>
      <c r="W44" s="807"/>
      <c r="X44" s="807"/>
      <c r="Y44" s="807"/>
      <c r="Z44" s="807"/>
      <c r="AA44" s="809"/>
    </row>
    <row r="45" spans="1:27" s="803" customFormat="1" hidden="1" x14ac:dyDescent="0.25">
      <c r="A45" s="804"/>
      <c r="B45" s="805"/>
      <c r="C45" s="806"/>
      <c r="D45" s="807"/>
      <c r="E45" s="807"/>
      <c r="F45" s="806"/>
      <c r="G45" s="806"/>
      <c r="H45" s="806"/>
      <c r="I45" s="806"/>
      <c r="J45" s="806"/>
      <c r="K45" s="806"/>
      <c r="L45" s="808"/>
      <c r="M45" s="806"/>
      <c r="N45" s="806"/>
      <c r="O45" s="806"/>
      <c r="P45" s="806"/>
      <c r="Q45" s="806"/>
      <c r="R45" s="806"/>
      <c r="S45" s="806"/>
      <c r="T45" s="807"/>
      <c r="U45" s="807"/>
      <c r="V45" s="806"/>
      <c r="W45" s="807"/>
      <c r="X45" s="807"/>
      <c r="Y45" s="807"/>
      <c r="Z45" s="807"/>
      <c r="AA45" s="809"/>
    </row>
    <row r="46" spans="1:27" hidden="1" x14ac:dyDescent="0.2">
      <c r="C46" s="824"/>
      <c r="D46" s="824"/>
      <c r="E46" s="824"/>
      <c r="F46" s="824"/>
      <c r="G46" s="824"/>
      <c r="H46" s="824"/>
      <c r="I46" s="824"/>
      <c r="J46" s="824"/>
      <c r="K46" s="824"/>
      <c r="L46" s="824"/>
      <c r="M46" s="824"/>
      <c r="N46" s="824">
        <v>324499720</v>
      </c>
      <c r="O46" s="824"/>
      <c r="P46" s="824"/>
      <c r="Q46" s="824"/>
      <c r="R46" s="824"/>
      <c r="S46" s="824"/>
      <c r="T46" s="824"/>
      <c r="U46" s="824"/>
      <c r="V46" s="824"/>
      <c r="W46" s="825"/>
      <c r="X46" s="826"/>
      <c r="Y46" s="826"/>
      <c r="Z46" s="827"/>
    </row>
    <row r="47" spans="1:27" hidden="1" x14ac:dyDescent="0.2">
      <c r="D47" s="824"/>
      <c r="E47" s="824"/>
      <c r="F47" s="824"/>
      <c r="G47" s="824"/>
      <c r="H47" s="824"/>
      <c r="I47" s="824"/>
      <c r="J47" s="824"/>
      <c r="K47" s="824"/>
      <c r="L47" s="824"/>
      <c r="M47" s="824"/>
      <c r="N47" s="824">
        <v>399974131</v>
      </c>
      <c r="O47" s="824">
        <f>N46+N47</f>
        <v>724473851</v>
      </c>
      <c r="P47" s="824"/>
      <c r="Q47" s="824"/>
      <c r="R47" s="824"/>
      <c r="S47" s="824"/>
      <c r="T47" s="824"/>
      <c r="U47" s="824"/>
      <c r="V47" s="824"/>
      <c r="W47" s="824"/>
      <c r="X47" s="824"/>
      <c r="Y47" s="824"/>
      <c r="Z47" s="828"/>
    </row>
    <row r="48" spans="1:27" hidden="1" x14ac:dyDescent="0.2">
      <c r="D48" s="824"/>
      <c r="E48" s="829"/>
      <c r="F48" s="824"/>
      <c r="G48" s="824"/>
      <c r="H48" s="824"/>
      <c r="I48" s="824"/>
      <c r="J48" s="824"/>
      <c r="K48" s="824"/>
      <c r="L48" s="824"/>
      <c r="M48" s="824"/>
      <c r="N48" s="824">
        <f>1115430522*40%</f>
        <v>446172208.80000001</v>
      </c>
      <c r="O48" s="824">
        <f>N50-O47</f>
        <v>46198077.799999952</v>
      </c>
      <c r="P48" s="824"/>
      <c r="Q48" s="824"/>
      <c r="R48" s="824"/>
      <c r="S48" s="824"/>
      <c r="T48" s="824" t="s">
        <v>163</v>
      </c>
      <c r="U48" s="824"/>
      <c r="V48" s="824"/>
      <c r="W48" s="824"/>
      <c r="X48" s="824"/>
      <c r="Y48" s="824"/>
    </row>
    <row r="49" spans="4:25" hidden="1" x14ac:dyDescent="0.2">
      <c r="D49" s="824"/>
      <c r="E49" s="824"/>
      <c r="F49" s="824"/>
      <c r="G49" s="824"/>
      <c r="H49" s="824"/>
      <c r="I49" s="824"/>
      <c r="J49" s="824"/>
      <c r="K49" s="824"/>
      <c r="L49" s="824"/>
      <c r="M49" s="824" t="s">
        <v>1305</v>
      </c>
      <c r="N49" s="824">
        <v>35193857</v>
      </c>
      <c r="O49" s="824">
        <f>O48-N49</f>
        <v>11004220.799999952</v>
      </c>
      <c r="P49" s="824"/>
      <c r="Q49" s="824"/>
      <c r="R49" s="824"/>
      <c r="S49" s="824"/>
      <c r="T49" s="824"/>
      <c r="U49" s="824"/>
      <c r="V49" s="824"/>
      <c r="W49" s="824"/>
      <c r="X49" s="824"/>
      <c r="Y49" s="824"/>
    </row>
    <row r="50" spans="4:25" hidden="1" x14ac:dyDescent="0.2">
      <c r="D50" s="824"/>
      <c r="E50" s="824"/>
      <c r="F50" s="824"/>
      <c r="G50" s="824"/>
      <c r="I50" s="824"/>
      <c r="J50" s="824"/>
      <c r="K50" s="824"/>
      <c r="L50" s="824"/>
      <c r="M50" s="824"/>
      <c r="N50" s="824">
        <f>N46+N48</f>
        <v>770671928.79999995</v>
      </c>
      <c r="O50" s="824">
        <v>770.67192880000005</v>
      </c>
      <c r="P50" s="824"/>
      <c r="Q50" s="824"/>
      <c r="R50" s="824"/>
      <c r="S50" s="824"/>
      <c r="T50" s="824"/>
      <c r="U50" s="824"/>
      <c r="V50" s="824"/>
      <c r="W50" s="824"/>
      <c r="X50" s="824"/>
      <c r="Y50" s="824"/>
    </row>
    <row r="51" spans="4:25" hidden="1" x14ac:dyDescent="0.2">
      <c r="D51" s="824"/>
      <c r="E51" s="824"/>
      <c r="F51" s="824"/>
      <c r="G51" s="824"/>
      <c r="H51" s="824"/>
      <c r="I51" s="824"/>
      <c r="J51" s="824"/>
      <c r="K51" s="824"/>
      <c r="L51" s="824"/>
      <c r="M51" s="824"/>
      <c r="N51" s="824">
        <f>N50+O8</f>
        <v>770672047.84673595</v>
      </c>
      <c r="O51" s="824"/>
      <c r="P51" s="824"/>
      <c r="Q51" s="824"/>
      <c r="R51" s="824"/>
      <c r="S51" s="824"/>
      <c r="T51" s="824"/>
      <c r="U51" s="824"/>
      <c r="V51" s="824"/>
      <c r="W51" s="824"/>
      <c r="X51" s="824"/>
      <c r="Y51" s="824"/>
    </row>
    <row r="52" spans="4:25" hidden="1" x14ac:dyDescent="0.2">
      <c r="D52" s="824"/>
      <c r="E52" s="824"/>
      <c r="F52" s="824" t="s">
        <v>1306</v>
      </c>
      <c r="G52" s="824"/>
      <c r="H52" s="824" t="s">
        <v>1307</v>
      </c>
      <c r="I52" s="824"/>
      <c r="J52" s="824"/>
      <c r="K52" s="824"/>
      <c r="L52" s="824"/>
      <c r="M52" s="824">
        <f>7021147546</f>
        <v>7021147546</v>
      </c>
      <c r="N52" s="824" t="s">
        <v>1308</v>
      </c>
      <c r="O52" s="824"/>
      <c r="P52" s="824"/>
      <c r="Q52" s="824"/>
      <c r="R52" s="824"/>
      <c r="S52" s="824"/>
      <c r="T52" s="824"/>
      <c r="U52" s="824"/>
      <c r="V52" s="824"/>
      <c r="W52" s="824"/>
      <c r="X52" s="824"/>
      <c r="Y52" s="824"/>
    </row>
    <row r="53" spans="4:25" hidden="1" x14ac:dyDescent="0.2">
      <c r="D53" s="824"/>
      <c r="E53" s="824"/>
      <c r="F53" s="824"/>
      <c r="G53" s="824"/>
      <c r="H53" s="824" t="s">
        <v>1309</v>
      </c>
      <c r="I53" s="824"/>
      <c r="J53" s="824"/>
      <c r="K53" s="824"/>
      <c r="L53" s="824"/>
      <c r="M53" s="824">
        <v>64678000</v>
      </c>
      <c r="N53" s="824"/>
      <c r="O53" s="824"/>
      <c r="P53" s="824"/>
      <c r="Q53" s="824"/>
      <c r="R53" s="824"/>
      <c r="S53" s="824"/>
      <c r="T53" s="824"/>
      <c r="U53" s="824"/>
      <c r="V53" s="824"/>
      <c r="W53" s="824"/>
      <c r="X53" s="824"/>
      <c r="Y53" s="824"/>
    </row>
    <row r="54" spans="4:25" hidden="1" x14ac:dyDescent="0.2">
      <c r="D54" s="824"/>
      <c r="E54" s="824"/>
      <c r="F54" s="824"/>
      <c r="G54" s="824"/>
      <c r="H54" s="824" t="s">
        <v>1310</v>
      </c>
      <c r="I54" s="824"/>
      <c r="J54" s="824"/>
      <c r="K54" s="824"/>
      <c r="L54" s="824"/>
      <c r="M54" s="824">
        <v>25600000</v>
      </c>
      <c r="N54" s="824"/>
      <c r="O54" s="824"/>
      <c r="P54" s="824"/>
      <c r="Q54" s="824"/>
      <c r="R54" s="824"/>
      <c r="S54" s="824"/>
      <c r="T54" s="824"/>
      <c r="U54" s="824"/>
      <c r="V54" s="824"/>
      <c r="W54" s="824"/>
      <c r="X54" s="824"/>
      <c r="Y54" s="824"/>
    </row>
    <row r="55" spans="4:25" hidden="1" x14ac:dyDescent="0.2">
      <c r="D55" s="824"/>
      <c r="E55" s="824"/>
      <c r="F55" s="824"/>
      <c r="G55" s="824"/>
      <c r="H55" s="824"/>
      <c r="I55" s="824"/>
      <c r="J55" s="824"/>
      <c r="K55" s="824"/>
      <c r="L55" s="824"/>
      <c r="M55" s="824">
        <f>M52-M53-M54</f>
        <v>6930869546</v>
      </c>
      <c r="N55" s="824">
        <f>O49</f>
        <v>11004220.799999952</v>
      </c>
      <c r="O55" s="824"/>
      <c r="P55" s="824"/>
      <c r="Q55" s="824"/>
      <c r="R55" s="824"/>
      <c r="S55" s="824"/>
      <c r="T55" s="824"/>
      <c r="U55" s="824"/>
      <c r="V55" s="824"/>
      <c r="W55" s="824"/>
      <c r="X55" s="824"/>
      <c r="Y55" s="824"/>
    </row>
    <row r="56" spans="4:25" hidden="1" x14ac:dyDescent="0.2">
      <c r="D56" s="824"/>
      <c r="E56" s="824"/>
      <c r="F56" s="824"/>
      <c r="G56" s="824"/>
      <c r="H56" s="824" t="s">
        <v>1311</v>
      </c>
      <c r="I56" s="824"/>
      <c r="J56" s="824"/>
      <c r="K56" s="824"/>
      <c r="L56" s="824"/>
      <c r="M56" s="824"/>
      <c r="N56" s="824">
        <f>M55+N55</f>
        <v>6941873766.8000002</v>
      </c>
      <c r="O56" s="824"/>
      <c r="P56" s="824"/>
      <c r="Q56" s="824"/>
      <c r="R56" s="824"/>
      <c r="S56" s="824"/>
      <c r="T56" s="824"/>
      <c r="U56" s="824"/>
      <c r="V56" s="824"/>
      <c r="W56" s="824"/>
      <c r="X56" s="824"/>
      <c r="Y56" s="824"/>
    </row>
    <row r="57" spans="4:25" hidden="1" x14ac:dyDescent="0.2">
      <c r="D57" s="824"/>
      <c r="E57" s="824"/>
      <c r="F57" s="824"/>
      <c r="G57" s="824"/>
      <c r="H57" s="824"/>
      <c r="I57" s="824"/>
      <c r="J57" s="824"/>
      <c r="K57" s="824"/>
      <c r="L57" s="824"/>
      <c r="M57" s="824"/>
      <c r="N57" s="824">
        <v>628100000</v>
      </c>
      <c r="O57" s="824"/>
      <c r="P57" s="824"/>
      <c r="Q57" s="824"/>
      <c r="R57" s="824"/>
      <c r="S57" s="824"/>
      <c r="T57" s="824"/>
      <c r="U57" s="824"/>
      <c r="V57" s="824"/>
      <c r="W57" s="824"/>
      <c r="X57" s="824"/>
      <c r="Y57" s="824"/>
    </row>
    <row r="58" spans="4:25" hidden="1" x14ac:dyDescent="0.2">
      <c r="D58" s="824"/>
      <c r="E58" s="824"/>
      <c r="F58" s="824"/>
      <c r="G58" s="824"/>
      <c r="H58" s="824"/>
      <c r="I58" s="824"/>
      <c r="J58" s="824"/>
      <c r="K58" s="824"/>
      <c r="L58" s="824"/>
      <c r="M58" s="824"/>
      <c r="N58" s="824">
        <v>225600000</v>
      </c>
      <c r="O58" s="824"/>
      <c r="P58" s="824"/>
      <c r="Q58" s="824"/>
      <c r="R58" s="824"/>
      <c r="S58" s="824"/>
      <c r="T58" s="824"/>
      <c r="U58" s="824"/>
      <c r="V58" s="824"/>
      <c r="W58" s="824"/>
      <c r="X58" s="824"/>
      <c r="Y58" s="824"/>
    </row>
    <row r="59" spans="4:25" hidden="1" x14ac:dyDescent="0.2">
      <c r="D59" s="824"/>
      <c r="E59" s="824"/>
      <c r="F59" s="824"/>
      <c r="G59" s="824"/>
      <c r="H59" s="824"/>
      <c r="I59" s="824"/>
      <c r="J59" s="824"/>
      <c r="K59" s="824"/>
      <c r="L59" s="824"/>
      <c r="M59" s="824"/>
      <c r="N59" s="824">
        <v>67800000</v>
      </c>
      <c r="O59" s="824"/>
      <c r="P59" s="824"/>
      <c r="Q59" s="824"/>
      <c r="R59" s="824"/>
      <c r="S59" s="824"/>
      <c r="T59" s="824"/>
      <c r="U59" s="824"/>
      <c r="V59" s="824"/>
      <c r="W59" s="824"/>
      <c r="X59" s="824"/>
      <c r="Y59" s="824"/>
    </row>
    <row r="60" spans="4:25" hidden="1" x14ac:dyDescent="0.2">
      <c r="D60" s="824"/>
      <c r="E60" s="824"/>
      <c r="F60" s="824"/>
      <c r="G60" s="824"/>
      <c r="H60" s="824"/>
      <c r="I60" s="824"/>
      <c r="J60" s="824"/>
      <c r="K60" s="824"/>
      <c r="L60" s="824"/>
      <c r="M60" s="824"/>
      <c r="N60" s="824">
        <v>484900000</v>
      </c>
      <c r="O60" s="824"/>
      <c r="P60" s="824"/>
      <c r="Q60" s="824"/>
      <c r="R60" s="824"/>
      <c r="S60" s="824"/>
      <c r="T60" s="824"/>
      <c r="U60" s="824"/>
      <c r="V60" s="824"/>
      <c r="W60" s="824"/>
      <c r="X60" s="824"/>
      <c r="Y60" s="824"/>
    </row>
    <row r="61" spans="4:25" hidden="1" x14ac:dyDescent="0.2">
      <c r="D61" s="824"/>
      <c r="E61" s="824"/>
      <c r="F61" s="824"/>
      <c r="G61" s="824"/>
      <c r="H61" s="824"/>
      <c r="I61" s="824"/>
      <c r="J61" s="824"/>
      <c r="K61" s="824"/>
      <c r="L61" s="824"/>
      <c r="M61" s="824"/>
      <c r="N61" s="824"/>
      <c r="O61" s="824"/>
      <c r="P61" s="824"/>
      <c r="Q61" s="824"/>
      <c r="R61" s="824"/>
      <c r="S61" s="824"/>
      <c r="T61" s="824"/>
      <c r="U61" s="824"/>
      <c r="V61" s="824"/>
      <c r="W61" s="824"/>
      <c r="X61" s="824"/>
      <c r="Y61" s="824"/>
    </row>
    <row r="62" spans="4:25" hidden="1" x14ac:dyDescent="0.2">
      <c r="D62" s="824"/>
      <c r="E62" s="824"/>
      <c r="F62" s="824"/>
      <c r="G62" s="824"/>
      <c r="H62" s="824"/>
      <c r="I62" s="824"/>
      <c r="J62" s="824"/>
      <c r="K62" s="824"/>
      <c r="L62" s="824"/>
      <c r="M62" s="824"/>
      <c r="N62" s="824">
        <f>SUM(N56:N61)</f>
        <v>8348273766.8000002</v>
      </c>
      <c r="O62" s="824"/>
      <c r="P62" s="824"/>
      <c r="Q62" s="824"/>
      <c r="R62" s="824"/>
      <c r="S62" s="824"/>
      <c r="T62" s="824"/>
      <c r="U62" s="824"/>
      <c r="V62" s="824"/>
      <c r="W62" s="824"/>
      <c r="X62" s="824"/>
      <c r="Y62" s="824"/>
    </row>
    <row r="63" spans="4:25" hidden="1" x14ac:dyDescent="0.2">
      <c r="D63" s="824"/>
      <c r="E63" s="824"/>
      <c r="F63" s="824"/>
      <c r="G63" s="824"/>
      <c r="H63" s="824"/>
      <c r="I63" s="824"/>
      <c r="J63" s="824"/>
      <c r="K63" s="824"/>
      <c r="L63" s="824"/>
      <c r="M63" s="824"/>
      <c r="N63" s="824"/>
      <c r="O63" s="824"/>
      <c r="P63" s="824"/>
      <c r="Q63" s="824"/>
      <c r="R63" s="824"/>
      <c r="S63" s="824"/>
      <c r="T63" s="824"/>
      <c r="U63" s="824"/>
      <c r="V63" s="824"/>
      <c r="W63" s="824"/>
      <c r="X63" s="824"/>
      <c r="Y63" s="824"/>
    </row>
    <row r="64" spans="4:25" hidden="1" x14ac:dyDescent="0.2">
      <c r="D64" s="824"/>
      <c r="E64" s="824"/>
      <c r="F64" s="824"/>
      <c r="G64" s="824"/>
      <c r="H64" s="824"/>
      <c r="I64" s="824"/>
      <c r="J64" s="824"/>
      <c r="K64" s="824"/>
      <c r="L64" s="824"/>
      <c r="M64" s="824"/>
      <c r="N64" s="824"/>
      <c r="O64" s="824"/>
      <c r="P64" s="824"/>
      <c r="Q64" s="824"/>
      <c r="R64" s="824"/>
      <c r="S64" s="824"/>
      <c r="T64" s="824"/>
      <c r="U64" s="824"/>
      <c r="V64" s="824"/>
      <c r="W64" s="824"/>
      <c r="X64" s="824"/>
      <c r="Y64" s="824"/>
    </row>
    <row r="65" spans="4:25" hidden="1" x14ac:dyDescent="0.2">
      <c r="D65" s="824"/>
      <c r="E65" s="824"/>
      <c r="F65" s="824"/>
      <c r="G65" s="824"/>
      <c r="H65" s="824"/>
      <c r="I65" s="824"/>
      <c r="J65" s="824"/>
      <c r="K65" s="824"/>
      <c r="L65" s="824"/>
      <c r="M65" s="824"/>
      <c r="N65" s="824"/>
      <c r="O65" s="824"/>
      <c r="P65" s="824"/>
      <c r="Q65" s="824"/>
      <c r="R65" s="824"/>
      <c r="S65" s="824"/>
      <c r="T65" s="824"/>
      <c r="U65" s="824"/>
      <c r="V65" s="824"/>
      <c r="W65" s="824"/>
      <c r="X65" s="824"/>
      <c r="Y65" s="824"/>
    </row>
    <row r="66" spans="4:25" hidden="1" x14ac:dyDescent="0.2">
      <c r="D66" s="824"/>
      <c r="E66" s="824"/>
      <c r="F66" s="824"/>
      <c r="G66" s="824"/>
      <c r="H66" s="824"/>
      <c r="I66" s="824"/>
      <c r="J66" s="824"/>
      <c r="K66" s="824"/>
      <c r="L66" s="824"/>
      <c r="M66" s="824"/>
      <c r="N66" s="824"/>
      <c r="O66" s="824"/>
      <c r="P66" s="824"/>
      <c r="Q66" s="824"/>
      <c r="R66" s="824"/>
      <c r="S66" s="824"/>
      <c r="T66" s="824"/>
      <c r="U66" s="824"/>
      <c r="V66" s="824"/>
      <c r="W66" s="824"/>
      <c r="X66" s="824"/>
      <c r="Y66" s="824"/>
    </row>
    <row r="67" spans="4:25" hidden="1" x14ac:dyDescent="0.2">
      <c r="D67" s="824"/>
      <c r="E67" s="824"/>
      <c r="F67" s="824"/>
      <c r="G67" s="824"/>
      <c r="H67" s="824"/>
      <c r="I67" s="824"/>
      <c r="J67" s="824"/>
      <c r="K67" s="824"/>
      <c r="L67" s="824"/>
      <c r="M67" s="824"/>
      <c r="N67" s="824"/>
      <c r="O67" s="824"/>
      <c r="P67" s="824"/>
      <c r="Q67" s="824"/>
      <c r="R67" s="824"/>
      <c r="S67" s="824"/>
      <c r="T67" s="824"/>
      <c r="U67" s="824"/>
      <c r="V67" s="824"/>
      <c r="W67" s="824"/>
      <c r="X67" s="824"/>
      <c r="Y67" s="824"/>
    </row>
    <row r="68" spans="4:25" hidden="1" x14ac:dyDescent="0.2">
      <c r="D68" s="824"/>
      <c r="E68" s="824"/>
      <c r="F68" s="824"/>
      <c r="G68" s="824"/>
      <c r="H68" s="824"/>
      <c r="I68" s="824"/>
      <c r="J68" s="824"/>
      <c r="K68" s="824"/>
      <c r="L68" s="824"/>
      <c r="M68" s="824"/>
      <c r="N68" s="824"/>
      <c r="O68" s="824"/>
      <c r="P68" s="824"/>
      <c r="Q68" s="824"/>
      <c r="R68" s="824"/>
      <c r="S68" s="824"/>
      <c r="T68" s="824"/>
      <c r="U68" s="824"/>
      <c r="V68" s="824"/>
      <c r="W68" s="824"/>
      <c r="X68" s="824"/>
      <c r="Y68" s="824"/>
    </row>
    <row r="69" spans="4:25" hidden="1" x14ac:dyDescent="0.2">
      <c r="D69" s="824"/>
      <c r="E69" s="824"/>
      <c r="F69" s="824"/>
      <c r="G69" s="824"/>
      <c r="H69" s="824"/>
      <c r="I69" s="824"/>
      <c r="J69" s="824"/>
      <c r="K69" s="824"/>
      <c r="L69" s="824"/>
      <c r="M69" s="824"/>
      <c r="N69" s="824"/>
      <c r="O69" s="824"/>
      <c r="P69" s="824"/>
      <c r="Q69" s="824"/>
      <c r="R69" s="824"/>
      <c r="S69" s="824"/>
      <c r="T69" s="824"/>
      <c r="U69" s="824"/>
      <c r="V69" s="824"/>
      <c r="W69" s="824"/>
      <c r="X69" s="824"/>
      <c r="Y69" s="824"/>
    </row>
    <row r="70" spans="4:25" hidden="1" x14ac:dyDescent="0.2">
      <c r="D70" s="824"/>
      <c r="E70" s="824"/>
      <c r="F70" s="824"/>
      <c r="G70" s="824"/>
      <c r="H70" s="824"/>
      <c r="I70" s="824"/>
      <c r="J70" s="824"/>
      <c r="K70" s="824"/>
      <c r="L70" s="824"/>
      <c r="M70" s="824"/>
      <c r="N70" s="824"/>
      <c r="O70" s="824"/>
      <c r="P70" s="824"/>
      <c r="Q70" s="824"/>
      <c r="R70" s="824"/>
      <c r="S70" s="824"/>
      <c r="T70" s="824"/>
      <c r="U70" s="824"/>
      <c r="V70" s="824"/>
      <c r="W70" s="824"/>
      <c r="X70" s="824"/>
      <c r="Y70" s="824"/>
    </row>
    <row r="71" spans="4:25" hidden="1" x14ac:dyDescent="0.2">
      <c r="D71" s="824"/>
      <c r="E71" s="824"/>
      <c r="F71" s="824"/>
      <c r="G71" s="824"/>
      <c r="H71" s="824"/>
      <c r="I71" s="824"/>
      <c r="J71" s="824"/>
      <c r="K71" s="824"/>
      <c r="L71" s="824"/>
      <c r="M71" s="824"/>
      <c r="N71" s="824"/>
      <c r="O71" s="824"/>
      <c r="P71" s="824"/>
      <c r="Q71" s="824"/>
      <c r="R71" s="824"/>
      <c r="S71" s="824"/>
      <c r="T71" s="824"/>
      <c r="U71" s="824"/>
      <c r="V71" s="824"/>
      <c r="W71" s="824"/>
      <c r="X71" s="824"/>
      <c r="Y71" s="824"/>
    </row>
  </sheetData>
  <mergeCells count="33">
    <mergeCell ref="A1:AA1"/>
    <mergeCell ref="W2:Z2"/>
    <mergeCell ref="A3:A6"/>
    <mergeCell ref="B3:B6"/>
    <mergeCell ref="C3:P3"/>
    <mergeCell ref="Q3:V4"/>
    <mergeCell ref="W3:Z3"/>
    <mergeCell ref="AA3:AA6"/>
    <mergeCell ref="C4:C6"/>
    <mergeCell ref="D4:F4"/>
    <mergeCell ref="Z5:Z6"/>
    <mergeCell ref="B17:D17"/>
    <mergeCell ref="V17:Z17"/>
    <mergeCell ref="X4:Z4"/>
    <mergeCell ref="D5:D6"/>
    <mergeCell ref="E5:E6"/>
    <mergeCell ref="F5:F6"/>
    <mergeCell ref="H5:H6"/>
    <mergeCell ref="I5:M5"/>
    <mergeCell ref="Q5:Q6"/>
    <mergeCell ref="S5:V5"/>
    <mergeCell ref="X5:X6"/>
    <mergeCell ref="Y5:Y6"/>
    <mergeCell ref="G4:G6"/>
    <mergeCell ref="H4:M4"/>
    <mergeCell ref="N4:N6"/>
    <mergeCell ref="O4:O6"/>
    <mergeCell ref="V10:Z10"/>
    <mergeCell ref="B11:D11"/>
    <mergeCell ref="V11:Z11"/>
    <mergeCell ref="V15:Z15"/>
    <mergeCell ref="P4:P6"/>
    <mergeCell ref="W4:W6"/>
  </mergeCells>
  <pageMargins left="0.7" right="0.7" top="0.75" bottom="0.75" header="0.3" footer="0.3"/>
  <pageSetup paperSize="9" scale="6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FF00"/>
  </sheetPr>
  <dimension ref="A1:W35"/>
  <sheetViews>
    <sheetView view="pageBreakPreview" zoomScale="85" zoomScaleNormal="85" zoomScaleSheetLayoutView="85" zoomScalePageLayoutView="85" workbookViewId="0">
      <pane xSplit="2" ySplit="10" topLeftCell="E11" activePane="bottomRight" state="frozen"/>
      <selection pane="topRight" activeCell="C1" sqref="C1"/>
      <selection pane="bottomLeft" activeCell="A12" sqref="A12"/>
      <selection pane="bottomRight" activeCell="A2" sqref="A2:S2"/>
    </sheetView>
  </sheetViews>
  <sheetFormatPr defaultColWidth="9.140625" defaultRowHeight="12.75" x14ac:dyDescent="0.25"/>
  <cols>
    <col min="1" max="1" width="4.5703125" style="733" customWidth="1"/>
    <col min="2" max="2" width="26.7109375" style="733" customWidth="1"/>
    <col min="3" max="3" width="13" style="3216" customWidth="1"/>
    <col min="4" max="6" width="13" style="2951" customWidth="1"/>
    <col min="7" max="17" width="12" style="2951" customWidth="1"/>
    <col min="18" max="18" width="12" style="2953" customWidth="1"/>
    <col min="19" max="19" width="10.28515625" style="732" customWidth="1"/>
    <col min="20" max="20" width="18.5703125" style="732" hidden="1" customWidth="1"/>
    <col min="21" max="21" width="13.140625" style="733" hidden="1" customWidth="1"/>
    <col min="22" max="22" width="23.42578125" style="732" customWidth="1"/>
    <col min="23" max="23" width="14.7109375" style="733" customWidth="1"/>
    <col min="24" max="16384" width="9.140625" style="733"/>
  </cols>
  <sheetData>
    <row r="1" spans="1:23" ht="38.25" customHeight="1" x14ac:dyDescent="0.25">
      <c r="A1" s="4216" t="str">
        <f>'B55'!A1:B1</f>
        <v>UBND XÃ PHONG QUANG</v>
      </c>
      <c r="B1" s="4216"/>
      <c r="P1" s="4214" t="s">
        <v>4924</v>
      </c>
      <c r="Q1" s="4215"/>
      <c r="R1" s="4215"/>
      <c r="S1" s="4215"/>
    </row>
    <row r="2" spans="1:23" ht="24.6" customHeight="1" x14ac:dyDescent="0.25">
      <c r="A2" s="4216" t="s">
        <v>3627</v>
      </c>
      <c r="B2" s="4216"/>
      <c r="C2" s="4216"/>
      <c r="D2" s="4216"/>
      <c r="E2" s="4216"/>
      <c r="F2" s="4216"/>
      <c r="G2" s="4216"/>
      <c r="H2" s="4216"/>
      <c r="I2" s="4216"/>
      <c r="J2" s="4216"/>
      <c r="K2" s="4216"/>
      <c r="L2" s="4216"/>
      <c r="M2" s="4216"/>
      <c r="N2" s="4216"/>
      <c r="O2" s="4216"/>
      <c r="P2" s="4216"/>
      <c r="Q2" s="4216"/>
      <c r="R2" s="4216"/>
      <c r="S2" s="4216"/>
    </row>
    <row r="3" spans="1:23" ht="24.6" customHeight="1" x14ac:dyDescent="0.25">
      <c r="A3" s="4224" t="s">
        <v>4912</v>
      </c>
      <c r="B3" s="4224"/>
      <c r="C3" s="4224"/>
      <c r="D3" s="4224"/>
      <c r="E3" s="4224"/>
      <c r="F3" s="4224"/>
      <c r="G3" s="4224"/>
      <c r="H3" s="4224"/>
      <c r="I3" s="4224"/>
      <c r="J3" s="4224"/>
      <c r="K3" s="4224"/>
      <c r="L3" s="4224"/>
      <c r="M3" s="4224"/>
      <c r="N3" s="4224"/>
      <c r="O3" s="4224"/>
      <c r="P3" s="4224"/>
      <c r="Q3" s="4224"/>
      <c r="R3" s="4224"/>
      <c r="S3" s="4224"/>
    </row>
    <row r="4" spans="1:23" s="1306" customFormat="1" x14ac:dyDescent="0.25">
      <c r="A4" s="4217" t="str">
        <f>'B53'!A4:K4</f>
        <v>(Kèm theo Quyết định số         /QĐ-UBND ngày      tháng 4 năm 2026 của UBND xã Phong Quang)</v>
      </c>
      <c r="B4" s="4218"/>
      <c r="C4" s="4218"/>
      <c r="D4" s="4218"/>
      <c r="E4" s="4218"/>
      <c r="F4" s="4218"/>
      <c r="G4" s="4218"/>
      <c r="H4" s="4218"/>
      <c r="I4" s="4218"/>
      <c r="J4" s="4218"/>
      <c r="K4" s="4218"/>
      <c r="L4" s="4218"/>
      <c r="M4" s="4218"/>
      <c r="N4" s="4218"/>
      <c r="O4" s="4218"/>
      <c r="P4" s="4218"/>
      <c r="Q4" s="4218"/>
      <c r="R4" s="4218"/>
      <c r="S4" s="4218"/>
      <c r="T4" s="3217"/>
      <c r="V4" s="3217"/>
    </row>
    <row r="5" spans="1:23" ht="25.5" customHeight="1" x14ac:dyDescent="0.2">
      <c r="D5" s="3218"/>
      <c r="G5" s="1308"/>
      <c r="H5" s="3219"/>
      <c r="I5" s="3219"/>
      <c r="Q5" s="3220" t="s">
        <v>3566</v>
      </c>
      <c r="S5" s="3221"/>
      <c r="V5" s="2952"/>
    </row>
    <row r="6" spans="1:23" s="1455" customFormat="1" ht="26.25" customHeight="1" x14ac:dyDescent="0.2">
      <c r="A6" s="4221" t="s">
        <v>844</v>
      </c>
      <c r="B6" s="4221" t="s">
        <v>1778</v>
      </c>
      <c r="C6" s="4222" t="s">
        <v>3634</v>
      </c>
      <c r="D6" s="4219" t="s">
        <v>3563</v>
      </c>
      <c r="E6" s="4219" t="s">
        <v>2623</v>
      </c>
      <c r="F6" s="4220" t="s">
        <v>947</v>
      </c>
      <c r="G6" s="4220" t="s">
        <v>1779</v>
      </c>
      <c r="H6" s="4219" t="s">
        <v>949</v>
      </c>
      <c r="I6" s="4219" t="s">
        <v>545</v>
      </c>
      <c r="J6" s="4219" t="s">
        <v>1477</v>
      </c>
      <c r="K6" s="4219" t="s">
        <v>950</v>
      </c>
      <c r="L6" s="4219" t="s">
        <v>3338</v>
      </c>
      <c r="M6" s="4219" t="s">
        <v>1478</v>
      </c>
      <c r="N6" s="4219" t="s">
        <v>907</v>
      </c>
      <c r="O6" s="4219"/>
      <c r="P6" s="4219" t="s">
        <v>3125</v>
      </c>
      <c r="Q6" s="4219" t="s">
        <v>105</v>
      </c>
      <c r="R6" s="4223" t="s">
        <v>1781</v>
      </c>
      <c r="S6" s="4220" t="s">
        <v>14</v>
      </c>
      <c r="T6" s="1458"/>
      <c r="V6" s="1458"/>
    </row>
    <row r="7" spans="1:23" s="1455" customFormat="1" ht="63" customHeight="1" x14ac:dyDescent="0.2">
      <c r="A7" s="4221"/>
      <c r="B7" s="4221"/>
      <c r="C7" s="4222"/>
      <c r="D7" s="4219"/>
      <c r="E7" s="4219"/>
      <c r="F7" s="4220"/>
      <c r="G7" s="4220"/>
      <c r="H7" s="4219"/>
      <c r="I7" s="4219"/>
      <c r="J7" s="4219"/>
      <c r="K7" s="4219"/>
      <c r="L7" s="4219"/>
      <c r="M7" s="4219"/>
      <c r="N7" s="3774" t="s">
        <v>550</v>
      </c>
      <c r="O7" s="3774" t="s">
        <v>551</v>
      </c>
      <c r="P7" s="4219"/>
      <c r="Q7" s="4219"/>
      <c r="R7" s="4223"/>
      <c r="S7" s="4220"/>
      <c r="T7" s="1458"/>
      <c r="V7" s="1458"/>
    </row>
    <row r="8" spans="1:23" s="1455" customFormat="1" ht="21.75" customHeight="1" x14ac:dyDescent="0.2">
      <c r="A8" s="3775" t="s">
        <v>847</v>
      </c>
      <c r="B8" s="3775" t="s">
        <v>904</v>
      </c>
      <c r="C8" s="3776" t="s">
        <v>1773</v>
      </c>
      <c r="D8" s="3777">
        <v>2</v>
      </c>
      <c r="E8" s="3777" t="s">
        <v>1776</v>
      </c>
      <c r="F8" s="3777">
        <v>4</v>
      </c>
      <c r="G8" s="3777">
        <v>5</v>
      </c>
      <c r="H8" s="3777">
        <v>6</v>
      </c>
      <c r="I8" s="3777">
        <v>7</v>
      </c>
      <c r="J8" s="3777">
        <v>8</v>
      </c>
      <c r="K8" s="3777">
        <v>9</v>
      </c>
      <c r="L8" s="3777">
        <v>10</v>
      </c>
      <c r="M8" s="3777">
        <v>11</v>
      </c>
      <c r="N8" s="3777">
        <v>12</v>
      </c>
      <c r="O8" s="3777">
        <v>13</v>
      </c>
      <c r="P8" s="3777">
        <v>14</v>
      </c>
      <c r="Q8" s="3777">
        <v>15</v>
      </c>
      <c r="R8" s="3777">
        <v>16</v>
      </c>
      <c r="S8" s="3777">
        <v>17</v>
      </c>
      <c r="T8" s="1458"/>
      <c r="V8" s="1458"/>
    </row>
    <row r="9" spans="1:23" s="1169" customFormat="1" ht="23.25" customHeight="1" x14ac:dyDescent="0.25">
      <c r="A9" s="3222"/>
      <c r="B9" s="3222" t="s">
        <v>1580</v>
      </c>
      <c r="C9" s="3301">
        <f t="shared" ref="C9:R9" si="0">C10+C20+C23</f>
        <v>93291624</v>
      </c>
      <c r="D9" s="3301">
        <f t="shared" si="0"/>
        <v>86227321</v>
      </c>
      <c r="E9" s="3301">
        <f t="shared" si="0"/>
        <v>30717242</v>
      </c>
      <c r="F9" s="3223">
        <f t="shared" si="0"/>
        <v>645268</v>
      </c>
      <c r="G9" s="3434">
        <f t="shared" si="0"/>
        <v>174976</v>
      </c>
      <c r="H9" s="3434">
        <f t="shared" si="0"/>
        <v>1163839</v>
      </c>
      <c r="I9" s="3434">
        <f t="shared" si="0"/>
        <v>17970</v>
      </c>
      <c r="J9" s="3435">
        <f t="shared" si="0"/>
        <v>68000</v>
      </c>
      <c r="K9" s="3434">
        <f t="shared" si="0"/>
        <v>185484</v>
      </c>
      <c r="L9" s="3436">
        <f t="shared" si="0"/>
        <v>0</v>
      </c>
      <c r="M9" s="3434">
        <f t="shared" si="0"/>
        <v>7210156</v>
      </c>
      <c r="N9" s="3435">
        <f t="shared" si="0"/>
        <v>986341</v>
      </c>
      <c r="O9" s="3435">
        <f t="shared" si="0"/>
        <v>5951210</v>
      </c>
      <c r="P9" s="3437">
        <f t="shared" si="0"/>
        <v>41832667</v>
      </c>
      <c r="Q9" s="3437">
        <f t="shared" si="0"/>
        <v>4212056.8524000002</v>
      </c>
      <c r="R9" s="3438">
        <f t="shared" si="0"/>
        <v>0</v>
      </c>
      <c r="S9" s="3223"/>
      <c r="T9" s="3224">
        <f>T10+T20+T23</f>
        <v>0</v>
      </c>
      <c r="U9" s="3778">
        <f>U10+U20+U23</f>
        <v>0</v>
      </c>
      <c r="V9" s="1534"/>
    </row>
    <row r="10" spans="1:23" s="1078" customFormat="1" ht="30" customHeight="1" x14ac:dyDescent="0.2">
      <c r="A10" s="3225" t="s">
        <v>849</v>
      </c>
      <c r="B10" s="3226" t="s">
        <v>3628</v>
      </c>
      <c r="C10" s="3302">
        <f t="shared" ref="C10:U10" si="1">SUM(C11:C19)</f>
        <v>86082634</v>
      </c>
      <c r="D10" s="3302">
        <f t="shared" si="1"/>
        <v>79018331</v>
      </c>
      <c r="E10" s="3302">
        <f t="shared" si="1"/>
        <v>30717242</v>
      </c>
      <c r="F10" s="3227">
        <f t="shared" si="1"/>
        <v>645268</v>
      </c>
      <c r="G10" s="3439">
        <f t="shared" si="1"/>
        <v>149976</v>
      </c>
      <c r="H10" s="3439">
        <f t="shared" si="1"/>
        <v>1163839</v>
      </c>
      <c r="I10" s="3439">
        <f t="shared" si="1"/>
        <v>17970</v>
      </c>
      <c r="J10" s="3440">
        <f t="shared" si="1"/>
        <v>68000</v>
      </c>
      <c r="K10" s="3439">
        <f t="shared" si="1"/>
        <v>185484</v>
      </c>
      <c r="L10" s="3441">
        <f t="shared" si="1"/>
        <v>0</v>
      </c>
      <c r="M10" s="3439">
        <f t="shared" si="1"/>
        <v>7210156</v>
      </c>
      <c r="N10" s="3440">
        <f t="shared" si="1"/>
        <v>986341</v>
      </c>
      <c r="O10" s="3440">
        <f t="shared" si="1"/>
        <v>5951210</v>
      </c>
      <c r="P10" s="3442">
        <f t="shared" si="1"/>
        <v>34648677</v>
      </c>
      <c r="Q10" s="3442">
        <f t="shared" si="1"/>
        <v>4212056.8524000002</v>
      </c>
      <c r="R10" s="3441">
        <f t="shared" si="1"/>
        <v>0</v>
      </c>
      <c r="S10" s="3227">
        <f t="shared" si="1"/>
        <v>848.48845384559081</v>
      </c>
      <c r="T10" s="3228">
        <f t="shared" si="1"/>
        <v>0</v>
      </c>
      <c r="U10" s="3779">
        <f t="shared" si="1"/>
        <v>0</v>
      </c>
      <c r="V10" s="3229"/>
    </row>
    <row r="11" spans="1:23" s="1169" customFormat="1" ht="32.25" customHeight="1" x14ac:dyDescent="0.25">
      <c r="A11" s="3230">
        <v>1</v>
      </c>
      <c r="B11" s="3231" t="s">
        <v>3587</v>
      </c>
      <c r="C11" s="3299">
        <v>2938720</v>
      </c>
      <c r="D11" s="3300">
        <v>2938720</v>
      </c>
      <c r="E11" s="3233">
        <v>2938720</v>
      </c>
      <c r="F11" s="3232"/>
      <c r="G11" s="3443"/>
      <c r="H11" s="3443"/>
      <c r="I11" s="3443"/>
      <c r="J11" s="3444"/>
      <c r="K11" s="3443"/>
      <c r="L11" s="3445"/>
      <c r="M11" s="3443"/>
      <c r="N11" s="3444"/>
      <c r="O11" s="3444"/>
      <c r="P11" s="3446"/>
      <c r="Q11" s="3446">
        <v>336.85239999999999</v>
      </c>
      <c r="R11" s="3445"/>
      <c r="S11" s="3233">
        <f>D11/C11*100</f>
        <v>100</v>
      </c>
      <c r="T11" s="1534"/>
      <c r="V11" s="3234"/>
      <c r="W11" s="3235"/>
    </row>
    <row r="12" spans="1:23" s="1169" customFormat="1" ht="32.25" customHeight="1" x14ac:dyDescent="0.25">
      <c r="A12" s="3230">
        <v>2</v>
      </c>
      <c r="B12" s="3231" t="s">
        <v>3588</v>
      </c>
      <c r="C12" s="3299">
        <v>4992790</v>
      </c>
      <c r="D12" s="3300">
        <v>4936231</v>
      </c>
      <c r="E12" s="3233">
        <v>4936231</v>
      </c>
      <c r="F12" s="3232"/>
      <c r="G12" s="3443"/>
      <c r="H12" s="3443"/>
      <c r="I12" s="3443"/>
      <c r="J12" s="3444"/>
      <c r="K12" s="3443"/>
      <c r="L12" s="3445"/>
      <c r="M12" s="3443"/>
      <c r="N12" s="3444"/>
      <c r="O12" s="3444"/>
      <c r="P12" s="3446"/>
      <c r="Q12" s="3446"/>
      <c r="R12" s="3445"/>
      <c r="S12" s="3233">
        <f t="shared" ref="S12:S22" si="2">D12/C12*100</f>
        <v>98.867186482908352</v>
      </c>
      <c r="T12" s="1534"/>
      <c r="V12" s="3234"/>
      <c r="W12" s="3235"/>
    </row>
    <row r="13" spans="1:23" s="1169" customFormat="1" ht="29.25" customHeight="1" x14ac:dyDescent="0.25">
      <c r="A13" s="3230">
        <v>3</v>
      </c>
      <c r="B13" s="3231" t="s">
        <v>3589</v>
      </c>
      <c r="C13" s="3299">
        <v>14492499</v>
      </c>
      <c r="D13" s="3300">
        <v>13782105</v>
      </c>
      <c r="E13" s="3233">
        <v>13782105</v>
      </c>
      <c r="F13" s="3232"/>
      <c r="G13" s="3443"/>
      <c r="H13" s="3443"/>
      <c r="I13" s="3443"/>
      <c r="J13" s="3444"/>
      <c r="K13" s="3443"/>
      <c r="L13" s="3445"/>
      <c r="M13" s="3443"/>
      <c r="N13" s="3444"/>
      <c r="O13" s="3444"/>
      <c r="P13" s="3446"/>
      <c r="Q13" s="3446"/>
      <c r="R13" s="3445"/>
      <c r="S13" s="3233">
        <f t="shared" si="2"/>
        <v>95.098195280192883</v>
      </c>
      <c r="T13" s="1534"/>
      <c r="V13" s="3234"/>
      <c r="W13" s="3235"/>
    </row>
    <row r="14" spans="1:23" s="1169" customFormat="1" ht="29.25" customHeight="1" x14ac:dyDescent="0.25">
      <c r="A14" s="3230">
        <v>4</v>
      </c>
      <c r="B14" s="3231" t="s">
        <v>3590</v>
      </c>
      <c r="C14" s="3299">
        <v>8351439</v>
      </c>
      <c r="D14" s="3300">
        <v>8351438</v>
      </c>
      <c r="E14" s="3233">
        <v>8351438</v>
      </c>
      <c r="F14" s="3232"/>
      <c r="G14" s="3443"/>
      <c r="H14" s="3443"/>
      <c r="I14" s="3443"/>
      <c r="J14" s="3444"/>
      <c r="K14" s="3443"/>
      <c r="L14" s="3445"/>
      <c r="M14" s="3443"/>
      <c r="N14" s="3444"/>
      <c r="O14" s="3444"/>
      <c r="P14" s="3446"/>
      <c r="Q14" s="3446"/>
      <c r="R14" s="3445"/>
      <c r="S14" s="3233">
        <f t="shared" si="2"/>
        <v>99.999988026015643</v>
      </c>
      <c r="T14" s="1534"/>
      <c r="V14" s="3234"/>
      <c r="W14" s="3235"/>
    </row>
    <row r="15" spans="1:23" s="1169" customFormat="1" ht="29.25" customHeight="1" x14ac:dyDescent="0.25">
      <c r="A15" s="3230">
        <v>5</v>
      </c>
      <c r="B15" s="3231" t="s">
        <v>3591</v>
      </c>
      <c r="C15" s="3299">
        <v>3394858</v>
      </c>
      <c r="D15" s="3300">
        <v>3394858</v>
      </c>
      <c r="E15" s="3233">
        <v>0</v>
      </c>
      <c r="F15" s="3232"/>
      <c r="G15" s="3443"/>
      <c r="H15" s="3443"/>
      <c r="I15" s="3443"/>
      <c r="J15" s="3444"/>
      <c r="K15" s="3443"/>
      <c r="L15" s="3445"/>
      <c r="M15" s="3443"/>
      <c r="N15" s="3444"/>
      <c r="O15" s="3444"/>
      <c r="P15" s="3446">
        <v>3394858</v>
      </c>
      <c r="Q15" s="3446"/>
      <c r="R15" s="3445"/>
      <c r="S15" s="3233">
        <f t="shared" si="2"/>
        <v>100</v>
      </c>
      <c r="T15" s="1534"/>
      <c r="V15" s="3234"/>
      <c r="W15" s="3235"/>
    </row>
    <row r="16" spans="1:23" s="1169" customFormat="1" ht="29.25" customHeight="1" x14ac:dyDescent="0.25">
      <c r="A16" s="3230">
        <v>6</v>
      </c>
      <c r="B16" s="3231" t="s">
        <v>3593</v>
      </c>
      <c r="C16" s="3299">
        <v>8604116</v>
      </c>
      <c r="D16" s="3300">
        <v>7971535</v>
      </c>
      <c r="E16" s="3233">
        <v>556733</v>
      </c>
      <c r="F16" s="3233">
        <v>182794</v>
      </c>
      <c r="G16" s="3443"/>
      <c r="H16" s="3443"/>
      <c r="I16" s="3443"/>
      <c r="J16" s="3444"/>
      <c r="K16" s="3443"/>
      <c r="L16" s="3445"/>
      <c r="M16" s="3443">
        <v>40556</v>
      </c>
      <c r="N16" s="3444"/>
      <c r="O16" s="3444"/>
      <c r="P16" s="3446">
        <v>2833106</v>
      </c>
      <c r="Q16" s="3446">
        <v>3246128</v>
      </c>
      <c r="R16" s="3445"/>
      <c r="S16" s="3233">
        <f t="shared" si="2"/>
        <v>92.647925713693297</v>
      </c>
      <c r="T16" s="1534"/>
      <c r="V16" s="3234"/>
      <c r="W16" s="3235"/>
    </row>
    <row r="17" spans="1:23" s="1169" customFormat="1" ht="29.25" customHeight="1" x14ac:dyDescent="0.25">
      <c r="A17" s="3230">
        <v>7</v>
      </c>
      <c r="B17" s="3231" t="s">
        <v>3594</v>
      </c>
      <c r="C17" s="3299">
        <v>521300</v>
      </c>
      <c r="D17" s="3300">
        <v>521250</v>
      </c>
      <c r="E17" s="3233">
        <v>0</v>
      </c>
      <c r="F17" s="3233">
        <v>0</v>
      </c>
      <c r="G17" s="3443"/>
      <c r="H17" s="3443">
        <v>1094903</v>
      </c>
      <c r="I17" s="3443">
        <v>17316</v>
      </c>
      <c r="J17" s="3444"/>
      <c r="K17" s="3443"/>
      <c r="L17" s="3445"/>
      <c r="M17" s="3443"/>
      <c r="N17" s="3444"/>
      <c r="O17" s="3444"/>
      <c r="P17" s="3446">
        <v>521250</v>
      </c>
      <c r="Q17" s="3446"/>
      <c r="R17" s="3445"/>
      <c r="S17" s="3233">
        <f t="shared" si="2"/>
        <v>99.990408593899872</v>
      </c>
      <c r="T17" s="1534"/>
      <c r="V17" s="3234"/>
      <c r="W17" s="3235"/>
    </row>
    <row r="18" spans="1:23" s="1169" customFormat="1" ht="29.25" customHeight="1" x14ac:dyDescent="0.25">
      <c r="A18" s="3230">
        <v>8</v>
      </c>
      <c r="B18" s="3231" t="s">
        <v>3595</v>
      </c>
      <c r="C18" s="3299">
        <v>14788210</v>
      </c>
      <c r="D18" s="3300">
        <v>9183164</v>
      </c>
      <c r="E18" s="3233">
        <v>152015</v>
      </c>
      <c r="F18" s="3233">
        <v>0</v>
      </c>
      <c r="G18" s="3443"/>
      <c r="H18" s="3443">
        <v>30991</v>
      </c>
      <c r="I18" s="3443"/>
      <c r="J18" s="3444"/>
      <c r="K18" s="3443">
        <v>185484</v>
      </c>
      <c r="L18" s="3445"/>
      <c r="M18" s="3443">
        <v>6871189</v>
      </c>
      <c r="N18" s="3444">
        <v>878341</v>
      </c>
      <c r="O18" s="3444">
        <v>5951210</v>
      </c>
      <c r="P18" s="3446">
        <v>1893485</v>
      </c>
      <c r="Q18" s="3446">
        <v>50000</v>
      </c>
      <c r="R18" s="3445"/>
      <c r="S18" s="3233">
        <f t="shared" si="2"/>
        <v>62.097873914422365</v>
      </c>
      <c r="T18" s="1534"/>
      <c r="V18" s="3234"/>
      <c r="W18" s="3235"/>
    </row>
    <row r="19" spans="1:23" s="1169" customFormat="1" ht="29.25" customHeight="1" x14ac:dyDescent="0.25">
      <c r="A19" s="3230">
        <v>9</v>
      </c>
      <c r="B19" s="3231" t="s">
        <v>3596</v>
      </c>
      <c r="C19" s="3299">
        <v>27998702</v>
      </c>
      <c r="D19" s="3300">
        <v>27939030</v>
      </c>
      <c r="E19" s="3233">
        <v>0</v>
      </c>
      <c r="F19" s="3233">
        <v>462474</v>
      </c>
      <c r="G19" s="3443">
        <v>149976</v>
      </c>
      <c r="H19" s="3443">
        <v>37945</v>
      </c>
      <c r="I19" s="3443">
        <v>654</v>
      </c>
      <c r="J19" s="3444">
        <v>68000</v>
      </c>
      <c r="K19" s="3443"/>
      <c r="L19" s="3445"/>
      <c r="M19" s="3443">
        <v>298411</v>
      </c>
      <c r="N19" s="3444">
        <v>108000</v>
      </c>
      <c r="O19" s="3444"/>
      <c r="P19" s="3446">
        <v>26005978</v>
      </c>
      <c r="Q19" s="3446">
        <v>915592</v>
      </c>
      <c r="R19" s="3445"/>
      <c r="S19" s="3233">
        <f t="shared" si="2"/>
        <v>99.786875834458328</v>
      </c>
      <c r="T19" s="1534"/>
      <c r="V19" s="3234"/>
      <c r="W19" s="3235"/>
    </row>
    <row r="20" spans="1:23" s="1078" customFormat="1" ht="21" customHeight="1" x14ac:dyDescent="0.25">
      <c r="A20" s="3237" t="s">
        <v>866</v>
      </c>
      <c r="B20" s="3238" t="s">
        <v>2629</v>
      </c>
      <c r="C20" s="3303">
        <f>SUM(C21:C22)</f>
        <v>7208990</v>
      </c>
      <c r="D20" s="3303">
        <f>SUM(D21:D22)</f>
        <v>7208990</v>
      </c>
      <c r="E20" s="3304"/>
      <c r="F20" s="3239">
        <f t="shared" ref="F20:R20" si="3">SUM(F21:F22)</f>
        <v>0</v>
      </c>
      <c r="G20" s="3447">
        <f t="shared" si="3"/>
        <v>25000</v>
      </c>
      <c r="H20" s="3447">
        <f t="shared" si="3"/>
        <v>0</v>
      </c>
      <c r="I20" s="3447">
        <f t="shared" si="3"/>
        <v>0</v>
      </c>
      <c r="J20" s="3448">
        <f t="shared" si="3"/>
        <v>0</v>
      </c>
      <c r="K20" s="3447">
        <f t="shared" si="3"/>
        <v>0</v>
      </c>
      <c r="L20" s="3449">
        <f t="shared" si="3"/>
        <v>0</v>
      </c>
      <c r="M20" s="3447">
        <f t="shared" si="3"/>
        <v>0</v>
      </c>
      <c r="N20" s="3448">
        <f t="shared" si="3"/>
        <v>0</v>
      </c>
      <c r="O20" s="3448">
        <f t="shared" si="3"/>
        <v>0</v>
      </c>
      <c r="P20" s="3450">
        <f t="shared" si="3"/>
        <v>7183990</v>
      </c>
      <c r="Q20" s="3450">
        <f t="shared" si="3"/>
        <v>0</v>
      </c>
      <c r="R20" s="3451">
        <f t="shared" si="3"/>
        <v>0</v>
      </c>
      <c r="S20" s="3233">
        <f t="shared" si="2"/>
        <v>100</v>
      </c>
      <c r="T20" s="3240"/>
      <c r="V20" s="3234"/>
      <c r="W20" s="3235"/>
    </row>
    <row r="21" spans="1:23" s="1169" customFormat="1" ht="32.25" customHeight="1" x14ac:dyDescent="0.25">
      <c r="A21" s="3230">
        <v>1</v>
      </c>
      <c r="B21" s="3236" t="str">
        <f>[1]B57!B20</f>
        <v>Văn phòng Đảng ủy xã Phong Quang</v>
      </c>
      <c r="C21" s="3299">
        <v>7183990</v>
      </c>
      <c r="D21" s="3300">
        <v>7183990</v>
      </c>
      <c r="E21" s="3233">
        <v>0</v>
      </c>
      <c r="F21" s="3232"/>
      <c r="G21" s="3443"/>
      <c r="H21" s="3443"/>
      <c r="I21" s="3443"/>
      <c r="J21" s="3445"/>
      <c r="K21" s="3443"/>
      <c r="L21" s="3445"/>
      <c r="M21" s="3443"/>
      <c r="N21" s="3444"/>
      <c r="O21" s="3444"/>
      <c r="P21" s="3452">
        <f>D21-M21</f>
        <v>7183990</v>
      </c>
      <c r="Q21" s="3446"/>
      <c r="R21" s="3445"/>
      <c r="S21" s="3233">
        <f t="shared" si="2"/>
        <v>100</v>
      </c>
      <c r="T21" s="3241"/>
      <c r="V21" s="3242" t="s">
        <v>4773</v>
      </c>
      <c r="W21" s="3235"/>
    </row>
    <row r="22" spans="1:23" s="1169" customFormat="1" ht="21.75" customHeight="1" x14ac:dyDescent="0.25">
      <c r="A22" s="3230">
        <v>2</v>
      </c>
      <c r="B22" s="3236" t="str">
        <f>[1]B57!B21</f>
        <v>Công an xã Phong Quang</v>
      </c>
      <c r="C22" s="3299">
        <v>25000</v>
      </c>
      <c r="D22" s="3300">
        <v>25000</v>
      </c>
      <c r="E22" s="3233"/>
      <c r="F22" s="3232"/>
      <c r="G22" s="3443">
        <v>25000</v>
      </c>
      <c r="H22" s="3443"/>
      <c r="I22" s="3445"/>
      <c r="J22" s="3445"/>
      <c r="K22" s="3443"/>
      <c r="L22" s="3445"/>
      <c r="M22" s="3443"/>
      <c r="N22" s="3444"/>
      <c r="O22" s="3444"/>
      <c r="P22" s="3446"/>
      <c r="Q22" s="3446"/>
      <c r="R22" s="3445"/>
      <c r="S22" s="3233">
        <f t="shared" si="2"/>
        <v>100</v>
      </c>
      <c r="T22" s="3241"/>
      <c r="V22" s="1534">
        <f>19781383+630067833</f>
        <v>649849216</v>
      </c>
      <c r="W22" s="3235"/>
    </row>
    <row r="23" spans="1:23" s="1532" customFormat="1" ht="22.5" customHeight="1" x14ac:dyDescent="0.2">
      <c r="A23" s="3243" t="s">
        <v>872</v>
      </c>
      <c r="B23" s="3244" t="s">
        <v>3339</v>
      </c>
      <c r="C23" s="3245">
        <f>C24</f>
        <v>0</v>
      </c>
      <c r="D23" s="3246">
        <f>D24</f>
        <v>0</v>
      </c>
      <c r="E23" s="3305">
        <v>0</v>
      </c>
      <c r="F23" s="3247">
        <v>0</v>
      </c>
      <c r="G23" s="3453">
        <v>0</v>
      </c>
      <c r="H23" s="3453">
        <v>0</v>
      </c>
      <c r="I23" s="3454">
        <v>0</v>
      </c>
      <c r="J23" s="3454">
        <v>0</v>
      </c>
      <c r="K23" s="3453">
        <v>0</v>
      </c>
      <c r="L23" s="3454"/>
      <c r="M23" s="3453">
        <v>0</v>
      </c>
      <c r="N23" s="3455">
        <v>0</v>
      </c>
      <c r="O23" s="3455">
        <v>0</v>
      </c>
      <c r="P23" s="3454">
        <v>0</v>
      </c>
      <c r="Q23" s="3454">
        <v>0</v>
      </c>
      <c r="R23" s="3456">
        <f>R24</f>
        <v>0</v>
      </c>
      <c r="S23" s="3248"/>
      <c r="T23" s="3249"/>
      <c r="V23" s="3249"/>
    </row>
    <row r="24" spans="1:23" s="1455" customFormat="1" ht="22.5" customHeight="1" x14ac:dyDescent="0.2">
      <c r="A24" s="3250">
        <v>1</v>
      </c>
      <c r="B24" s="3251"/>
      <c r="C24" s="3252"/>
      <c r="D24" s="3253">
        <f>SUM(E24:M24)+P24+Q24+R24</f>
        <v>0</v>
      </c>
      <c r="E24" s="3254"/>
      <c r="F24" s="3254"/>
      <c r="G24" s="3254"/>
      <c r="H24" s="3306"/>
      <c r="I24" s="3254"/>
      <c r="J24" s="3254"/>
      <c r="K24" s="3306"/>
      <c r="L24" s="3254"/>
      <c r="M24" s="3306"/>
      <c r="N24" s="3254"/>
      <c r="O24" s="3254"/>
      <c r="P24" s="3254"/>
      <c r="Q24" s="3254"/>
      <c r="R24" s="3255"/>
      <c r="S24" s="3256"/>
      <c r="T24" s="1458"/>
      <c r="V24" s="1458"/>
    </row>
    <row r="25" spans="1:23" ht="15.75" customHeight="1" x14ac:dyDescent="0.25">
      <c r="I25" s="3257"/>
      <c r="J25" s="3257"/>
      <c r="M25" s="3258"/>
      <c r="N25" s="3258"/>
      <c r="O25" s="3258"/>
      <c r="P25" s="3258"/>
      <c r="Q25" s="3258"/>
      <c r="R25" s="3259"/>
    </row>
    <row r="26" spans="1:23" ht="21.75" hidden="1" customHeight="1" x14ac:dyDescent="0.2">
      <c r="B26" s="4075" t="s">
        <v>3722</v>
      </c>
      <c r="C26" s="4075"/>
      <c r="D26" s="4075"/>
      <c r="E26" s="1446"/>
      <c r="M26" s="4049" t="s">
        <v>3571</v>
      </c>
      <c r="N26" s="4049"/>
      <c r="O26" s="4049"/>
      <c r="P26" s="4049"/>
      <c r="Q26" s="4049"/>
      <c r="R26" s="4049"/>
      <c r="S26" s="4049"/>
    </row>
    <row r="27" spans="1:23" ht="14.25" hidden="1" x14ac:dyDescent="0.2">
      <c r="B27" s="4075" t="s">
        <v>807</v>
      </c>
      <c r="C27" s="4075"/>
      <c r="D27" s="4075"/>
      <c r="E27" s="1446"/>
      <c r="M27" s="4047" t="s">
        <v>638</v>
      </c>
      <c r="N27" s="4047"/>
      <c r="O27" s="4047"/>
      <c r="P27" s="4047"/>
      <c r="Q27" s="4047"/>
      <c r="R27" s="4047"/>
      <c r="S27" s="4047"/>
    </row>
    <row r="28" spans="1:23" ht="15" hidden="1" x14ac:dyDescent="0.25">
      <c r="B28" s="2966"/>
      <c r="C28" s="3260"/>
      <c r="D28" s="548"/>
      <c r="E28" s="1446"/>
      <c r="M28" s="4047" t="s">
        <v>639</v>
      </c>
      <c r="N28" s="4047"/>
      <c r="O28" s="4047"/>
      <c r="P28" s="4047"/>
      <c r="Q28" s="4047"/>
      <c r="R28" s="4047"/>
      <c r="S28" s="4047"/>
    </row>
    <row r="29" spans="1:23" ht="28.5" hidden="1" customHeight="1" x14ac:dyDescent="0.2">
      <c r="B29" s="3261"/>
      <c r="C29" s="3262"/>
      <c r="D29" s="1446"/>
      <c r="E29" s="1446"/>
    </row>
    <row r="30" spans="1:23" ht="28.5" hidden="1" customHeight="1" x14ac:dyDescent="0.2">
      <c r="B30" s="3261"/>
      <c r="C30" s="3262"/>
      <c r="D30" s="1446"/>
      <c r="E30" s="1446"/>
    </row>
    <row r="31" spans="1:23" ht="28.5" hidden="1" customHeight="1" x14ac:dyDescent="0.2">
      <c r="B31" s="3261"/>
      <c r="C31" s="3262"/>
      <c r="D31" s="1446"/>
      <c r="E31" s="1446"/>
    </row>
    <row r="32" spans="1:23" ht="28.5" hidden="1" customHeight="1" x14ac:dyDescent="0.2">
      <c r="B32" s="3261"/>
      <c r="C32" s="3262"/>
      <c r="D32" s="1446"/>
      <c r="E32" s="1446"/>
    </row>
    <row r="33" spans="2:22" hidden="1" x14ac:dyDescent="0.2">
      <c r="B33" s="3261"/>
      <c r="C33" s="3262"/>
      <c r="D33" s="1446"/>
      <c r="E33" s="1446"/>
    </row>
    <row r="34" spans="2:22" ht="14.25" hidden="1" customHeight="1" x14ac:dyDescent="0.2">
      <c r="B34" s="3261"/>
      <c r="C34" s="3262"/>
      <c r="D34" s="4213"/>
      <c r="E34" s="4213"/>
      <c r="L34" s="3263"/>
      <c r="T34" s="733"/>
      <c r="V34" s="733"/>
    </row>
    <row r="35" spans="2:22" ht="14.25" hidden="1" customHeight="1" x14ac:dyDescent="0.2">
      <c r="B35" s="4075" t="s">
        <v>3574</v>
      </c>
      <c r="C35" s="4075"/>
      <c r="D35" s="4075"/>
      <c r="E35" s="1446"/>
      <c r="M35" s="4047" t="s">
        <v>3572</v>
      </c>
      <c r="N35" s="4047"/>
      <c r="O35" s="4047"/>
      <c r="P35" s="4047"/>
      <c r="Q35" s="4047"/>
      <c r="R35" s="4047"/>
      <c r="S35" s="4047"/>
      <c r="T35" s="733"/>
      <c r="V35" s="733"/>
    </row>
  </sheetData>
  <mergeCells count="31">
    <mergeCell ref="A3:S3"/>
    <mergeCell ref="M28:S28"/>
    <mergeCell ref="L6:L7"/>
    <mergeCell ref="B26:D26"/>
    <mergeCell ref="M26:S26"/>
    <mergeCell ref="B27:D27"/>
    <mergeCell ref="M27:S27"/>
    <mergeCell ref="Q6:Q7"/>
    <mergeCell ref="K6:K7"/>
    <mergeCell ref="P6:P7"/>
    <mergeCell ref="H6:H7"/>
    <mergeCell ref="I6:I7"/>
    <mergeCell ref="J6:J7"/>
    <mergeCell ref="G6:G7"/>
    <mergeCell ref="F6:F7"/>
    <mergeCell ref="M35:S35"/>
    <mergeCell ref="D34:E34"/>
    <mergeCell ref="B35:D35"/>
    <mergeCell ref="P1:S1"/>
    <mergeCell ref="A2:S2"/>
    <mergeCell ref="A4:S4"/>
    <mergeCell ref="M6:M7"/>
    <mergeCell ref="N6:O6"/>
    <mergeCell ref="S6:S7"/>
    <mergeCell ref="A6:A7"/>
    <mergeCell ref="B6:B7"/>
    <mergeCell ref="C6:C7"/>
    <mergeCell ref="D6:D7"/>
    <mergeCell ref="E6:E7"/>
    <mergeCell ref="R6:R7"/>
    <mergeCell ref="A1:B1"/>
  </mergeCells>
  <pageMargins left="0.36" right="0.17" top="0.39" bottom="0.35" header="0.27" footer="0.2"/>
  <pageSetup paperSize="9" scale="60" orientation="landscape" useFirstPageNumber="1" r:id="rId1"/>
  <headerFooter>
    <oddHeader xml:space="preserve">&amp;RBiểu số 5.9          
</oddHeader>
    <oddFooter>&amp;C&amp;P</oddFooter>
  </headerFooter>
  <colBreaks count="2" manualBreakCount="2">
    <brk id="19" max="41" man="1"/>
    <brk id="21"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S108"/>
  <sheetViews>
    <sheetView zoomScale="80" zoomScaleNormal="80" zoomScaleSheetLayoutView="70" zoomScalePageLayoutView="80" workbookViewId="0">
      <selection activeCell="A2" sqref="A2:L2"/>
    </sheetView>
  </sheetViews>
  <sheetFormatPr defaultColWidth="9.140625" defaultRowHeight="15" x14ac:dyDescent="0.25"/>
  <cols>
    <col min="1" max="1" width="4.7109375" style="3481" customWidth="1"/>
    <col min="2" max="2" width="46.5703125" style="546" customWidth="1"/>
    <col min="3" max="3" width="18.42578125" style="1472" customWidth="1"/>
    <col min="4" max="4" width="16" style="1472" customWidth="1"/>
    <col min="5" max="5" width="18.5703125" style="1472" customWidth="1"/>
    <col min="6" max="6" width="17.5703125" style="584" customWidth="1"/>
    <col min="7" max="7" width="15.5703125" style="1472" hidden="1" customWidth="1"/>
    <col min="8" max="8" width="16" style="584" customWidth="1"/>
    <col min="9" max="9" width="19.5703125" style="2956" customWidth="1"/>
    <col min="10" max="10" width="16.42578125" style="1472" customWidth="1"/>
    <col min="11" max="11" width="15.7109375" style="1472" customWidth="1"/>
    <col min="12" max="12" width="16.140625" style="1472" customWidth="1"/>
    <col min="13" max="13" width="16.7109375" style="546" hidden="1" customWidth="1"/>
    <col min="14" max="14" width="16.5703125" style="546" customWidth="1"/>
    <col min="15" max="15" width="21.7109375" style="546" customWidth="1"/>
    <col min="16" max="16" width="19" style="546" customWidth="1"/>
    <col min="17" max="17" width="11" style="546" customWidth="1"/>
    <col min="18" max="18" width="24.5703125" style="546" customWidth="1"/>
    <col min="19" max="19" width="9.140625" style="546"/>
    <col min="20" max="21" width="10.7109375" style="546" bestFit="1" customWidth="1"/>
    <col min="22" max="16384" width="9.140625" style="546"/>
  </cols>
  <sheetData>
    <row r="1" spans="1:18" s="1971" customFormat="1" ht="53.25" customHeight="1" x14ac:dyDescent="0.25">
      <c r="A1" s="4231" t="str">
        <f>'B56'!A1:B1</f>
        <v>UBND XÃ PHONG QUANG</v>
      </c>
      <c r="B1" s="4231"/>
      <c r="C1" s="1995"/>
      <c r="D1" s="1995"/>
      <c r="E1" s="1995"/>
      <c r="F1" s="1970"/>
      <c r="G1" s="1995"/>
      <c r="H1" s="1970"/>
      <c r="I1" s="1994"/>
      <c r="J1" s="4239" t="s">
        <v>4925</v>
      </c>
      <c r="K1" s="4240"/>
      <c r="L1" s="4240"/>
    </row>
    <row r="2" spans="1:18" ht="25.5" customHeight="1" x14ac:dyDescent="0.25">
      <c r="A2" s="4236" t="s">
        <v>3632</v>
      </c>
      <c r="B2" s="4236"/>
      <c r="C2" s="4236"/>
      <c r="D2" s="4236"/>
      <c r="E2" s="4236"/>
      <c r="F2" s="4236"/>
      <c r="G2" s="4236"/>
      <c r="H2" s="4236"/>
      <c r="I2" s="4236"/>
      <c r="J2" s="4236"/>
      <c r="K2" s="4236"/>
      <c r="L2" s="4236"/>
    </row>
    <row r="3" spans="1:18" ht="25.5" customHeight="1" x14ac:dyDescent="0.25">
      <c r="A3" s="4236" t="s">
        <v>4912</v>
      </c>
      <c r="B3" s="4236"/>
      <c r="C3" s="4236"/>
      <c r="D3" s="4236"/>
      <c r="E3" s="4236"/>
      <c r="F3" s="4236"/>
      <c r="G3" s="4236"/>
      <c r="H3" s="4236"/>
      <c r="I3" s="4236"/>
      <c r="J3" s="4236"/>
      <c r="K3" s="4236"/>
      <c r="L3" s="4236"/>
    </row>
    <row r="4" spans="1:18" ht="27" customHeight="1" x14ac:dyDescent="0.25">
      <c r="A4" s="4237" t="str">
        <f>'B56'!A4:S4</f>
        <v>(Kèm theo Quyết định số         /QĐ-UBND ngày      tháng 4 năm 2026 của UBND xã Phong Quang)</v>
      </c>
      <c r="B4" s="4238"/>
      <c r="C4" s="4238"/>
      <c r="D4" s="4238"/>
      <c r="E4" s="4238"/>
      <c r="F4" s="4238"/>
      <c r="G4" s="4238"/>
      <c r="H4" s="4238"/>
      <c r="I4" s="4238"/>
      <c r="J4" s="4238"/>
      <c r="K4" s="4238"/>
      <c r="L4" s="4238"/>
      <c r="N4" s="2954"/>
    </row>
    <row r="5" spans="1:18" x14ac:dyDescent="0.25">
      <c r="B5" s="669"/>
      <c r="C5" s="2955"/>
      <c r="J5" s="4241" t="s">
        <v>4724</v>
      </c>
      <c r="K5" s="4241"/>
      <c r="L5" s="4241"/>
    </row>
    <row r="6" spans="1:18" s="1162" customFormat="1" ht="20.25" customHeight="1" x14ac:dyDescent="0.25">
      <c r="A6" s="4235" t="s">
        <v>1579</v>
      </c>
      <c r="B6" s="4234" t="s">
        <v>193</v>
      </c>
      <c r="C6" s="4233" t="s">
        <v>3633</v>
      </c>
      <c r="D6" s="4233" t="s">
        <v>869</v>
      </c>
      <c r="E6" s="4233"/>
      <c r="F6" s="4233"/>
      <c r="G6" s="4233"/>
      <c r="H6" s="4233"/>
      <c r="I6" s="4232" t="s">
        <v>3540</v>
      </c>
      <c r="J6" s="4233" t="s">
        <v>552</v>
      </c>
      <c r="K6" s="4233" t="s">
        <v>907</v>
      </c>
      <c r="L6" s="4233"/>
    </row>
    <row r="7" spans="1:18" s="1162" customFormat="1" ht="48" customHeight="1" x14ac:dyDescent="0.25">
      <c r="A7" s="4235"/>
      <c r="B7" s="4234"/>
      <c r="C7" s="4233"/>
      <c r="D7" s="3492" t="s">
        <v>2155</v>
      </c>
      <c r="E7" s="3492" t="s">
        <v>553</v>
      </c>
      <c r="F7" s="3469" t="s">
        <v>2156</v>
      </c>
      <c r="G7" s="3492" t="s">
        <v>3346</v>
      </c>
      <c r="H7" s="3469" t="s">
        <v>3340</v>
      </c>
      <c r="I7" s="4232"/>
      <c r="J7" s="4233"/>
      <c r="K7" s="3492" t="s">
        <v>2158</v>
      </c>
      <c r="L7" s="3492" t="s">
        <v>554</v>
      </c>
      <c r="N7" s="2957"/>
      <c r="O7" s="2957"/>
      <c r="P7" s="2957"/>
      <c r="Q7" s="2957"/>
    </row>
    <row r="8" spans="1:18" s="1162" customFormat="1" ht="23.25" customHeight="1" x14ac:dyDescent="0.25">
      <c r="A8" s="3494">
        <v>1</v>
      </c>
      <c r="B8" s="3493">
        <v>2</v>
      </c>
      <c r="C8" s="3780" t="s">
        <v>3341</v>
      </c>
      <c r="D8" s="3780">
        <v>4</v>
      </c>
      <c r="E8" s="3780">
        <v>5</v>
      </c>
      <c r="F8" s="3780">
        <v>6</v>
      </c>
      <c r="G8" s="3780">
        <v>7</v>
      </c>
      <c r="H8" s="3780">
        <v>8</v>
      </c>
      <c r="I8" s="3780">
        <v>9</v>
      </c>
      <c r="J8" s="3780" t="s">
        <v>3342</v>
      </c>
      <c r="K8" s="3780">
        <v>11</v>
      </c>
      <c r="L8" s="3780">
        <v>12</v>
      </c>
      <c r="N8" s="2958"/>
      <c r="O8" s="2957"/>
      <c r="P8" s="3516"/>
      <c r="Q8" s="3516"/>
    </row>
    <row r="9" spans="1:18" s="1162" customFormat="1" ht="32.25" customHeight="1" x14ac:dyDescent="0.25">
      <c r="A9" s="3494"/>
      <c r="B9" s="3141" t="s">
        <v>1114</v>
      </c>
      <c r="C9" s="3317">
        <f t="shared" ref="C9:M9" si="0">C10+C20+C23</f>
        <v>93291624</v>
      </c>
      <c r="D9" s="3469">
        <f t="shared" si="0"/>
        <v>0</v>
      </c>
      <c r="E9" s="3781">
        <f t="shared" si="0"/>
        <v>66719801</v>
      </c>
      <c r="F9" s="3781">
        <f t="shared" si="0"/>
        <v>30432718</v>
      </c>
      <c r="G9" s="3469">
        <f t="shared" si="0"/>
        <v>0</v>
      </c>
      <c r="H9" s="3782">
        <f t="shared" si="0"/>
        <v>1074765</v>
      </c>
      <c r="I9" s="3781">
        <f t="shared" si="0"/>
        <v>86227321</v>
      </c>
      <c r="J9" s="3781">
        <f t="shared" si="0"/>
        <v>7064303</v>
      </c>
      <c r="K9" s="3781">
        <f t="shared" si="0"/>
        <v>7064302</v>
      </c>
      <c r="L9" s="3781">
        <f t="shared" si="0"/>
        <v>1</v>
      </c>
      <c r="M9" s="2959">
        <f t="shared" si="0"/>
        <v>0</v>
      </c>
      <c r="N9" s="2960"/>
      <c r="O9" s="916"/>
    </row>
    <row r="10" spans="1:18" s="1595" customFormat="1" ht="32.25" customHeight="1" x14ac:dyDescent="0.25">
      <c r="A10" s="3475" t="s">
        <v>849</v>
      </c>
      <c r="B10" s="3470" t="s">
        <v>3629</v>
      </c>
      <c r="C10" s="3783">
        <f t="shared" ref="C10:L10" si="1">SUM(C11:C19)</f>
        <v>86082634</v>
      </c>
      <c r="D10" s="3784">
        <f t="shared" si="1"/>
        <v>0</v>
      </c>
      <c r="E10" s="3785">
        <f t="shared" si="1"/>
        <v>56724681</v>
      </c>
      <c r="F10" s="3785">
        <f t="shared" si="1"/>
        <v>30432718</v>
      </c>
      <c r="G10" s="3784">
        <f t="shared" si="1"/>
        <v>0</v>
      </c>
      <c r="H10" s="3786">
        <f t="shared" si="1"/>
        <v>1074765</v>
      </c>
      <c r="I10" s="3785">
        <f t="shared" si="1"/>
        <v>79018331</v>
      </c>
      <c r="J10" s="3785">
        <f t="shared" si="1"/>
        <v>7064303</v>
      </c>
      <c r="K10" s="3785">
        <f t="shared" si="1"/>
        <v>7064302</v>
      </c>
      <c r="L10" s="3785">
        <f t="shared" si="1"/>
        <v>1</v>
      </c>
      <c r="N10" s="2941"/>
      <c r="O10" s="2961"/>
    </row>
    <row r="11" spans="1:18" s="1591" customFormat="1" ht="38.25" customHeight="1" x14ac:dyDescent="0.25">
      <c r="A11" s="3472">
        <v>1</v>
      </c>
      <c r="B11" s="3312" t="s">
        <v>3635</v>
      </c>
      <c r="C11" s="3313">
        <v>2938720</v>
      </c>
      <c r="D11" s="3461"/>
      <c r="E11" s="3462">
        <v>2883545</v>
      </c>
      <c r="F11" s="3462">
        <v>102291</v>
      </c>
      <c r="G11" s="3461"/>
      <c r="H11" s="3462">
        <v>47116</v>
      </c>
      <c r="I11" s="3463">
        <v>2938720</v>
      </c>
      <c r="J11" s="3463">
        <v>0</v>
      </c>
      <c r="K11" s="3463">
        <v>0</v>
      </c>
      <c r="L11" s="3463">
        <f t="shared" ref="L11:L22" si="2">J11-K11</f>
        <v>0</v>
      </c>
      <c r="M11" s="2944">
        <v>314143000</v>
      </c>
      <c r="N11" s="2941"/>
      <c r="O11" s="2942"/>
    </row>
    <row r="12" spans="1:18" s="1591" customFormat="1" ht="38.25" customHeight="1" x14ac:dyDescent="0.25">
      <c r="A12" s="3473">
        <v>2</v>
      </c>
      <c r="B12" s="3314" t="s">
        <v>3636</v>
      </c>
      <c r="C12" s="3315">
        <v>4992790</v>
      </c>
      <c r="D12" s="3464"/>
      <c r="E12" s="3465">
        <v>4593600</v>
      </c>
      <c r="F12" s="3465">
        <v>399190</v>
      </c>
      <c r="G12" s="3464"/>
      <c r="H12" s="3465"/>
      <c r="I12" s="3466">
        <v>4936231</v>
      </c>
      <c r="J12" s="3466">
        <v>56559</v>
      </c>
      <c r="K12" s="3466">
        <v>56559</v>
      </c>
      <c r="L12" s="3466">
        <f t="shared" si="2"/>
        <v>0</v>
      </c>
      <c r="M12" s="2945">
        <f>SUM(M11:M11)</f>
        <v>314143000</v>
      </c>
      <c r="N12" s="2941"/>
      <c r="O12" s="2946"/>
      <c r="R12" s="2942"/>
    </row>
    <row r="13" spans="1:18" s="1591" customFormat="1" ht="38.25" customHeight="1" x14ac:dyDescent="0.25">
      <c r="A13" s="3473">
        <v>3</v>
      </c>
      <c r="B13" s="3314" t="s">
        <v>3637</v>
      </c>
      <c r="C13" s="3315">
        <v>14492499</v>
      </c>
      <c r="D13" s="3464"/>
      <c r="E13" s="3465">
        <v>13001903</v>
      </c>
      <c r="F13" s="3465">
        <v>1671634</v>
      </c>
      <c r="G13" s="3464"/>
      <c r="H13" s="3465">
        <v>181038</v>
      </c>
      <c r="I13" s="3466">
        <v>13782105</v>
      </c>
      <c r="J13" s="3466">
        <v>710394</v>
      </c>
      <c r="K13" s="3466">
        <v>710394</v>
      </c>
      <c r="L13" s="3466">
        <f t="shared" si="2"/>
        <v>0</v>
      </c>
      <c r="M13" s="2944">
        <v>657685180</v>
      </c>
      <c r="N13" s="2947"/>
      <c r="O13" s="2944"/>
    </row>
    <row r="14" spans="1:18" s="1591" customFormat="1" ht="38.25" customHeight="1" x14ac:dyDescent="0.25">
      <c r="A14" s="3473">
        <v>4</v>
      </c>
      <c r="B14" s="3314" t="s">
        <v>3638</v>
      </c>
      <c r="C14" s="3315">
        <v>8351439</v>
      </c>
      <c r="D14" s="3464"/>
      <c r="E14" s="3465">
        <v>8169935</v>
      </c>
      <c r="F14" s="3465">
        <v>315470</v>
      </c>
      <c r="G14" s="3464"/>
      <c r="H14" s="3465">
        <v>133966</v>
      </c>
      <c r="I14" s="3466">
        <v>8351438</v>
      </c>
      <c r="J14" s="3466">
        <v>1</v>
      </c>
      <c r="K14" s="3466"/>
      <c r="L14" s="3466">
        <f t="shared" si="2"/>
        <v>1</v>
      </c>
      <c r="M14" s="2944">
        <v>448406334</v>
      </c>
      <c r="N14" s="2941"/>
      <c r="R14" s="2942"/>
    </row>
    <row r="15" spans="1:18" s="1591" customFormat="1" ht="38.25" customHeight="1" x14ac:dyDescent="0.25">
      <c r="A15" s="3473">
        <v>5</v>
      </c>
      <c r="B15" s="3314" t="s">
        <v>3639</v>
      </c>
      <c r="C15" s="3315">
        <v>3394858</v>
      </c>
      <c r="D15" s="3464"/>
      <c r="E15" s="3465">
        <v>1491100</v>
      </c>
      <c r="F15" s="3465">
        <v>2021758</v>
      </c>
      <c r="G15" s="3464"/>
      <c r="H15" s="3465">
        <v>118000</v>
      </c>
      <c r="I15" s="3466">
        <v>3394858</v>
      </c>
      <c r="J15" s="3466">
        <v>0</v>
      </c>
      <c r="K15" s="3466"/>
      <c r="L15" s="3464">
        <f t="shared" si="2"/>
        <v>0</v>
      </c>
      <c r="M15" s="2944">
        <v>633364416</v>
      </c>
      <c r="N15" s="2941"/>
    </row>
    <row r="16" spans="1:18" s="1591" customFormat="1" ht="38.25" customHeight="1" x14ac:dyDescent="0.25">
      <c r="A16" s="3473">
        <v>6</v>
      </c>
      <c r="B16" s="3314" t="s">
        <v>3640</v>
      </c>
      <c r="C16" s="3315">
        <v>8604116</v>
      </c>
      <c r="D16" s="3464"/>
      <c r="E16" s="3465">
        <v>5383860</v>
      </c>
      <c r="F16" s="3465">
        <v>3349256</v>
      </c>
      <c r="G16" s="3464"/>
      <c r="H16" s="3465">
        <v>129000</v>
      </c>
      <c r="I16" s="3466">
        <v>7971535</v>
      </c>
      <c r="J16" s="3466">
        <v>632581</v>
      </c>
      <c r="K16" s="3466">
        <v>632581</v>
      </c>
      <c r="L16" s="3464">
        <f>J16-K16</f>
        <v>0</v>
      </c>
      <c r="M16" s="2943" t="e">
        <f>#REF!-#REF!</f>
        <v>#REF!</v>
      </c>
      <c r="N16" s="2941"/>
    </row>
    <row r="17" spans="1:19" s="1591" customFormat="1" ht="38.25" customHeight="1" x14ac:dyDescent="0.25">
      <c r="A17" s="3473">
        <v>7</v>
      </c>
      <c r="B17" s="3314" t="s">
        <v>3641</v>
      </c>
      <c r="C17" s="3315">
        <v>521300</v>
      </c>
      <c r="D17" s="3464"/>
      <c r="E17" s="3465">
        <v>545300</v>
      </c>
      <c r="F17" s="3465">
        <v>20000</v>
      </c>
      <c r="G17" s="3464"/>
      <c r="H17" s="3465">
        <v>44000</v>
      </c>
      <c r="I17" s="3466">
        <v>521250</v>
      </c>
      <c r="J17" s="3466">
        <v>50</v>
      </c>
      <c r="K17" s="3466">
        <v>50</v>
      </c>
      <c r="L17" s="3464">
        <f t="shared" si="2"/>
        <v>0</v>
      </c>
      <c r="N17" s="2941"/>
    </row>
    <row r="18" spans="1:19" s="1591" customFormat="1" ht="38.25" customHeight="1" x14ac:dyDescent="0.25">
      <c r="A18" s="3473">
        <v>8</v>
      </c>
      <c r="B18" s="3314" t="s">
        <v>3642</v>
      </c>
      <c r="C18" s="3315">
        <v>14788211</v>
      </c>
      <c r="D18" s="3464"/>
      <c r="E18" s="3465">
        <v>10660318</v>
      </c>
      <c r="F18" s="3465">
        <v>4298685</v>
      </c>
      <c r="G18" s="3464"/>
      <c r="H18" s="3465">
        <v>170792</v>
      </c>
      <c r="I18" s="3466">
        <v>9183164</v>
      </c>
      <c r="J18" s="3466">
        <v>5605047</v>
      </c>
      <c r="K18" s="3466">
        <v>5605047</v>
      </c>
      <c r="L18" s="3464">
        <f t="shared" si="2"/>
        <v>0</v>
      </c>
      <c r="N18" s="2941"/>
    </row>
    <row r="19" spans="1:19" ht="38.25" customHeight="1" x14ac:dyDescent="0.25">
      <c r="A19" s="3787">
        <v>9</v>
      </c>
      <c r="B19" s="3788" t="s">
        <v>3643</v>
      </c>
      <c r="C19" s="3789">
        <v>27998701</v>
      </c>
      <c r="D19" s="3790"/>
      <c r="E19" s="3791">
        <v>9995120</v>
      </c>
      <c r="F19" s="3791">
        <v>18254434</v>
      </c>
      <c r="G19" s="3790"/>
      <c r="H19" s="3791">
        <v>250853</v>
      </c>
      <c r="I19" s="3792">
        <v>27939030</v>
      </c>
      <c r="J19" s="3792">
        <v>59671</v>
      </c>
      <c r="K19" s="3792">
        <v>59671</v>
      </c>
      <c r="L19" s="3790">
        <f t="shared" si="2"/>
        <v>0</v>
      </c>
      <c r="M19" s="2948"/>
      <c r="N19" s="2941"/>
    </row>
    <row r="20" spans="1:19" s="1595" customFormat="1" ht="28.5" customHeight="1" x14ac:dyDescent="0.25">
      <c r="A20" s="3475" t="s">
        <v>866</v>
      </c>
      <c r="B20" s="3470" t="s">
        <v>2629</v>
      </c>
      <c r="C20" s="3793">
        <f>SUM(C21:C22)</f>
        <v>7208990</v>
      </c>
      <c r="D20" s="3471">
        <f>SUM(D21:D22)</f>
        <v>0</v>
      </c>
      <c r="E20" s="3794">
        <v>9995120</v>
      </c>
      <c r="F20" s="3794"/>
      <c r="G20" s="3471">
        <f>SUM(G21:G22)</f>
        <v>0</v>
      </c>
      <c r="H20" s="3793">
        <f>SUM(H21:H22)</f>
        <v>0</v>
      </c>
      <c r="I20" s="3795">
        <f>I21+I22</f>
        <v>7208990</v>
      </c>
      <c r="J20" s="3795"/>
      <c r="K20" s="3795"/>
      <c r="L20" s="3796">
        <f t="shared" si="2"/>
        <v>0</v>
      </c>
      <c r="N20" s="2941"/>
    </row>
    <row r="21" spans="1:19" s="2950" customFormat="1" ht="29.25" customHeight="1" x14ac:dyDescent="0.25">
      <c r="A21" s="3474">
        <v>1</v>
      </c>
      <c r="B21" s="3468" t="s">
        <v>3630</v>
      </c>
      <c r="C21" s="3463">
        <v>7183990</v>
      </c>
      <c r="D21" s="3461"/>
      <c r="E21" s="3467">
        <v>3462100</v>
      </c>
      <c r="F21" s="3797">
        <v>3865494</v>
      </c>
      <c r="G21" s="3461"/>
      <c r="H21" s="3462"/>
      <c r="I21" s="3792">
        <v>7183990</v>
      </c>
      <c r="J21" s="3463">
        <v>0</v>
      </c>
      <c r="K21" s="3463">
        <v>0</v>
      </c>
      <c r="L21" s="3461">
        <f t="shared" si="2"/>
        <v>0</v>
      </c>
      <c r="M21" s="2962"/>
      <c r="N21" s="2941"/>
      <c r="O21" s="2949"/>
    </row>
    <row r="22" spans="1:19" s="589" customFormat="1" ht="29.25" customHeight="1" x14ac:dyDescent="0.25">
      <c r="A22" s="3798">
        <v>2</v>
      </c>
      <c r="B22" s="3799" t="s">
        <v>3631</v>
      </c>
      <c r="C22" s="3792">
        <v>25000</v>
      </c>
      <c r="D22" s="3800"/>
      <c r="E22" s="3792">
        <v>25000</v>
      </c>
      <c r="F22" s="3800"/>
      <c r="G22" s="3800"/>
      <c r="H22" s="3800"/>
      <c r="I22" s="3792">
        <v>25000</v>
      </c>
      <c r="J22" s="3800">
        <f t="shared" ref="J22" si="3">C22-I22</f>
        <v>0</v>
      </c>
      <c r="K22" s="3800"/>
      <c r="L22" s="3800">
        <f t="shared" si="2"/>
        <v>0</v>
      </c>
      <c r="N22" s="2941"/>
      <c r="O22" s="2950"/>
    </row>
    <row r="23" spans="1:19" s="583" customFormat="1" ht="29.25" customHeight="1" x14ac:dyDescent="0.25">
      <c r="A23" s="3475" t="s">
        <v>872</v>
      </c>
      <c r="B23" s="3470" t="s">
        <v>2627</v>
      </c>
      <c r="C23" s="3471">
        <f>C24</f>
        <v>0</v>
      </c>
      <c r="D23" s="3471">
        <f t="shared" ref="D23:M23" si="4">D24</f>
        <v>0</v>
      </c>
      <c r="E23" s="3471">
        <f t="shared" si="4"/>
        <v>0</v>
      </c>
      <c r="F23" s="3471">
        <f t="shared" si="4"/>
        <v>0</v>
      </c>
      <c r="G23" s="3471">
        <f t="shared" si="4"/>
        <v>0</v>
      </c>
      <c r="H23" s="3471">
        <f t="shared" si="4"/>
        <v>0</v>
      </c>
      <c r="I23" s="3471">
        <f t="shared" si="4"/>
        <v>0</v>
      </c>
      <c r="J23" s="3471">
        <f t="shared" si="4"/>
        <v>0</v>
      </c>
      <c r="K23" s="3471">
        <f t="shared" si="4"/>
        <v>0</v>
      </c>
      <c r="L23" s="3471">
        <f t="shared" si="4"/>
        <v>0</v>
      </c>
      <c r="M23" s="2963">
        <f t="shared" si="4"/>
        <v>0</v>
      </c>
    </row>
    <row r="24" spans="1:19" s="589" customFormat="1" ht="20.25" customHeight="1" x14ac:dyDescent="0.25">
      <c r="A24" s="3801"/>
      <c r="B24" s="2964"/>
      <c r="C24" s="2965">
        <f>D24+E24+F24-G24-H24</f>
        <v>0</v>
      </c>
      <c r="D24" s="2965"/>
      <c r="E24" s="2965">
        <v>0</v>
      </c>
      <c r="F24" s="2965"/>
      <c r="G24" s="2965"/>
      <c r="H24" s="2965"/>
      <c r="I24" s="2965"/>
      <c r="J24" s="2965"/>
      <c r="K24" s="2965"/>
      <c r="L24" s="2965"/>
    </row>
    <row r="26" spans="1:19" s="731" customFormat="1" ht="18.75" hidden="1" customHeight="1" x14ac:dyDescent="0.25">
      <c r="B26" s="4075" t="s">
        <v>3573</v>
      </c>
      <c r="C26" s="4075"/>
      <c r="D26" s="4075"/>
      <c r="E26" s="613"/>
      <c r="F26" s="4043" t="s">
        <v>3721</v>
      </c>
      <c r="G26" s="4043"/>
      <c r="H26" s="4043"/>
      <c r="I26" s="4043"/>
      <c r="J26" s="4043"/>
      <c r="K26" s="3480"/>
      <c r="L26" s="3480"/>
      <c r="S26" s="719"/>
    </row>
    <row r="27" spans="1:19" s="731" customFormat="1" ht="16.5" hidden="1" customHeight="1" x14ac:dyDescent="0.25">
      <c r="B27" s="4075" t="s">
        <v>807</v>
      </c>
      <c r="C27" s="4075"/>
      <c r="D27" s="4075"/>
      <c r="E27" s="566"/>
      <c r="F27" s="4143" t="s">
        <v>638</v>
      </c>
      <c r="G27" s="4143"/>
      <c r="H27" s="4143"/>
      <c r="I27" s="4143"/>
      <c r="J27" s="4143"/>
      <c r="K27" s="3495"/>
      <c r="L27" s="3495"/>
      <c r="S27" s="719"/>
    </row>
    <row r="28" spans="1:19" s="731" customFormat="1" ht="15" hidden="1" customHeight="1" x14ac:dyDescent="0.25">
      <c r="B28" s="2966"/>
      <c r="C28" s="3496"/>
      <c r="D28" s="613"/>
      <c r="E28" s="613"/>
      <c r="F28" s="4143" t="s">
        <v>639</v>
      </c>
      <c r="G28" s="4143"/>
      <c r="H28" s="4143"/>
      <c r="I28" s="4143"/>
      <c r="J28" s="4143"/>
      <c r="K28" s="3495"/>
      <c r="L28" s="3495"/>
      <c r="S28" s="719"/>
    </row>
    <row r="29" spans="1:19" s="731" customFormat="1" ht="27.75" hidden="1" customHeight="1" x14ac:dyDescent="0.25">
      <c r="B29" s="2966"/>
      <c r="C29" s="3496"/>
      <c r="D29" s="613"/>
      <c r="E29" s="613"/>
      <c r="F29" s="1617"/>
      <c r="G29" s="1422"/>
      <c r="H29" s="1617"/>
      <c r="I29" s="2773"/>
      <c r="J29" s="1422"/>
      <c r="K29" s="1422"/>
      <c r="L29" s="1422"/>
      <c r="S29" s="719"/>
    </row>
    <row r="30" spans="1:19" s="731" customFormat="1" ht="27.75" hidden="1" customHeight="1" x14ac:dyDescent="0.25">
      <c r="B30" s="2966"/>
      <c r="C30" s="3496"/>
      <c r="D30" s="613"/>
      <c r="E30" s="613"/>
      <c r="F30" s="1617"/>
      <c r="G30" s="1422"/>
      <c r="H30" s="1617"/>
      <c r="I30" s="2773"/>
      <c r="J30" s="1422"/>
      <c r="K30" s="1422"/>
      <c r="L30" s="1422"/>
      <c r="S30" s="719"/>
    </row>
    <row r="31" spans="1:19" s="731" customFormat="1" ht="27.75" hidden="1" customHeight="1" x14ac:dyDescent="0.25">
      <c r="B31" s="2966"/>
      <c r="C31" s="3496"/>
      <c r="D31" s="613"/>
      <c r="E31" s="613"/>
      <c r="F31" s="1617"/>
      <c r="G31" s="1422"/>
      <c r="H31" s="1617"/>
      <c r="I31" s="2773"/>
      <c r="J31" s="1422"/>
      <c r="K31" s="1422"/>
      <c r="L31" s="1422"/>
      <c r="S31" s="719"/>
    </row>
    <row r="32" spans="1:19" s="731" customFormat="1" ht="15" hidden="1" customHeight="1" x14ac:dyDescent="0.25">
      <c r="B32" s="2966"/>
      <c r="C32" s="3496"/>
      <c r="D32" s="4226"/>
      <c r="E32" s="4226"/>
      <c r="F32" s="1617"/>
      <c r="G32" s="1422"/>
      <c r="H32" s="1617"/>
      <c r="I32" s="2773"/>
      <c r="J32" s="1422"/>
      <c r="K32" s="1422"/>
      <c r="L32" s="1422"/>
      <c r="S32" s="719"/>
    </row>
    <row r="33" spans="1:19" s="731" customFormat="1" ht="15" hidden="1" customHeight="1" x14ac:dyDescent="0.25">
      <c r="B33" s="4075" t="s">
        <v>3574</v>
      </c>
      <c r="C33" s="4075"/>
      <c r="D33" s="4075"/>
      <c r="E33" s="613"/>
      <c r="F33" s="4227" t="s">
        <v>3572</v>
      </c>
      <c r="G33" s="4227"/>
      <c r="H33" s="4227"/>
      <c r="I33" s="4227"/>
      <c r="J33" s="4227"/>
      <c r="K33" s="3497"/>
      <c r="L33" s="1422"/>
      <c r="S33" s="719"/>
    </row>
    <row r="34" spans="1:19" x14ac:dyDescent="0.25">
      <c r="A34" s="546"/>
    </row>
    <row r="35" spans="1:19" x14ac:dyDescent="0.25">
      <c r="A35" s="546"/>
    </row>
    <row r="36" spans="1:19" x14ac:dyDescent="0.25">
      <c r="A36" s="546"/>
    </row>
    <row r="37" spans="1:19" x14ac:dyDescent="0.25">
      <c r="A37" s="546"/>
    </row>
    <row r="38" spans="1:19" x14ac:dyDescent="0.25">
      <c r="A38" s="546"/>
    </row>
    <row r="39" spans="1:19" x14ac:dyDescent="0.25">
      <c r="A39" s="546"/>
    </row>
    <row r="40" spans="1:19" x14ac:dyDescent="0.25">
      <c r="A40" s="546"/>
    </row>
    <row r="41" spans="1:19" x14ac:dyDescent="0.25">
      <c r="A41" s="546"/>
    </row>
    <row r="42" spans="1:19" x14ac:dyDescent="0.25">
      <c r="A42" s="546"/>
    </row>
    <row r="43" spans="1:19" x14ac:dyDescent="0.25">
      <c r="A43" s="546"/>
    </row>
    <row r="44" spans="1:19" x14ac:dyDescent="0.25">
      <c r="A44" s="546"/>
    </row>
    <row r="45" spans="1:19" x14ac:dyDescent="0.25">
      <c r="A45" s="546"/>
    </row>
    <row r="46" spans="1:19" x14ac:dyDescent="0.25">
      <c r="A46" s="546"/>
    </row>
    <row r="47" spans="1:19" x14ac:dyDescent="0.25">
      <c r="A47" s="546"/>
    </row>
    <row r="48" spans="1:19" x14ac:dyDescent="0.25">
      <c r="A48" s="546"/>
      <c r="C48" s="546"/>
      <c r="D48" s="546"/>
      <c r="E48" s="546"/>
      <c r="F48" s="546"/>
      <c r="G48" s="546"/>
      <c r="H48" s="546"/>
      <c r="I48" s="546"/>
      <c r="J48" s="546"/>
      <c r="K48" s="546"/>
      <c r="L48" s="546"/>
    </row>
    <row r="49" spans="1:12" x14ac:dyDescent="0.25">
      <c r="A49" s="546"/>
      <c r="C49" s="546"/>
      <c r="D49" s="546"/>
      <c r="E49" s="546"/>
      <c r="F49" s="546"/>
      <c r="G49" s="546"/>
      <c r="H49" s="546"/>
      <c r="I49" s="546"/>
      <c r="J49" s="546"/>
      <c r="K49" s="546"/>
      <c r="L49" s="546"/>
    </row>
    <row r="50" spans="1:12" x14ac:dyDescent="0.25">
      <c r="A50" s="546"/>
      <c r="C50" s="546"/>
      <c r="D50" s="546"/>
      <c r="E50" s="546"/>
      <c r="F50" s="546"/>
      <c r="G50" s="546"/>
      <c r="H50" s="546"/>
      <c r="I50" s="546"/>
      <c r="J50" s="546"/>
      <c r="K50" s="546"/>
      <c r="L50" s="546"/>
    </row>
    <row r="51" spans="1:12" x14ac:dyDescent="0.25">
      <c r="A51" s="546"/>
      <c r="C51" s="546"/>
      <c r="D51" s="546"/>
      <c r="E51" s="546"/>
      <c r="F51" s="546"/>
      <c r="G51" s="546"/>
      <c r="H51" s="546"/>
      <c r="I51" s="546"/>
      <c r="J51" s="546"/>
      <c r="K51" s="546"/>
      <c r="L51" s="546"/>
    </row>
    <row r="52" spans="1:12" x14ac:dyDescent="0.25">
      <c r="A52" s="546"/>
      <c r="C52" s="546"/>
      <c r="D52" s="546"/>
      <c r="E52" s="546"/>
      <c r="F52" s="546"/>
      <c r="G52" s="546"/>
      <c r="H52" s="546"/>
      <c r="I52" s="546"/>
      <c r="J52" s="546"/>
      <c r="K52" s="546"/>
      <c r="L52" s="546"/>
    </row>
    <row r="53" spans="1:12" x14ac:dyDescent="0.25">
      <c r="A53" s="546"/>
      <c r="C53" s="546"/>
      <c r="D53" s="546"/>
      <c r="E53" s="546"/>
      <c r="F53" s="546"/>
      <c r="G53" s="546"/>
      <c r="H53" s="546"/>
      <c r="I53" s="546"/>
      <c r="J53" s="546"/>
      <c r="K53" s="546"/>
      <c r="L53" s="546"/>
    </row>
    <row r="54" spans="1:12" x14ac:dyDescent="0.25">
      <c r="A54" s="546"/>
      <c r="C54" s="546"/>
      <c r="D54" s="546"/>
      <c r="E54" s="546"/>
      <c r="F54" s="546"/>
      <c r="G54" s="546"/>
      <c r="H54" s="546"/>
      <c r="I54" s="546"/>
      <c r="J54" s="546"/>
      <c r="K54" s="546"/>
      <c r="L54" s="546"/>
    </row>
    <row r="55" spans="1:12" x14ac:dyDescent="0.25">
      <c r="A55" s="546"/>
      <c r="C55" s="546"/>
      <c r="D55" s="546"/>
      <c r="E55" s="546"/>
      <c r="F55" s="546"/>
      <c r="G55" s="546"/>
      <c r="H55" s="546"/>
      <c r="I55" s="546"/>
      <c r="J55" s="546"/>
      <c r="K55" s="546"/>
      <c r="L55" s="546"/>
    </row>
    <row r="56" spans="1:12" x14ac:dyDescent="0.25">
      <c r="A56" s="546"/>
      <c r="C56" s="546"/>
      <c r="D56" s="546"/>
      <c r="E56" s="546"/>
      <c r="F56" s="546"/>
      <c r="G56" s="546"/>
      <c r="H56" s="546"/>
      <c r="I56" s="546"/>
      <c r="J56" s="546"/>
      <c r="K56" s="546"/>
      <c r="L56" s="546"/>
    </row>
    <row r="96" spans="1:12" ht="15" customHeight="1" x14ac:dyDescent="0.25">
      <c r="A96" s="546"/>
      <c r="C96" s="546"/>
      <c r="D96" s="546"/>
      <c r="E96" s="546"/>
      <c r="F96" s="546"/>
      <c r="G96" s="546"/>
      <c r="H96" s="546"/>
      <c r="I96" s="546"/>
      <c r="J96" s="546"/>
      <c r="K96" s="546"/>
      <c r="L96" s="546"/>
    </row>
    <row r="97" spans="1:12" ht="15" customHeight="1" x14ac:dyDescent="0.25">
      <c r="A97" s="546"/>
      <c r="C97" s="546"/>
      <c r="D97" s="546"/>
      <c r="E97" s="546"/>
      <c r="F97" s="546"/>
      <c r="G97" s="546"/>
      <c r="H97" s="546"/>
      <c r="I97" s="546"/>
      <c r="J97" s="546"/>
      <c r="K97" s="546"/>
      <c r="L97" s="546"/>
    </row>
    <row r="98" spans="1:12" ht="15" customHeight="1" x14ac:dyDescent="0.25"/>
    <row r="100" spans="1:12" ht="15" customHeight="1" x14ac:dyDescent="0.25">
      <c r="A100" s="546"/>
      <c r="H100" s="4228" t="s">
        <v>2132</v>
      </c>
      <c r="I100" s="4228"/>
      <c r="J100" s="4228"/>
      <c r="K100" s="4228"/>
      <c r="L100" s="4228"/>
    </row>
    <row r="101" spans="1:12" ht="15.75" customHeight="1" x14ac:dyDescent="0.25">
      <c r="A101" s="546"/>
      <c r="B101" s="4075" t="s">
        <v>2173</v>
      </c>
      <c r="C101" s="4075"/>
      <c r="D101" s="4075"/>
      <c r="H101" s="4229" t="s">
        <v>638</v>
      </c>
      <c r="I101" s="4229"/>
      <c r="J101" s="4229"/>
      <c r="K101" s="4229"/>
      <c r="L101" s="4229"/>
    </row>
    <row r="102" spans="1:12" x14ac:dyDescent="0.25">
      <c r="A102" s="546"/>
      <c r="B102" s="4075" t="s">
        <v>807</v>
      </c>
      <c r="C102" s="4075"/>
      <c r="D102" s="4075"/>
      <c r="H102" s="4229" t="s">
        <v>639</v>
      </c>
      <c r="I102" s="4229"/>
      <c r="J102" s="4229"/>
      <c r="K102" s="4229"/>
      <c r="L102" s="4229"/>
    </row>
    <row r="103" spans="1:12" x14ac:dyDescent="0.25">
      <c r="A103" s="546"/>
      <c r="B103" s="2966"/>
      <c r="C103" s="3496"/>
      <c r="H103" s="2967"/>
      <c r="I103" s="4230"/>
      <c r="J103" s="4230"/>
      <c r="K103" s="4230"/>
      <c r="L103" s="4230"/>
    </row>
    <row r="104" spans="1:12" x14ac:dyDescent="0.25">
      <c r="A104" s="546"/>
      <c r="B104" s="2966"/>
      <c r="C104" s="3496"/>
      <c r="H104" s="2967"/>
      <c r="I104" s="2968"/>
      <c r="J104" s="2969"/>
      <c r="K104" s="2969"/>
    </row>
    <row r="105" spans="1:12" x14ac:dyDescent="0.25">
      <c r="A105" s="546"/>
      <c r="B105" s="2966"/>
      <c r="C105" s="3496"/>
      <c r="H105" s="2967"/>
      <c r="I105" s="2968"/>
      <c r="J105" s="2969"/>
      <c r="K105" s="2969"/>
    </row>
    <row r="106" spans="1:12" x14ac:dyDescent="0.25">
      <c r="A106" s="546"/>
      <c r="B106" s="2966"/>
      <c r="C106" s="3496"/>
      <c r="H106" s="2967"/>
      <c r="I106" s="2968"/>
      <c r="J106" s="2969"/>
      <c r="K106" s="2969"/>
    </row>
    <row r="107" spans="1:12" x14ac:dyDescent="0.25">
      <c r="A107" s="546"/>
      <c r="B107" s="2966"/>
      <c r="C107" s="3496"/>
      <c r="D107" s="4226"/>
      <c r="E107" s="4226"/>
      <c r="H107" s="2967"/>
      <c r="I107" s="2968"/>
      <c r="J107" s="2969"/>
      <c r="K107" s="2969"/>
    </row>
    <row r="108" spans="1:12" x14ac:dyDescent="0.25">
      <c r="A108" s="546"/>
      <c r="B108" s="4075" t="s">
        <v>808</v>
      </c>
      <c r="C108" s="4075"/>
      <c r="D108" s="4075"/>
      <c r="H108" s="4225" t="s">
        <v>1731</v>
      </c>
      <c r="I108" s="4225"/>
      <c r="J108" s="4225"/>
      <c r="K108" s="4225"/>
      <c r="L108" s="4225"/>
    </row>
  </sheetData>
  <autoFilter ref="A7:S24"/>
  <mergeCells count="30">
    <mergeCell ref="A1:B1"/>
    <mergeCell ref="I6:I7"/>
    <mergeCell ref="J6:J7"/>
    <mergeCell ref="K6:L6"/>
    <mergeCell ref="C6:C7"/>
    <mergeCell ref="B6:B7"/>
    <mergeCell ref="A6:A7"/>
    <mergeCell ref="A2:L2"/>
    <mergeCell ref="A4:L4"/>
    <mergeCell ref="D6:H6"/>
    <mergeCell ref="J1:L1"/>
    <mergeCell ref="J5:L5"/>
    <mergeCell ref="A3:L3"/>
    <mergeCell ref="B26:D26"/>
    <mergeCell ref="F26:J26"/>
    <mergeCell ref="B27:D27"/>
    <mergeCell ref="F27:J27"/>
    <mergeCell ref="D107:E107"/>
    <mergeCell ref="F28:J28"/>
    <mergeCell ref="B102:D102"/>
    <mergeCell ref="H102:L102"/>
    <mergeCell ref="I103:L103"/>
    <mergeCell ref="B108:D108"/>
    <mergeCell ref="H108:L108"/>
    <mergeCell ref="D32:E32"/>
    <mergeCell ref="B33:D33"/>
    <mergeCell ref="F33:J33"/>
    <mergeCell ref="H100:L100"/>
    <mergeCell ref="B101:D101"/>
    <mergeCell ref="H101:L101"/>
  </mergeCells>
  <phoneticPr fontId="70" type="noConversion"/>
  <pageMargins left="0.5" right="0.28000000000000003" top="0.41" bottom="0.35" header="0.26" footer="0.2"/>
  <pageSetup paperSize="9" scale="69" orientation="landscape" useFirstPageNumber="1" r:id="rId1"/>
  <headerFooter>
    <oddFooter>&amp;C&amp;P</oddFooter>
  </headerFooter>
  <colBreaks count="1" manualBreakCount="1">
    <brk id="13"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92D050"/>
  </sheetPr>
  <dimension ref="D1:O24"/>
  <sheetViews>
    <sheetView topLeftCell="D1" workbookViewId="0">
      <selection activeCell="J16" sqref="J16"/>
    </sheetView>
  </sheetViews>
  <sheetFormatPr defaultRowHeight="15" x14ac:dyDescent="0.25"/>
  <cols>
    <col min="4" max="4" width="22" customWidth="1"/>
    <col min="5" max="5" width="18" style="592" bestFit="1" customWidth="1"/>
    <col min="6" max="6" width="22.85546875" style="592" customWidth="1"/>
    <col min="7" max="7" width="16.85546875" style="592" bestFit="1" customWidth="1"/>
    <col min="8" max="8" width="18" style="592" bestFit="1" customWidth="1"/>
    <col min="9" max="9" width="17" customWidth="1"/>
    <col min="10" max="10" width="7.140625" customWidth="1"/>
    <col min="11" max="11" width="14.7109375" customWidth="1"/>
    <col min="12" max="12" width="12.42578125" customWidth="1"/>
    <col min="13" max="13" width="12.7109375" bestFit="1" customWidth="1"/>
    <col min="14" max="14" width="13.7109375" customWidth="1"/>
    <col min="15" max="15" width="15.140625" bestFit="1" customWidth="1"/>
  </cols>
  <sheetData>
    <row r="1" spans="4:15" ht="21" customHeight="1" x14ac:dyDescent="0.25">
      <c r="D1" s="4242" t="s">
        <v>3351</v>
      </c>
      <c r="E1" s="4243"/>
      <c r="F1" s="4243"/>
      <c r="G1" s="4243"/>
      <c r="H1" s="4243"/>
      <c r="I1" s="4243"/>
      <c r="J1" s="4243"/>
      <c r="K1" s="4243"/>
      <c r="L1" s="4243"/>
      <c r="M1" s="4244"/>
    </row>
    <row r="2" spans="4:15" ht="31.5" x14ac:dyDescent="0.25">
      <c r="D2" s="2328"/>
      <c r="E2" s="2329" t="s">
        <v>3347</v>
      </c>
      <c r="F2" s="2329" t="s">
        <v>3348</v>
      </c>
      <c r="G2" s="2329" t="s">
        <v>3349</v>
      </c>
      <c r="H2" s="2329" t="s">
        <v>3350</v>
      </c>
      <c r="I2" s="2328"/>
      <c r="J2" s="2328"/>
      <c r="K2" s="2330" t="s">
        <v>3353</v>
      </c>
      <c r="L2" s="2330" t="s">
        <v>3352</v>
      </c>
      <c r="M2" s="2330" t="s">
        <v>3350</v>
      </c>
      <c r="N2" s="2334" t="str">
        <f>E2</f>
        <v>Đầu tư CTMTQG</v>
      </c>
      <c r="O2" s="2334" t="str">
        <f>G2</f>
        <v>Đầu tư khac</v>
      </c>
    </row>
    <row r="3" spans="4:15" s="1168" customFormat="1" ht="15.75" x14ac:dyDescent="0.25">
      <c r="D3" s="2331" t="s">
        <v>1580</v>
      </c>
      <c r="E3" s="2332">
        <v>38737447000</v>
      </c>
      <c r="F3" s="2332">
        <v>13902465430</v>
      </c>
      <c r="G3" s="2332">
        <v>2000000000</v>
      </c>
      <c r="H3" s="2332">
        <v>11464738678</v>
      </c>
      <c r="I3" s="2332">
        <f t="shared" ref="I3:O3" si="0">SUM(I4:I23)</f>
        <v>66104651108</v>
      </c>
      <c r="J3" s="2332">
        <f t="shared" si="0"/>
        <v>0</v>
      </c>
      <c r="K3" s="2333">
        <f t="shared" si="0"/>
        <v>40737.447</v>
      </c>
      <c r="L3" s="2333">
        <f t="shared" si="0"/>
        <v>13902.465429999997</v>
      </c>
      <c r="M3" s="2333">
        <f t="shared" si="0"/>
        <v>11464.738677999998</v>
      </c>
      <c r="N3" s="2333">
        <f t="shared" si="0"/>
        <v>38737.447</v>
      </c>
      <c r="O3" s="2333">
        <f t="shared" si="0"/>
        <v>2000</v>
      </c>
    </row>
    <row r="4" spans="4:15" ht="15.75" x14ac:dyDescent="0.25">
      <c r="D4" s="2324" t="s">
        <v>2399</v>
      </c>
      <c r="E4" s="2325">
        <v>2154000000</v>
      </c>
      <c r="F4" s="2325">
        <v>1351320000</v>
      </c>
      <c r="G4" s="2325">
        <v>0</v>
      </c>
      <c r="H4" s="2325">
        <v>1027077358</v>
      </c>
      <c r="I4" s="2325">
        <v>4532397358</v>
      </c>
      <c r="J4" s="2326">
        <f t="shared" ref="J4:J23" si="1">I4-E4-F4-G4-H4</f>
        <v>0</v>
      </c>
      <c r="K4" s="2327">
        <f>(E4+G4)/1000000</f>
        <v>2154</v>
      </c>
      <c r="L4" s="2327">
        <f>F4/1000000</f>
        <v>1351.32</v>
      </c>
      <c r="M4" s="2327">
        <f>H4/1000000</f>
        <v>1027.077358</v>
      </c>
      <c r="N4" s="2323">
        <f>E4/1000000</f>
        <v>2154</v>
      </c>
      <c r="O4" s="2323">
        <f>G4/1000000</f>
        <v>0</v>
      </c>
    </row>
    <row r="5" spans="4:15" ht="15.75" x14ac:dyDescent="0.25">
      <c r="D5" s="2324" t="s">
        <v>3128</v>
      </c>
      <c r="E5" s="2325">
        <v>1997500000</v>
      </c>
      <c r="F5" s="2325">
        <v>128000000</v>
      </c>
      <c r="G5" s="2325">
        <v>250000000</v>
      </c>
      <c r="H5" s="2325">
        <v>224876000</v>
      </c>
      <c r="I5" s="2325">
        <v>2600376000</v>
      </c>
      <c r="J5" s="2326">
        <f t="shared" si="1"/>
        <v>0</v>
      </c>
      <c r="K5" s="2327">
        <f t="shared" ref="K5:K23" si="2">(E5+G5)/1000000</f>
        <v>2247.5</v>
      </c>
      <c r="L5" s="2327">
        <f t="shared" ref="L5:L23" si="3">F5/1000000</f>
        <v>128</v>
      </c>
      <c r="M5" s="2327">
        <f t="shared" ref="M5:M23" si="4">H5/1000000</f>
        <v>224.876</v>
      </c>
      <c r="N5" s="2323">
        <f t="shared" ref="N5:N23" si="5">E5/1000000</f>
        <v>1997.5</v>
      </c>
      <c r="O5" s="2323">
        <f t="shared" ref="O5:O23" si="6">G5/1000000</f>
        <v>250</v>
      </c>
    </row>
    <row r="6" spans="4:15" ht="15.75" x14ac:dyDescent="0.25">
      <c r="D6" s="2324" t="s">
        <v>2391</v>
      </c>
      <c r="E6" s="2325">
        <v>3428000000</v>
      </c>
      <c r="F6" s="2325">
        <v>1128360000</v>
      </c>
      <c r="G6" s="2325">
        <v>0</v>
      </c>
      <c r="H6" s="2325">
        <v>987881516</v>
      </c>
      <c r="I6" s="2325">
        <v>5544241516</v>
      </c>
      <c r="J6" s="2326">
        <f t="shared" si="1"/>
        <v>0</v>
      </c>
      <c r="K6" s="2327">
        <f t="shared" si="2"/>
        <v>3428</v>
      </c>
      <c r="L6" s="2327">
        <f t="shared" si="3"/>
        <v>1128.3599999999999</v>
      </c>
      <c r="M6" s="2327">
        <f t="shared" si="4"/>
        <v>987.88151600000003</v>
      </c>
      <c r="N6" s="2323">
        <f t="shared" si="5"/>
        <v>3428</v>
      </c>
      <c r="O6" s="2323">
        <f t="shared" si="6"/>
        <v>0</v>
      </c>
    </row>
    <row r="7" spans="4:15" ht="15.75" x14ac:dyDescent="0.25">
      <c r="D7" s="2324" t="s">
        <v>2401</v>
      </c>
      <c r="E7" s="2325">
        <v>2262000000</v>
      </c>
      <c r="F7" s="2325">
        <v>1243360000</v>
      </c>
      <c r="G7" s="2325">
        <v>0</v>
      </c>
      <c r="H7" s="2325">
        <v>949167552</v>
      </c>
      <c r="I7" s="2325">
        <v>4454527552</v>
      </c>
      <c r="J7" s="2326">
        <f t="shared" si="1"/>
        <v>0</v>
      </c>
      <c r="K7" s="2327">
        <f t="shared" si="2"/>
        <v>2262</v>
      </c>
      <c r="L7" s="2327">
        <f t="shared" si="3"/>
        <v>1243.3599999999999</v>
      </c>
      <c r="M7" s="2327">
        <f t="shared" si="4"/>
        <v>949.167552</v>
      </c>
      <c r="N7" s="2323">
        <f t="shared" si="5"/>
        <v>2262</v>
      </c>
      <c r="O7" s="2323">
        <f t="shared" si="6"/>
        <v>0</v>
      </c>
    </row>
    <row r="8" spans="4:15" ht="15.75" x14ac:dyDescent="0.25">
      <c r="D8" s="2324" t="s">
        <v>2402</v>
      </c>
      <c r="E8" s="2325">
        <v>2712000000</v>
      </c>
      <c r="F8" s="2325">
        <v>518170000</v>
      </c>
      <c r="G8" s="2325">
        <v>0</v>
      </c>
      <c r="H8" s="2325">
        <v>564548121</v>
      </c>
      <c r="I8" s="2325">
        <v>3794718121</v>
      </c>
      <c r="J8" s="2326">
        <f t="shared" si="1"/>
        <v>0</v>
      </c>
      <c r="K8" s="2327">
        <f t="shared" si="2"/>
        <v>2712</v>
      </c>
      <c r="L8" s="2327">
        <f t="shared" si="3"/>
        <v>518.16999999999996</v>
      </c>
      <c r="M8" s="2327">
        <f t="shared" si="4"/>
        <v>564.54812100000004</v>
      </c>
      <c r="N8" s="2323">
        <f t="shared" si="5"/>
        <v>2712</v>
      </c>
      <c r="O8" s="2323">
        <f t="shared" si="6"/>
        <v>0</v>
      </c>
    </row>
    <row r="9" spans="4:15" ht="15.75" x14ac:dyDescent="0.25">
      <c r="D9" s="2324" t="s">
        <v>2398</v>
      </c>
      <c r="E9" s="2325">
        <v>1643797000</v>
      </c>
      <c r="F9" s="2325">
        <v>150000000</v>
      </c>
      <c r="G9" s="2325">
        <v>250000000</v>
      </c>
      <c r="H9" s="2325">
        <v>198776781</v>
      </c>
      <c r="I9" s="2325">
        <v>2242573781</v>
      </c>
      <c r="J9" s="2326">
        <f t="shared" si="1"/>
        <v>0</v>
      </c>
      <c r="K9" s="2327">
        <f t="shared" si="2"/>
        <v>1893.797</v>
      </c>
      <c r="L9" s="2327">
        <f t="shared" si="3"/>
        <v>150</v>
      </c>
      <c r="M9" s="2327">
        <f t="shared" si="4"/>
        <v>198.776781</v>
      </c>
      <c r="N9" s="2323">
        <f t="shared" si="5"/>
        <v>1643.797</v>
      </c>
      <c r="O9" s="2323">
        <f t="shared" si="6"/>
        <v>250</v>
      </c>
    </row>
    <row r="10" spans="4:15" ht="15.75" x14ac:dyDescent="0.25">
      <c r="D10" s="2324" t="s">
        <v>2394</v>
      </c>
      <c r="E10" s="2325">
        <v>1665500000</v>
      </c>
      <c r="F10" s="2325">
        <v>1471996000</v>
      </c>
      <c r="G10" s="2325">
        <v>250000000</v>
      </c>
      <c r="H10" s="2325">
        <v>221794000</v>
      </c>
      <c r="I10" s="2325">
        <v>3609290000</v>
      </c>
      <c r="J10" s="2326">
        <f t="shared" si="1"/>
        <v>0</v>
      </c>
      <c r="K10" s="2327">
        <f t="shared" si="2"/>
        <v>1915.5</v>
      </c>
      <c r="L10" s="2327">
        <f t="shared" si="3"/>
        <v>1471.9960000000001</v>
      </c>
      <c r="M10" s="2327">
        <f t="shared" si="4"/>
        <v>221.79400000000001</v>
      </c>
      <c r="N10" s="2323">
        <f t="shared" si="5"/>
        <v>1665.5</v>
      </c>
      <c r="O10" s="2323">
        <f t="shared" si="6"/>
        <v>250</v>
      </c>
    </row>
    <row r="11" spans="4:15" ht="15.75" x14ac:dyDescent="0.25">
      <c r="D11" s="2324" t="s">
        <v>2134</v>
      </c>
      <c r="E11" s="2325">
        <v>519000000</v>
      </c>
      <c r="F11" s="2325">
        <v>99000000</v>
      </c>
      <c r="G11" s="2325">
        <v>250000000</v>
      </c>
      <c r="H11" s="2325">
        <v>187283171</v>
      </c>
      <c r="I11" s="2325">
        <v>1055283171</v>
      </c>
      <c r="J11" s="2326">
        <f t="shared" si="1"/>
        <v>0</v>
      </c>
      <c r="K11" s="2327">
        <f t="shared" si="2"/>
        <v>769</v>
      </c>
      <c r="L11" s="2327">
        <f t="shared" si="3"/>
        <v>99</v>
      </c>
      <c r="M11" s="2327">
        <f t="shared" si="4"/>
        <v>187.28317100000001</v>
      </c>
      <c r="N11" s="2323">
        <f t="shared" si="5"/>
        <v>519</v>
      </c>
      <c r="O11" s="2323">
        <f t="shared" si="6"/>
        <v>250</v>
      </c>
    </row>
    <row r="12" spans="4:15" ht="15.75" x14ac:dyDescent="0.25">
      <c r="D12" s="2324" t="s">
        <v>2395</v>
      </c>
      <c r="E12" s="2325">
        <v>3420500000</v>
      </c>
      <c r="F12" s="2325">
        <v>1399000000</v>
      </c>
      <c r="G12" s="2325">
        <v>250000000</v>
      </c>
      <c r="H12" s="2325">
        <v>724038172</v>
      </c>
      <c r="I12" s="2325">
        <v>5793538172</v>
      </c>
      <c r="J12" s="2326">
        <f t="shared" si="1"/>
        <v>0</v>
      </c>
      <c r="K12" s="2327">
        <f t="shared" si="2"/>
        <v>3670.5</v>
      </c>
      <c r="L12" s="2327">
        <f t="shared" si="3"/>
        <v>1399</v>
      </c>
      <c r="M12" s="2327">
        <f t="shared" si="4"/>
        <v>724.03817200000003</v>
      </c>
      <c r="N12" s="2323">
        <f t="shared" si="5"/>
        <v>3420.5</v>
      </c>
      <c r="O12" s="2323">
        <f t="shared" si="6"/>
        <v>250</v>
      </c>
    </row>
    <row r="13" spans="4:15" ht="15.75" x14ac:dyDescent="0.25">
      <c r="D13" s="2324" t="s">
        <v>2389</v>
      </c>
      <c r="E13" s="2325">
        <v>1147500000</v>
      </c>
      <c r="F13" s="2325">
        <v>320902313</v>
      </c>
      <c r="G13" s="2325">
        <v>0</v>
      </c>
      <c r="H13" s="2325">
        <v>146944000</v>
      </c>
      <c r="I13" s="2325">
        <v>1615346313</v>
      </c>
      <c r="J13" s="2326">
        <f t="shared" si="1"/>
        <v>0</v>
      </c>
      <c r="K13" s="2327">
        <f t="shared" si="2"/>
        <v>1147.5</v>
      </c>
      <c r="L13" s="2327">
        <f t="shared" si="3"/>
        <v>320.90231299999999</v>
      </c>
      <c r="M13" s="2327">
        <f t="shared" si="4"/>
        <v>146.94399999999999</v>
      </c>
      <c r="N13" s="2323">
        <f t="shared" si="5"/>
        <v>1147.5</v>
      </c>
      <c r="O13" s="2323">
        <f t="shared" si="6"/>
        <v>0</v>
      </c>
    </row>
    <row r="14" spans="4:15" ht="15.75" x14ac:dyDescent="0.25">
      <c r="D14" s="2324" t="s">
        <v>2393</v>
      </c>
      <c r="E14" s="2325">
        <v>216150000</v>
      </c>
      <c r="F14" s="2325">
        <v>280000000</v>
      </c>
      <c r="G14" s="2325">
        <v>250000000</v>
      </c>
      <c r="H14" s="2325">
        <v>521993041</v>
      </c>
      <c r="I14" s="2325">
        <v>1268143041</v>
      </c>
      <c r="J14" s="2326">
        <f t="shared" si="1"/>
        <v>0</v>
      </c>
      <c r="K14" s="2327">
        <f t="shared" si="2"/>
        <v>466.15</v>
      </c>
      <c r="L14" s="2327">
        <f t="shared" si="3"/>
        <v>280</v>
      </c>
      <c r="M14" s="2327">
        <f t="shared" si="4"/>
        <v>521.99304099999995</v>
      </c>
      <c r="N14" s="2323">
        <f t="shared" si="5"/>
        <v>216.15</v>
      </c>
      <c r="O14" s="2323">
        <f t="shared" si="6"/>
        <v>250</v>
      </c>
    </row>
    <row r="15" spans="4:15" ht="15.75" x14ac:dyDescent="0.25">
      <c r="D15" s="2324" t="s">
        <v>654</v>
      </c>
      <c r="E15" s="2325">
        <v>891000000</v>
      </c>
      <c r="F15" s="2325">
        <v>369933536</v>
      </c>
      <c r="G15" s="2325">
        <v>0</v>
      </c>
      <c r="H15" s="2325">
        <v>737183645</v>
      </c>
      <c r="I15" s="2325">
        <v>1998117181</v>
      </c>
      <c r="J15" s="2326">
        <f t="shared" si="1"/>
        <v>0</v>
      </c>
      <c r="K15" s="2327">
        <f t="shared" si="2"/>
        <v>891</v>
      </c>
      <c r="L15" s="2327">
        <f t="shared" si="3"/>
        <v>369.933536</v>
      </c>
      <c r="M15" s="2327">
        <f t="shared" si="4"/>
        <v>737.18364499999996</v>
      </c>
      <c r="N15" s="2323">
        <f t="shared" si="5"/>
        <v>891</v>
      </c>
      <c r="O15" s="2323">
        <f t="shared" si="6"/>
        <v>0</v>
      </c>
    </row>
    <row r="16" spans="4:15" ht="15.75" x14ac:dyDescent="0.25">
      <c r="D16" s="2324" t="s">
        <v>2133</v>
      </c>
      <c r="E16" s="2325">
        <v>3094500000</v>
      </c>
      <c r="F16" s="2325">
        <v>794982000</v>
      </c>
      <c r="G16" s="2325">
        <v>250000000</v>
      </c>
      <c r="H16" s="2325">
        <v>736183124</v>
      </c>
      <c r="I16" s="2325">
        <v>4875665124</v>
      </c>
      <c r="J16" s="2326">
        <f t="shared" si="1"/>
        <v>0</v>
      </c>
      <c r="K16" s="2327">
        <f t="shared" si="2"/>
        <v>3344.5</v>
      </c>
      <c r="L16" s="2327">
        <f t="shared" si="3"/>
        <v>794.98199999999997</v>
      </c>
      <c r="M16" s="2327">
        <f t="shared" si="4"/>
        <v>736.18312400000002</v>
      </c>
      <c r="N16" s="2323">
        <f t="shared" si="5"/>
        <v>3094.5</v>
      </c>
      <c r="O16" s="2323">
        <f t="shared" si="6"/>
        <v>250</v>
      </c>
    </row>
    <row r="17" spans="4:15" ht="15.75" x14ac:dyDescent="0.25">
      <c r="D17" s="2324" t="s">
        <v>2616</v>
      </c>
      <c r="E17" s="2325">
        <v>3025000000</v>
      </c>
      <c r="F17" s="2325">
        <v>767357499</v>
      </c>
      <c r="G17" s="2325">
        <v>0</v>
      </c>
      <c r="H17" s="2325">
        <v>389619812</v>
      </c>
      <c r="I17" s="2325">
        <v>4181977311</v>
      </c>
      <c r="J17" s="2326">
        <f t="shared" si="1"/>
        <v>0</v>
      </c>
      <c r="K17" s="2327">
        <f t="shared" si="2"/>
        <v>3025</v>
      </c>
      <c r="L17" s="2327">
        <f t="shared" si="3"/>
        <v>767.35749899999996</v>
      </c>
      <c r="M17" s="2327">
        <f t="shared" si="4"/>
        <v>389.61981200000002</v>
      </c>
      <c r="N17" s="2323">
        <f t="shared" si="5"/>
        <v>3025</v>
      </c>
      <c r="O17" s="2323">
        <f t="shared" si="6"/>
        <v>0</v>
      </c>
    </row>
    <row r="18" spans="4:15" ht="15.75" x14ac:dyDescent="0.25">
      <c r="D18" s="2324" t="s">
        <v>398</v>
      </c>
      <c r="E18" s="2325">
        <v>782500000</v>
      </c>
      <c r="F18" s="2325">
        <v>406126880</v>
      </c>
      <c r="G18" s="2325">
        <v>0</v>
      </c>
      <c r="H18" s="2325">
        <v>495843562</v>
      </c>
      <c r="I18" s="2325">
        <v>1684470442</v>
      </c>
      <c r="J18" s="2326">
        <f t="shared" si="1"/>
        <v>0</v>
      </c>
      <c r="K18" s="2327">
        <f t="shared" si="2"/>
        <v>782.5</v>
      </c>
      <c r="L18" s="2327">
        <f t="shared" si="3"/>
        <v>406.12688000000003</v>
      </c>
      <c r="M18" s="2327">
        <f t="shared" si="4"/>
        <v>495.84356200000002</v>
      </c>
      <c r="N18" s="2323">
        <f t="shared" si="5"/>
        <v>782.5</v>
      </c>
      <c r="O18" s="2323">
        <f t="shared" si="6"/>
        <v>0</v>
      </c>
    </row>
    <row r="19" spans="4:15" ht="15.75" x14ac:dyDescent="0.25">
      <c r="D19" s="2324" t="s">
        <v>2392</v>
      </c>
      <c r="E19" s="2325">
        <v>1919500000</v>
      </c>
      <c r="F19" s="2325">
        <v>1407390000</v>
      </c>
      <c r="G19" s="2325">
        <v>0</v>
      </c>
      <c r="H19" s="2325">
        <v>805307292</v>
      </c>
      <c r="I19" s="2325">
        <v>4132197292</v>
      </c>
      <c r="J19" s="2326">
        <f t="shared" si="1"/>
        <v>0</v>
      </c>
      <c r="K19" s="2327">
        <f t="shared" si="2"/>
        <v>1919.5</v>
      </c>
      <c r="L19" s="2327">
        <f t="shared" si="3"/>
        <v>1407.39</v>
      </c>
      <c r="M19" s="2327">
        <f t="shared" si="4"/>
        <v>805.30729199999996</v>
      </c>
      <c r="N19" s="2323">
        <f t="shared" si="5"/>
        <v>1919.5</v>
      </c>
      <c r="O19" s="2323">
        <f t="shared" si="6"/>
        <v>0</v>
      </c>
    </row>
    <row r="20" spans="4:15" ht="15.75" x14ac:dyDescent="0.25">
      <c r="D20" s="2324" t="s">
        <v>3130</v>
      </c>
      <c r="E20" s="2325">
        <v>2610000000</v>
      </c>
      <c r="F20" s="2325">
        <v>646880000</v>
      </c>
      <c r="G20" s="2325">
        <v>0</v>
      </c>
      <c r="H20" s="2325">
        <v>378924281</v>
      </c>
      <c r="I20" s="2325">
        <v>3635804281</v>
      </c>
      <c r="J20" s="2326">
        <f t="shared" si="1"/>
        <v>0</v>
      </c>
      <c r="K20" s="2327">
        <f t="shared" si="2"/>
        <v>2610</v>
      </c>
      <c r="L20" s="2327">
        <f t="shared" si="3"/>
        <v>646.88</v>
      </c>
      <c r="M20" s="2327">
        <f t="shared" si="4"/>
        <v>378.92428100000001</v>
      </c>
      <c r="N20" s="2323">
        <f t="shared" si="5"/>
        <v>2610</v>
      </c>
      <c r="O20" s="2323">
        <f t="shared" si="6"/>
        <v>0</v>
      </c>
    </row>
    <row r="21" spans="4:15" ht="15.75" x14ac:dyDescent="0.25">
      <c r="D21" s="2324" t="s">
        <v>2400</v>
      </c>
      <c r="E21" s="2325">
        <v>3209000000</v>
      </c>
      <c r="F21" s="2325">
        <v>977070000</v>
      </c>
      <c r="G21" s="2325">
        <v>0</v>
      </c>
      <c r="H21" s="2325">
        <v>1576993007</v>
      </c>
      <c r="I21" s="2325">
        <v>5763063007</v>
      </c>
      <c r="J21" s="2326">
        <f t="shared" si="1"/>
        <v>0</v>
      </c>
      <c r="K21" s="2327">
        <f t="shared" si="2"/>
        <v>3209</v>
      </c>
      <c r="L21" s="2327">
        <f t="shared" si="3"/>
        <v>977.07</v>
      </c>
      <c r="M21" s="2327">
        <f t="shared" si="4"/>
        <v>1576.993007</v>
      </c>
      <c r="N21" s="2323">
        <f t="shared" si="5"/>
        <v>3209</v>
      </c>
      <c r="O21" s="2323">
        <f t="shared" si="6"/>
        <v>0</v>
      </c>
    </row>
    <row r="22" spans="4:15" ht="15.75" x14ac:dyDescent="0.25">
      <c r="D22" s="2324" t="s">
        <v>3126</v>
      </c>
      <c r="E22" s="2325">
        <v>1148000000</v>
      </c>
      <c r="F22" s="2325">
        <v>442617202</v>
      </c>
      <c r="G22" s="2325">
        <v>250000000</v>
      </c>
      <c r="H22" s="2325">
        <v>250943119</v>
      </c>
      <c r="I22" s="2325">
        <v>2091560321</v>
      </c>
      <c r="J22" s="2326">
        <f t="shared" si="1"/>
        <v>0</v>
      </c>
      <c r="K22" s="2327">
        <f t="shared" si="2"/>
        <v>1398</v>
      </c>
      <c r="L22" s="2327">
        <f t="shared" si="3"/>
        <v>442.61720200000002</v>
      </c>
      <c r="M22" s="2327">
        <f t="shared" si="4"/>
        <v>250.943119</v>
      </c>
      <c r="N22" s="2323">
        <f t="shared" si="5"/>
        <v>1148</v>
      </c>
      <c r="O22" s="2323">
        <f t="shared" si="6"/>
        <v>250</v>
      </c>
    </row>
    <row r="23" spans="4:15" ht="15.75" x14ac:dyDescent="0.25">
      <c r="D23" s="2324" t="s">
        <v>3127</v>
      </c>
      <c r="E23" s="2325">
        <v>892000000</v>
      </c>
      <c r="F23" s="2325">
        <v>0</v>
      </c>
      <c r="G23" s="2325">
        <v>0</v>
      </c>
      <c r="H23" s="2325">
        <v>339361124</v>
      </c>
      <c r="I23" s="2325">
        <v>1231361124</v>
      </c>
      <c r="J23" s="2326">
        <f t="shared" si="1"/>
        <v>0</v>
      </c>
      <c r="K23" s="2327">
        <f t="shared" si="2"/>
        <v>892</v>
      </c>
      <c r="L23" s="2327">
        <f t="shared" si="3"/>
        <v>0</v>
      </c>
      <c r="M23" s="2327">
        <f t="shared" si="4"/>
        <v>339.36112400000002</v>
      </c>
      <c r="N23" s="2323">
        <f t="shared" si="5"/>
        <v>892</v>
      </c>
      <c r="O23" s="2323">
        <f t="shared" si="6"/>
        <v>0</v>
      </c>
    </row>
    <row r="24" spans="4:15" ht="15.75" x14ac:dyDescent="0.25">
      <c r="D24" s="2324"/>
      <c r="E24" s="2325"/>
      <c r="F24" s="2325"/>
      <c r="G24" s="2325"/>
      <c r="H24" s="2325"/>
      <c r="I24" s="2324"/>
      <c r="J24" s="2324"/>
      <c r="K24" s="2324"/>
      <c r="L24" s="2324"/>
      <c r="M24" s="2324"/>
      <c r="N24" s="2322"/>
      <c r="O24" s="2322"/>
    </row>
  </sheetData>
  <mergeCells count="1">
    <mergeCell ref="D1:M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97"/>
  <sheetViews>
    <sheetView zoomScale="80" zoomScaleNormal="80" zoomScaleSheetLayoutView="70" zoomScalePageLayoutView="80" workbookViewId="0">
      <selection activeCell="I14" sqref="I14"/>
    </sheetView>
  </sheetViews>
  <sheetFormatPr defaultRowHeight="15" x14ac:dyDescent="0.25"/>
  <cols>
    <col min="1" max="1" width="5.140625" style="3506" customWidth="1"/>
    <col min="2" max="2" width="31.28515625" style="3506" customWidth="1"/>
    <col min="3" max="3" width="0" style="3506" hidden="1" customWidth="1"/>
    <col min="4" max="4" width="4" style="3506" customWidth="1"/>
    <col min="5" max="5" width="7" style="3506" customWidth="1"/>
    <col min="6" max="6" width="9" style="3506" customWidth="1"/>
    <col min="7" max="7" width="8.85546875" style="3506" customWidth="1"/>
    <col min="8" max="8" width="8.28515625" style="3506" customWidth="1"/>
    <col min="9" max="9" width="11.7109375" style="3506" customWidth="1"/>
    <col min="10" max="10" width="8.42578125" style="3506" customWidth="1"/>
    <col min="11" max="11" width="8.85546875" style="3506" customWidth="1"/>
    <col min="12" max="12" width="0" style="3506" hidden="1" customWidth="1"/>
    <col min="13" max="13" width="8" style="3506" customWidth="1"/>
    <col min="14" max="15" width="10.7109375" style="3506" customWidth="1"/>
    <col min="16" max="16" width="0" style="3506" hidden="1" customWidth="1"/>
    <col min="17" max="17" width="6.85546875" style="3506" customWidth="1"/>
    <col min="18" max="18" width="10.28515625" style="3506" customWidth="1"/>
    <col min="19" max="19" width="8.7109375" style="3506" customWidth="1"/>
    <col min="20" max="20" width="9.42578125" style="3506" customWidth="1"/>
    <col min="21" max="21" width="7.42578125" style="3506" customWidth="1"/>
    <col min="22" max="22" width="7.5703125" style="3506" customWidth="1"/>
    <col min="23" max="23" width="8" style="3506" customWidth="1"/>
    <col min="24" max="24" width="8.42578125" style="3506" customWidth="1"/>
    <col min="25" max="25" width="9.85546875" style="3506" customWidth="1"/>
    <col min="26" max="26" width="10" style="3506" customWidth="1"/>
    <col min="27" max="28" width="1.42578125" style="3506" customWidth="1"/>
    <col min="29" max="29" width="11.5703125" style="3506" bestFit="1" customWidth="1"/>
    <col min="30" max="16384" width="9.140625" style="3506"/>
  </cols>
  <sheetData>
    <row r="1" spans="1:29" ht="26.25" customHeight="1" x14ac:dyDescent="0.25">
      <c r="A1" s="4257" t="str">
        <f>'B57'!A1:B1</f>
        <v>UBND XÃ PHONG QUANG</v>
      </c>
      <c r="B1" s="4258"/>
      <c r="C1" s="4258"/>
      <c r="D1" s="4258"/>
      <c r="W1" s="4259" t="s">
        <v>4926</v>
      </c>
      <c r="X1" s="4250"/>
      <c r="Y1" s="4250"/>
      <c r="Z1" s="4250"/>
    </row>
    <row r="2" spans="1:29" ht="20.25" customHeight="1" x14ac:dyDescent="0.25">
      <c r="A2" s="4260" t="s">
        <v>4728</v>
      </c>
      <c r="B2" s="4261"/>
      <c r="C2" s="4261"/>
      <c r="D2" s="4261"/>
      <c r="E2" s="4261"/>
      <c r="F2" s="4261"/>
      <c r="G2" s="4261"/>
      <c r="H2" s="4261"/>
      <c r="I2" s="4261"/>
      <c r="J2" s="4261"/>
      <c r="K2" s="4261"/>
      <c r="L2" s="4261"/>
      <c r="M2" s="4261"/>
      <c r="N2" s="4261"/>
      <c r="O2" s="4261"/>
      <c r="P2" s="4261"/>
      <c r="Q2" s="4261"/>
      <c r="R2" s="4261"/>
      <c r="S2" s="4261"/>
      <c r="T2" s="4261"/>
      <c r="U2" s="4261"/>
      <c r="V2" s="4261"/>
      <c r="W2" s="4261"/>
      <c r="X2" s="4261"/>
      <c r="Y2" s="4261"/>
      <c r="Z2" s="4261"/>
    </row>
    <row r="3" spans="1:29" ht="20.25" customHeight="1" x14ac:dyDescent="0.25">
      <c r="A3" s="4260" t="s">
        <v>4912</v>
      </c>
      <c r="B3" s="4260"/>
      <c r="C3" s="4260"/>
      <c r="D3" s="4260"/>
      <c r="E3" s="4260"/>
      <c r="F3" s="4260"/>
      <c r="G3" s="4260"/>
      <c r="H3" s="4260"/>
      <c r="I3" s="4260"/>
      <c r="J3" s="4260"/>
      <c r="K3" s="4260"/>
      <c r="L3" s="4260"/>
      <c r="M3" s="4260"/>
      <c r="N3" s="4260"/>
      <c r="O3" s="4260"/>
      <c r="P3" s="4260"/>
      <c r="Q3" s="4260"/>
      <c r="R3" s="4260"/>
      <c r="S3" s="4260"/>
      <c r="T3" s="4260"/>
      <c r="U3" s="4260"/>
      <c r="V3" s="4260"/>
      <c r="W3" s="4260"/>
      <c r="X3" s="4260"/>
      <c r="Y3" s="4260"/>
      <c r="Z3" s="4260"/>
    </row>
    <row r="4" spans="1:29" ht="20.25" customHeight="1" x14ac:dyDescent="0.25">
      <c r="A4" s="4269" t="str">
        <f>'B57'!A4:L4</f>
        <v>(Kèm theo Quyết định số         /QĐ-UBND ngày      tháng 4 năm 2026 của UBND xã Phong Quang)</v>
      </c>
      <c r="B4" s="4270"/>
      <c r="C4" s="4270"/>
      <c r="D4" s="4270"/>
      <c r="E4" s="4270"/>
      <c r="F4" s="4270"/>
      <c r="G4" s="4270"/>
      <c r="H4" s="4270"/>
      <c r="I4" s="4270"/>
      <c r="J4" s="4270"/>
      <c r="K4" s="4270"/>
      <c r="L4" s="4270"/>
      <c r="M4" s="4270"/>
      <c r="N4" s="4270"/>
      <c r="O4" s="4270"/>
      <c r="P4" s="4270"/>
      <c r="Q4" s="4270"/>
      <c r="R4" s="4270"/>
      <c r="S4" s="4270"/>
      <c r="T4" s="4270"/>
      <c r="U4" s="4270"/>
      <c r="V4" s="4270"/>
      <c r="W4" s="4270"/>
      <c r="X4" s="4270"/>
      <c r="Y4" s="4270"/>
      <c r="Z4" s="4270"/>
    </row>
    <row r="5" spans="1:29" ht="3" customHeight="1" x14ac:dyDescent="0.25">
      <c r="A5" s="3507"/>
      <c r="R5" s="3802"/>
    </row>
    <row r="6" spans="1:29" ht="18.75" customHeight="1" x14ac:dyDescent="0.25">
      <c r="A6" s="4262" t="s">
        <v>4729</v>
      </c>
      <c r="B6" s="4261"/>
      <c r="C6" s="4261"/>
      <c r="D6" s="4261"/>
      <c r="E6" s="4261"/>
      <c r="F6" s="4261"/>
      <c r="G6" s="4261"/>
      <c r="H6" s="4261"/>
      <c r="I6" s="4261"/>
      <c r="J6" s="4261"/>
      <c r="K6" s="4261"/>
      <c r="L6" s="4261"/>
      <c r="M6" s="4261"/>
      <c r="N6" s="4261"/>
      <c r="O6" s="4261"/>
      <c r="P6" s="4261"/>
      <c r="Q6" s="4261"/>
      <c r="R6" s="4261"/>
      <c r="S6" s="4261"/>
      <c r="T6" s="4261"/>
      <c r="U6" s="4261"/>
      <c r="V6" s="4261"/>
      <c r="W6" s="4261"/>
      <c r="X6" s="4261"/>
      <c r="Y6" s="4261"/>
      <c r="Z6" s="4261"/>
    </row>
    <row r="7" spans="1:29" ht="20.25" customHeight="1" x14ac:dyDescent="0.25">
      <c r="A7" s="4281" t="s">
        <v>844</v>
      </c>
      <c r="B7" s="4276" t="s">
        <v>4732</v>
      </c>
      <c r="D7" s="4263" t="s">
        <v>4730</v>
      </c>
      <c r="E7" s="4264"/>
      <c r="F7" s="4264"/>
      <c r="G7" s="4264"/>
      <c r="H7" s="4265"/>
      <c r="I7" s="4263" t="s">
        <v>13</v>
      </c>
      <c r="J7" s="4264"/>
      <c r="K7" s="4264"/>
      <c r="L7" s="4264"/>
      <c r="M7" s="4264"/>
      <c r="N7" s="4264"/>
      <c r="O7" s="4264"/>
      <c r="P7" s="4264"/>
      <c r="Q7" s="4264"/>
      <c r="R7" s="4264"/>
      <c r="S7" s="4264"/>
      <c r="T7" s="4264"/>
      <c r="U7" s="4264"/>
      <c r="V7" s="4265"/>
      <c r="W7" s="4266" t="s">
        <v>28</v>
      </c>
      <c r="X7" s="4267"/>
      <c r="Y7" s="4267"/>
      <c r="Z7" s="4268"/>
    </row>
    <row r="8" spans="1:29" ht="27" customHeight="1" x14ac:dyDescent="0.25">
      <c r="A8" s="4281"/>
      <c r="B8" s="4276"/>
      <c r="D8" s="4274" t="s">
        <v>1815</v>
      </c>
      <c r="E8" s="4275"/>
      <c r="F8" s="4245" t="s">
        <v>869</v>
      </c>
      <c r="G8" s="4246"/>
      <c r="H8" s="4246"/>
      <c r="I8" s="3498" t="s">
        <v>1815</v>
      </c>
      <c r="J8" s="4247" t="s">
        <v>884</v>
      </c>
      <c r="K8" s="4246"/>
      <c r="L8" s="4246"/>
      <c r="M8" s="4248"/>
      <c r="N8" s="4247" t="s">
        <v>885</v>
      </c>
      <c r="O8" s="4246"/>
      <c r="P8" s="4246"/>
      <c r="Q8" s="4248"/>
      <c r="R8" s="4247" t="s">
        <v>4731</v>
      </c>
      <c r="S8" s="4246"/>
      <c r="T8" s="4248"/>
      <c r="U8" s="4271" t="s">
        <v>4768</v>
      </c>
      <c r="V8" s="4271" t="s">
        <v>4769</v>
      </c>
      <c r="W8" s="4274" t="s">
        <v>868</v>
      </c>
      <c r="X8" s="4247" t="s">
        <v>869</v>
      </c>
      <c r="Y8" s="4246"/>
      <c r="Z8" s="4248"/>
    </row>
    <row r="9" spans="1:29" ht="28.5" customHeight="1" x14ac:dyDescent="0.25">
      <c r="A9" s="4281"/>
      <c r="B9" s="4276"/>
      <c r="D9" s="4249" t="s">
        <v>868</v>
      </c>
      <c r="E9" s="4250"/>
      <c r="F9" s="3502" t="s">
        <v>4723</v>
      </c>
      <c r="G9" s="3502" t="s">
        <v>4733</v>
      </c>
      <c r="H9" s="3502" t="s">
        <v>4734</v>
      </c>
      <c r="I9" s="3502" t="s">
        <v>868</v>
      </c>
      <c r="J9" s="4274" t="s">
        <v>868</v>
      </c>
      <c r="K9" s="4283" t="s">
        <v>907</v>
      </c>
      <c r="L9" s="4284"/>
      <c r="M9" s="4284"/>
      <c r="N9" s="4274" t="s">
        <v>868</v>
      </c>
      <c r="O9" s="4285" t="s">
        <v>907</v>
      </c>
      <c r="P9" s="4284"/>
      <c r="Q9" s="4286"/>
      <c r="R9" s="4274" t="s">
        <v>868</v>
      </c>
      <c r="S9" s="4283" t="s">
        <v>907</v>
      </c>
      <c r="T9" s="4284"/>
      <c r="U9" s="4271"/>
      <c r="V9" s="4271"/>
      <c r="W9" s="4271"/>
      <c r="X9" s="4274" t="s">
        <v>4723</v>
      </c>
      <c r="Y9" s="4274" t="s">
        <v>885</v>
      </c>
      <c r="Z9" s="4274" t="s">
        <v>4731</v>
      </c>
    </row>
    <row r="10" spans="1:29" ht="48.75" customHeight="1" x14ac:dyDescent="0.25">
      <c r="A10" s="4281"/>
      <c r="B10" s="4276"/>
      <c r="D10" s="4249" t="s">
        <v>1815</v>
      </c>
      <c r="E10" s="4250"/>
      <c r="F10" s="3417" t="s">
        <v>3657</v>
      </c>
      <c r="G10" s="3417" t="s">
        <v>4735</v>
      </c>
      <c r="H10" s="3417" t="s">
        <v>3293</v>
      </c>
      <c r="I10" s="3502" t="s">
        <v>1815</v>
      </c>
      <c r="J10" s="4282"/>
      <c r="K10" s="3502" t="s">
        <v>4766</v>
      </c>
      <c r="L10" s="3503"/>
      <c r="M10" s="3502" t="s">
        <v>4736</v>
      </c>
      <c r="N10" s="4282"/>
      <c r="O10" s="3499" t="s">
        <v>4765</v>
      </c>
      <c r="P10" s="3503"/>
      <c r="Q10" s="3419" t="s">
        <v>4736</v>
      </c>
      <c r="R10" s="4282"/>
      <c r="S10" s="3502" t="s">
        <v>4767</v>
      </c>
      <c r="T10" s="3502" t="s">
        <v>885</v>
      </c>
      <c r="U10" s="4271"/>
      <c r="V10" s="4271"/>
      <c r="W10" s="4271"/>
      <c r="X10" s="4271"/>
      <c r="Y10" s="4271"/>
      <c r="Z10" s="4271"/>
    </row>
    <row r="11" spans="1:29" s="3503" customFormat="1" ht="38.25" customHeight="1" x14ac:dyDescent="0.25">
      <c r="A11" s="3500" t="s">
        <v>847</v>
      </c>
      <c r="B11" s="3500" t="s">
        <v>848</v>
      </c>
      <c r="C11" s="3418"/>
      <c r="D11" s="4276" t="s">
        <v>4737</v>
      </c>
      <c r="E11" s="4277"/>
      <c r="F11" s="3500" t="s">
        <v>1774</v>
      </c>
      <c r="G11" s="3500" t="s">
        <v>1776</v>
      </c>
      <c r="H11" s="3500" t="s">
        <v>509</v>
      </c>
      <c r="I11" s="3500" t="s">
        <v>4738</v>
      </c>
      <c r="J11" s="3500" t="s">
        <v>1783</v>
      </c>
      <c r="K11" s="3500" t="s">
        <v>3660</v>
      </c>
      <c r="L11" s="3418"/>
      <c r="M11" s="3500" t="s">
        <v>1784</v>
      </c>
      <c r="N11" s="3500" t="s">
        <v>1785</v>
      </c>
      <c r="O11" s="3500" t="s">
        <v>1521</v>
      </c>
      <c r="P11" s="3418"/>
      <c r="Q11" s="3500" t="s">
        <v>1522</v>
      </c>
      <c r="R11" s="3500" t="s">
        <v>4739</v>
      </c>
      <c r="S11" s="3500" t="s">
        <v>1523</v>
      </c>
      <c r="T11" s="3500" t="s">
        <v>1786</v>
      </c>
      <c r="U11" s="3500" t="s">
        <v>1787</v>
      </c>
      <c r="V11" s="3500" t="s">
        <v>1788</v>
      </c>
      <c r="W11" s="3500" t="s">
        <v>4740</v>
      </c>
      <c r="X11" s="3500" t="s">
        <v>4741</v>
      </c>
      <c r="Y11" s="3500" t="s">
        <v>4742</v>
      </c>
      <c r="Z11" s="3500" t="s">
        <v>4743</v>
      </c>
    </row>
    <row r="12" spans="1:29" s="3503" customFormat="1" ht="38.25" customHeight="1" x14ac:dyDescent="0.25">
      <c r="A12" s="3420"/>
      <c r="B12" s="3421" t="s">
        <v>868</v>
      </c>
      <c r="C12" s="3329"/>
      <c r="D12" s="4278">
        <f>F12+G12+H12</f>
        <v>101347903.535</v>
      </c>
      <c r="E12" s="4256"/>
      <c r="F12" s="3508">
        <f t="shared" ref="F12:G12" si="0">SUM(F13:F36)</f>
        <v>1309745</v>
      </c>
      <c r="G12" s="3508">
        <f t="shared" si="0"/>
        <v>80669332</v>
      </c>
      <c r="H12" s="3508">
        <f>SUM(H13:H36)</f>
        <v>19368826.535</v>
      </c>
      <c r="I12" s="3508">
        <f>SUM(I13:I36)</f>
        <v>93719224</v>
      </c>
      <c r="J12" s="3508">
        <v>1298671</v>
      </c>
      <c r="K12" s="3508">
        <v>399339</v>
      </c>
      <c r="L12" s="3422"/>
      <c r="M12" s="3508">
        <v>0</v>
      </c>
      <c r="N12" s="3508">
        <v>77190295</v>
      </c>
      <c r="O12" s="3508">
        <v>30030457</v>
      </c>
      <c r="P12" s="3422"/>
      <c r="Q12" s="3508">
        <v>0</v>
      </c>
      <c r="R12" s="3508">
        <f>S12+T12</f>
        <v>14145817</v>
      </c>
      <c r="S12" s="3508">
        <f>SUM(S13:S36)</f>
        <v>5108791</v>
      </c>
      <c r="T12" s="3508">
        <f>SUM(T13:T36)</f>
        <v>9037026</v>
      </c>
      <c r="U12" s="3508">
        <v>0</v>
      </c>
      <c r="V12" s="3508">
        <v>1084441</v>
      </c>
      <c r="W12" s="3423" t="s">
        <v>4744</v>
      </c>
      <c r="X12" s="3423" t="s">
        <v>4745</v>
      </c>
      <c r="Y12" s="3423" t="s">
        <v>4746</v>
      </c>
      <c r="Z12" s="3424" t="s">
        <v>4747</v>
      </c>
      <c r="AC12" s="3803"/>
    </row>
    <row r="13" spans="1:29" s="3503" customFormat="1" ht="38.25" customHeight="1" x14ac:dyDescent="0.25">
      <c r="A13" s="3425">
        <v>1</v>
      </c>
      <c r="B13" s="3426" t="s">
        <v>3635</v>
      </c>
      <c r="C13" s="3329"/>
      <c r="D13" s="4251">
        <v>2938720</v>
      </c>
      <c r="E13" s="4252"/>
      <c r="F13" s="3505">
        <v>0</v>
      </c>
      <c r="G13" s="3505">
        <v>2938720</v>
      </c>
      <c r="H13" s="3505">
        <v>0</v>
      </c>
      <c r="I13" s="3505">
        <v>2938720</v>
      </c>
      <c r="J13" s="3505">
        <v>0</v>
      </c>
      <c r="K13" s="3505">
        <v>0</v>
      </c>
      <c r="L13" s="3422"/>
      <c r="M13" s="3505">
        <v>0</v>
      </c>
      <c r="N13" s="3505">
        <v>2938720</v>
      </c>
      <c r="O13" s="3505">
        <v>2938720</v>
      </c>
      <c r="P13" s="3422"/>
      <c r="Q13" s="3505">
        <v>0</v>
      </c>
      <c r="R13" s="3505"/>
      <c r="S13" s="3505"/>
      <c r="T13" s="3505"/>
      <c r="U13" s="3505">
        <v>0</v>
      </c>
      <c r="V13" s="3505">
        <v>0</v>
      </c>
      <c r="W13" s="3427" t="s">
        <v>3698</v>
      </c>
      <c r="X13" s="3427"/>
      <c r="Y13" s="3427" t="s">
        <v>3698</v>
      </c>
      <c r="Z13" s="3428"/>
      <c r="AC13" s="3804"/>
    </row>
    <row r="14" spans="1:29" s="3503" customFormat="1" ht="38.25" customHeight="1" x14ac:dyDescent="0.25">
      <c r="A14" s="3425">
        <v>2</v>
      </c>
      <c r="B14" s="3426" t="s">
        <v>3636</v>
      </c>
      <c r="C14" s="3329"/>
      <c r="D14" s="4251">
        <v>4992790</v>
      </c>
      <c r="E14" s="4252"/>
      <c r="F14" s="3505">
        <v>0</v>
      </c>
      <c r="G14" s="3505">
        <v>4992790</v>
      </c>
      <c r="H14" s="3505">
        <v>0</v>
      </c>
      <c r="I14" s="3505">
        <v>4936231</v>
      </c>
      <c r="J14" s="3505">
        <v>0</v>
      </c>
      <c r="K14" s="3505">
        <v>0</v>
      </c>
      <c r="L14" s="3422"/>
      <c r="M14" s="3505">
        <v>0</v>
      </c>
      <c r="N14" s="3505">
        <v>4936231</v>
      </c>
      <c r="O14" s="3505">
        <v>4936231</v>
      </c>
      <c r="P14" s="3422"/>
      <c r="Q14" s="3505">
        <v>0</v>
      </c>
      <c r="R14" s="3505"/>
      <c r="S14" s="3505">
        <v>0</v>
      </c>
      <c r="T14" s="3505">
        <v>0</v>
      </c>
      <c r="U14" s="3505">
        <v>0</v>
      </c>
      <c r="V14" s="3505">
        <v>0</v>
      </c>
      <c r="W14" s="3427" t="s">
        <v>4748</v>
      </c>
      <c r="X14" s="3427"/>
      <c r="Y14" s="3427" t="s">
        <v>4748</v>
      </c>
      <c r="Z14" s="3428"/>
      <c r="AC14" s="3804"/>
    </row>
    <row r="15" spans="1:29" s="3503" customFormat="1" ht="38.25" customHeight="1" x14ac:dyDescent="0.25">
      <c r="A15" s="3425">
        <v>3</v>
      </c>
      <c r="B15" s="3426" t="s">
        <v>3637</v>
      </c>
      <c r="C15" s="3329"/>
      <c r="D15" s="4251">
        <v>14492499</v>
      </c>
      <c r="E15" s="4252"/>
      <c r="F15" s="3505">
        <v>0</v>
      </c>
      <c r="G15" s="3505">
        <v>14492499</v>
      </c>
      <c r="H15" s="3505">
        <v>0</v>
      </c>
      <c r="I15" s="3505">
        <v>13782105</v>
      </c>
      <c r="J15" s="3505">
        <v>0</v>
      </c>
      <c r="K15" s="3505">
        <v>0</v>
      </c>
      <c r="L15" s="3422"/>
      <c r="M15" s="3505">
        <v>0</v>
      </c>
      <c r="N15" s="3505">
        <v>13782105</v>
      </c>
      <c r="O15" s="3505">
        <v>13782105</v>
      </c>
      <c r="P15" s="3422"/>
      <c r="Q15" s="3505">
        <v>0</v>
      </c>
      <c r="R15" s="3505">
        <v>0</v>
      </c>
      <c r="S15" s="3505">
        <v>0</v>
      </c>
      <c r="T15" s="3505">
        <v>0</v>
      </c>
      <c r="U15" s="3505">
        <v>0</v>
      </c>
      <c r="V15" s="3505">
        <v>0</v>
      </c>
      <c r="W15" s="3427" t="s">
        <v>4749</v>
      </c>
      <c r="X15" s="3427"/>
      <c r="Y15" s="3427" t="s">
        <v>4749</v>
      </c>
      <c r="Z15" s="3428"/>
      <c r="AC15" s="3804"/>
    </row>
    <row r="16" spans="1:29" s="3503" customFormat="1" ht="36.75" customHeight="1" x14ac:dyDescent="0.25">
      <c r="A16" s="3425">
        <v>4</v>
      </c>
      <c r="B16" s="3426" t="s">
        <v>3638</v>
      </c>
      <c r="C16" s="3329"/>
      <c r="D16" s="4251">
        <v>8351439</v>
      </c>
      <c r="E16" s="4252"/>
      <c r="F16" s="3505">
        <v>0</v>
      </c>
      <c r="G16" s="3505">
        <v>8351439</v>
      </c>
      <c r="H16" s="3505">
        <v>0</v>
      </c>
      <c r="I16" s="3505">
        <v>8351438</v>
      </c>
      <c r="J16" s="3505">
        <v>0</v>
      </c>
      <c r="K16" s="3505">
        <v>0</v>
      </c>
      <c r="L16" s="3422"/>
      <c r="M16" s="3505">
        <v>0</v>
      </c>
      <c r="N16" s="3505">
        <v>8351438</v>
      </c>
      <c r="O16" s="3505">
        <v>8351438</v>
      </c>
      <c r="P16" s="3422"/>
      <c r="Q16" s="3505">
        <v>0</v>
      </c>
      <c r="R16" s="3505">
        <v>0</v>
      </c>
      <c r="S16" s="3505">
        <v>0</v>
      </c>
      <c r="T16" s="3505">
        <v>0</v>
      </c>
      <c r="U16" s="3505">
        <v>0</v>
      </c>
      <c r="V16" s="3505">
        <v>0</v>
      </c>
      <c r="W16" s="3427" t="s">
        <v>3698</v>
      </c>
      <c r="X16" s="3427"/>
      <c r="Y16" s="3427" t="s">
        <v>3698</v>
      </c>
      <c r="Z16" s="3428"/>
    </row>
    <row r="17" spans="1:29" s="3503" customFormat="1" ht="36.75" customHeight="1" x14ac:dyDescent="0.25">
      <c r="A17" s="3425">
        <v>5</v>
      </c>
      <c r="B17" s="3426" t="s">
        <v>3639</v>
      </c>
      <c r="C17" s="3329"/>
      <c r="D17" s="4251">
        <v>3394858</v>
      </c>
      <c r="E17" s="4252"/>
      <c r="F17" s="3505">
        <v>0</v>
      </c>
      <c r="G17" s="3505">
        <v>3394858</v>
      </c>
      <c r="H17" s="3505">
        <v>0</v>
      </c>
      <c r="I17" s="3505">
        <v>3394858</v>
      </c>
      <c r="J17" s="3505">
        <v>0</v>
      </c>
      <c r="K17" s="3505">
        <v>0</v>
      </c>
      <c r="L17" s="3422"/>
      <c r="M17" s="3505">
        <v>0</v>
      </c>
      <c r="N17" s="3505">
        <v>3394858</v>
      </c>
      <c r="O17" s="3505">
        <v>0</v>
      </c>
      <c r="P17" s="3422"/>
      <c r="Q17" s="3505">
        <v>0</v>
      </c>
      <c r="R17" s="3505">
        <v>0</v>
      </c>
      <c r="S17" s="3505">
        <v>0</v>
      </c>
      <c r="T17" s="3505">
        <v>0</v>
      </c>
      <c r="U17" s="3505">
        <v>0</v>
      </c>
      <c r="V17" s="3505">
        <v>0</v>
      </c>
      <c r="W17" s="3427" t="s">
        <v>3698</v>
      </c>
      <c r="X17" s="3427"/>
      <c r="Y17" s="3427" t="s">
        <v>3698</v>
      </c>
      <c r="Z17" s="3428"/>
    </row>
    <row r="18" spans="1:29" s="3503" customFormat="1" ht="36.75" customHeight="1" x14ac:dyDescent="0.25">
      <c r="A18" s="3425">
        <v>6</v>
      </c>
      <c r="B18" s="3426" t="s">
        <v>4750</v>
      </c>
      <c r="C18" s="3329"/>
      <c r="D18" s="4251">
        <v>7183990</v>
      </c>
      <c r="E18" s="4252"/>
      <c r="F18" s="3505">
        <v>0</v>
      </c>
      <c r="G18" s="3505">
        <v>7183990</v>
      </c>
      <c r="H18" s="3505">
        <v>0</v>
      </c>
      <c r="I18" s="3505">
        <v>7183990</v>
      </c>
      <c r="J18" s="3505">
        <v>0</v>
      </c>
      <c r="K18" s="3505">
        <v>0</v>
      </c>
      <c r="L18" s="3422"/>
      <c r="M18" s="3505">
        <v>0</v>
      </c>
      <c r="N18" s="3505">
        <v>7183990</v>
      </c>
      <c r="O18" s="3505">
        <v>0</v>
      </c>
      <c r="P18" s="3422"/>
      <c r="Q18" s="3505">
        <v>0</v>
      </c>
      <c r="R18" s="3505">
        <v>0</v>
      </c>
      <c r="S18" s="3505">
        <v>0</v>
      </c>
      <c r="T18" s="3505">
        <v>0</v>
      </c>
      <c r="U18" s="3505">
        <v>0</v>
      </c>
      <c r="V18" s="3505">
        <v>0</v>
      </c>
      <c r="W18" s="3427" t="s">
        <v>3698</v>
      </c>
      <c r="X18" s="3427"/>
      <c r="Y18" s="3427" t="s">
        <v>3698</v>
      </c>
      <c r="Z18" s="3428"/>
    </row>
    <row r="19" spans="1:29" s="3503" customFormat="1" ht="36.75" customHeight="1" x14ac:dyDescent="0.25">
      <c r="A19" s="3425">
        <v>7</v>
      </c>
      <c r="B19" s="3426" t="s">
        <v>3640</v>
      </c>
      <c r="C19" s="3329"/>
      <c r="D19" s="4251">
        <v>8604116</v>
      </c>
      <c r="E19" s="4252"/>
      <c r="F19" s="3505">
        <v>0</v>
      </c>
      <c r="G19" s="3505">
        <v>6493422</v>
      </c>
      <c r="H19" s="3505">
        <v>2110694</v>
      </c>
      <c r="I19" s="3505">
        <v>7971535</v>
      </c>
      <c r="J19" s="3505">
        <v>0</v>
      </c>
      <c r="K19" s="3505">
        <v>0</v>
      </c>
      <c r="L19" s="3422"/>
      <c r="M19" s="3505">
        <v>0</v>
      </c>
      <c r="N19" s="3505">
        <v>5972170</v>
      </c>
      <c r="O19" s="3505">
        <v>21963</v>
      </c>
      <c r="P19" s="3422"/>
      <c r="Q19" s="3505">
        <v>0</v>
      </c>
      <c r="R19" s="3505">
        <v>1999366</v>
      </c>
      <c r="S19" s="3505">
        <v>0</v>
      </c>
      <c r="T19" s="3505">
        <v>1999366</v>
      </c>
      <c r="U19" s="3505">
        <v>0</v>
      </c>
      <c r="V19" s="3505">
        <v>0</v>
      </c>
      <c r="W19" s="3427" t="s">
        <v>4751</v>
      </c>
      <c r="X19" s="3427"/>
      <c r="Y19" s="3427" t="s">
        <v>4752</v>
      </c>
      <c r="Z19" s="3428" t="s">
        <v>3688</v>
      </c>
    </row>
    <row r="20" spans="1:29" s="3503" customFormat="1" ht="36.75" customHeight="1" x14ac:dyDescent="0.25">
      <c r="A20" s="3425">
        <v>8</v>
      </c>
      <c r="B20" s="3426" t="s">
        <v>3641</v>
      </c>
      <c r="C20" s="3329"/>
      <c r="D20" s="4251">
        <v>521300</v>
      </c>
      <c r="E20" s="4252"/>
      <c r="F20" s="3505">
        <v>0</v>
      </c>
      <c r="G20" s="3505">
        <v>521300</v>
      </c>
      <c r="H20" s="3505">
        <v>0</v>
      </c>
      <c r="I20" s="3505">
        <v>521250</v>
      </c>
      <c r="J20" s="3505">
        <v>0</v>
      </c>
      <c r="K20" s="3505">
        <v>0</v>
      </c>
      <c r="L20" s="3422"/>
      <c r="M20" s="3505">
        <v>0</v>
      </c>
      <c r="N20" s="3505">
        <v>521250</v>
      </c>
      <c r="O20" s="3505">
        <v>0</v>
      </c>
      <c r="P20" s="3422"/>
      <c r="Q20" s="3505">
        <v>0</v>
      </c>
      <c r="R20" s="3505">
        <v>0</v>
      </c>
      <c r="S20" s="3505">
        <v>0</v>
      </c>
      <c r="T20" s="3505">
        <v>0</v>
      </c>
      <c r="U20" s="3505">
        <v>0</v>
      </c>
      <c r="V20" s="3505">
        <v>0</v>
      </c>
      <c r="W20" s="3427" t="s">
        <v>4753</v>
      </c>
      <c r="X20" s="3427"/>
      <c r="Y20" s="3427" t="s">
        <v>4753</v>
      </c>
      <c r="Z20" s="3428"/>
    </row>
    <row r="21" spans="1:29" s="3503" customFormat="1" ht="34.5" customHeight="1" x14ac:dyDescent="0.25">
      <c r="A21" s="3425">
        <v>9</v>
      </c>
      <c r="B21" s="3426" t="s">
        <v>3642</v>
      </c>
      <c r="C21" s="3329"/>
      <c r="D21" s="4251">
        <v>14788210</v>
      </c>
      <c r="E21" s="4252"/>
      <c r="F21" s="3505">
        <v>0</v>
      </c>
      <c r="G21" s="3505">
        <v>4388612</v>
      </c>
      <c r="H21" s="3505">
        <v>10399598</v>
      </c>
      <c r="I21" s="3805">
        <v>9183164</v>
      </c>
      <c r="J21" s="3505">
        <v>0</v>
      </c>
      <c r="K21" s="3505">
        <v>0</v>
      </c>
      <c r="L21" s="3422"/>
      <c r="M21" s="3505">
        <v>0</v>
      </c>
      <c r="N21" s="3505">
        <v>2257505</v>
      </c>
      <c r="O21" s="3505">
        <v>0</v>
      </c>
      <c r="P21" s="3422"/>
      <c r="Q21" s="3505">
        <v>0</v>
      </c>
      <c r="R21" s="3505">
        <v>6925660</v>
      </c>
      <c r="S21" s="3505">
        <v>0</v>
      </c>
      <c r="T21" s="3505">
        <v>6925660</v>
      </c>
      <c r="U21" s="3505">
        <v>0</v>
      </c>
      <c r="V21" s="3505">
        <v>0</v>
      </c>
      <c r="W21" s="3427" t="s">
        <v>4754</v>
      </c>
      <c r="X21" s="3427"/>
      <c r="Y21" s="3427" t="s">
        <v>4755</v>
      </c>
      <c r="Z21" s="3428" t="s">
        <v>3693</v>
      </c>
    </row>
    <row r="22" spans="1:29" s="3503" customFormat="1" ht="34.5" customHeight="1" x14ac:dyDescent="0.25">
      <c r="A22" s="3425">
        <v>10</v>
      </c>
      <c r="B22" s="3426" t="s">
        <v>3643</v>
      </c>
      <c r="C22" s="3329"/>
      <c r="D22" s="4251">
        <v>27998702</v>
      </c>
      <c r="E22" s="4252"/>
      <c r="F22" s="3505">
        <v>0</v>
      </c>
      <c r="G22" s="3505">
        <v>27886702</v>
      </c>
      <c r="H22" s="3505">
        <v>112000</v>
      </c>
      <c r="I22" s="3505">
        <v>27939030</v>
      </c>
      <c r="J22" s="3505">
        <v>0</v>
      </c>
      <c r="K22" s="3505">
        <v>0</v>
      </c>
      <c r="L22" s="3422"/>
      <c r="M22" s="3505">
        <v>0</v>
      </c>
      <c r="N22" s="3505">
        <v>27827030</v>
      </c>
      <c r="O22" s="3505">
        <v>0</v>
      </c>
      <c r="P22" s="3422"/>
      <c r="Q22" s="3505">
        <v>0</v>
      </c>
      <c r="R22" s="3505">
        <v>112000</v>
      </c>
      <c r="S22" s="3505">
        <v>0</v>
      </c>
      <c r="T22" s="3505">
        <v>112000</v>
      </c>
      <c r="U22" s="3505">
        <v>0</v>
      </c>
      <c r="V22" s="3505">
        <v>0</v>
      </c>
      <c r="W22" s="3427" t="s">
        <v>4756</v>
      </c>
      <c r="X22" s="3427"/>
      <c r="Y22" s="3427" t="s">
        <v>4756</v>
      </c>
      <c r="Z22" s="3428" t="s">
        <v>3698</v>
      </c>
    </row>
    <row r="23" spans="1:29" s="3503" customFormat="1" ht="34.5" customHeight="1" x14ac:dyDescent="0.25">
      <c r="A23" s="3425">
        <v>11</v>
      </c>
      <c r="B23" s="3426" t="s">
        <v>4770</v>
      </c>
      <c r="C23" s="3329"/>
      <c r="D23" s="4251">
        <v>25000</v>
      </c>
      <c r="E23" s="4252"/>
      <c r="F23" s="3505">
        <v>0</v>
      </c>
      <c r="G23" s="3505">
        <v>25000</v>
      </c>
      <c r="H23" s="3505">
        <v>0</v>
      </c>
      <c r="I23" s="3505">
        <f>N23+V23</f>
        <v>1109441</v>
      </c>
      <c r="J23" s="3505">
        <v>0</v>
      </c>
      <c r="K23" s="3505"/>
      <c r="L23" s="3422"/>
      <c r="M23" s="3505">
        <v>0</v>
      </c>
      <c r="N23" s="3505">
        <v>25000</v>
      </c>
      <c r="O23" s="3505">
        <v>0</v>
      </c>
      <c r="P23" s="3422"/>
      <c r="Q23" s="3505">
        <v>0</v>
      </c>
      <c r="R23" s="3505"/>
      <c r="S23" s="3505"/>
      <c r="T23" s="3505"/>
      <c r="U23" s="3505">
        <v>0</v>
      </c>
      <c r="V23" s="3505">
        <v>1084441</v>
      </c>
      <c r="W23" s="3806" t="s">
        <v>4757</v>
      </c>
      <c r="X23" s="3427"/>
      <c r="Y23" s="3427" t="s">
        <v>3698</v>
      </c>
      <c r="Z23" s="3807">
        <f>V23+T23</f>
        <v>1084441</v>
      </c>
      <c r="AC23" s="3804"/>
    </row>
    <row r="24" spans="1:29" s="3503" customFormat="1" ht="44.25" customHeight="1" x14ac:dyDescent="0.25">
      <c r="A24" s="3808">
        <v>12</v>
      </c>
      <c r="B24" s="3809" t="s">
        <v>3612</v>
      </c>
      <c r="C24" s="3329"/>
      <c r="D24" s="4272">
        <v>0</v>
      </c>
      <c r="E24" s="4273"/>
      <c r="F24" s="3810">
        <v>0</v>
      </c>
      <c r="G24" s="3810">
        <v>0</v>
      </c>
      <c r="H24" s="3810">
        <v>0</v>
      </c>
      <c r="I24" s="3810">
        <v>457727</v>
      </c>
      <c r="J24" s="3810">
        <v>457727</v>
      </c>
      <c r="K24" s="3810">
        <v>0</v>
      </c>
      <c r="L24" s="3422"/>
      <c r="M24" s="3810">
        <v>0</v>
      </c>
      <c r="N24" s="3810">
        <v>0</v>
      </c>
      <c r="O24" s="3810">
        <v>0</v>
      </c>
      <c r="P24" s="3422"/>
      <c r="Q24" s="3810">
        <v>0</v>
      </c>
      <c r="R24" s="3810">
        <v>0</v>
      </c>
      <c r="S24" s="3810">
        <v>0</v>
      </c>
      <c r="T24" s="3810">
        <v>0</v>
      </c>
      <c r="U24" s="3810">
        <v>0</v>
      </c>
      <c r="V24" s="3810">
        <v>0</v>
      </c>
      <c r="W24" s="3811"/>
      <c r="X24" s="3811"/>
      <c r="Y24" s="3811"/>
      <c r="Z24" s="3812"/>
      <c r="AC24" s="3804"/>
    </row>
    <row r="25" spans="1:29" s="3503" customFormat="1" ht="44.25" customHeight="1" x14ac:dyDescent="0.25">
      <c r="A25" s="3813">
        <v>13</v>
      </c>
      <c r="B25" s="3814" t="s">
        <v>3613</v>
      </c>
      <c r="C25" s="3476"/>
      <c r="D25" s="4253">
        <v>2056482</v>
      </c>
      <c r="E25" s="4254"/>
      <c r="F25" s="3815">
        <v>0</v>
      </c>
      <c r="G25" s="3815">
        <v>0</v>
      </c>
      <c r="H25" s="3815">
        <v>2056482</v>
      </c>
      <c r="I25" s="3815">
        <v>1164306</v>
      </c>
      <c r="J25" s="3815">
        <v>0</v>
      </c>
      <c r="K25" s="3815">
        <v>0</v>
      </c>
      <c r="L25" s="3816"/>
      <c r="M25" s="3815">
        <v>0</v>
      </c>
      <c r="N25" s="3815">
        <v>0</v>
      </c>
      <c r="O25" s="3815">
        <v>0</v>
      </c>
      <c r="P25" s="3816"/>
      <c r="Q25" s="3815">
        <v>0</v>
      </c>
      <c r="R25" s="3815">
        <f>S25</f>
        <v>1164306</v>
      </c>
      <c r="S25" s="3815">
        <v>1164306</v>
      </c>
      <c r="T25" s="3815">
        <v>0</v>
      </c>
      <c r="U25" s="3815">
        <v>0</v>
      </c>
      <c r="V25" s="3815">
        <v>0</v>
      </c>
      <c r="W25" s="3817" t="s">
        <v>3700</v>
      </c>
      <c r="X25" s="3817"/>
      <c r="Y25" s="3817"/>
      <c r="Z25" s="3818" t="s">
        <v>3700</v>
      </c>
      <c r="AC25" s="3804"/>
    </row>
    <row r="26" spans="1:29" s="3503" customFormat="1" ht="59.25" customHeight="1" x14ac:dyDescent="0.25">
      <c r="A26" s="3813">
        <v>14</v>
      </c>
      <c r="B26" s="3814" t="s">
        <v>3614</v>
      </c>
      <c r="C26" s="3476"/>
      <c r="D26" s="4253">
        <v>1556973</v>
      </c>
      <c r="E26" s="4254"/>
      <c r="F26" s="3815">
        <v>500000</v>
      </c>
      <c r="G26" s="3815">
        <v>0</v>
      </c>
      <c r="H26" s="3815">
        <f>252799.883+804172.652</f>
        <v>1056972.5349999999</v>
      </c>
      <c r="I26" s="3815">
        <v>1152187</v>
      </c>
      <c r="J26" s="3815">
        <v>399339</v>
      </c>
      <c r="K26" s="3815">
        <v>399339</v>
      </c>
      <c r="L26" s="3816"/>
      <c r="M26" s="3815">
        <v>0</v>
      </c>
      <c r="N26" s="3815">
        <v>0</v>
      </c>
      <c r="O26" s="3815">
        <v>0</v>
      </c>
      <c r="P26" s="3816"/>
      <c r="Q26" s="3815">
        <v>0</v>
      </c>
      <c r="R26" s="3815">
        <v>752848</v>
      </c>
      <c r="S26" s="3815">
        <v>752848</v>
      </c>
      <c r="T26" s="3815">
        <v>0</v>
      </c>
      <c r="U26" s="3815">
        <v>0</v>
      </c>
      <c r="V26" s="3815">
        <v>0</v>
      </c>
      <c r="W26" s="3817" t="s">
        <v>4758</v>
      </c>
      <c r="X26" s="3817" t="s">
        <v>4759</v>
      </c>
      <c r="Y26" s="3817"/>
      <c r="Z26" s="3818" t="s">
        <v>3702</v>
      </c>
    </row>
    <row r="27" spans="1:29" s="3503" customFormat="1" ht="68.25" customHeight="1" x14ac:dyDescent="0.25">
      <c r="A27" s="3819">
        <v>15</v>
      </c>
      <c r="B27" s="3820" t="s">
        <v>3615</v>
      </c>
      <c r="C27" s="3329"/>
      <c r="D27" s="4255">
        <f>1838780/2</f>
        <v>919390</v>
      </c>
      <c r="E27" s="4256"/>
      <c r="F27" s="3821">
        <v>300000</v>
      </c>
      <c r="G27" s="3821">
        <v>0</v>
      </c>
      <c r="H27" s="3821">
        <v>1538780</v>
      </c>
      <c r="I27" s="3821">
        <v>1461629</v>
      </c>
      <c r="J27" s="3821">
        <v>0</v>
      </c>
      <c r="K27" s="3821">
        <v>0</v>
      </c>
      <c r="L27" s="3422"/>
      <c r="M27" s="3821">
        <v>0</v>
      </c>
      <c r="N27" s="3821">
        <v>0</v>
      </c>
      <c r="O27" s="3821">
        <v>0</v>
      </c>
      <c r="P27" s="3422"/>
      <c r="Q27" s="3821">
        <v>0</v>
      </c>
      <c r="R27" s="3821">
        <f>S27</f>
        <v>1461630</v>
      </c>
      <c r="S27" s="3889">
        <v>1461630</v>
      </c>
      <c r="T27" s="3821">
        <v>0</v>
      </c>
      <c r="U27" s="3821">
        <v>0</v>
      </c>
      <c r="V27" s="3821">
        <v>0</v>
      </c>
      <c r="W27" s="3822" t="s">
        <v>4760</v>
      </c>
      <c r="X27" s="3822" t="s">
        <v>4761</v>
      </c>
      <c r="Y27" s="3822"/>
      <c r="Z27" s="3823" t="s">
        <v>3704</v>
      </c>
    </row>
    <row r="28" spans="1:29" s="3503" customFormat="1" ht="54.75" customHeight="1" x14ac:dyDescent="0.25">
      <c r="A28" s="3425">
        <v>16</v>
      </c>
      <c r="B28" s="3426" t="s">
        <v>3616</v>
      </c>
      <c r="C28" s="3329"/>
      <c r="D28" s="4251">
        <f>500000/2</f>
        <v>250000</v>
      </c>
      <c r="E28" s="4252"/>
      <c r="F28" s="3505">
        <v>0</v>
      </c>
      <c r="G28" s="3505">
        <v>0</v>
      </c>
      <c r="H28" s="3505">
        <f>500000/2</f>
        <v>250000</v>
      </c>
      <c r="I28" s="3505">
        <v>190885</v>
      </c>
      <c r="J28" s="3505">
        <v>0</v>
      </c>
      <c r="K28" s="3505">
        <v>0</v>
      </c>
      <c r="L28" s="3422"/>
      <c r="M28" s="3505">
        <v>0</v>
      </c>
      <c r="N28" s="3505">
        <v>0</v>
      </c>
      <c r="O28" s="3505">
        <v>0</v>
      </c>
      <c r="P28" s="3422"/>
      <c r="Q28" s="3505">
        <v>0</v>
      </c>
      <c r="R28" s="3505">
        <v>190885</v>
      </c>
      <c r="S28" s="3505">
        <v>190885</v>
      </c>
      <c r="T28" s="3505">
        <v>0</v>
      </c>
      <c r="U28" s="3505">
        <v>0</v>
      </c>
      <c r="V28" s="3505">
        <v>0</v>
      </c>
      <c r="W28" s="3427" t="s">
        <v>3706</v>
      </c>
      <c r="X28" s="3427"/>
      <c r="Y28" s="3427"/>
      <c r="Z28" s="3428" t="s">
        <v>3706</v>
      </c>
    </row>
    <row r="29" spans="1:29" s="3503" customFormat="1" ht="44.25" customHeight="1" x14ac:dyDescent="0.25">
      <c r="A29" s="3425">
        <v>17</v>
      </c>
      <c r="B29" s="3426" t="s">
        <v>3617</v>
      </c>
      <c r="C29" s="3329"/>
      <c r="D29" s="4251">
        <f>79400/2</f>
        <v>39700</v>
      </c>
      <c r="E29" s="4252"/>
      <c r="F29" s="3505">
        <v>0</v>
      </c>
      <c r="G29" s="3505">
        <v>0</v>
      </c>
      <c r="H29" s="3505">
        <f>79400/2</f>
        <v>39700</v>
      </c>
      <c r="I29" s="3505">
        <v>39700</v>
      </c>
      <c r="J29" s="3505">
        <v>0</v>
      </c>
      <c r="K29" s="3505">
        <v>0</v>
      </c>
      <c r="L29" s="3422"/>
      <c r="M29" s="3505">
        <v>0</v>
      </c>
      <c r="N29" s="3505">
        <v>0</v>
      </c>
      <c r="O29" s="3505">
        <v>0</v>
      </c>
      <c r="P29" s="3422"/>
      <c r="Q29" s="3505">
        <v>0</v>
      </c>
      <c r="R29" s="3505">
        <v>39700</v>
      </c>
      <c r="S29" s="3505">
        <v>39700</v>
      </c>
      <c r="T29" s="3505">
        <v>0</v>
      </c>
      <c r="U29" s="3505">
        <v>0</v>
      </c>
      <c r="V29" s="3505">
        <v>0</v>
      </c>
      <c r="W29" s="3427" t="s">
        <v>3685</v>
      </c>
      <c r="X29" s="3427"/>
      <c r="Y29" s="3427"/>
      <c r="Z29" s="3428" t="s">
        <v>3685</v>
      </c>
    </row>
    <row r="30" spans="1:29" s="3503" customFormat="1" ht="44.25" customHeight="1" x14ac:dyDescent="0.25">
      <c r="A30" s="3425">
        <v>18</v>
      </c>
      <c r="B30" s="3426" t="s">
        <v>3618</v>
      </c>
      <c r="C30" s="3329"/>
      <c r="D30" s="4251">
        <f>130400/2</f>
        <v>65200</v>
      </c>
      <c r="E30" s="4252"/>
      <c r="F30" s="3505">
        <v>0</v>
      </c>
      <c r="G30" s="3505">
        <v>0</v>
      </c>
      <c r="H30" s="3505">
        <f>130400/2</f>
        <v>65200</v>
      </c>
      <c r="I30" s="3505">
        <v>61619</v>
      </c>
      <c r="J30" s="3505">
        <v>0</v>
      </c>
      <c r="K30" s="3505"/>
      <c r="L30" s="3422"/>
      <c r="M30" s="3505">
        <v>0</v>
      </c>
      <c r="N30" s="3505">
        <v>0</v>
      </c>
      <c r="O30" s="3505">
        <v>0</v>
      </c>
      <c r="P30" s="3422"/>
      <c r="Q30" s="3505">
        <v>0</v>
      </c>
      <c r="R30" s="3505">
        <v>61619</v>
      </c>
      <c r="S30" s="3505">
        <v>61619</v>
      </c>
      <c r="T30" s="3505">
        <v>0</v>
      </c>
      <c r="U30" s="3505">
        <v>0</v>
      </c>
      <c r="V30" s="3505">
        <v>0</v>
      </c>
      <c r="W30" s="3427" t="s">
        <v>3709</v>
      </c>
      <c r="X30" s="3427"/>
      <c r="Y30" s="3427"/>
      <c r="Z30" s="3428" t="s">
        <v>3709</v>
      </c>
    </row>
    <row r="31" spans="1:29" s="3503" customFormat="1" ht="54.75" customHeight="1" x14ac:dyDescent="0.25">
      <c r="A31" s="3425">
        <v>19</v>
      </c>
      <c r="B31" s="3426" t="s">
        <v>3619</v>
      </c>
      <c r="C31" s="3329"/>
      <c r="D31" s="4251">
        <v>109278</v>
      </c>
      <c r="E31" s="4252"/>
      <c r="F31" s="3505">
        <v>109278</v>
      </c>
      <c r="G31" s="3505">
        <v>0</v>
      </c>
      <c r="H31" s="3505">
        <v>0</v>
      </c>
      <c r="I31" s="3505">
        <v>74081</v>
      </c>
      <c r="J31" s="3505">
        <v>74081</v>
      </c>
      <c r="K31" s="3505">
        <v>0</v>
      </c>
      <c r="L31" s="3422"/>
      <c r="M31" s="3505">
        <v>0</v>
      </c>
      <c r="N31" s="3505">
        <v>0</v>
      </c>
      <c r="O31" s="3505">
        <v>0</v>
      </c>
      <c r="P31" s="3422"/>
      <c r="Q31" s="3505">
        <v>0</v>
      </c>
      <c r="R31" s="3505">
        <v>0</v>
      </c>
      <c r="S31" s="3505">
        <v>0</v>
      </c>
      <c r="T31" s="3505">
        <v>0</v>
      </c>
      <c r="U31" s="3505">
        <v>0</v>
      </c>
      <c r="V31" s="3505">
        <v>0</v>
      </c>
      <c r="W31" s="3427" t="s">
        <v>4762</v>
      </c>
      <c r="X31" s="3427" t="s">
        <v>4762</v>
      </c>
      <c r="Y31" s="3427"/>
      <c r="Z31" s="3428"/>
    </row>
    <row r="32" spans="1:29" s="3503" customFormat="1" ht="54" customHeight="1" x14ac:dyDescent="0.25">
      <c r="A32" s="3425">
        <v>20</v>
      </c>
      <c r="B32" s="3426" t="s">
        <v>3620</v>
      </c>
      <c r="C32" s="3329"/>
      <c r="D32" s="4251">
        <v>107800</v>
      </c>
      <c r="E32" s="4252"/>
      <c r="F32" s="3505">
        <v>107800</v>
      </c>
      <c r="G32" s="3505">
        <v>0</v>
      </c>
      <c r="H32" s="3505">
        <v>0</v>
      </c>
      <c r="I32" s="3505">
        <v>103536</v>
      </c>
      <c r="J32" s="3505">
        <v>103536</v>
      </c>
      <c r="K32" s="3505">
        <v>0</v>
      </c>
      <c r="L32" s="3422"/>
      <c r="M32" s="3505">
        <v>0</v>
      </c>
      <c r="N32" s="3505">
        <v>0</v>
      </c>
      <c r="O32" s="3505">
        <v>0</v>
      </c>
      <c r="P32" s="3422"/>
      <c r="Q32" s="3505">
        <v>0</v>
      </c>
      <c r="R32" s="3505">
        <v>0</v>
      </c>
      <c r="S32" s="3505">
        <v>0</v>
      </c>
      <c r="T32" s="3505">
        <v>0</v>
      </c>
      <c r="U32" s="3505">
        <v>0</v>
      </c>
      <c r="V32" s="3505">
        <v>0</v>
      </c>
      <c r="W32" s="3427" t="s">
        <v>4763</v>
      </c>
      <c r="X32" s="3427" t="s">
        <v>4763</v>
      </c>
      <c r="Y32" s="3427"/>
      <c r="Z32" s="3428"/>
    </row>
    <row r="33" spans="1:27" s="3503" customFormat="1" ht="51.75" customHeight="1" x14ac:dyDescent="0.25">
      <c r="A33" s="3425">
        <v>21</v>
      </c>
      <c r="B33" s="3426" t="s">
        <v>3621</v>
      </c>
      <c r="C33" s="3329"/>
      <c r="D33" s="4251">
        <f>585334/2</f>
        <v>292667</v>
      </c>
      <c r="E33" s="4252"/>
      <c r="F33" s="3505">
        <f>585334/2</f>
        <v>292667</v>
      </c>
      <c r="G33" s="3505">
        <v>0</v>
      </c>
      <c r="H33" s="3505">
        <v>0</v>
      </c>
      <c r="I33" s="3505">
        <v>263989</v>
      </c>
      <c r="J33" s="3505">
        <v>263989</v>
      </c>
      <c r="K33" s="3505">
        <v>0</v>
      </c>
      <c r="L33" s="3422"/>
      <c r="M33" s="3505">
        <v>0</v>
      </c>
      <c r="N33" s="3505">
        <v>0</v>
      </c>
      <c r="O33" s="3505">
        <v>0</v>
      </c>
      <c r="P33" s="3422"/>
      <c r="Q33" s="3505">
        <v>0</v>
      </c>
      <c r="R33" s="3505">
        <v>0</v>
      </c>
      <c r="S33" s="3505">
        <v>0</v>
      </c>
      <c r="T33" s="3505">
        <v>0</v>
      </c>
      <c r="U33" s="3505">
        <v>0</v>
      </c>
      <c r="V33" s="3505">
        <v>0</v>
      </c>
      <c r="W33" s="3427" t="s">
        <v>4764</v>
      </c>
      <c r="X33" s="3427" t="s">
        <v>4764</v>
      </c>
      <c r="Y33" s="3427"/>
      <c r="Z33" s="3428"/>
    </row>
    <row r="34" spans="1:27" s="3503" customFormat="1" ht="44.25" customHeight="1" x14ac:dyDescent="0.25">
      <c r="A34" s="3425">
        <v>22</v>
      </c>
      <c r="B34" s="3426" t="s">
        <v>3622</v>
      </c>
      <c r="C34" s="3329"/>
      <c r="D34" s="4251">
        <f>1827000/2</f>
        <v>913500</v>
      </c>
      <c r="E34" s="4252"/>
      <c r="F34" s="3505">
        <v>0</v>
      </c>
      <c r="G34" s="3505">
        <v>0</v>
      </c>
      <c r="H34" s="3505">
        <f>1827000/2</f>
        <v>913500</v>
      </c>
      <c r="I34" s="3505">
        <v>623867</v>
      </c>
      <c r="J34" s="3505">
        <v>0</v>
      </c>
      <c r="K34" s="3505">
        <v>0</v>
      </c>
      <c r="L34" s="3422"/>
      <c r="M34" s="3505">
        <v>0</v>
      </c>
      <c r="N34" s="3505">
        <v>0</v>
      </c>
      <c r="O34" s="3505">
        <v>0</v>
      </c>
      <c r="P34" s="3422"/>
      <c r="Q34" s="3505">
        <v>0</v>
      </c>
      <c r="R34" s="3505">
        <v>623867</v>
      </c>
      <c r="S34" s="3505">
        <v>623867</v>
      </c>
      <c r="T34" s="3505">
        <v>0</v>
      </c>
      <c r="U34" s="3505">
        <v>0</v>
      </c>
      <c r="V34" s="3505">
        <v>0</v>
      </c>
      <c r="W34" s="3427" t="s">
        <v>3711</v>
      </c>
      <c r="X34" s="3427"/>
      <c r="Y34" s="3427"/>
      <c r="Z34" s="3428" t="s">
        <v>3711</v>
      </c>
    </row>
    <row r="35" spans="1:27" s="3503" customFormat="1" ht="56.25" customHeight="1" x14ac:dyDescent="0.25">
      <c r="A35" s="3425">
        <v>23</v>
      </c>
      <c r="B35" s="3426" t="s">
        <v>3623</v>
      </c>
      <c r="C35" s="3329"/>
      <c r="D35" s="4251">
        <f>616000/2</f>
        <v>308000</v>
      </c>
      <c r="E35" s="4252"/>
      <c r="F35" s="3505">
        <v>0</v>
      </c>
      <c r="G35" s="3505">
        <v>0</v>
      </c>
      <c r="H35" s="3505">
        <f>616000/2</f>
        <v>308000</v>
      </c>
      <c r="I35" s="3505">
        <v>308000</v>
      </c>
      <c r="J35" s="3505">
        <v>0</v>
      </c>
      <c r="K35" s="3505">
        <v>0</v>
      </c>
      <c r="L35" s="3422"/>
      <c r="M35" s="3505">
        <v>0</v>
      </c>
      <c r="N35" s="3505">
        <v>0</v>
      </c>
      <c r="O35" s="3505">
        <v>0</v>
      </c>
      <c r="P35" s="3422"/>
      <c r="Q35" s="3505">
        <v>0</v>
      </c>
      <c r="R35" s="3505">
        <v>308000</v>
      </c>
      <c r="S35" s="3505">
        <v>308000</v>
      </c>
      <c r="T35" s="3505">
        <v>0</v>
      </c>
      <c r="U35" s="3505">
        <v>0</v>
      </c>
      <c r="V35" s="3505">
        <v>0</v>
      </c>
      <c r="W35" s="3427" t="s">
        <v>3685</v>
      </c>
      <c r="X35" s="3427"/>
      <c r="Y35" s="3427"/>
      <c r="Z35" s="3428" t="s">
        <v>3685</v>
      </c>
    </row>
    <row r="36" spans="1:27" s="3503" customFormat="1" ht="44.25" customHeight="1" x14ac:dyDescent="0.25">
      <c r="A36" s="3425">
        <v>24</v>
      </c>
      <c r="B36" s="3426" t="s">
        <v>3624</v>
      </c>
      <c r="C36" s="3329"/>
      <c r="D36" s="4251">
        <v>517900</v>
      </c>
      <c r="E36" s="4252"/>
      <c r="F36" s="3505">
        <v>0</v>
      </c>
      <c r="G36" s="3505">
        <v>0</v>
      </c>
      <c r="H36" s="3505">
        <v>517900</v>
      </c>
      <c r="I36" s="3505">
        <v>505936</v>
      </c>
      <c r="J36" s="3505">
        <v>0</v>
      </c>
      <c r="K36" s="3505">
        <v>0</v>
      </c>
      <c r="L36" s="3422"/>
      <c r="M36" s="3505">
        <v>0</v>
      </c>
      <c r="N36" s="3505">
        <v>0</v>
      </c>
      <c r="O36" s="3505">
        <v>0</v>
      </c>
      <c r="P36" s="3422"/>
      <c r="Q36" s="3505">
        <v>0</v>
      </c>
      <c r="R36" s="3505">
        <v>505936</v>
      </c>
      <c r="S36" s="3505">
        <v>505936</v>
      </c>
      <c r="T36" s="3505">
        <v>0</v>
      </c>
      <c r="U36" s="3505">
        <v>0</v>
      </c>
      <c r="V36" s="3505">
        <v>0</v>
      </c>
      <c r="W36" s="3427" t="s">
        <v>3714</v>
      </c>
      <c r="X36" s="3427"/>
      <c r="Y36" s="3427"/>
      <c r="Z36" s="3428" t="s">
        <v>3714</v>
      </c>
    </row>
    <row r="38" spans="1:27" s="7" customFormat="1" ht="15.75" hidden="1" customHeight="1" x14ac:dyDescent="0.25">
      <c r="B38" s="4279" t="s">
        <v>3715</v>
      </c>
      <c r="C38" s="4279"/>
      <c r="D38" s="4279"/>
      <c r="E38" s="4279"/>
      <c r="F38" s="4279"/>
      <c r="G38" s="3323"/>
      <c r="H38" s="3323"/>
      <c r="I38" s="3323"/>
      <c r="J38" s="3323"/>
      <c r="K38" s="3504"/>
      <c r="S38" s="4279" t="s">
        <v>3716</v>
      </c>
      <c r="T38" s="4279"/>
      <c r="U38" s="4279"/>
      <c r="V38" s="4279"/>
      <c r="W38" s="4279"/>
      <c r="X38" s="4279"/>
      <c r="Y38" s="3323"/>
      <c r="Z38" s="3323"/>
      <c r="AA38" s="3323"/>
    </row>
    <row r="39" spans="1:27" s="7" customFormat="1" ht="15.75" hidden="1" customHeight="1" x14ac:dyDescent="0.25">
      <c r="B39" s="4280" t="s">
        <v>3717</v>
      </c>
      <c r="C39" s="4280"/>
      <c r="D39" s="4280"/>
      <c r="E39" s="4280"/>
      <c r="F39" s="4280"/>
      <c r="G39" s="3324"/>
      <c r="H39" s="3324"/>
      <c r="I39" s="4280" t="s">
        <v>3718</v>
      </c>
      <c r="J39" s="4280"/>
      <c r="K39" s="4280"/>
      <c r="L39" s="4280"/>
      <c r="M39" s="4280"/>
      <c r="S39" s="4280" t="s">
        <v>3719</v>
      </c>
      <c r="T39" s="4280"/>
      <c r="U39" s="4280"/>
      <c r="V39" s="4280"/>
      <c r="W39" s="4280"/>
      <c r="X39" s="4280"/>
      <c r="Y39" s="3324"/>
      <c r="Z39" s="3324"/>
      <c r="AA39" s="3324"/>
    </row>
    <row r="40" spans="1:27" ht="15" hidden="1" customHeight="1" x14ac:dyDescent="0.25"/>
    <row r="41" spans="1:27" ht="15" hidden="1" customHeight="1" x14ac:dyDescent="0.25"/>
    <row r="42" spans="1:27" ht="15" hidden="1" customHeight="1" x14ac:dyDescent="0.25"/>
    <row r="43" spans="1:27" ht="15" hidden="1" customHeight="1" x14ac:dyDescent="0.25"/>
    <row r="44" spans="1:27" ht="15" hidden="1" customHeight="1" x14ac:dyDescent="0.25"/>
    <row r="45" spans="1:27" ht="15" hidden="1" customHeight="1" x14ac:dyDescent="0.25"/>
    <row r="46" spans="1:27" ht="15" hidden="1" customHeight="1" x14ac:dyDescent="0.25"/>
    <row r="47" spans="1:27" ht="15" hidden="1" customHeight="1" x14ac:dyDescent="0.25"/>
    <row r="48" spans="1:27"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92" ht="15" customHeight="1" x14ac:dyDescent="0.25"/>
    <row r="93" ht="15" customHeight="1" x14ac:dyDescent="0.25"/>
    <row r="94" ht="15" customHeight="1" x14ac:dyDescent="0.25"/>
    <row r="96" ht="15" customHeight="1" x14ac:dyDescent="0.25"/>
    <row r="97" ht="15" customHeight="1" x14ac:dyDescent="0.25"/>
  </sheetData>
  <mergeCells count="62">
    <mergeCell ref="Z9:Z10"/>
    <mergeCell ref="B7:B10"/>
    <mergeCell ref="A7:A10"/>
    <mergeCell ref="R9:R10"/>
    <mergeCell ref="N9:N10"/>
    <mergeCell ref="J9:J10"/>
    <mergeCell ref="N8:Q8"/>
    <mergeCell ref="R8:T8"/>
    <mergeCell ref="X8:Z8"/>
    <mergeCell ref="D9:E9"/>
    <mergeCell ref="K9:M9"/>
    <mergeCell ref="O9:Q9"/>
    <mergeCell ref="S9:T9"/>
    <mergeCell ref="W8:W10"/>
    <mergeCell ref="X9:X10"/>
    <mergeCell ref="Y9:Y10"/>
    <mergeCell ref="S38:X38"/>
    <mergeCell ref="B39:F39"/>
    <mergeCell ref="I39:M39"/>
    <mergeCell ref="S39:X39"/>
    <mergeCell ref="D34:E34"/>
    <mergeCell ref="D35:E35"/>
    <mergeCell ref="D36:E36"/>
    <mergeCell ref="B38:F38"/>
    <mergeCell ref="U8:U10"/>
    <mergeCell ref="V8:V10"/>
    <mergeCell ref="D32:E32"/>
    <mergeCell ref="D33:E33"/>
    <mergeCell ref="D22:E22"/>
    <mergeCell ref="D23:E23"/>
    <mergeCell ref="D24:E24"/>
    <mergeCell ref="D30:E30"/>
    <mergeCell ref="D31:E31"/>
    <mergeCell ref="D8:E8"/>
    <mergeCell ref="D11:E11"/>
    <mergeCell ref="D12:E12"/>
    <mergeCell ref="D13:E13"/>
    <mergeCell ref="D14:E14"/>
    <mergeCell ref="D15:E15"/>
    <mergeCell ref="A1:D1"/>
    <mergeCell ref="W1:Z1"/>
    <mergeCell ref="A2:Z2"/>
    <mergeCell ref="A6:Z6"/>
    <mergeCell ref="D7:H7"/>
    <mergeCell ref="I7:V7"/>
    <mergeCell ref="W7:Z7"/>
    <mergeCell ref="A4:Z4"/>
    <mergeCell ref="A3:Z3"/>
    <mergeCell ref="F8:H8"/>
    <mergeCell ref="J8:M8"/>
    <mergeCell ref="D10:E10"/>
    <mergeCell ref="D28:E28"/>
    <mergeCell ref="D29:E29"/>
    <mergeCell ref="D26:E26"/>
    <mergeCell ref="D27:E27"/>
    <mergeCell ref="D16:E16"/>
    <mergeCell ref="D17:E17"/>
    <mergeCell ref="D18:E18"/>
    <mergeCell ref="D19:E19"/>
    <mergeCell ref="D20:E20"/>
    <mergeCell ref="D21:E21"/>
    <mergeCell ref="D25:E25"/>
  </mergeCells>
  <pageMargins left="0.5" right="0.28000000000000003" top="0.41" bottom="0.35" header="0.26" footer="0.2"/>
  <pageSetup paperSize="9" scale="65" orientation="landscape" useFirstPageNumber="1"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AO41"/>
  <sheetViews>
    <sheetView topLeftCell="J2" zoomScale="89" zoomScaleNormal="89" zoomScaleSheetLayoutView="95" workbookViewId="0">
      <selection activeCell="Y6" sqref="Y6"/>
    </sheetView>
  </sheetViews>
  <sheetFormatPr defaultRowHeight="15" x14ac:dyDescent="0.25"/>
  <cols>
    <col min="1" max="1" width="5.7109375" style="3325" customWidth="1"/>
    <col min="2" max="2" width="23" style="3509" customWidth="1"/>
    <col min="3" max="8" width="6.42578125" style="3509" customWidth="1"/>
    <col min="9" max="9" width="0" style="3509" hidden="1" customWidth="1"/>
    <col min="10" max="10" width="6.5703125" style="3509" customWidth="1"/>
    <col min="11" max="11" width="6.42578125" style="3509" customWidth="1"/>
    <col min="12" max="15" width="7.42578125" style="3509" customWidth="1"/>
    <col min="16" max="16" width="7.7109375" style="3509" customWidth="1"/>
    <col min="17" max="17" width="7.42578125" style="3509" customWidth="1"/>
    <col min="18" max="18" width="0" style="3509" hidden="1" customWidth="1"/>
    <col min="19" max="19" width="7" style="3509" customWidth="1"/>
    <col min="20" max="20" width="7.5703125" style="3509" customWidth="1"/>
    <col min="21" max="21" width="6.28515625" style="3509" customWidth="1"/>
    <col min="22" max="22" width="6.5703125" style="3509" customWidth="1"/>
    <col min="23" max="23" width="6.7109375" style="3509" customWidth="1"/>
    <col min="24" max="25" width="7.28515625" style="3509" customWidth="1"/>
    <col min="26" max="26" width="7.7109375" style="3509" customWidth="1"/>
    <col min="27" max="27" width="0" style="3509" hidden="1" customWidth="1"/>
    <col min="28" max="29" width="7.5703125" style="3509" customWidth="1"/>
    <col min="30" max="30" width="7.28515625" style="3509" customWidth="1"/>
    <col min="31" max="32" width="7.140625" style="3509" customWidth="1"/>
    <col min="33" max="33" width="6.5703125" style="3509" customWidth="1"/>
    <col min="34" max="34" width="6.7109375" style="3509" customWidth="1"/>
    <col min="35" max="35" width="6.28515625" style="3509" customWidth="1"/>
    <col min="36" max="36" width="5.5703125" style="3509" customWidth="1"/>
    <col min="37" max="40" width="6" style="3509" customWidth="1"/>
    <col min="41" max="41" width="6.140625" style="3509" customWidth="1"/>
    <col min="42" max="42" width="0" style="3509" hidden="1" customWidth="1"/>
    <col min="43" max="16384" width="9.140625" style="3509"/>
  </cols>
  <sheetData>
    <row r="1" spans="1:41" ht="42" customHeight="1" x14ac:dyDescent="0.25">
      <c r="A1" s="4257" t="str">
        <f>'B57'!A1:B1</f>
        <v>UBND XÃ PHONG QUANG</v>
      </c>
      <c r="B1" s="4257"/>
      <c r="C1" s="4257"/>
      <c r="D1" s="4257"/>
      <c r="E1" s="3334"/>
      <c r="L1" s="3824"/>
      <c r="AJ1" s="4259" t="s">
        <v>4777</v>
      </c>
      <c r="AK1" s="4294"/>
      <c r="AL1" s="4294"/>
      <c r="AM1" s="4294"/>
      <c r="AN1" s="4294"/>
      <c r="AO1" s="4294"/>
    </row>
    <row r="2" spans="1:41" ht="69" customHeight="1" x14ac:dyDescent="0.3">
      <c r="A2" s="4295" t="s">
        <v>4913</v>
      </c>
      <c r="B2" s="4296"/>
      <c r="C2" s="4296"/>
      <c r="D2" s="4296"/>
      <c r="E2" s="4296"/>
      <c r="F2" s="4296"/>
      <c r="G2" s="4296"/>
      <c r="H2" s="4296"/>
      <c r="I2" s="4296"/>
      <c r="J2" s="4296"/>
      <c r="K2" s="4296"/>
      <c r="L2" s="4296"/>
      <c r="M2" s="4296"/>
      <c r="N2" s="4296"/>
      <c r="O2" s="4296"/>
      <c r="P2" s="4296"/>
      <c r="Q2" s="4296"/>
      <c r="R2" s="4296"/>
      <c r="S2" s="4296"/>
      <c r="T2" s="4296"/>
      <c r="U2" s="4296"/>
      <c r="V2" s="4296"/>
      <c r="W2" s="4296"/>
      <c r="X2" s="4296"/>
      <c r="Y2" s="4296"/>
      <c r="Z2" s="4296"/>
      <c r="AA2" s="4296"/>
      <c r="AB2" s="4296"/>
      <c r="AC2" s="4296"/>
      <c r="AD2" s="4296"/>
      <c r="AE2" s="4296"/>
      <c r="AF2" s="4296"/>
      <c r="AG2" s="4296"/>
      <c r="AH2" s="4296"/>
      <c r="AI2" s="4296"/>
      <c r="AJ2" s="4296"/>
      <c r="AK2" s="4296"/>
      <c r="AL2" s="4296"/>
      <c r="AM2" s="4296"/>
      <c r="AN2" s="4296"/>
      <c r="AO2" s="4296"/>
    </row>
    <row r="3" spans="1:41" ht="21.75" customHeight="1" x14ac:dyDescent="0.25">
      <c r="A3" s="4262" t="s">
        <v>3647</v>
      </c>
      <c r="B3" s="4289"/>
      <c r="C3" s="4289"/>
      <c r="D3" s="4289"/>
      <c r="E3" s="4289"/>
      <c r="F3" s="4289"/>
      <c r="G3" s="4289"/>
      <c r="H3" s="4289"/>
      <c r="I3" s="4289"/>
      <c r="J3" s="4289"/>
      <c r="K3" s="4289"/>
      <c r="L3" s="4289"/>
      <c r="M3" s="4289"/>
      <c r="N3" s="4289"/>
      <c r="O3" s="4289"/>
      <c r="P3" s="4289"/>
      <c r="Q3" s="4289"/>
      <c r="R3" s="4289"/>
      <c r="S3" s="4289"/>
      <c r="T3" s="4289"/>
      <c r="U3" s="4289"/>
      <c r="V3" s="4289"/>
      <c r="W3" s="4289"/>
      <c r="X3" s="4289"/>
      <c r="Y3" s="4289"/>
      <c r="Z3" s="4289"/>
      <c r="AA3" s="4289"/>
      <c r="AB3" s="4289"/>
      <c r="AC3" s="4289"/>
      <c r="AD3" s="4289"/>
      <c r="AE3" s="4289"/>
      <c r="AF3" s="4289"/>
      <c r="AG3" s="4289"/>
      <c r="AH3" s="4289"/>
      <c r="AI3" s="4289"/>
      <c r="AJ3" s="4289"/>
      <c r="AK3" s="4289"/>
      <c r="AL3" s="4289"/>
      <c r="AM3" s="4289"/>
      <c r="AN3" s="4289"/>
      <c r="AO3" s="4289"/>
    </row>
    <row r="4" spans="1:41" ht="28.5" customHeight="1" x14ac:dyDescent="0.25">
      <c r="A4" s="4271" t="s">
        <v>844</v>
      </c>
      <c r="B4" s="4290" t="s">
        <v>466</v>
      </c>
      <c r="C4" s="4274" t="s">
        <v>846</v>
      </c>
      <c r="D4" s="4292"/>
      <c r="E4" s="4292"/>
      <c r="F4" s="4292"/>
      <c r="G4" s="4292"/>
      <c r="H4" s="4292"/>
      <c r="I4" s="4292"/>
      <c r="J4" s="4292"/>
      <c r="K4" s="4292"/>
      <c r="L4" s="4292"/>
      <c r="M4" s="4292"/>
      <c r="N4" s="4292"/>
      <c r="O4" s="4293"/>
      <c r="P4" s="4274" t="s">
        <v>13</v>
      </c>
      <c r="Q4" s="4292"/>
      <c r="R4" s="4292"/>
      <c r="S4" s="4292"/>
      <c r="T4" s="4292"/>
      <c r="U4" s="4292"/>
      <c r="V4" s="4292"/>
      <c r="W4" s="4292"/>
      <c r="X4" s="4292"/>
      <c r="Y4" s="4292"/>
      <c r="Z4" s="4292"/>
      <c r="AA4" s="4292"/>
      <c r="AB4" s="4292"/>
      <c r="AC4" s="4293"/>
      <c r="AD4" s="4274" t="s">
        <v>14</v>
      </c>
      <c r="AE4" s="4292"/>
      <c r="AF4" s="4292"/>
      <c r="AG4" s="4292"/>
      <c r="AH4" s="4292"/>
      <c r="AI4" s="4292"/>
      <c r="AJ4" s="4292"/>
      <c r="AK4" s="4292"/>
      <c r="AL4" s="4292"/>
      <c r="AM4" s="4292"/>
      <c r="AN4" s="4292"/>
      <c r="AO4" s="4293"/>
    </row>
    <row r="5" spans="1:41" ht="39" customHeight="1" x14ac:dyDescent="0.25">
      <c r="A5" s="4271"/>
      <c r="B5" s="4290"/>
      <c r="C5" s="3498" t="s">
        <v>1815</v>
      </c>
      <c r="D5" s="4247" t="s">
        <v>907</v>
      </c>
      <c r="E5" s="4297"/>
      <c r="F5" s="4247" t="s">
        <v>3648</v>
      </c>
      <c r="G5" s="4298"/>
      <c r="H5" s="4297"/>
      <c r="I5" s="3825"/>
      <c r="J5" s="4247" t="s">
        <v>3649</v>
      </c>
      <c r="K5" s="4298"/>
      <c r="L5" s="4297"/>
      <c r="M5" s="4247" t="s">
        <v>3650</v>
      </c>
      <c r="N5" s="4298"/>
      <c r="O5" s="4297"/>
      <c r="P5" s="3498" t="s">
        <v>1815</v>
      </c>
      <c r="Q5" s="4274" t="s">
        <v>907</v>
      </c>
      <c r="R5" s="4292"/>
      <c r="S5" s="4293"/>
      <c r="T5" s="4247" t="s">
        <v>3648</v>
      </c>
      <c r="U5" s="4298"/>
      <c r="V5" s="4297"/>
      <c r="W5" s="4247" t="s">
        <v>3651</v>
      </c>
      <c r="X5" s="4298"/>
      <c r="Y5" s="4297"/>
      <c r="Z5" s="4247" t="s">
        <v>3650</v>
      </c>
      <c r="AA5" s="4298"/>
      <c r="AB5" s="4298"/>
      <c r="AC5" s="4297"/>
      <c r="AD5" s="3498" t="s">
        <v>1815</v>
      </c>
      <c r="AE5" s="4247" t="s">
        <v>907</v>
      </c>
      <c r="AF5" s="4297"/>
      <c r="AG5" s="4247" t="s">
        <v>3648</v>
      </c>
      <c r="AH5" s="4298"/>
      <c r="AI5" s="4297"/>
      <c r="AJ5" s="4247" t="s">
        <v>3651</v>
      </c>
      <c r="AK5" s="4298"/>
      <c r="AL5" s="4297"/>
      <c r="AM5" s="4247" t="s">
        <v>3650</v>
      </c>
      <c r="AN5" s="4298"/>
      <c r="AO5" s="4297"/>
    </row>
    <row r="6" spans="1:41" ht="30" customHeight="1" x14ac:dyDescent="0.25">
      <c r="A6" s="4271"/>
      <c r="B6" s="4290"/>
      <c r="C6" s="3499" t="s">
        <v>868</v>
      </c>
      <c r="D6" s="3499" t="s">
        <v>3652</v>
      </c>
      <c r="E6" s="3499" t="s">
        <v>3653</v>
      </c>
      <c r="F6" s="3499" t="s">
        <v>868</v>
      </c>
      <c r="G6" s="3498" t="s">
        <v>3652</v>
      </c>
      <c r="H6" s="3498" t="s">
        <v>3654</v>
      </c>
      <c r="I6" s="3825"/>
      <c r="J6" s="3499" t="s">
        <v>868</v>
      </c>
      <c r="K6" s="3499" t="s">
        <v>3652</v>
      </c>
      <c r="L6" s="3499" t="s">
        <v>3654</v>
      </c>
      <c r="M6" s="3499" t="s">
        <v>868</v>
      </c>
      <c r="N6" s="3499" t="s">
        <v>3652</v>
      </c>
      <c r="O6" s="3499" t="s">
        <v>3654</v>
      </c>
      <c r="P6" s="3499" t="s">
        <v>868</v>
      </c>
      <c r="Q6" s="3498" t="s">
        <v>3655</v>
      </c>
      <c r="R6" s="3825"/>
      <c r="S6" s="3498" t="s">
        <v>3656</v>
      </c>
      <c r="T6" s="3499" t="s">
        <v>868</v>
      </c>
      <c r="U6" s="3499" t="s">
        <v>3652</v>
      </c>
      <c r="V6" s="3499" t="s">
        <v>3654</v>
      </c>
      <c r="W6" s="3499" t="s">
        <v>868</v>
      </c>
      <c r="X6" s="3499" t="s">
        <v>3652</v>
      </c>
      <c r="Y6" s="3499" t="s">
        <v>3654</v>
      </c>
      <c r="Z6" s="3499" t="s">
        <v>868</v>
      </c>
      <c r="AA6" s="3825"/>
      <c r="AB6" s="3499" t="s">
        <v>3652</v>
      </c>
      <c r="AC6" s="3499" t="s">
        <v>3654</v>
      </c>
      <c r="AD6" s="3826" t="s">
        <v>868</v>
      </c>
      <c r="AE6" s="3826" t="s">
        <v>3652</v>
      </c>
      <c r="AF6" s="3826" t="s">
        <v>3654</v>
      </c>
      <c r="AG6" s="3826" t="s">
        <v>868</v>
      </c>
      <c r="AH6" s="3826" t="s">
        <v>3652</v>
      </c>
      <c r="AI6" s="3826" t="s">
        <v>3654</v>
      </c>
      <c r="AJ6" s="3499" t="s">
        <v>868</v>
      </c>
      <c r="AK6" s="3499" t="s">
        <v>3652</v>
      </c>
      <c r="AL6" s="3499" t="s">
        <v>3654</v>
      </c>
      <c r="AM6" s="3499" t="s">
        <v>868</v>
      </c>
      <c r="AN6" s="3499" t="s">
        <v>3652</v>
      </c>
      <c r="AO6" s="3499" t="s">
        <v>3654</v>
      </c>
    </row>
    <row r="7" spans="1:41" ht="38.25" customHeight="1" x14ac:dyDescent="0.25">
      <c r="A7" s="4285"/>
      <c r="B7" s="4291"/>
      <c r="C7" s="3499" t="s">
        <v>1815</v>
      </c>
      <c r="D7" s="3499" t="s">
        <v>3657</v>
      </c>
      <c r="E7" s="3499" t="s">
        <v>2193</v>
      </c>
      <c r="F7" s="3499" t="s">
        <v>1815</v>
      </c>
      <c r="G7" s="3499" t="s">
        <v>3657</v>
      </c>
      <c r="H7" s="3499" t="s">
        <v>3658</v>
      </c>
      <c r="I7" s="3825"/>
      <c r="J7" s="3499" t="s">
        <v>1815</v>
      </c>
      <c r="K7" s="3499" t="s">
        <v>3657</v>
      </c>
      <c r="L7" s="3499" t="s">
        <v>3658</v>
      </c>
      <c r="M7" s="3499" t="s">
        <v>1815</v>
      </c>
      <c r="N7" s="3499" t="s">
        <v>3657</v>
      </c>
      <c r="O7" s="3499" t="s">
        <v>3658</v>
      </c>
      <c r="P7" s="3499" t="s">
        <v>1815</v>
      </c>
      <c r="Q7" s="3499" t="s">
        <v>3657</v>
      </c>
      <c r="R7" s="3825"/>
      <c r="S7" s="3499" t="s">
        <v>3658</v>
      </c>
      <c r="T7" s="3499" t="s">
        <v>1815</v>
      </c>
      <c r="U7" s="3499" t="s">
        <v>3659</v>
      </c>
      <c r="V7" s="3499" t="s">
        <v>3658</v>
      </c>
      <c r="W7" s="3499" t="s">
        <v>1815</v>
      </c>
      <c r="X7" s="3499" t="s">
        <v>3659</v>
      </c>
      <c r="Y7" s="3499" t="s">
        <v>3658</v>
      </c>
      <c r="Z7" s="3499" t="s">
        <v>1815</v>
      </c>
      <c r="AA7" s="3825"/>
      <c r="AB7" s="3499" t="s">
        <v>3659</v>
      </c>
      <c r="AC7" s="3499" t="s">
        <v>3658</v>
      </c>
      <c r="AD7" s="3499" t="s">
        <v>1815</v>
      </c>
      <c r="AE7" s="3499" t="s">
        <v>3659</v>
      </c>
      <c r="AF7" s="3499" t="s">
        <v>3658</v>
      </c>
      <c r="AG7" s="3499" t="s">
        <v>1815</v>
      </c>
      <c r="AH7" s="3499" t="s">
        <v>3659</v>
      </c>
      <c r="AI7" s="3499" t="s">
        <v>3658</v>
      </c>
      <c r="AJ7" s="3499" t="s">
        <v>1815</v>
      </c>
      <c r="AK7" s="3499" t="s">
        <v>3659</v>
      </c>
      <c r="AL7" s="3499" t="s">
        <v>3658</v>
      </c>
      <c r="AM7" s="3499" t="s">
        <v>1815</v>
      </c>
      <c r="AN7" s="3499" t="s">
        <v>3659</v>
      </c>
      <c r="AO7" s="3499" t="s">
        <v>3658</v>
      </c>
    </row>
    <row r="8" spans="1:41" s="3329" customFormat="1" ht="24.75" customHeight="1" x14ac:dyDescent="0.25">
      <c r="A8" s="3827" t="s">
        <v>847</v>
      </c>
      <c r="B8" s="3827" t="s">
        <v>848</v>
      </c>
      <c r="C8" s="3827" t="s">
        <v>1773</v>
      </c>
      <c r="D8" s="3827" t="s">
        <v>1774</v>
      </c>
      <c r="E8" s="3827" t="s">
        <v>1776</v>
      </c>
      <c r="F8" s="3827" t="s">
        <v>509</v>
      </c>
      <c r="G8" s="3827" t="s">
        <v>1782</v>
      </c>
      <c r="H8" s="3827" t="s">
        <v>1783</v>
      </c>
      <c r="J8" s="3827" t="s">
        <v>3660</v>
      </c>
      <c r="K8" s="3827" t="s">
        <v>1784</v>
      </c>
      <c r="L8" s="3827" t="s">
        <v>1785</v>
      </c>
      <c r="M8" s="3827" t="s">
        <v>1521</v>
      </c>
      <c r="N8" s="3827" t="s">
        <v>1522</v>
      </c>
      <c r="O8" s="3827" t="s">
        <v>738</v>
      </c>
      <c r="P8" s="3827" t="s">
        <v>1523</v>
      </c>
      <c r="Q8" s="3827" t="s">
        <v>1786</v>
      </c>
      <c r="S8" s="3827" t="s">
        <v>1787</v>
      </c>
      <c r="T8" s="3827" t="s">
        <v>1788</v>
      </c>
      <c r="U8" s="3827" t="s">
        <v>1789</v>
      </c>
      <c r="V8" s="3827" t="s">
        <v>1790</v>
      </c>
      <c r="W8" s="3827" t="s">
        <v>3661</v>
      </c>
      <c r="X8" s="3827" t="s">
        <v>3662</v>
      </c>
      <c r="Y8" s="3827" t="s">
        <v>3663</v>
      </c>
      <c r="Z8" s="3827" t="s">
        <v>3664</v>
      </c>
      <c r="AB8" s="3827" t="s">
        <v>1564</v>
      </c>
      <c r="AC8" s="3827" t="s">
        <v>1566</v>
      </c>
      <c r="AD8" s="3827" t="s">
        <v>3665</v>
      </c>
      <c r="AE8" s="3827" t="s">
        <v>3666</v>
      </c>
      <c r="AF8" s="3827" t="s">
        <v>3667</v>
      </c>
      <c r="AG8" s="3527" t="s">
        <v>3668</v>
      </c>
      <c r="AH8" s="3527" t="s">
        <v>3669</v>
      </c>
      <c r="AI8" s="3527" t="s">
        <v>3670</v>
      </c>
      <c r="AJ8" s="3527" t="s">
        <v>3671</v>
      </c>
      <c r="AK8" s="3527" t="s">
        <v>3672</v>
      </c>
      <c r="AL8" s="3527" t="s">
        <v>3673</v>
      </c>
      <c r="AM8" s="3527" t="s">
        <v>3674</v>
      </c>
      <c r="AN8" s="3527" t="s">
        <v>3675</v>
      </c>
      <c r="AO8" s="3527" t="s">
        <v>3676</v>
      </c>
    </row>
    <row r="9" spans="1:41" s="3503" customFormat="1" ht="24" customHeight="1" x14ac:dyDescent="0.25">
      <c r="A9" s="3501"/>
      <c r="B9" s="3828" t="s">
        <v>868</v>
      </c>
      <c r="C9" s="3829">
        <f>C10</f>
        <v>19368827</v>
      </c>
      <c r="D9" s="3829">
        <f>D10</f>
        <v>6746535</v>
      </c>
      <c r="E9" s="3829">
        <f>H9+L9+O9</f>
        <v>12622292</v>
      </c>
      <c r="F9" s="3829">
        <v>736507</v>
      </c>
      <c r="G9" s="3829">
        <v>0</v>
      </c>
      <c r="H9" s="3829">
        <v>736507</v>
      </c>
      <c r="I9" s="3830"/>
      <c r="J9" s="3829">
        <f>K9+L9</f>
        <v>7867091</v>
      </c>
      <c r="K9" s="3829">
        <f>K10</f>
        <v>6438535</v>
      </c>
      <c r="L9" s="3829">
        <v>1428556</v>
      </c>
      <c r="M9" s="3829">
        <f>N9+O9</f>
        <v>10765229</v>
      </c>
      <c r="N9" s="3829">
        <v>308000</v>
      </c>
      <c r="O9" s="3829">
        <v>10457229</v>
      </c>
      <c r="P9" s="3829">
        <v>14145816</v>
      </c>
      <c r="Q9" s="3829">
        <v>5108791</v>
      </c>
      <c r="R9" s="3830"/>
      <c r="S9" s="3829">
        <v>9037026</v>
      </c>
      <c r="T9" s="3829">
        <v>604889</v>
      </c>
      <c r="U9" s="3829">
        <v>0</v>
      </c>
      <c r="V9" s="3829">
        <v>604889</v>
      </c>
      <c r="W9" s="3829">
        <v>5742395</v>
      </c>
      <c r="X9" s="3829">
        <v>4800791</v>
      </c>
      <c r="Y9" s="3829">
        <v>941604</v>
      </c>
      <c r="Z9" s="3829">
        <v>7798533</v>
      </c>
      <c r="AA9" s="3830"/>
      <c r="AB9" s="3829">
        <v>308000</v>
      </c>
      <c r="AC9" s="3829">
        <v>7490533</v>
      </c>
      <c r="AD9" s="3831" t="s">
        <v>3677</v>
      </c>
      <c r="AE9" s="3831" t="s">
        <v>3678</v>
      </c>
      <c r="AF9" s="3831" t="s">
        <v>3679</v>
      </c>
      <c r="AG9" s="3831" t="s">
        <v>3680</v>
      </c>
      <c r="AH9" s="3831"/>
      <c r="AI9" s="3831" t="s">
        <v>3680</v>
      </c>
      <c r="AJ9" s="3831" t="s">
        <v>3681</v>
      </c>
      <c r="AK9" s="3831" t="s">
        <v>3682</v>
      </c>
      <c r="AL9" s="3831" t="s">
        <v>3683</v>
      </c>
      <c r="AM9" s="3831" t="s">
        <v>3684</v>
      </c>
      <c r="AN9" s="3328" t="s">
        <v>3685</v>
      </c>
      <c r="AO9" s="3328" t="s">
        <v>3686</v>
      </c>
    </row>
    <row r="10" spans="1:41" s="3503" customFormat="1" ht="24" customHeight="1" x14ac:dyDescent="0.25">
      <c r="A10" s="3501" t="s">
        <v>849</v>
      </c>
      <c r="B10" s="3828" t="s">
        <v>731</v>
      </c>
      <c r="C10" s="3829">
        <f>F10+J10+M10</f>
        <v>19368827</v>
      </c>
      <c r="D10" s="3829">
        <f>G10+K10+N10</f>
        <v>6746535</v>
      </c>
      <c r="E10" s="3829">
        <f>H10+L10+O10</f>
        <v>12622292</v>
      </c>
      <c r="F10" s="3829">
        <v>736507</v>
      </c>
      <c r="G10" s="3829">
        <v>0</v>
      </c>
      <c r="H10" s="3829">
        <v>736507</v>
      </c>
      <c r="I10" s="3830"/>
      <c r="J10" s="3829">
        <f>K10+L10</f>
        <v>7867091</v>
      </c>
      <c r="K10" s="3829">
        <f>SUM(K11:K22)</f>
        <v>6438535</v>
      </c>
      <c r="L10" s="3829">
        <v>1428556</v>
      </c>
      <c r="M10" s="3829">
        <f>N10+O10</f>
        <v>10765229</v>
      </c>
      <c r="N10" s="3829">
        <v>308000</v>
      </c>
      <c r="O10" s="3829">
        <v>10457229</v>
      </c>
      <c r="P10" s="3829">
        <v>14145816</v>
      </c>
      <c r="Q10" s="3829">
        <v>5108791</v>
      </c>
      <c r="R10" s="3830"/>
      <c r="S10" s="3829">
        <v>9037026</v>
      </c>
      <c r="T10" s="3829">
        <v>604889</v>
      </c>
      <c r="U10" s="3829">
        <v>0</v>
      </c>
      <c r="V10" s="3829">
        <v>604889</v>
      </c>
      <c r="W10" s="3829">
        <v>5742395</v>
      </c>
      <c r="X10" s="3829">
        <v>4800791</v>
      </c>
      <c r="Y10" s="3829">
        <v>941604</v>
      </c>
      <c r="Z10" s="3829">
        <v>7798533</v>
      </c>
      <c r="AA10" s="3830"/>
      <c r="AB10" s="3829">
        <v>308000</v>
      </c>
      <c r="AC10" s="3829">
        <v>7490533</v>
      </c>
      <c r="AD10" s="3831" t="s">
        <v>3677</v>
      </c>
      <c r="AE10" s="3831" t="s">
        <v>3678</v>
      </c>
      <c r="AF10" s="3831" t="s">
        <v>3679</v>
      </c>
      <c r="AG10" s="3831" t="s">
        <v>3680</v>
      </c>
      <c r="AH10" s="3831"/>
      <c r="AI10" s="3831" t="s">
        <v>3680</v>
      </c>
      <c r="AJ10" s="3831" t="s">
        <v>3681</v>
      </c>
      <c r="AK10" s="3831" t="s">
        <v>3682</v>
      </c>
      <c r="AL10" s="3831" t="s">
        <v>3683</v>
      </c>
      <c r="AM10" s="3831" t="s">
        <v>3684</v>
      </c>
      <c r="AN10" s="3328" t="s">
        <v>3685</v>
      </c>
      <c r="AO10" s="3328" t="s">
        <v>3686</v>
      </c>
    </row>
    <row r="11" spans="1:41" s="3503" customFormat="1" ht="25.5" x14ac:dyDescent="0.25">
      <c r="A11" s="3832" t="s">
        <v>3687</v>
      </c>
      <c r="B11" s="3833" t="s">
        <v>3640</v>
      </c>
      <c r="C11" s="3834">
        <f>F11+J11+M11</f>
        <v>2110694</v>
      </c>
      <c r="D11" s="3834">
        <f t="shared" ref="D11:D22" si="0">G11+K11+N11</f>
        <v>0</v>
      </c>
      <c r="E11" s="3834">
        <v>2110694</v>
      </c>
      <c r="F11" s="3834">
        <v>470000</v>
      </c>
      <c r="G11" s="3834">
        <v>0</v>
      </c>
      <c r="H11" s="3834">
        <v>470000</v>
      </c>
      <c r="I11" s="3830"/>
      <c r="J11" s="3834">
        <v>500000</v>
      </c>
      <c r="K11" s="3834">
        <v>0</v>
      </c>
      <c r="L11" s="3834">
        <v>500000</v>
      </c>
      <c r="M11" s="3834">
        <v>1140694</v>
      </c>
      <c r="N11" s="3834">
        <v>0</v>
      </c>
      <c r="O11" s="3834">
        <v>1140694</v>
      </c>
      <c r="P11" s="3834">
        <v>1999366</v>
      </c>
      <c r="Q11" s="3834">
        <v>0</v>
      </c>
      <c r="R11" s="3830"/>
      <c r="S11" s="3834">
        <v>1999366</v>
      </c>
      <c r="T11" s="3834">
        <v>421882</v>
      </c>
      <c r="U11" s="3834">
        <v>0</v>
      </c>
      <c r="V11" s="3834">
        <v>421882</v>
      </c>
      <c r="W11" s="3834">
        <v>488385</v>
      </c>
      <c r="X11" s="3834">
        <v>0</v>
      </c>
      <c r="Y11" s="3834">
        <v>488385</v>
      </c>
      <c r="Z11" s="3834">
        <v>1089098</v>
      </c>
      <c r="AA11" s="3830"/>
      <c r="AB11" s="3834">
        <v>0</v>
      </c>
      <c r="AC11" s="3834">
        <v>1089098</v>
      </c>
      <c r="AD11" s="3835" t="s">
        <v>3688</v>
      </c>
      <c r="AE11" s="3835"/>
      <c r="AF11" s="3835" t="s">
        <v>3688</v>
      </c>
      <c r="AG11" s="3835" t="s">
        <v>3689</v>
      </c>
      <c r="AH11" s="3835"/>
      <c r="AI11" s="3835" t="s">
        <v>3689</v>
      </c>
      <c r="AJ11" s="3835" t="s">
        <v>3690</v>
      </c>
      <c r="AK11" s="3835"/>
      <c r="AL11" s="3835" t="s">
        <v>3690</v>
      </c>
      <c r="AM11" s="3835" t="s">
        <v>3691</v>
      </c>
      <c r="AN11" s="3836"/>
      <c r="AO11" s="3836" t="s">
        <v>3691</v>
      </c>
    </row>
    <row r="12" spans="1:41" s="3503" customFormat="1" ht="25.5" x14ac:dyDescent="0.25">
      <c r="A12" s="3832" t="s">
        <v>3692</v>
      </c>
      <c r="B12" s="3833" t="s">
        <v>3642</v>
      </c>
      <c r="C12" s="3834">
        <f t="shared" ref="C12:C22" si="1">F12+J12+M12</f>
        <v>10399598</v>
      </c>
      <c r="D12" s="3834">
        <f t="shared" si="0"/>
        <v>0</v>
      </c>
      <c r="E12" s="3834">
        <v>10399598</v>
      </c>
      <c r="F12" s="3834">
        <v>266507</v>
      </c>
      <c r="G12" s="3834">
        <v>0</v>
      </c>
      <c r="H12" s="3834">
        <v>266507</v>
      </c>
      <c r="I12" s="3830"/>
      <c r="J12" s="3834">
        <v>928556</v>
      </c>
      <c r="K12" s="3834">
        <v>0</v>
      </c>
      <c r="L12" s="3834">
        <v>928556</v>
      </c>
      <c r="M12" s="3834">
        <v>9204535</v>
      </c>
      <c r="N12" s="3834">
        <v>0</v>
      </c>
      <c r="O12" s="3834">
        <v>9204535</v>
      </c>
      <c r="P12" s="3834">
        <v>6925660</v>
      </c>
      <c r="Q12" s="3834">
        <v>0</v>
      </c>
      <c r="R12" s="3830"/>
      <c r="S12" s="3834">
        <v>6925660</v>
      </c>
      <c r="T12" s="3834">
        <v>183006</v>
      </c>
      <c r="U12" s="3834">
        <v>0</v>
      </c>
      <c r="V12" s="3834">
        <v>183006</v>
      </c>
      <c r="W12" s="3834">
        <v>453219</v>
      </c>
      <c r="X12" s="3834">
        <v>0</v>
      </c>
      <c r="Y12" s="3834">
        <v>453219</v>
      </c>
      <c r="Z12" s="3834">
        <v>6289435</v>
      </c>
      <c r="AA12" s="3830"/>
      <c r="AB12" s="3834">
        <v>0</v>
      </c>
      <c r="AC12" s="3834">
        <v>6289435</v>
      </c>
      <c r="AD12" s="3835" t="s">
        <v>3693</v>
      </c>
      <c r="AE12" s="3835"/>
      <c r="AF12" s="3835" t="s">
        <v>3693</v>
      </c>
      <c r="AG12" s="3835" t="s">
        <v>3694</v>
      </c>
      <c r="AH12" s="3835"/>
      <c r="AI12" s="3835" t="s">
        <v>3694</v>
      </c>
      <c r="AJ12" s="3835" t="s">
        <v>3695</v>
      </c>
      <c r="AK12" s="3835"/>
      <c r="AL12" s="3835" t="s">
        <v>3695</v>
      </c>
      <c r="AM12" s="3835" t="s">
        <v>3696</v>
      </c>
      <c r="AN12" s="3836"/>
      <c r="AO12" s="3836" t="s">
        <v>3696</v>
      </c>
    </row>
    <row r="13" spans="1:41" s="3503" customFormat="1" ht="38.25" x14ac:dyDescent="0.25">
      <c r="A13" s="3832" t="s">
        <v>3697</v>
      </c>
      <c r="B13" s="3833" t="s">
        <v>3643</v>
      </c>
      <c r="C13" s="3834">
        <f t="shared" si="1"/>
        <v>112000</v>
      </c>
      <c r="D13" s="3834">
        <f t="shared" si="0"/>
        <v>0</v>
      </c>
      <c r="E13" s="3834">
        <v>112000</v>
      </c>
      <c r="F13" s="3834">
        <v>0</v>
      </c>
      <c r="G13" s="3834">
        <v>0</v>
      </c>
      <c r="H13" s="3834">
        <v>0</v>
      </c>
      <c r="I13" s="3830"/>
      <c r="J13" s="3834">
        <v>0</v>
      </c>
      <c r="K13" s="3834">
        <v>0</v>
      </c>
      <c r="L13" s="3834">
        <v>0</v>
      </c>
      <c r="M13" s="3834">
        <v>112000</v>
      </c>
      <c r="N13" s="3834">
        <v>0</v>
      </c>
      <c r="O13" s="3834">
        <v>112000</v>
      </c>
      <c r="P13" s="3834">
        <v>112000</v>
      </c>
      <c r="Q13" s="3834">
        <v>0</v>
      </c>
      <c r="R13" s="3830"/>
      <c r="S13" s="3834">
        <v>112000</v>
      </c>
      <c r="T13" s="3834">
        <v>0</v>
      </c>
      <c r="U13" s="3834">
        <v>0</v>
      </c>
      <c r="V13" s="3834">
        <v>0</v>
      </c>
      <c r="W13" s="3834">
        <v>0</v>
      </c>
      <c r="X13" s="3834">
        <v>0</v>
      </c>
      <c r="Y13" s="3834">
        <v>0</v>
      </c>
      <c r="Z13" s="3834">
        <v>112000</v>
      </c>
      <c r="AA13" s="3830"/>
      <c r="AB13" s="3834">
        <v>0</v>
      </c>
      <c r="AC13" s="3834">
        <v>112000</v>
      </c>
      <c r="AD13" s="3835" t="s">
        <v>3698</v>
      </c>
      <c r="AE13" s="3835"/>
      <c r="AF13" s="3835" t="s">
        <v>3698</v>
      </c>
      <c r="AG13" s="3835"/>
      <c r="AH13" s="3835"/>
      <c r="AI13" s="3835"/>
      <c r="AJ13" s="3835"/>
      <c r="AK13" s="3835"/>
      <c r="AL13" s="3835"/>
      <c r="AM13" s="3835" t="s">
        <v>3698</v>
      </c>
      <c r="AN13" s="3836"/>
      <c r="AO13" s="3836" t="s">
        <v>3698</v>
      </c>
    </row>
    <row r="14" spans="1:41" s="3503" customFormat="1" ht="38.25" x14ac:dyDescent="0.25">
      <c r="A14" s="3832" t="s">
        <v>3699</v>
      </c>
      <c r="B14" s="3833" t="s">
        <v>3613</v>
      </c>
      <c r="C14" s="3834">
        <f t="shared" si="1"/>
        <v>2056482</v>
      </c>
      <c r="D14" s="3834">
        <f t="shared" si="0"/>
        <v>2056482</v>
      </c>
      <c r="E14" s="3834">
        <v>0</v>
      </c>
      <c r="F14" s="3834">
        <v>0</v>
      </c>
      <c r="G14" s="3834">
        <v>0</v>
      </c>
      <c r="H14" s="3834">
        <v>0</v>
      </c>
      <c r="I14" s="3830"/>
      <c r="J14" s="3834">
        <v>2056482</v>
      </c>
      <c r="K14" s="3834">
        <v>2056482</v>
      </c>
      <c r="L14" s="3834"/>
      <c r="M14" s="3834"/>
      <c r="N14" s="3834"/>
      <c r="O14" s="3834">
        <v>0</v>
      </c>
      <c r="P14" s="3834">
        <v>1164307</v>
      </c>
      <c r="Q14" s="3834">
        <v>1164307</v>
      </c>
      <c r="R14" s="3830"/>
      <c r="S14" s="3834">
        <v>0</v>
      </c>
      <c r="T14" s="3834">
        <f>T9+W9+Z9</f>
        <v>14145817</v>
      </c>
      <c r="U14" s="3834">
        <v>0</v>
      </c>
      <c r="V14" s="3834">
        <v>0</v>
      </c>
      <c r="W14" s="3834">
        <v>1164307</v>
      </c>
      <c r="X14" s="3834">
        <v>1164307</v>
      </c>
      <c r="Y14" s="3834">
        <v>0</v>
      </c>
      <c r="Z14" s="3834">
        <v>0</v>
      </c>
      <c r="AA14" s="3830"/>
      <c r="AB14" s="3834">
        <v>0</v>
      </c>
      <c r="AC14" s="3834">
        <v>0</v>
      </c>
      <c r="AD14" s="3835" t="s">
        <v>3700</v>
      </c>
      <c r="AE14" s="3835" t="s">
        <v>3700</v>
      </c>
      <c r="AF14" s="3835"/>
      <c r="AG14" s="3835"/>
      <c r="AH14" s="3835"/>
      <c r="AI14" s="3835"/>
      <c r="AJ14" s="3835" t="s">
        <v>3700</v>
      </c>
      <c r="AK14" s="3835" t="s">
        <v>3700</v>
      </c>
      <c r="AL14" s="3835"/>
      <c r="AM14" s="3835"/>
      <c r="AN14" s="3836"/>
      <c r="AO14" s="3836"/>
    </row>
    <row r="15" spans="1:41" s="3503" customFormat="1" ht="63.75" x14ac:dyDescent="0.25">
      <c r="A15" s="3832" t="s">
        <v>3701</v>
      </c>
      <c r="B15" s="3833" t="s">
        <v>3614</v>
      </c>
      <c r="C15" s="3834">
        <f t="shared" si="1"/>
        <v>1056973</v>
      </c>
      <c r="D15" s="3834">
        <f t="shared" si="0"/>
        <v>1056973</v>
      </c>
      <c r="E15" s="3834">
        <v>0</v>
      </c>
      <c r="F15" s="3834">
        <v>0</v>
      </c>
      <c r="G15" s="3834">
        <v>0</v>
      </c>
      <c r="H15" s="3834">
        <v>0</v>
      </c>
      <c r="I15" s="3830"/>
      <c r="J15" s="3834">
        <v>1056973</v>
      </c>
      <c r="K15" s="3834">
        <v>1056973</v>
      </c>
      <c r="L15" s="3834"/>
      <c r="M15" s="3834">
        <v>0</v>
      </c>
      <c r="N15" s="3834">
        <v>0</v>
      </c>
      <c r="O15" s="3834">
        <v>0</v>
      </c>
      <c r="P15" s="3834">
        <v>752848</v>
      </c>
      <c r="Q15" s="3834">
        <v>752848</v>
      </c>
      <c r="R15" s="3830"/>
      <c r="S15" s="3834">
        <v>0</v>
      </c>
      <c r="T15" s="3834">
        <v>0</v>
      </c>
      <c r="U15" s="3834">
        <v>0</v>
      </c>
      <c r="V15" s="3834">
        <v>0</v>
      </c>
      <c r="W15" s="3834">
        <v>752848</v>
      </c>
      <c r="X15" s="3834">
        <v>752848</v>
      </c>
      <c r="Y15" s="3834">
        <v>0</v>
      </c>
      <c r="Z15" s="3834">
        <v>0</v>
      </c>
      <c r="AA15" s="3830"/>
      <c r="AB15" s="3834">
        <v>0</v>
      </c>
      <c r="AC15" s="3834">
        <v>0</v>
      </c>
      <c r="AD15" s="3835" t="s">
        <v>3702</v>
      </c>
      <c r="AE15" s="3835" t="s">
        <v>3702</v>
      </c>
      <c r="AF15" s="3835"/>
      <c r="AG15" s="3835"/>
      <c r="AH15" s="3835"/>
      <c r="AI15" s="3835"/>
      <c r="AJ15" s="3835" t="s">
        <v>3702</v>
      </c>
      <c r="AK15" s="3835" t="s">
        <v>3702</v>
      </c>
      <c r="AL15" s="3835"/>
      <c r="AM15" s="3835"/>
      <c r="AN15" s="3836"/>
      <c r="AO15" s="3836"/>
    </row>
    <row r="16" spans="1:41" s="3503" customFormat="1" ht="76.5" x14ac:dyDescent="0.25">
      <c r="A16" s="3832" t="s">
        <v>3703</v>
      </c>
      <c r="B16" s="3833" t="s">
        <v>3615</v>
      </c>
      <c r="C16" s="3834">
        <f t="shared" si="1"/>
        <v>1538780</v>
      </c>
      <c r="D16" s="3834">
        <f t="shared" si="0"/>
        <v>1538780</v>
      </c>
      <c r="E16" s="3834">
        <v>0</v>
      </c>
      <c r="F16" s="3834">
        <v>0</v>
      </c>
      <c r="G16" s="3834">
        <v>0</v>
      </c>
      <c r="H16" s="3834">
        <v>0</v>
      </c>
      <c r="I16" s="3830"/>
      <c r="J16" s="3834">
        <v>1538780</v>
      </c>
      <c r="K16" s="3834">
        <v>1538780</v>
      </c>
      <c r="L16" s="3834"/>
      <c r="M16" s="3834">
        <v>0</v>
      </c>
      <c r="N16" s="3834">
        <v>0</v>
      </c>
      <c r="O16" s="3834">
        <v>0</v>
      </c>
      <c r="P16" s="3834">
        <v>1461629</v>
      </c>
      <c r="Q16" s="3834">
        <v>1461629</v>
      </c>
      <c r="R16" s="3830"/>
      <c r="S16" s="3834">
        <v>0</v>
      </c>
      <c r="T16" s="3834">
        <v>0</v>
      </c>
      <c r="U16" s="3834">
        <v>0</v>
      </c>
      <c r="V16" s="3834">
        <v>0</v>
      </c>
      <c r="W16" s="3834">
        <v>1461629</v>
      </c>
      <c r="X16" s="3834">
        <v>1461629</v>
      </c>
      <c r="Y16" s="3834">
        <v>0</v>
      </c>
      <c r="Z16" s="3834">
        <v>0</v>
      </c>
      <c r="AA16" s="3830"/>
      <c r="AB16" s="3834">
        <v>0</v>
      </c>
      <c r="AC16" s="3834">
        <v>0</v>
      </c>
      <c r="AD16" s="3835" t="s">
        <v>3704</v>
      </c>
      <c r="AE16" s="3835" t="s">
        <v>3704</v>
      </c>
      <c r="AF16" s="3835"/>
      <c r="AG16" s="3835"/>
      <c r="AH16" s="3835"/>
      <c r="AI16" s="3835"/>
      <c r="AJ16" s="3835" t="s">
        <v>3704</v>
      </c>
      <c r="AK16" s="3835" t="s">
        <v>3704</v>
      </c>
      <c r="AL16" s="3835"/>
      <c r="AM16" s="3835"/>
      <c r="AN16" s="3836"/>
      <c r="AO16" s="3836"/>
    </row>
    <row r="17" spans="1:41" s="3503" customFormat="1" ht="64.5" customHeight="1" x14ac:dyDescent="0.25">
      <c r="A17" s="3832" t="s">
        <v>3705</v>
      </c>
      <c r="B17" s="3833" t="s">
        <v>3616</v>
      </c>
      <c r="C17" s="3834">
        <f t="shared" si="1"/>
        <v>250000</v>
      </c>
      <c r="D17" s="3834">
        <f t="shared" si="0"/>
        <v>250000</v>
      </c>
      <c r="E17" s="3834">
        <v>0</v>
      </c>
      <c r="F17" s="3834">
        <v>0</v>
      </c>
      <c r="G17" s="3834">
        <v>0</v>
      </c>
      <c r="H17" s="3834">
        <v>0</v>
      </c>
      <c r="I17" s="3830"/>
      <c r="J17" s="3834">
        <v>250000</v>
      </c>
      <c r="K17" s="3834">
        <v>250000</v>
      </c>
      <c r="L17" s="3834"/>
      <c r="M17" s="3834">
        <v>0</v>
      </c>
      <c r="N17" s="3834">
        <v>0</v>
      </c>
      <c r="O17" s="3834">
        <v>0</v>
      </c>
      <c r="P17" s="3834">
        <v>190885</v>
      </c>
      <c r="Q17" s="3834">
        <v>190885</v>
      </c>
      <c r="R17" s="3830"/>
      <c r="S17" s="3834">
        <v>0</v>
      </c>
      <c r="T17" s="3834">
        <v>0</v>
      </c>
      <c r="U17" s="3834">
        <v>0</v>
      </c>
      <c r="V17" s="3834">
        <v>0</v>
      </c>
      <c r="W17" s="3834">
        <v>190885</v>
      </c>
      <c r="X17" s="3834">
        <v>190885</v>
      </c>
      <c r="Y17" s="3834">
        <v>0</v>
      </c>
      <c r="Z17" s="3834">
        <v>0</v>
      </c>
      <c r="AA17" s="3830"/>
      <c r="AB17" s="3834">
        <v>0</v>
      </c>
      <c r="AC17" s="3834">
        <v>0</v>
      </c>
      <c r="AD17" s="3835" t="s">
        <v>3706</v>
      </c>
      <c r="AE17" s="3835" t="s">
        <v>3706</v>
      </c>
      <c r="AF17" s="3835"/>
      <c r="AG17" s="3835"/>
      <c r="AH17" s="3835"/>
      <c r="AI17" s="3835"/>
      <c r="AJ17" s="3835" t="s">
        <v>3706</v>
      </c>
      <c r="AK17" s="3835" t="s">
        <v>3706</v>
      </c>
      <c r="AL17" s="3835"/>
      <c r="AM17" s="3835"/>
      <c r="AN17" s="3836"/>
      <c r="AO17" s="3836"/>
    </row>
    <row r="18" spans="1:41" s="3503" customFormat="1" ht="25.5" x14ac:dyDescent="0.25">
      <c r="A18" s="3832" t="s">
        <v>3707</v>
      </c>
      <c r="B18" s="3833" t="s">
        <v>3617</v>
      </c>
      <c r="C18" s="3834">
        <f t="shared" si="1"/>
        <v>39700</v>
      </c>
      <c r="D18" s="3834">
        <f t="shared" si="0"/>
        <v>39700</v>
      </c>
      <c r="E18" s="3834">
        <v>0</v>
      </c>
      <c r="F18" s="3834">
        <v>0</v>
      </c>
      <c r="G18" s="3834">
        <v>0</v>
      </c>
      <c r="H18" s="3834">
        <v>0</v>
      </c>
      <c r="I18" s="3830"/>
      <c r="J18" s="3834">
        <f>K18+L18</f>
        <v>39700</v>
      </c>
      <c r="K18" s="3834">
        <f>26000+13700</f>
        <v>39700</v>
      </c>
      <c r="L18" s="3834"/>
      <c r="M18" s="3834">
        <v>0</v>
      </c>
      <c r="N18" s="3834">
        <v>0</v>
      </c>
      <c r="O18" s="3834">
        <v>0</v>
      </c>
      <c r="P18" s="3834">
        <v>39700</v>
      </c>
      <c r="Q18" s="3834">
        <v>39700</v>
      </c>
      <c r="R18" s="3830"/>
      <c r="S18" s="3834">
        <v>0</v>
      </c>
      <c r="T18" s="3834">
        <v>0</v>
      </c>
      <c r="U18" s="3834">
        <v>0</v>
      </c>
      <c r="V18" s="3834">
        <v>0</v>
      </c>
      <c r="W18" s="3834">
        <v>39700</v>
      </c>
      <c r="X18" s="3834">
        <v>39700</v>
      </c>
      <c r="Y18" s="3834">
        <v>0</v>
      </c>
      <c r="Z18" s="3834">
        <v>0</v>
      </c>
      <c r="AA18" s="3830"/>
      <c r="AB18" s="3834">
        <v>0</v>
      </c>
      <c r="AC18" s="3834">
        <v>0</v>
      </c>
      <c r="AD18" s="3835" t="s">
        <v>3685</v>
      </c>
      <c r="AE18" s="3835" t="s">
        <v>3685</v>
      </c>
      <c r="AF18" s="3835"/>
      <c r="AG18" s="3835"/>
      <c r="AH18" s="3835"/>
      <c r="AI18" s="3835"/>
      <c r="AJ18" s="3835" t="s">
        <v>3685</v>
      </c>
      <c r="AK18" s="3835" t="s">
        <v>3685</v>
      </c>
      <c r="AL18" s="3835"/>
      <c r="AM18" s="3835"/>
      <c r="AN18" s="3836"/>
      <c r="AO18" s="3836"/>
    </row>
    <row r="19" spans="1:41" s="3503" customFormat="1" ht="38.25" x14ac:dyDescent="0.25">
      <c r="A19" s="3832" t="s">
        <v>3708</v>
      </c>
      <c r="B19" s="3833" t="s">
        <v>3618</v>
      </c>
      <c r="C19" s="3834">
        <f t="shared" si="1"/>
        <v>65200</v>
      </c>
      <c r="D19" s="3834">
        <f t="shared" si="0"/>
        <v>65200</v>
      </c>
      <c r="E19" s="3834">
        <v>0</v>
      </c>
      <c r="F19" s="3834">
        <v>0</v>
      </c>
      <c r="G19" s="3834">
        <v>0</v>
      </c>
      <c r="H19" s="3834">
        <v>0</v>
      </c>
      <c r="I19" s="3830"/>
      <c r="J19" s="3834">
        <f>K19+L19</f>
        <v>65200</v>
      </c>
      <c r="K19" s="3834">
        <v>65200</v>
      </c>
      <c r="L19" s="3834"/>
      <c r="M19" s="3834"/>
      <c r="N19" s="3834">
        <v>0</v>
      </c>
      <c r="O19" s="3834">
        <v>0</v>
      </c>
      <c r="P19" s="3834">
        <v>61619</v>
      </c>
      <c r="Q19" s="3834">
        <v>61619</v>
      </c>
      <c r="R19" s="3830"/>
      <c r="S19" s="3834">
        <v>0</v>
      </c>
      <c r="T19" s="3834">
        <v>0</v>
      </c>
      <c r="U19" s="3834">
        <v>0</v>
      </c>
      <c r="V19" s="3834">
        <v>0</v>
      </c>
      <c r="W19" s="3834">
        <v>61619</v>
      </c>
      <c r="X19" s="3834">
        <v>61619</v>
      </c>
      <c r="Y19" s="3834">
        <v>0</v>
      </c>
      <c r="Z19" s="3834">
        <v>0</v>
      </c>
      <c r="AA19" s="3830"/>
      <c r="AB19" s="3834">
        <v>0</v>
      </c>
      <c r="AC19" s="3834">
        <v>0</v>
      </c>
      <c r="AD19" s="3835" t="s">
        <v>3709</v>
      </c>
      <c r="AE19" s="3835" t="s">
        <v>3709</v>
      </c>
      <c r="AF19" s="3835"/>
      <c r="AG19" s="3835"/>
      <c r="AH19" s="3835"/>
      <c r="AI19" s="3835"/>
      <c r="AJ19" s="3835" t="s">
        <v>3709</v>
      </c>
      <c r="AK19" s="3835" t="s">
        <v>3709</v>
      </c>
      <c r="AL19" s="3835"/>
      <c r="AM19" s="3835"/>
      <c r="AN19" s="3836"/>
      <c r="AO19" s="3836"/>
    </row>
    <row r="20" spans="1:41" s="3503" customFormat="1" ht="31.5" customHeight="1" x14ac:dyDescent="0.25">
      <c r="A20" s="3832" t="s">
        <v>3710</v>
      </c>
      <c r="B20" s="3833" t="s">
        <v>3622</v>
      </c>
      <c r="C20" s="3834">
        <f t="shared" si="1"/>
        <v>913500</v>
      </c>
      <c r="D20" s="3834">
        <f t="shared" si="0"/>
        <v>913500</v>
      </c>
      <c r="E20" s="3834">
        <v>0</v>
      </c>
      <c r="F20" s="3834">
        <v>0</v>
      </c>
      <c r="G20" s="3834">
        <v>0</v>
      </c>
      <c r="H20" s="3834">
        <v>0</v>
      </c>
      <c r="I20" s="3830"/>
      <c r="J20" s="3834">
        <f>K20+L20</f>
        <v>913500</v>
      </c>
      <c r="K20" s="3834">
        <v>913500</v>
      </c>
      <c r="L20" s="3834"/>
      <c r="M20" s="3834">
        <v>0</v>
      </c>
      <c r="N20" s="3834">
        <v>0</v>
      </c>
      <c r="O20" s="3834">
        <v>0</v>
      </c>
      <c r="P20" s="3834">
        <v>623867</v>
      </c>
      <c r="Q20" s="3834">
        <v>623867</v>
      </c>
      <c r="R20" s="3830"/>
      <c r="S20" s="3834">
        <v>0</v>
      </c>
      <c r="T20" s="3834">
        <v>0</v>
      </c>
      <c r="U20" s="3834">
        <v>0</v>
      </c>
      <c r="V20" s="3834">
        <v>0</v>
      </c>
      <c r="W20" s="3834">
        <v>623867</v>
      </c>
      <c r="X20" s="3834">
        <v>623867</v>
      </c>
      <c r="Y20" s="3834">
        <v>0</v>
      </c>
      <c r="Z20" s="3834">
        <v>0</v>
      </c>
      <c r="AA20" s="3830"/>
      <c r="AB20" s="3834">
        <v>0</v>
      </c>
      <c r="AC20" s="3834">
        <v>0</v>
      </c>
      <c r="AD20" s="3835" t="s">
        <v>3711</v>
      </c>
      <c r="AE20" s="3835" t="s">
        <v>3711</v>
      </c>
      <c r="AF20" s="3835"/>
      <c r="AG20" s="3835"/>
      <c r="AH20" s="3835"/>
      <c r="AI20" s="3835"/>
      <c r="AJ20" s="3835" t="s">
        <v>3711</v>
      </c>
      <c r="AK20" s="3835" t="s">
        <v>3711</v>
      </c>
      <c r="AL20" s="3835"/>
      <c r="AM20" s="3835"/>
      <c r="AN20" s="3836"/>
      <c r="AO20" s="3836"/>
    </row>
    <row r="21" spans="1:41" s="3503" customFormat="1" ht="61.5" customHeight="1" x14ac:dyDescent="0.25">
      <c r="A21" s="3832" t="s">
        <v>3712</v>
      </c>
      <c r="B21" s="3833" t="s">
        <v>3623</v>
      </c>
      <c r="C21" s="3834">
        <f t="shared" si="1"/>
        <v>308000</v>
      </c>
      <c r="D21" s="3834">
        <f t="shared" si="0"/>
        <v>308000</v>
      </c>
      <c r="E21" s="3834">
        <v>0</v>
      </c>
      <c r="F21" s="3834">
        <v>0</v>
      </c>
      <c r="G21" s="3834">
        <v>0</v>
      </c>
      <c r="H21" s="3834">
        <v>0</v>
      </c>
      <c r="I21" s="3830"/>
      <c r="J21" s="3834">
        <v>0</v>
      </c>
      <c r="K21" s="3834">
        <v>0</v>
      </c>
      <c r="L21" s="3834">
        <v>0</v>
      </c>
      <c r="M21" s="3834">
        <v>308000</v>
      </c>
      <c r="N21" s="3834">
        <v>308000</v>
      </c>
      <c r="O21" s="3834">
        <v>0</v>
      </c>
      <c r="P21" s="3834">
        <v>308000</v>
      </c>
      <c r="Q21" s="3834">
        <v>308000</v>
      </c>
      <c r="R21" s="3830"/>
      <c r="S21" s="3834">
        <v>0</v>
      </c>
      <c r="T21" s="3834">
        <v>0</v>
      </c>
      <c r="U21" s="3834">
        <v>0</v>
      </c>
      <c r="V21" s="3834">
        <v>0</v>
      </c>
      <c r="W21" s="3834">
        <v>0</v>
      </c>
      <c r="X21" s="3834">
        <v>0</v>
      </c>
      <c r="Y21" s="3834">
        <v>0</v>
      </c>
      <c r="Z21" s="3834">
        <v>308000</v>
      </c>
      <c r="AA21" s="3830"/>
      <c r="AB21" s="3834">
        <v>308000</v>
      </c>
      <c r="AC21" s="3834">
        <v>0</v>
      </c>
      <c r="AD21" s="3835" t="s">
        <v>3685</v>
      </c>
      <c r="AE21" s="3835" t="s">
        <v>3685</v>
      </c>
      <c r="AF21" s="3835"/>
      <c r="AG21" s="3835"/>
      <c r="AH21" s="3835"/>
      <c r="AI21" s="3835"/>
      <c r="AJ21" s="3835"/>
      <c r="AK21" s="3835"/>
      <c r="AL21" s="3835"/>
      <c r="AM21" s="3835" t="s">
        <v>3685</v>
      </c>
      <c r="AN21" s="3836" t="s">
        <v>3685</v>
      </c>
      <c r="AO21" s="3836"/>
    </row>
    <row r="22" spans="1:41" s="3503" customFormat="1" ht="51" x14ac:dyDescent="0.25">
      <c r="A22" s="3832" t="s">
        <v>3713</v>
      </c>
      <c r="B22" s="3833" t="s">
        <v>3624</v>
      </c>
      <c r="C22" s="3834">
        <f t="shared" si="1"/>
        <v>517900</v>
      </c>
      <c r="D22" s="3834">
        <f t="shared" si="0"/>
        <v>517900</v>
      </c>
      <c r="E22" s="3834">
        <v>0</v>
      </c>
      <c r="F22" s="3834">
        <v>0</v>
      </c>
      <c r="G22" s="3834">
        <v>0</v>
      </c>
      <c r="H22" s="3834">
        <v>0</v>
      </c>
      <c r="I22" s="3830"/>
      <c r="J22" s="3834">
        <v>517900</v>
      </c>
      <c r="K22" s="3834">
        <v>517900</v>
      </c>
      <c r="L22" s="3834">
        <v>0</v>
      </c>
      <c r="M22" s="3834">
        <v>0</v>
      </c>
      <c r="N22" s="3834">
        <v>0</v>
      </c>
      <c r="O22" s="3834">
        <v>0</v>
      </c>
      <c r="P22" s="3834">
        <v>505936</v>
      </c>
      <c r="Q22" s="3834">
        <v>505936</v>
      </c>
      <c r="R22" s="3830"/>
      <c r="S22" s="3834">
        <v>0</v>
      </c>
      <c r="T22" s="3834">
        <v>0</v>
      </c>
      <c r="U22" s="3834">
        <v>0</v>
      </c>
      <c r="V22" s="3834">
        <v>0</v>
      </c>
      <c r="W22" s="3834">
        <v>505936</v>
      </c>
      <c r="X22" s="3834">
        <v>505936</v>
      </c>
      <c r="Y22" s="3834">
        <v>0</v>
      </c>
      <c r="Z22" s="3834">
        <v>0</v>
      </c>
      <c r="AA22" s="3830"/>
      <c r="AB22" s="3834">
        <v>0</v>
      </c>
      <c r="AC22" s="3834">
        <v>0</v>
      </c>
      <c r="AD22" s="3835" t="s">
        <v>3714</v>
      </c>
      <c r="AE22" s="3835" t="s">
        <v>3714</v>
      </c>
      <c r="AF22" s="3835"/>
      <c r="AG22" s="3835"/>
      <c r="AH22" s="3835"/>
      <c r="AI22" s="3835"/>
      <c r="AJ22" s="3835" t="s">
        <v>3714</v>
      </c>
      <c r="AK22" s="3835" t="s">
        <v>3714</v>
      </c>
      <c r="AL22" s="3835"/>
      <c r="AM22" s="3835"/>
      <c r="AN22" s="3836"/>
      <c r="AO22" s="3836"/>
    </row>
    <row r="23" spans="1:41" ht="16.350000000000001" customHeight="1" x14ac:dyDescent="0.25"/>
    <row r="24" spans="1:41" s="7" customFormat="1" ht="21.75" hidden="1" customHeight="1" x14ac:dyDescent="0.25">
      <c r="A24" s="4279"/>
      <c r="B24" s="4279"/>
      <c r="C24" s="4279"/>
      <c r="D24" s="4279"/>
      <c r="E24" s="4279"/>
      <c r="F24" s="3323"/>
      <c r="G24" s="3323"/>
      <c r="H24" s="3323"/>
      <c r="I24" s="3323"/>
      <c r="J24" s="3504"/>
      <c r="Y24" s="3323"/>
      <c r="Z24" s="3323"/>
      <c r="AD24" s="4279" t="s">
        <v>3716</v>
      </c>
      <c r="AE24" s="4279"/>
      <c r="AF24" s="4279"/>
      <c r="AG24" s="4279"/>
      <c r="AH24" s="4279"/>
      <c r="AI24" s="4279"/>
      <c r="AJ24" s="4279"/>
    </row>
    <row r="25" spans="1:41" s="7" customFormat="1" ht="31.5" hidden="1" customHeight="1" x14ac:dyDescent="0.25">
      <c r="A25" s="4280" t="s">
        <v>3718</v>
      </c>
      <c r="B25" s="4280"/>
      <c r="C25" s="4280"/>
      <c r="D25" s="4280"/>
      <c r="E25" s="4280"/>
      <c r="K25" s="3324"/>
      <c r="L25" s="3324"/>
      <c r="O25" s="4280"/>
      <c r="P25" s="4280"/>
      <c r="Q25" s="4280"/>
      <c r="R25" s="4280"/>
      <c r="S25" s="4280"/>
      <c r="Y25" s="3324"/>
      <c r="Z25" s="3324"/>
      <c r="AD25" s="4280" t="s">
        <v>3719</v>
      </c>
      <c r="AE25" s="4280"/>
      <c r="AF25" s="4280"/>
      <c r="AG25" s="4280"/>
      <c r="AH25" s="4280"/>
      <c r="AI25" s="4280"/>
      <c r="AJ25" s="4280"/>
    </row>
    <row r="26" spans="1:41" ht="35.25" hidden="1" customHeight="1" x14ac:dyDescent="0.25">
      <c r="A26" s="3509"/>
      <c r="D26" s="4288"/>
      <c r="E26" s="4289"/>
      <c r="F26" s="4289"/>
      <c r="G26" s="4289"/>
      <c r="H26" s="4289"/>
      <c r="I26" s="4289"/>
      <c r="J26" s="4289"/>
      <c r="K26" s="4289"/>
      <c r="L26" s="4289"/>
      <c r="R26" s="4288"/>
      <c r="S26" s="4289"/>
      <c r="T26" s="4289"/>
      <c r="U26" s="4289"/>
      <c r="V26" s="4289"/>
      <c r="W26" s="4289"/>
      <c r="X26" s="4289"/>
      <c r="Y26" s="4289"/>
      <c r="Z26" s="4289"/>
      <c r="AG26" s="4288"/>
      <c r="AH26" s="4289"/>
      <c r="AI26" s="4289"/>
      <c r="AJ26" s="4289"/>
      <c r="AK26" s="4289"/>
      <c r="AL26" s="4289"/>
      <c r="AM26" s="4289"/>
      <c r="AN26" s="4289"/>
      <c r="AO26" s="4289"/>
    </row>
    <row r="27" spans="1:41" ht="35.25" hidden="1" customHeight="1" x14ac:dyDescent="0.25">
      <c r="A27" s="3509"/>
    </row>
    <row r="28" spans="1:41" ht="35.25" hidden="1" customHeight="1" x14ac:dyDescent="0.25">
      <c r="A28" s="3509"/>
    </row>
    <row r="29" spans="1:41" ht="35.25" hidden="1" customHeight="1" x14ac:dyDescent="0.25">
      <c r="A29" s="4287" t="s">
        <v>3574</v>
      </c>
      <c r="B29" s="4287"/>
      <c r="C29" s="4287"/>
      <c r="D29" s="4287"/>
      <c r="E29" s="4287"/>
      <c r="O29" s="4287"/>
      <c r="P29" s="4287"/>
      <c r="Q29" s="4287"/>
      <c r="R29" s="4287"/>
      <c r="S29" s="4287"/>
      <c r="AD29" s="4287" t="s">
        <v>3572</v>
      </c>
      <c r="AE29" s="4287"/>
      <c r="AF29" s="4287"/>
      <c r="AG29" s="4287"/>
      <c r="AH29" s="4287"/>
      <c r="AI29" s="4287"/>
      <c r="AJ29" s="4287"/>
    </row>
    <row r="30" spans="1:41" ht="35.25" customHeight="1" x14ac:dyDescent="0.25"/>
    <row r="31" spans="1:41" ht="35.25" customHeight="1" x14ac:dyDescent="0.25"/>
    <row r="32" spans="1:41" ht="35.25" customHeight="1" x14ac:dyDescent="0.25"/>
    <row r="33" s="3509" customFormat="1" ht="35.25" customHeight="1" x14ac:dyDescent="0.25"/>
    <row r="34" s="3509" customFormat="1" ht="35.25" customHeight="1" x14ac:dyDescent="0.25"/>
    <row r="35" s="3509" customFormat="1" ht="35.25" customHeight="1" x14ac:dyDescent="0.25"/>
    <row r="36" s="3509" customFormat="1" ht="35.25" customHeight="1" x14ac:dyDescent="0.25"/>
    <row r="37" s="3509" customFormat="1" ht="35.25" customHeight="1" x14ac:dyDescent="0.25"/>
    <row r="38" s="3509" customFormat="1" ht="35.25" customHeight="1" x14ac:dyDescent="0.25"/>
    <row r="39" s="3509" customFormat="1" ht="35.25" customHeight="1" x14ac:dyDescent="0.25"/>
    <row r="40" s="3509" customFormat="1" ht="35.25" customHeight="1" x14ac:dyDescent="0.25"/>
    <row r="41" s="3509" customFormat="1" ht="35.25" customHeight="1" x14ac:dyDescent="0.25"/>
  </sheetData>
  <mergeCells count="32">
    <mergeCell ref="AJ1:AO1"/>
    <mergeCell ref="A2:AO2"/>
    <mergeCell ref="A3:AO3"/>
    <mergeCell ref="AD4:AO4"/>
    <mergeCell ref="D5:E5"/>
    <mergeCell ref="F5:H5"/>
    <mergeCell ref="J5:L5"/>
    <mergeCell ref="M5:O5"/>
    <mergeCell ref="Q5:S5"/>
    <mergeCell ref="T5:V5"/>
    <mergeCell ref="W5:Y5"/>
    <mergeCell ref="Z5:AC5"/>
    <mergeCell ref="AE5:AF5"/>
    <mergeCell ref="AG5:AI5"/>
    <mergeCell ref="AJ5:AL5"/>
    <mergeCell ref="AM5:AO5"/>
    <mergeCell ref="AD29:AJ29"/>
    <mergeCell ref="O29:S29"/>
    <mergeCell ref="D26:L26"/>
    <mergeCell ref="A29:E29"/>
    <mergeCell ref="A1:D1"/>
    <mergeCell ref="R26:Z26"/>
    <mergeCell ref="AG26:AO26"/>
    <mergeCell ref="A4:A7"/>
    <mergeCell ref="B4:B7"/>
    <mergeCell ref="A24:E24"/>
    <mergeCell ref="AD24:AJ24"/>
    <mergeCell ref="A25:E25"/>
    <mergeCell ref="O25:S25"/>
    <mergeCell ref="AD25:AJ25"/>
    <mergeCell ref="C4:O4"/>
    <mergeCell ref="P4:AC4"/>
  </mergeCells>
  <phoneticPr fontId="70" type="noConversion"/>
  <pageMargins left="0.46" right="0.15748031496063" top="0.46" bottom="0.511811023622047" header="0.31496062992126" footer="0.31496062992126"/>
  <pageSetup paperSize="8" scale="75" orientation="landscape" useFirstPageNumber="1" r:id="rId1"/>
  <headerFooter>
    <oddFooter>&amp;C&amp;P</oddFooter>
  </headerFooter>
  <colBreaks count="1" manualBreakCount="1">
    <brk id="44"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L120"/>
  <sheetViews>
    <sheetView zoomScaleSheetLayoutView="100" workbookViewId="0">
      <selection activeCell="N7" sqref="N7"/>
    </sheetView>
  </sheetViews>
  <sheetFormatPr defaultColWidth="9.140625" defaultRowHeight="18.75" x14ac:dyDescent="0.25"/>
  <cols>
    <col min="1" max="1" width="3.5703125" style="921" customWidth="1"/>
    <col min="2" max="2" width="12.7109375" style="921" customWidth="1"/>
    <col min="3" max="3" width="8.140625" style="946" customWidth="1"/>
    <col min="4" max="4" width="9.140625" style="946" customWidth="1"/>
    <col min="5" max="5" width="6.28515625" style="923" customWidth="1"/>
    <col min="6" max="6" width="6" style="1005" customWidth="1"/>
    <col min="7" max="7" width="8" style="1014" customWidth="1"/>
    <col min="8" max="9" width="5.28515625" style="919" customWidth="1"/>
    <col min="10" max="10" width="6.28515625" style="1093" customWidth="1"/>
    <col min="11" max="11" width="5.28515625" style="1028" customWidth="1"/>
    <col min="12" max="12" width="6" style="1028" customWidth="1"/>
    <col min="13" max="13" width="5.42578125" style="1005" customWidth="1"/>
    <col min="14" max="14" width="5.85546875" style="919" customWidth="1"/>
    <col min="15" max="15" width="6.85546875" style="1005" customWidth="1"/>
    <col min="16" max="16" width="6.140625" style="1005" customWidth="1"/>
    <col min="17" max="17" width="6.28515625" style="919" customWidth="1"/>
    <col min="18" max="18" width="5.7109375" style="919" customWidth="1"/>
    <col min="19" max="19" width="5.85546875" style="919" customWidth="1"/>
    <col min="20" max="20" width="5.5703125" style="919" customWidth="1"/>
    <col min="21" max="21" width="7.140625" style="1014" customWidth="1"/>
    <col min="22" max="22" width="6.85546875" style="919" customWidth="1"/>
    <col min="23" max="23" width="5.85546875" style="919" customWidth="1"/>
    <col min="24" max="24" width="5.42578125" style="919" customWidth="1"/>
    <col min="25" max="25" width="6.85546875" style="919" customWidth="1"/>
    <col min="26" max="26" width="6.140625" style="919" customWidth="1"/>
    <col min="27" max="27" width="5.85546875" style="919" customWidth="1"/>
    <col min="28" max="28" width="5.28515625" style="919" customWidth="1"/>
    <col min="29" max="29" width="4.140625" style="919" customWidth="1"/>
    <col min="30" max="30" width="5.42578125" style="919" customWidth="1"/>
    <col min="31" max="31" width="5.85546875" style="919" customWidth="1"/>
    <col min="32" max="32" width="6.85546875" style="919" customWidth="1"/>
    <col min="33" max="33" width="7.140625" style="919" customWidth="1"/>
    <col min="34" max="34" width="5.7109375" style="919" customWidth="1"/>
    <col min="35" max="35" width="6.5703125" style="919" customWidth="1"/>
    <col min="36" max="36" width="0.5703125" style="947" hidden="1" customWidth="1"/>
    <col min="37" max="37" width="9.140625" style="947" hidden="1" customWidth="1"/>
    <col min="38" max="38" width="9.140625" style="920" hidden="1" customWidth="1"/>
    <col min="39" max="16384" width="9.140625" style="921"/>
  </cols>
  <sheetData>
    <row r="1" spans="1:38" x14ac:dyDescent="0.25">
      <c r="A1" s="4327" t="s">
        <v>842</v>
      </c>
      <c r="B1" s="4327"/>
      <c r="C1" s="4327"/>
      <c r="D1" s="4327"/>
      <c r="E1" s="4327"/>
      <c r="AB1" s="4336"/>
      <c r="AC1" s="4336"/>
      <c r="AD1" s="4336"/>
      <c r="AI1" s="4314"/>
      <c r="AJ1" s="4314"/>
      <c r="AK1" s="4314"/>
    </row>
    <row r="2" spans="1:38" x14ac:dyDescent="0.25">
      <c r="A2" s="4315" t="s">
        <v>2176</v>
      </c>
      <c r="B2" s="4315"/>
      <c r="C2" s="4315"/>
      <c r="D2" s="4315"/>
      <c r="E2" s="4315"/>
      <c r="F2" s="4315"/>
      <c r="G2" s="4315"/>
      <c r="H2" s="4315"/>
      <c r="I2" s="4315"/>
      <c r="J2" s="4315"/>
      <c r="K2" s="4315"/>
      <c r="L2" s="4315"/>
      <c r="M2" s="4315"/>
      <c r="N2" s="4315"/>
      <c r="O2" s="4315"/>
      <c r="P2" s="4315"/>
      <c r="Q2" s="4315"/>
      <c r="R2" s="4315"/>
      <c r="S2" s="4315"/>
      <c r="T2" s="4315"/>
      <c r="U2" s="4315"/>
      <c r="V2" s="4315"/>
      <c r="W2" s="4315"/>
      <c r="X2" s="4315"/>
      <c r="Y2" s="4315"/>
      <c r="Z2" s="4315"/>
      <c r="AA2" s="4315"/>
      <c r="AB2" s="4315"/>
      <c r="AC2" s="4315"/>
      <c r="AD2" s="4315"/>
      <c r="AE2" s="4315"/>
      <c r="AF2" s="4315"/>
      <c r="AG2" s="4315"/>
      <c r="AH2" s="4315"/>
      <c r="AI2" s="4315"/>
      <c r="AJ2" s="4315"/>
      <c r="AK2" s="4315"/>
    </row>
    <row r="3" spans="1:38" x14ac:dyDescent="0.25">
      <c r="A3" s="4316" t="s">
        <v>2162</v>
      </c>
      <c r="B3" s="4316"/>
      <c r="C3" s="4316"/>
      <c r="D3" s="4316"/>
      <c r="E3" s="4316"/>
      <c r="F3" s="4316"/>
      <c r="G3" s="4316"/>
      <c r="H3" s="4316"/>
      <c r="I3" s="4316"/>
      <c r="J3" s="4316"/>
      <c r="K3" s="4316"/>
      <c r="L3" s="4316"/>
      <c r="M3" s="4316"/>
      <c r="N3" s="4316"/>
      <c r="O3" s="4316"/>
      <c r="P3" s="4316"/>
      <c r="Q3" s="4316"/>
      <c r="R3" s="4316"/>
      <c r="S3" s="4316"/>
      <c r="T3" s="4316"/>
      <c r="U3" s="4316"/>
      <c r="V3" s="4316"/>
      <c r="W3" s="4316"/>
      <c r="X3" s="4316"/>
      <c r="Y3" s="4316"/>
      <c r="Z3" s="4316"/>
      <c r="AA3" s="4316"/>
      <c r="AB3" s="4316"/>
      <c r="AC3" s="4316"/>
      <c r="AD3" s="4316"/>
      <c r="AE3" s="4316"/>
      <c r="AF3" s="4316"/>
      <c r="AG3" s="4316"/>
      <c r="AH3" s="4316"/>
      <c r="AI3" s="4316"/>
      <c r="AJ3" s="4316"/>
      <c r="AK3" s="4316"/>
    </row>
    <row r="4" spans="1:38" x14ac:dyDescent="0.25">
      <c r="C4" s="991"/>
      <c r="D4" s="922"/>
      <c r="AA4" s="4317" t="s">
        <v>147</v>
      </c>
      <c r="AB4" s="4317"/>
      <c r="AC4" s="4317"/>
      <c r="AD4" s="4317"/>
      <c r="AE4" s="4317"/>
      <c r="AF4" s="4317"/>
      <c r="AG4" s="4317"/>
      <c r="AH4" s="924"/>
      <c r="AI4" s="925"/>
      <c r="AJ4" s="925"/>
      <c r="AK4" s="925"/>
      <c r="AL4" s="925"/>
    </row>
    <row r="5" spans="1:38" s="926" customFormat="1" ht="22.5" customHeight="1" x14ac:dyDescent="0.25">
      <c r="A5" s="4299" t="s">
        <v>1579</v>
      </c>
      <c r="B5" s="4300" t="s">
        <v>2177</v>
      </c>
      <c r="C5" s="4318" t="s">
        <v>588</v>
      </c>
      <c r="D5" s="4319" t="s">
        <v>614</v>
      </c>
      <c r="E5" s="4320" t="s">
        <v>34</v>
      </c>
      <c r="F5" s="4309" t="s">
        <v>2178</v>
      </c>
      <c r="G5" s="4322"/>
      <c r="H5" s="4322"/>
      <c r="I5" s="4322"/>
      <c r="J5" s="4322"/>
      <c r="K5" s="4322"/>
      <c r="L5" s="4323" t="s">
        <v>2179</v>
      </c>
      <c r="M5" s="4323"/>
      <c r="N5" s="4323"/>
      <c r="O5" s="4323"/>
      <c r="P5" s="4323"/>
      <c r="Q5" s="4323"/>
      <c r="R5" s="4323" t="s">
        <v>2180</v>
      </c>
      <c r="S5" s="4323" t="s">
        <v>1817</v>
      </c>
      <c r="T5" s="4307" t="s">
        <v>1818</v>
      </c>
      <c r="U5" s="4305" t="s">
        <v>2181</v>
      </c>
      <c r="V5" s="4307" t="s">
        <v>2182</v>
      </c>
      <c r="W5" s="4307" t="s">
        <v>1819</v>
      </c>
      <c r="X5" s="4307" t="s">
        <v>1820</v>
      </c>
      <c r="Y5" s="4307" t="s">
        <v>1816</v>
      </c>
      <c r="Z5" s="4307" t="s">
        <v>2183</v>
      </c>
      <c r="AA5" s="4309" t="s">
        <v>2184</v>
      </c>
      <c r="AB5" s="4323" t="s">
        <v>2185</v>
      </c>
      <c r="AC5" s="4323"/>
      <c r="AD5" s="4325" t="s">
        <v>2186</v>
      </c>
      <c r="AE5" s="4323" t="s">
        <v>2187</v>
      </c>
      <c r="AF5" s="4323"/>
      <c r="AG5" s="4322" t="s">
        <v>2188</v>
      </c>
      <c r="AH5" s="4323" t="s">
        <v>2189</v>
      </c>
      <c r="AI5" s="4325" t="s">
        <v>1821</v>
      </c>
      <c r="AJ5" s="4326" t="s">
        <v>2190</v>
      </c>
      <c r="AL5" s="4328" t="s">
        <v>1114</v>
      </c>
    </row>
    <row r="6" spans="1:38" s="926" customFormat="1" ht="27" customHeight="1" x14ac:dyDescent="0.25">
      <c r="A6" s="4299"/>
      <c r="B6" s="4301"/>
      <c r="C6" s="4318"/>
      <c r="D6" s="4319"/>
      <c r="E6" s="4321"/>
      <c r="F6" s="4323" t="s">
        <v>2191</v>
      </c>
      <c r="G6" s="4323"/>
      <c r="H6" s="4323"/>
      <c r="I6" s="4323" t="s">
        <v>2192</v>
      </c>
      <c r="J6" s="4330" t="s">
        <v>707</v>
      </c>
      <c r="K6" s="4330"/>
      <c r="L6" s="4331" t="s">
        <v>2193</v>
      </c>
      <c r="M6" s="4332"/>
      <c r="N6" s="4332"/>
      <c r="O6" s="4332"/>
      <c r="P6" s="4333"/>
      <c r="Q6" s="4324" t="s">
        <v>2194</v>
      </c>
      <c r="R6" s="4323"/>
      <c r="S6" s="4323"/>
      <c r="T6" s="4308"/>
      <c r="U6" s="4306"/>
      <c r="V6" s="4308"/>
      <c r="W6" s="4308"/>
      <c r="X6" s="4308"/>
      <c r="Y6" s="4308"/>
      <c r="Z6" s="4308"/>
      <c r="AA6" s="4310"/>
      <c r="AB6" s="4323"/>
      <c r="AC6" s="4323"/>
      <c r="AD6" s="4335"/>
      <c r="AE6" s="4323"/>
      <c r="AF6" s="4323"/>
      <c r="AG6" s="4322"/>
      <c r="AH6" s="4323"/>
      <c r="AI6" s="4325"/>
      <c r="AJ6" s="4326"/>
      <c r="AL6" s="4329"/>
    </row>
    <row r="7" spans="1:38" s="926" customFormat="1" ht="171" customHeight="1" x14ac:dyDescent="0.25">
      <c r="A7" s="4299">
        <v>1</v>
      </c>
      <c r="B7" s="4302" t="s">
        <v>650</v>
      </c>
      <c r="C7" s="4318"/>
      <c r="D7" s="4319"/>
      <c r="E7" s="4321"/>
      <c r="F7" s="1010" t="s">
        <v>2195</v>
      </c>
      <c r="G7" s="1015" t="s">
        <v>2196</v>
      </c>
      <c r="H7" s="927" t="s">
        <v>2197</v>
      </c>
      <c r="I7" s="4324"/>
      <c r="J7" s="1094" t="s">
        <v>2198</v>
      </c>
      <c r="K7" s="1095" t="s">
        <v>2199</v>
      </c>
      <c r="L7" s="1029" t="s">
        <v>2200</v>
      </c>
      <c r="M7" s="1037" t="s">
        <v>1755</v>
      </c>
      <c r="N7" s="928" t="s">
        <v>2201</v>
      </c>
      <c r="O7" s="1038" t="s">
        <v>2202</v>
      </c>
      <c r="P7" s="1009" t="s">
        <v>2203</v>
      </c>
      <c r="Q7" s="4334"/>
      <c r="R7" s="4324"/>
      <c r="S7" s="4324"/>
      <c r="T7" s="4308"/>
      <c r="U7" s="4306"/>
      <c r="V7" s="4308"/>
      <c r="W7" s="4308"/>
      <c r="X7" s="4308"/>
      <c r="Y7" s="4308"/>
      <c r="Z7" s="4308"/>
      <c r="AA7" s="4310"/>
      <c r="AB7" s="927" t="s">
        <v>2204</v>
      </c>
      <c r="AC7" s="927" t="s">
        <v>2205</v>
      </c>
      <c r="AD7" s="4335"/>
      <c r="AE7" s="927" t="s">
        <v>2206</v>
      </c>
      <c r="AF7" s="927" t="s">
        <v>2207</v>
      </c>
      <c r="AG7" s="4322"/>
      <c r="AH7" s="4324"/>
      <c r="AI7" s="4325"/>
      <c r="AJ7" s="4326"/>
      <c r="AL7" s="4329"/>
    </row>
    <row r="8" spans="1:38" s="965" customFormat="1" ht="13.5" customHeight="1" x14ac:dyDescent="0.25">
      <c r="A8" s="956">
        <v>1</v>
      </c>
      <c r="B8" s="973" t="s">
        <v>644</v>
      </c>
      <c r="C8" s="992">
        <v>7014.7196599999997</v>
      </c>
      <c r="D8" s="974">
        <v>6525.1682470000005</v>
      </c>
      <c r="E8" s="975">
        <f>C8-D8</f>
        <v>489.55141299999923</v>
      </c>
      <c r="F8" s="1006"/>
      <c r="G8" s="1016">
        <f>808000/1000000</f>
        <v>0.80800000000000005</v>
      </c>
      <c r="H8" s="976"/>
      <c r="I8" s="976"/>
      <c r="J8" s="1096">
        <v>76.2</v>
      </c>
      <c r="K8" s="1030"/>
      <c r="L8" s="1030"/>
      <c r="M8" s="1006"/>
      <c r="N8" s="976"/>
      <c r="O8" s="1006"/>
      <c r="P8" s="1006"/>
      <c r="Q8" s="976"/>
      <c r="R8" s="976">
        <f>200000/1000000</f>
        <v>0.2</v>
      </c>
      <c r="S8" s="976">
        <f>(50000000+803433+11110)/1000000</f>
        <v>50.814543</v>
      </c>
      <c r="T8" s="976"/>
      <c r="U8" s="1016"/>
      <c r="V8" s="976"/>
      <c r="W8" s="976"/>
      <c r="X8" s="976">
        <v>5</v>
      </c>
      <c r="Y8" s="976">
        <v>4.8369999999999997</v>
      </c>
      <c r="Z8" s="976"/>
      <c r="AA8" s="976"/>
      <c r="AB8" s="976">
        <v>1</v>
      </c>
      <c r="AC8" s="976"/>
      <c r="AD8" s="976">
        <f>12+11.843+16</f>
        <v>39.843000000000004</v>
      </c>
      <c r="AE8" s="976"/>
      <c r="AF8" s="976">
        <v>40</v>
      </c>
      <c r="AG8" s="976">
        <f>E8-(SUM(F8:AF8)+AI8+AH8)</f>
        <v>110.24263299999927</v>
      </c>
      <c r="AH8" s="976">
        <f>288.743301-128.137064</f>
        <v>160.60623699999996</v>
      </c>
      <c r="AI8" s="977"/>
      <c r="AJ8" s="963"/>
      <c r="AK8" s="963"/>
      <c r="AL8" s="964"/>
    </row>
    <row r="9" spans="1:38" s="969" customFormat="1" ht="13.5" customHeight="1" x14ac:dyDescent="0.25">
      <c r="A9" s="957">
        <v>2</v>
      </c>
      <c r="B9" s="958" t="s">
        <v>2208</v>
      </c>
      <c r="C9" s="978">
        <v>5637.0310470000004</v>
      </c>
      <c r="D9" s="979">
        <v>5280.1273179999998</v>
      </c>
      <c r="E9" s="980">
        <f t="shared" ref="E9:E29" si="0">C9-D9</f>
        <v>356.90372900000057</v>
      </c>
      <c r="F9" s="998"/>
      <c r="G9" s="1017"/>
      <c r="H9" s="981"/>
      <c r="I9" s="981"/>
      <c r="J9" s="1032"/>
      <c r="K9" s="1031"/>
      <c r="L9" s="1031"/>
      <c r="M9" s="998"/>
      <c r="N9" s="981"/>
      <c r="O9" s="998"/>
      <c r="P9" s="998"/>
      <c r="Q9" s="981">
        <v>56.811</v>
      </c>
      <c r="R9" s="981"/>
      <c r="S9" s="981"/>
      <c r="T9" s="981"/>
      <c r="U9" s="1017"/>
      <c r="V9" s="981"/>
      <c r="W9" s="981"/>
      <c r="X9" s="981"/>
      <c r="Y9" s="981"/>
      <c r="Z9" s="981"/>
      <c r="AA9" s="981"/>
      <c r="AB9" s="981"/>
      <c r="AC9" s="981"/>
      <c r="AD9" s="981"/>
      <c r="AE9" s="981"/>
      <c r="AF9" s="981"/>
      <c r="AG9" s="981">
        <f t="shared" ref="AG9:AG29" si="1">E9-(SUM(F9:AF9)+AI9)</f>
        <v>300.09272900000059</v>
      </c>
      <c r="AH9" s="981"/>
      <c r="AI9" s="982"/>
      <c r="AJ9" s="967"/>
      <c r="AK9" s="967"/>
      <c r="AL9" s="968"/>
    </row>
    <row r="10" spans="1:38" s="930" customFormat="1" ht="13.5" customHeight="1" x14ac:dyDescent="0.25">
      <c r="A10" s="957">
        <v>3</v>
      </c>
      <c r="B10" s="958" t="s">
        <v>646</v>
      </c>
      <c r="C10" s="978">
        <v>9907.1523849999994</v>
      </c>
      <c r="D10" s="979">
        <v>9782.631292</v>
      </c>
      <c r="E10" s="980">
        <f>C10-D10</f>
        <v>124.52109299999938</v>
      </c>
      <c r="F10" s="998">
        <v>3.5409999999999999</v>
      </c>
      <c r="G10" s="1017">
        <v>25.85164</v>
      </c>
      <c r="H10" s="981"/>
      <c r="I10" s="981"/>
      <c r="J10" s="1032"/>
      <c r="K10" s="1031">
        <v>33.310237999999998</v>
      </c>
      <c r="L10" s="1031"/>
      <c r="M10" s="998"/>
      <c r="N10" s="981"/>
      <c r="O10" s="998"/>
      <c r="P10" s="998"/>
      <c r="Q10" s="981"/>
      <c r="R10" s="981"/>
      <c r="S10" s="981"/>
      <c r="T10" s="981"/>
      <c r="U10" s="1017"/>
      <c r="V10" s="981"/>
      <c r="W10" s="981"/>
      <c r="X10" s="981">
        <v>4.2350000000000003</v>
      </c>
      <c r="Y10" s="981">
        <v>5.2729999999999997</v>
      </c>
      <c r="Z10" s="981"/>
      <c r="AA10" s="981"/>
      <c r="AB10" s="981"/>
      <c r="AC10" s="981"/>
      <c r="AD10" s="981"/>
      <c r="AE10" s="981">
        <v>20</v>
      </c>
      <c r="AF10" s="981"/>
      <c r="AG10" s="981">
        <f t="shared" si="1"/>
        <v>32.310214999999388</v>
      </c>
      <c r="AH10" s="981"/>
      <c r="AI10" s="982"/>
      <c r="AJ10" s="961"/>
      <c r="AK10" s="961"/>
      <c r="AL10" s="962"/>
    </row>
    <row r="11" spans="1:38" s="930" customFormat="1" ht="13.5" customHeight="1" x14ac:dyDescent="0.25">
      <c r="A11" s="957">
        <v>4</v>
      </c>
      <c r="B11" s="958" t="s">
        <v>647</v>
      </c>
      <c r="C11" s="978">
        <v>5921.6888779999999</v>
      </c>
      <c r="D11" s="979">
        <v>5389.3645399999996</v>
      </c>
      <c r="E11" s="980">
        <f t="shared" si="0"/>
        <v>532.32433800000035</v>
      </c>
      <c r="F11" s="998"/>
      <c r="G11" s="1017"/>
      <c r="H11" s="981"/>
      <c r="I11" s="981">
        <f>40000/1000000</f>
        <v>0.04</v>
      </c>
      <c r="J11" s="1032"/>
      <c r="K11" s="1031"/>
      <c r="L11" s="1031"/>
      <c r="M11" s="998"/>
      <c r="N11" s="981"/>
      <c r="O11" s="998"/>
      <c r="P11" s="998"/>
      <c r="Q11" s="981">
        <v>19.138660999999999</v>
      </c>
      <c r="R11" s="981"/>
      <c r="S11" s="981"/>
      <c r="T11" s="981"/>
      <c r="U11" s="1017"/>
      <c r="V11" s="981">
        <f>4212/1000000</f>
        <v>4.2119999999999996E-3</v>
      </c>
      <c r="W11" s="981"/>
      <c r="X11" s="981"/>
      <c r="Y11" s="981">
        <v>15.55</v>
      </c>
      <c r="Z11" s="981"/>
      <c r="AA11" s="981"/>
      <c r="AB11" s="981"/>
      <c r="AC11" s="981"/>
      <c r="AD11" s="981"/>
      <c r="AE11" s="981"/>
      <c r="AF11" s="981"/>
      <c r="AG11" s="981">
        <f t="shared" si="1"/>
        <v>491.06293000000034</v>
      </c>
      <c r="AH11" s="981"/>
      <c r="AI11" s="982">
        <v>6.5285349999999998</v>
      </c>
      <c r="AJ11" s="931"/>
      <c r="AK11" s="931"/>
      <c r="AL11" s="932"/>
    </row>
    <row r="12" spans="1:38" s="1002" customFormat="1" ht="13.5" customHeight="1" x14ac:dyDescent="0.25">
      <c r="A12" s="993">
        <v>5</v>
      </c>
      <c r="B12" s="994" t="s">
        <v>648</v>
      </c>
      <c r="C12" s="995">
        <v>7821.9593130000003</v>
      </c>
      <c r="D12" s="996">
        <v>6360.438134</v>
      </c>
      <c r="E12" s="997">
        <f t="shared" si="0"/>
        <v>1461.5211790000003</v>
      </c>
      <c r="F12" s="998">
        <v>7.2003529999999998</v>
      </c>
      <c r="G12" s="1017"/>
      <c r="H12" s="998"/>
      <c r="I12" s="998"/>
      <c r="J12" s="1032">
        <v>764.19169999999997</v>
      </c>
      <c r="K12" s="1032"/>
      <c r="L12" s="1032"/>
      <c r="M12" s="998"/>
      <c r="N12" s="998"/>
      <c r="O12" s="998"/>
      <c r="P12" s="998"/>
      <c r="Q12" s="998">
        <v>182.33331000000001</v>
      </c>
      <c r="R12" s="998"/>
      <c r="S12" s="998"/>
      <c r="T12" s="998"/>
      <c r="U12" s="1017"/>
      <c r="V12" s="998">
        <f>248864/1000000</f>
        <v>0.248864</v>
      </c>
      <c r="W12" s="998"/>
      <c r="X12" s="998">
        <v>5</v>
      </c>
      <c r="Y12" s="998">
        <v>3.1970000000000001</v>
      </c>
      <c r="Z12" s="998"/>
      <c r="AA12" s="998"/>
      <c r="AB12" s="998"/>
      <c r="AC12" s="998"/>
      <c r="AD12" s="998"/>
      <c r="AE12" s="998"/>
      <c r="AF12" s="998"/>
      <c r="AG12" s="998">
        <f t="shared" si="1"/>
        <v>496.98263200000042</v>
      </c>
      <c r="AH12" s="998"/>
      <c r="AI12" s="999">
        <v>2.3673199999999999</v>
      </c>
      <c r="AJ12" s="1000"/>
      <c r="AK12" s="1000"/>
      <c r="AL12" s="1001"/>
    </row>
    <row r="13" spans="1:38" s="930" customFormat="1" ht="13.5" customHeight="1" x14ac:dyDescent="0.25">
      <c r="A13" s="957">
        <v>6</v>
      </c>
      <c r="B13" s="958" t="s">
        <v>649</v>
      </c>
      <c r="C13" s="978">
        <v>6194.6208239999996</v>
      </c>
      <c r="D13" s="979">
        <v>5755.4098830000003</v>
      </c>
      <c r="E13" s="980">
        <f t="shared" si="0"/>
        <v>439.21094099999937</v>
      </c>
      <c r="F13" s="998">
        <f>16800/1000000</f>
        <v>1.6799999999999999E-2</v>
      </c>
      <c r="G13" s="1017"/>
      <c r="H13" s="981"/>
      <c r="I13" s="981"/>
      <c r="J13" s="1032">
        <v>4.8109999999999999</v>
      </c>
      <c r="K13" s="1031"/>
      <c r="L13" s="1031"/>
      <c r="M13" s="998"/>
      <c r="N13" s="981"/>
      <c r="O13" s="998"/>
      <c r="P13" s="998"/>
      <c r="Q13" s="981">
        <v>16.331885</v>
      </c>
      <c r="R13" s="981"/>
      <c r="S13" s="981"/>
      <c r="T13" s="981"/>
      <c r="U13" s="1017"/>
      <c r="V13" s="981"/>
      <c r="W13" s="981">
        <f>307014/1000000</f>
        <v>0.30701400000000001</v>
      </c>
      <c r="X13" s="981">
        <v>5</v>
      </c>
      <c r="Y13" s="981">
        <v>12.058</v>
      </c>
      <c r="Z13" s="981">
        <v>3.2751790000000001</v>
      </c>
      <c r="AA13" s="981"/>
      <c r="AB13" s="981"/>
      <c r="AC13" s="981"/>
      <c r="AD13" s="981"/>
      <c r="AE13" s="981"/>
      <c r="AF13" s="981"/>
      <c r="AG13" s="981">
        <f t="shared" si="1"/>
        <v>383.13056499999936</v>
      </c>
      <c r="AH13" s="981"/>
      <c r="AI13" s="982">
        <v>14.280498</v>
      </c>
      <c r="AJ13" s="931"/>
      <c r="AK13" s="931"/>
      <c r="AL13" s="932"/>
    </row>
    <row r="14" spans="1:38" s="930" customFormat="1" ht="13.5" customHeight="1" x14ac:dyDescent="0.25">
      <c r="A14" s="957">
        <v>7</v>
      </c>
      <c r="B14" s="958" t="s">
        <v>650</v>
      </c>
      <c r="C14" s="978">
        <v>6358.3279890000003</v>
      </c>
      <c r="D14" s="979">
        <v>5492.8719650000003</v>
      </c>
      <c r="E14" s="980">
        <f t="shared" si="0"/>
        <v>865.45602400000007</v>
      </c>
      <c r="F14" s="998"/>
      <c r="G14" s="1017"/>
      <c r="H14" s="981"/>
      <c r="I14" s="981"/>
      <c r="J14" s="1032"/>
      <c r="K14" s="1031"/>
      <c r="L14" s="1031">
        <v>599.14099999999996</v>
      </c>
      <c r="M14" s="998"/>
      <c r="N14" s="981"/>
      <c r="O14" s="998"/>
      <c r="P14" s="998"/>
      <c r="Q14" s="981"/>
      <c r="R14" s="981"/>
      <c r="S14" s="981"/>
      <c r="T14" s="981"/>
      <c r="U14" s="1017"/>
      <c r="V14" s="981">
        <v>3.5817809999999999</v>
      </c>
      <c r="W14" s="981"/>
      <c r="X14" s="981">
        <v>2.88</v>
      </c>
      <c r="Y14" s="981">
        <v>0.2</v>
      </c>
      <c r="Z14" s="981"/>
      <c r="AA14" s="981"/>
      <c r="AB14" s="981"/>
      <c r="AC14" s="981"/>
      <c r="AD14" s="981"/>
      <c r="AE14" s="981"/>
      <c r="AF14" s="981"/>
      <c r="AG14" s="981">
        <f t="shared" si="1"/>
        <v>257.11414400000012</v>
      </c>
      <c r="AH14" s="981"/>
      <c r="AI14" s="982">
        <v>2.5390990000000002</v>
      </c>
      <c r="AJ14" s="931"/>
      <c r="AK14" s="931"/>
      <c r="AL14" s="932"/>
    </row>
    <row r="15" spans="1:38" s="930" customFormat="1" ht="13.5" customHeight="1" x14ac:dyDescent="0.25">
      <c r="A15" s="957">
        <v>8</v>
      </c>
      <c r="B15" s="958" t="s">
        <v>651</v>
      </c>
      <c r="C15" s="978">
        <v>6496.8973699999997</v>
      </c>
      <c r="D15" s="979">
        <v>6287.0265000000009</v>
      </c>
      <c r="E15" s="980">
        <f t="shared" si="0"/>
        <v>209.87086999999883</v>
      </c>
      <c r="F15" s="998">
        <v>3.0250020000000002</v>
      </c>
      <c r="G15" s="1017"/>
      <c r="H15" s="981"/>
      <c r="I15" s="981"/>
      <c r="J15" s="1032"/>
      <c r="K15" s="1031"/>
      <c r="L15" s="1031"/>
      <c r="M15" s="998"/>
      <c r="N15" s="981"/>
      <c r="O15" s="998"/>
      <c r="P15" s="998"/>
      <c r="Q15" s="981">
        <v>9.7468299999999992</v>
      </c>
      <c r="R15" s="981"/>
      <c r="S15" s="981"/>
      <c r="T15" s="981"/>
      <c r="U15" s="1017">
        <f>466000/1000000</f>
        <v>0.46600000000000003</v>
      </c>
      <c r="V15" s="981"/>
      <c r="W15" s="959">
        <f>1105/1000000</f>
        <v>1.1050000000000001E-3</v>
      </c>
      <c r="X15" s="981"/>
      <c r="Y15" s="981">
        <v>16.43</v>
      </c>
      <c r="Z15" s="981"/>
      <c r="AA15" s="981"/>
      <c r="AB15" s="981"/>
      <c r="AC15" s="981"/>
      <c r="AD15" s="981"/>
      <c r="AE15" s="981"/>
      <c r="AF15" s="981"/>
      <c r="AG15" s="981">
        <f t="shared" si="1"/>
        <v>169.31778199999883</v>
      </c>
      <c r="AH15" s="981"/>
      <c r="AI15" s="982">
        <v>10.884150999999999</v>
      </c>
      <c r="AJ15" s="931"/>
      <c r="AK15" s="931"/>
      <c r="AL15" s="932"/>
    </row>
    <row r="16" spans="1:38" s="935" customFormat="1" ht="13.5" customHeight="1" x14ac:dyDescent="0.25">
      <c r="A16" s="957">
        <v>9</v>
      </c>
      <c r="B16" s="958" t="s">
        <v>652</v>
      </c>
      <c r="C16" s="978">
        <v>6687.1615819999997</v>
      </c>
      <c r="D16" s="979">
        <v>6249.4660389999999</v>
      </c>
      <c r="E16" s="980">
        <f t="shared" si="0"/>
        <v>437.69554299999982</v>
      </c>
      <c r="F16" s="1007">
        <v>2.383</v>
      </c>
      <c r="G16" s="1018"/>
      <c r="H16" s="983"/>
      <c r="I16" s="983"/>
      <c r="J16" s="1097">
        <v>95.507000000000005</v>
      </c>
      <c r="K16" s="1033"/>
      <c r="L16" s="1033"/>
      <c r="M16" s="1007"/>
      <c r="N16" s="983"/>
      <c r="O16" s="1007"/>
      <c r="P16" s="1007"/>
      <c r="Q16" s="983">
        <v>89.518000000000001</v>
      </c>
      <c r="R16" s="983"/>
      <c r="S16" s="983"/>
      <c r="T16" s="983"/>
      <c r="U16" s="1018"/>
      <c r="V16" s="983"/>
      <c r="W16" s="983">
        <f>3333500/1000000</f>
        <v>3.3334999999999999</v>
      </c>
      <c r="X16" s="983"/>
      <c r="Y16" s="981">
        <v>0.88500000000000001</v>
      </c>
      <c r="Z16" s="983"/>
      <c r="AA16" s="983"/>
      <c r="AB16" s="983"/>
      <c r="AC16" s="983"/>
      <c r="AD16" s="983"/>
      <c r="AE16" s="983"/>
      <c r="AF16" s="983"/>
      <c r="AG16" s="983">
        <f>E16-(SUM(F16:AF16)+AI16)</f>
        <v>242.95304299999981</v>
      </c>
      <c r="AH16" s="983"/>
      <c r="AI16" s="984">
        <v>3.1160000000000001</v>
      </c>
      <c r="AJ16" s="933"/>
      <c r="AK16" s="933"/>
      <c r="AL16" s="934"/>
    </row>
    <row r="17" spans="1:38" s="930" customFormat="1" ht="13.5" customHeight="1" x14ac:dyDescent="0.25">
      <c r="A17" s="957">
        <v>10</v>
      </c>
      <c r="B17" s="958" t="s">
        <v>653</v>
      </c>
      <c r="C17" s="978">
        <v>10392.455824000001</v>
      </c>
      <c r="D17" s="979">
        <v>9977.9474209999989</v>
      </c>
      <c r="E17" s="980">
        <f t="shared" si="0"/>
        <v>414.50840300000164</v>
      </c>
      <c r="F17" s="998"/>
      <c r="G17" s="1017">
        <f>22.563+16.53</f>
        <v>39.093000000000004</v>
      </c>
      <c r="H17" s="981"/>
      <c r="I17" s="981"/>
      <c r="J17" s="1032">
        <v>9.3644700000000007</v>
      </c>
      <c r="K17" s="1031"/>
      <c r="L17" s="1031">
        <v>129.93028699999999</v>
      </c>
      <c r="M17" s="998"/>
      <c r="N17" s="981">
        <v>3.1156920000000001</v>
      </c>
      <c r="O17" s="998">
        <v>6.619993</v>
      </c>
      <c r="P17" s="998">
        <v>6.4187560000000001</v>
      </c>
      <c r="Q17" s="981">
        <v>147.314863</v>
      </c>
      <c r="R17" s="981"/>
      <c r="S17" s="981"/>
      <c r="T17" s="981"/>
      <c r="U17" s="1017"/>
      <c r="V17" s="981"/>
      <c r="W17" s="981">
        <f>62817/1000000</f>
        <v>6.2816999999999998E-2</v>
      </c>
      <c r="X17" s="981"/>
      <c r="Y17" s="981"/>
      <c r="Z17" s="981">
        <f>657192/1000000</f>
        <v>0.657192</v>
      </c>
      <c r="AA17" s="981"/>
      <c r="AB17" s="981"/>
      <c r="AC17" s="981"/>
      <c r="AD17" s="981"/>
      <c r="AE17" s="981"/>
      <c r="AF17" s="981"/>
      <c r="AG17" s="981">
        <f t="shared" si="1"/>
        <v>71.931333000001644</v>
      </c>
      <c r="AH17" s="981"/>
      <c r="AI17" s="982"/>
      <c r="AJ17" s="931"/>
      <c r="AK17" s="931"/>
      <c r="AL17" s="932"/>
    </row>
    <row r="18" spans="1:38" s="930" customFormat="1" ht="13.5" customHeight="1" x14ac:dyDescent="0.25">
      <c r="A18" s="957">
        <v>11</v>
      </c>
      <c r="B18" s="958" t="s">
        <v>654</v>
      </c>
      <c r="C18" s="978">
        <v>7284.245715</v>
      </c>
      <c r="D18" s="979">
        <v>6659.5244039999998</v>
      </c>
      <c r="E18" s="980">
        <f t="shared" si="0"/>
        <v>624.72131100000024</v>
      </c>
      <c r="F18" s="998"/>
      <c r="G18" s="1017"/>
      <c r="H18" s="981"/>
      <c r="I18" s="981"/>
      <c r="J18" s="1032"/>
      <c r="K18" s="1031"/>
      <c r="L18" s="1031"/>
      <c r="M18" s="998">
        <v>5.4</v>
      </c>
      <c r="N18" s="981"/>
      <c r="O18" s="998"/>
      <c r="P18" s="998"/>
      <c r="Q18" s="981">
        <v>3.5327820000000001</v>
      </c>
      <c r="R18" s="981"/>
      <c r="S18" s="981"/>
      <c r="T18" s="981"/>
      <c r="U18" s="1017"/>
      <c r="V18" s="981">
        <f>420000/1000000</f>
        <v>0.42</v>
      </c>
      <c r="W18" s="959">
        <v>3.1471749999999998</v>
      </c>
      <c r="X18" s="981">
        <v>4.2</v>
      </c>
      <c r="Y18" s="981">
        <v>6.0350000000000001</v>
      </c>
      <c r="Z18" s="981"/>
      <c r="AA18" s="981"/>
      <c r="AB18" s="981"/>
      <c r="AC18" s="981"/>
      <c r="AD18" s="981"/>
      <c r="AE18" s="981"/>
      <c r="AF18" s="981"/>
      <c r="AG18" s="981">
        <f t="shared" si="1"/>
        <v>590.28530200000023</v>
      </c>
      <c r="AH18" s="981"/>
      <c r="AI18" s="982">
        <v>11.701052000000001</v>
      </c>
      <c r="AJ18" s="931"/>
      <c r="AK18" s="931"/>
      <c r="AL18" s="932"/>
    </row>
    <row r="19" spans="1:38" s="930" customFormat="1" ht="13.5" customHeight="1" x14ac:dyDescent="0.25">
      <c r="A19" s="957">
        <v>12</v>
      </c>
      <c r="B19" s="958" t="s">
        <v>655</v>
      </c>
      <c r="C19" s="978">
        <v>5592.8226240000004</v>
      </c>
      <c r="D19" s="979">
        <v>4820.9758379999994</v>
      </c>
      <c r="E19" s="980">
        <f t="shared" si="0"/>
        <v>771.84678600000098</v>
      </c>
      <c r="F19" s="998"/>
      <c r="G19" s="1017"/>
      <c r="H19" s="981"/>
      <c r="I19" s="981"/>
      <c r="J19" s="1032"/>
      <c r="K19" s="1031"/>
      <c r="L19" s="1031"/>
      <c r="M19" s="998">
        <f>10000/1000000</f>
        <v>0.01</v>
      </c>
      <c r="N19" s="981"/>
      <c r="O19" s="998"/>
      <c r="P19" s="998"/>
      <c r="Q19" s="981">
        <v>5.0775420000000002</v>
      </c>
      <c r="R19" s="981"/>
      <c r="S19" s="981"/>
      <c r="T19" s="981"/>
      <c r="U19" s="1017"/>
      <c r="V19" s="981"/>
      <c r="W19" s="981"/>
      <c r="X19" s="981">
        <v>5</v>
      </c>
      <c r="Y19" s="981">
        <v>14.48</v>
      </c>
      <c r="Z19" s="981"/>
      <c r="AA19" s="981"/>
      <c r="AB19" s="981"/>
      <c r="AC19" s="981"/>
      <c r="AD19" s="981"/>
      <c r="AE19" s="981"/>
      <c r="AF19" s="981"/>
      <c r="AG19" s="981">
        <f>E19-(SUM(F19:AF19)+AI19+AH19)</f>
        <v>738.28514500000097</v>
      </c>
      <c r="AH19" s="981">
        <v>3.020216</v>
      </c>
      <c r="AI19" s="982">
        <v>5.9738829999999998</v>
      </c>
      <c r="AJ19" s="931"/>
      <c r="AK19" s="931"/>
      <c r="AL19" s="932"/>
    </row>
    <row r="20" spans="1:38" s="930" customFormat="1" ht="13.5" customHeight="1" x14ac:dyDescent="0.25">
      <c r="A20" s="957">
        <v>13</v>
      </c>
      <c r="B20" s="958" t="s">
        <v>656</v>
      </c>
      <c r="C20" s="978">
        <v>5331.4519890000001</v>
      </c>
      <c r="D20" s="979">
        <v>4932.7618869999997</v>
      </c>
      <c r="E20" s="980">
        <f t="shared" si="0"/>
        <v>398.69010200000048</v>
      </c>
      <c r="F20" s="998"/>
      <c r="G20" s="1017"/>
      <c r="H20" s="981"/>
      <c r="I20" s="981"/>
      <c r="J20" s="1032"/>
      <c r="K20" s="1031"/>
      <c r="L20" s="1031">
        <v>3.0997430000000001</v>
      </c>
      <c r="M20" s="998"/>
      <c r="N20" s="981"/>
      <c r="O20" s="998"/>
      <c r="P20" s="998"/>
      <c r="Q20" s="981">
        <v>200.44331299999999</v>
      </c>
      <c r="R20" s="981"/>
      <c r="S20" s="981"/>
      <c r="T20" s="981"/>
      <c r="U20" s="1017"/>
      <c r="V20" s="981">
        <f>2738000/1000000</f>
        <v>2.738</v>
      </c>
      <c r="W20" s="981">
        <f>34318/1000000</f>
        <v>3.4318000000000001E-2</v>
      </c>
      <c r="X20" s="981">
        <f>50000/1000000</f>
        <v>0.05</v>
      </c>
      <c r="Y20" s="981"/>
      <c r="Z20" s="981"/>
      <c r="AA20" s="981"/>
      <c r="AB20" s="981"/>
      <c r="AC20" s="981"/>
      <c r="AD20" s="981"/>
      <c r="AE20" s="981"/>
      <c r="AF20" s="981"/>
      <c r="AG20" s="981">
        <f t="shared" si="1"/>
        <v>186.87152000000049</v>
      </c>
      <c r="AH20" s="981"/>
      <c r="AI20" s="982">
        <v>5.4532080000000001</v>
      </c>
      <c r="AJ20" s="931"/>
      <c r="AK20" s="931"/>
      <c r="AL20" s="932"/>
    </row>
    <row r="21" spans="1:38" s="930" customFormat="1" ht="13.5" customHeight="1" x14ac:dyDescent="0.25">
      <c r="A21" s="957">
        <v>14</v>
      </c>
      <c r="B21" s="958" t="s">
        <v>657</v>
      </c>
      <c r="C21" s="978">
        <v>6919.0688909999999</v>
      </c>
      <c r="D21" s="979">
        <v>5932.5085410000002</v>
      </c>
      <c r="E21" s="980">
        <f t="shared" si="0"/>
        <v>986.56034999999974</v>
      </c>
      <c r="F21" s="998"/>
      <c r="G21" s="1017"/>
      <c r="H21" s="981"/>
      <c r="I21" s="981"/>
      <c r="J21" s="1032"/>
      <c r="K21" s="1031"/>
      <c r="L21" s="1031">
        <f>254.487734+450</f>
        <v>704.48773400000005</v>
      </c>
      <c r="M21" s="998"/>
      <c r="N21" s="981"/>
      <c r="O21" s="998"/>
      <c r="P21" s="998"/>
      <c r="Q21" s="981">
        <v>1.2490000000000001</v>
      </c>
      <c r="R21" s="981"/>
      <c r="S21" s="981"/>
      <c r="T21" s="981"/>
      <c r="U21" s="1017"/>
      <c r="V21" s="981">
        <f>22345/1000000</f>
        <v>2.2345E-2</v>
      </c>
      <c r="W21" s="981">
        <f>65396/1000000</f>
        <v>6.5395999999999996E-2</v>
      </c>
      <c r="X21" s="981">
        <f>20000/1000000</f>
        <v>0.02</v>
      </c>
      <c r="Y21" s="981"/>
      <c r="Z21" s="981"/>
      <c r="AA21" s="981"/>
      <c r="AB21" s="981"/>
      <c r="AC21" s="981"/>
      <c r="AD21" s="981"/>
      <c r="AE21" s="981">
        <v>180</v>
      </c>
      <c r="AF21" s="981"/>
      <c r="AG21" s="981">
        <f>E21-(SUM(F21:AF21)+AI21)</f>
        <v>88.763406999999802</v>
      </c>
      <c r="AH21" s="981"/>
      <c r="AI21" s="982">
        <v>11.952468</v>
      </c>
      <c r="AJ21" s="931"/>
      <c r="AK21" s="931"/>
      <c r="AL21" s="932"/>
    </row>
    <row r="22" spans="1:38" s="930" customFormat="1" ht="13.5" customHeight="1" x14ac:dyDescent="0.25">
      <c r="A22" s="957">
        <v>15</v>
      </c>
      <c r="B22" s="958" t="s">
        <v>658</v>
      </c>
      <c r="C22" s="978">
        <v>7518.9675319999997</v>
      </c>
      <c r="D22" s="979">
        <v>6654.6340649999993</v>
      </c>
      <c r="E22" s="980">
        <f t="shared" si="0"/>
        <v>864.33346700000038</v>
      </c>
      <c r="F22" s="998">
        <f>606260/1000000</f>
        <v>0.60626000000000002</v>
      </c>
      <c r="G22" s="1017">
        <v>35.567250000000001</v>
      </c>
      <c r="H22" s="981"/>
      <c r="I22" s="981"/>
      <c r="J22" s="1032">
        <v>68.262</v>
      </c>
      <c r="K22" s="1031"/>
      <c r="L22" s="1031"/>
      <c r="M22" s="998"/>
      <c r="N22" s="981"/>
      <c r="O22" s="998"/>
      <c r="P22" s="998"/>
      <c r="Q22" s="981">
        <v>7.6944730000000003</v>
      </c>
      <c r="R22" s="981"/>
      <c r="S22" s="981"/>
      <c r="T22" s="981"/>
      <c r="U22" s="1017"/>
      <c r="V22" s="981"/>
      <c r="W22" s="981">
        <v>2.6383000000000001</v>
      </c>
      <c r="X22" s="981"/>
      <c r="Y22" s="981">
        <v>1.75</v>
      </c>
      <c r="Z22" s="981"/>
      <c r="AA22" s="981"/>
      <c r="AB22" s="981"/>
      <c r="AC22" s="981"/>
      <c r="AD22" s="981"/>
      <c r="AE22" s="981"/>
      <c r="AF22" s="981">
        <v>100</v>
      </c>
      <c r="AG22" s="981">
        <f t="shared" si="1"/>
        <v>647.81518400000039</v>
      </c>
      <c r="AH22" s="981"/>
      <c r="AI22" s="982"/>
      <c r="AJ22" s="931"/>
      <c r="AK22" s="931"/>
      <c r="AL22" s="932"/>
    </row>
    <row r="23" spans="1:38" s="930" customFormat="1" ht="13.5" customHeight="1" x14ac:dyDescent="0.25">
      <c r="A23" s="957">
        <v>16</v>
      </c>
      <c r="B23" s="985" t="s">
        <v>659</v>
      </c>
      <c r="C23" s="978">
        <v>7486.1359169999996</v>
      </c>
      <c r="D23" s="979">
        <v>6916.4382580000001</v>
      </c>
      <c r="E23" s="980">
        <f t="shared" si="0"/>
        <v>569.69765899999948</v>
      </c>
      <c r="F23" s="998">
        <v>3.4780000000000002</v>
      </c>
      <c r="G23" s="1017">
        <v>74.956999999999994</v>
      </c>
      <c r="H23" s="981"/>
      <c r="I23" s="981"/>
      <c r="J23" s="1032"/>
      <c r="K23" s="1031">
        <v>27.275100000000002</v>
      </c>
      <c r="L23" s="1031"/>
      <c r="M23" s="998"/>
      <c r="N23" s="981"/>
      <c r="O23" s="998"/>
      <c r="P23" s="998"/>
      <c r="Q23" s="981">
        <v>8.9437499999999996</v>
      </c>
      <c r="R23" s="981"/>
      <c r="S23" s="981"/>
      <c r="T23" s="981"/>
      <c r="U23" s="1017"/>
      <c r="V23" s="981"/>
      <c r="W23" s="981">
        <v>4.4018129999999998</v>
      </c>
      <c r="X23" s="981"/>
      <c r="Y23" s="981">
        <v>0.90800000000000003</v>
      </c>
      <c r="Z23" s="981"/>
      <c r="AA23" s="981">
        <v>1.65</v>
      </c>
      <c r="AB23" s="981"/>
      <c r="AC23" s="981"/>
      <c r="AD23" s="981"/>
      <c r="AE23" s="981"/>
      <c r="AF23" s="981"/>
      <c r="AG23" s="981">
        <f t="shared" si="1"/>
        <v>447.9401509999995</v>
      </c>
      <c r="AH23" s="981"/>
      <c r="AI23" s="982">
        <f>143845/1000000</f>
        <v>0.143845</v>
      </c>
      <c r="AJ23" s="931"/>
      <c r="AK23" s="931"/>
      <c r="AL23" s="932"/>
    </row>
    <row r="24" spans="1:38" s="930" customFormat="1" ht="13.5" customHeight="1" x14ac:dyDescent="0.25">
      <c r="A24" s="957">
        <v>17</v>
      </c>
      <c r="B24" s="958" t="s">
        <v>660</v>
      </c>
      <c r="C24" s="978">
        <v>7743.173753</v>
      </c>
      <c r="D24" s="979">
        <v>7697.2204119999997</v>
      </c>
      <c r="E24" s="980">
        <f t="shared" si="0"/>
        <v>45.953341000000364</v>
      </c>
      <c r="F24" s="998">
        <f>721200/1000000</f>
        <v>0.72119999999999995</v>
      </c>
      <c r="G24" s="1017"/>
      <c r="H24" s="981">
        <f>12020/1000000</f>
        <v>1.2019999999999999E-2</v>
      </c>
      <c r="I24" s="981"/>
      <c r="J24" s="1032"/>
      <c r="K24" s="1031"/>
      <c r="L24" s="1031"/>
      <c r="M24" s="998"/>
      <c r="N24" s="981"/>
      <c r="O24" s="998"/>
      <c r="P24" s="998"/>
      <c r="Q24" s="981">
        <v>12.912501000000001</v>
      </c>
      <c r="R24" s="981"/>
      <c r="S24" s="981"/>
      <c r="T24" s="981"/>
      <c r="U24" s="1017"/>
      <c r="V24" s="981"/>
      <c r="W24" s="981"/>
      <c r="X24" s="981"/>
      <c r="Y24" s="981"/>
      <c r="Z24" s="981"/>
      <c r="AA24" s="981"/>
      <c r="AB24" s="981"/>
      <c r="AC24" s="981"/>
      <c r="AD24" s="981"/>
      <c r="AE24" s="981">
        <v>20</v>
      </c>
      <c r="AF24" s="981"/>
      <c r="AG24" s="981">
        <f t="shared" si="1"/>
        <v>12.307620000000362</v>
      </c>
      <c r="AH24" s="981"/>
      <c r="AI24" s="982"/>
      <c r="AJ24" s="931"/>
      <c r="AK24" s="931"/>
      <c r="AL24" s="932"/>
    </row>
    <row r="25" spans="1:38" s="930" customFormat="1" ht="13.5" customHeight="1" x14ac:dyDescent="0.25">
      <c r="A25" s="957">
        <v>18</v>
      </c>
      <c r="B25" s="958" t="s">
        <v>661</v>
      </c>
      <c r="C25" s="978">
        <v>7179.1721010000001</v>
      </c>
      <c r="D25" s="979">
        <v>6880.2164350000003</v>
      </c>
      <c r="E25" s="980">
        <f t="shared" si="0"/>
        <v>298.95566599999984</v>
      </c>
      <c r="F25" s="998">
        <f>60000/1000000</f>
        <v>0.06</v>
      </c>
      <c r="G25" s="1017"/>
      <c r="H25" s="981"/>
      <c r="I25" s="981"/>
      <c r="J25" s="1032"/>
      <c r="K25" s="1031"/>
      <c r="L25" s="1031"/>
      <c r="M25" s="998"/>
      <c r="N25" s="981"/>
      <c r="O25" s="998"/>
      <c r="P25" s="998"/>
      <c r="Q25" s="981">
        <f>996984/1000000</f>
        <v>0.99698399999999998</v>
      </c>
      <c r="R25" s="981"/>
      <c r="S25" s="981"/>
      <c r="T25" s="981"/>
      <c r="U25" s="1017">
        <v>1.67</v>
      </c>
      <c r="V25" s="981"/>
      <c r="W25" s="981"/>
      <c r="X25" s="981">
        <v>1.49</v>
      </c>
      <c r="Y25" s="981">
        <v>6.54</v>
      </c>
      <c r="Z25" s="981"/>
      <c r="AA25" s="981"/>
      <c r="AB25" s="981"/>
      <c r="AC25" s="981"/>
      <c r="AD25" s="980">
        <f>55+150</f>
        <v>205</v>
      </c>
      <c r="AE25" s="982"/>
      <c r="AF25" s="982"/>
      <c r="AG25" s="982">
        <f t="shared" si="1"/>
        <v>83.198681999999849</v>
      </c>
      <c r="AH25" s="982"/>
      <c r="AI25" s="982"/>
      <c r="AJ25" s="931"/>
      <c r="AK25" s="931"/>
      <c r="AL25" s="932"/>
    </row>
    <row r="26" spans="1:38" s="930" customFormat="1" ht="13.5" customHeight="1" x14ac:dyDescent="0.25">
      <c r="A26" s="957">
        <v>19</v>
      </c>
      <c r="B26" s="958" t="s">
        <v>662</v>
      </c>
      <c r="C26" s="978">
        <v>4289.8667839999998</v>
      </c>
      <c r="D26" s="979">
        <v>4158.0113759999995</v>
      </c>
      <c r="E26" s="980">
        <f t="shared" si="0"/>
        <v>131.85540800000035</v>
      </c>
      <c r="F26" s="998"/>
      <c r="G26" s="1017"/>
      <c r="H26" s="981"/>
      <c r="I26" s="981"/>
      <c r="J26" s="1032"/>
      <c r="K26" s="1031"/>
      <c r="L26" s="1031"/>
      <c r="M26" s="998"/>
      <c r="N26" s="981"/>
      <c r="O26" s="998"/>
      <c r="P26" s="998"/>
      <c r="Q26" s="981">
        <v>1.1237919999999999</v>
      </c>
      <c r="R26" s="981"/>
      <c r="S26" s="981"/>
      <c r="T26" s="981"/>
      <c r="U26" s="1017"/>
      <c r="V26" s="981"/>
      <c r="W26" s="981"/>
      <c r="X26" s="981">
        <v>5</v>
      </c>
      <c r="Y26" s="981">
        <v>12.135</v>
      </c>
      <c r="Z26" s="981"/>
      <c r="AA26" s="981"/>
      <c r="AB26" s="981"/>
      <c r="AC26" s="981"/>
      <c r="AD26" s="981"/>
      <c r="AE26" s="981"/>
      <c r="AF26" s="981"/>
      <c r="AG26" s="981">
        <f t="shared" si="1"/>
        <v>111.54409800000036</v>
      </c>
      <c r="AH26" s="981"/>
      <c r="AI26" s="982">
        <v>2.0525180000000001</v>
      </c>
      <c r="AJ26" s="931"/>
      <c r="AK26" s="931"/>
      <c r="AL26" s="932"/>
    </row>
    <row r="27" spans="1:38" s="930" customFormat="1" ht="13.5" customHeight="1" x14ac:dyDescent="0.25">
      <c r="A27" s="957">
        <v>20</v>
      </c>
      <c r="B27" s="958" t="s">
        <v>663</v>
      </c>
      <c r="C27" s="978">
        <v>7607.5868</v>
      </c>
      <c r="D27" s="979">
        <v>7336.8679510000002</v>
      </c>
      <c r="E27" s="980">
        <f t="shared" si="0"/>
        <v>270.71884899999986</v>
      </c>
      <c r="F27" s="998">
        <f>86861/1000000</f>
        <v>8.6860999999999994E-2</v>
      </c>
      <c r="G27" s="1017"/>
      <c r="H27" s="981"/>
      <c r="I27" s="981"/>
      <c r="J27" s="1032"/>
      <c r="K27" s="1031">
        <v>29.796178999999999</v>
      </c>
      <c r="L27" s="1031"/>
      <c r="M27" s="998"/>
      <c r="N27" s="981"/>
      <c r="O27" s="998"/>
      <c r="P27" s="998"/>
      <c r="Q27" s="981">
        <v>43.022793999999998</v>
      </c>
      <c r="R27" s="981"/>
      <c r="S27" s="981"/>
      <c r="T27" s="981">
        <v>3.46</v>
      </c>
      <c r="U27" s="1017"/>
      <c r="V27" s="981"/>
      <c r="W27" s="981"/>
      <c r="X27" s="981"/>
      <c r="Y27" s="981"/>
      <c r="Z27" s="981"/>
      <c r="AA27" s="981"/>
      <c r="AB27" s="981"/>
      <c r="AC27" s="981"/>
      <c r="AD27" s="981"/>
      <c r="AE27" s="981"/>
      <c r="AF27" s="981"/>
      <c r="AG27" s="981">
        <f t="shared" si="1"/>
        <v>194.35301499999986</v>
      </c>
      <c r="AH27" s="981"/>
      <c r="AI27" s="982"/>
      <c r="AJ27" s="931"/>
      <c r="AK27" s="931"/>
      <c r="AL27" s="932"/>
    </row>
    <row r="28" spans="1:38" s="930" customFormat="1" ht="13.5" customHeight="1" x14ac:dyDescent="0.25">
      <c r="A28" s="957">
        <v>21</v>
      </c>
      <c r="B28" s="958" t="s">
        <v>664</v>
      </c>
      <c r="C28" s="978">
        <v>7899.880279</v>
      </c>
      <c r="D28" s="979">
        <v>7583.2566159999997</v>
      </c>
      <c r="E28" s="980">
        <f t="shared" si="0"/>
        <v>316.62366300000031</v>
      </c>
      <c r="F28" s="998">
        <v>1.7210000000000001</v>
      </c>
      <c r="G28" s="1017"/>
      <c r="H28" s="981"/>
      <c r="I28" s="981"/>
      <c r="J28" s="1032"/>
      <c r="K28" s="1031">
        <v>50.765999999999998</v>
      </c>
      <c r="L28" s="1031"/>
      <c r="M28" s="998"/>
      <c r="N28" s="981"/>
      <c r="O28" s="998"/>
      <c r="P28" s="998"/>
      <c r="Q28" s="981"/>
      <c r="R28" s="981"/>
      <c r="S28" s="981"/>
      <c r="T28" s="981"/>
      <c r="U28" s="1017"/>
      <c r="V28" s="981"/>
      <c r="W28" s="981">
        <f>193900/1000000</f>
        <v>0.19389999999999999</v>
      </c>
      <c r="X28" s="981">
        <v>1.1000000000000001</v>
      </c>
      <c r="Y28" s="981">
        <f>22000/1000000</f>
        <v>2.1999999999999999E-2</v>
      </c>
      <c r="Z28" s="981"/>
      <c r="AA28" s="981"/>
      <c r="AB28" s="981"/>
      <c r="AC28" s="981"/>
      <c r="AD28" s="981">
        <v>40</v>
      </c>
      <c r="AE28" s="981"/>
      <c r="AF28" s="981"/>
      <c r="AG28" s="981">
        <f t="shared" si="1"/>
        <v>142.86599200000032</v>
      </c>
      <c r="AH28" s="981"/>
      <c r="AI28" s="982">
        <v>79.954770999999994</v>
      </c>
      <c r="AJ28" s="931"/>
      <c r="AK28" s="931"/>
      <c r="AL28" s="932"/>
    </row>
    <row r="29" spans="1:38" s="930" customFormat="1" ht="13.5" customHeight="1" x14ac:dyDescent="0.25">
      <c r="A29" s="960">
        <v>22</v>
      </c>
      <c r="B29" s="966" t="s">
        <v>665</v>
      </c>
      <c r="C29" s="986">
        <v>7464.7955080000002</v>
      </c>
      <c r="D29" s="987">
        <v>6999.7363499999992</v>
      </c>
      <c r="E29" s="988">
        <f t="shared" si="0"/>
        <v>465.05915800000093</v>
      </c>
      <c r="F29" s="1008">
        <f>125556/1000000</f>
        <v>0.125556</v>
      </c>
      <c r="G29" s="1019"/>
      <c r="H29" s="989"/>
      <c r="I29" s="989"/>
      <c r="J29" s="1098"/>
      <c r="K29" s="1034"/>
      <c r="L29" s="1034"/>
      <c r="M29" s="1008"/>
      <c r="N29" s="989"/>
      <c r="O29" s="1008"/>
      <c r="P29" s="1008"/>
      <c r="Q29" s="989"/>
      <c r="R29" s="989"/>
      <c r="S29" s="989"/>
      <c r="T29" s="989"/>
      <c r="U29" s="1019"/>
      <c r="V29" s="989"/>
      <c r="W29" s="989"/>
      <c r="X29" s="989">
        <v>5</v>
      </c>
      <c r="Y29" s="989"/>
      <c r="Z29" s="989"/>
      <c r="AA29" s="989"/>
      <c r="AB29" s="989"/>
      <c r="AC29" s="989"/>
      <c r="AD29" s="989"/>
      <c r="AE29" s="989">
        <v>380</v>
      </c>
      <c r="AF29" s="989">
        <f>420-380</f>
        <v>40</v>
      </c>
      <c r="AG29" s="989">
        <f t="shared" si="1"/>
        <v>39.933602000000917</v>
      </c>
      <c r="AH29" s="989"/>
      <c r="AI29" s="990"/>
      <c r="AJ29" s="931"/>
      <c r="AK29" s="931"/>
      <c r="AL29" s="932"/>
    </row>
    <row r="30" spans="1:38" s="938" customFormat="1" ht="20.45" customHeight="1" x14ac:dyDescent="0.25">
      <c r="A30" s="951"/>
      <c r="B30" s="970" t="s">
        <v>2209</v>
      </c>
      <c r="C30" s="952">
        <f>SUM(C8:C29)</f>
        <v>154749.18276499998</v>
      </c>
      <c r="D30" s="952">
        <f>SUM(D8:D29)</f>
        <v>143672.60347199996</v>
      </c>
      <c r="E30" s="953">
        <f>SUM(E8:E29)</f>
        <v>11076.579293000003</v>
      </c>
      <c r="F30" s="1011">
        <f t="shared" ref="F30:AL30" si="2">SUM(F8:F29)</f>
        <v>22.965031999999997</v>
      </c>
      <c r="G30" s="1020">
        <f t="shared" si="2"/>
        <v>176.27688999999998</v>
      </c>
      <c r="H30" s="954">
        <f t="shared" si="2"/>
        <v>1.2019999999999999E-2</v>
      </c>
      <c r="I30" s="954">
        <f t="shared" si="2"/>
        <v>0.04</v>
      </c>
      <c r="J30" s="1099">
        <f>SUM(J8:J29)</f>
        <v>1018.33617</v>
      </c>
      <c r="K30" s="1035">
        <f t="shared" si="2"/>
        <v>141.14751699999999</v>
      </c>
      <c r="L30" s="1035">
        <f>SUM(L8:L29)</f>
        <v>1436.658764</v>
      </c>
      <c r="M30" s="1025">
        <f t="shared" si="2"/>
        <v>5.41</v>
      </c>
      <c r="N30" s="954">
        <f t="shared" si="2"/>
        <v>3.1156920000000001</v>
      </c>
      <c r="O30" s="1011">
        <f>SUM(O8:O29)</f>
        <v>6.619993</v>
      </c>
      <c r="P30" s="1011">
        <f t="shared" si="2"/>
        <v>6.4187560000000001</v>
      </c>
      <c r="Q30" s="955">
        <f t="shared" si="2"/>
        <v>806.19148000000007</v>
      </c>
      <c r="R30" s="1003">
        <f t="shared" si="2"/>
        <v>0.2</v>
      </c>
      <c r="S30" s="953">
        <f t="shared" si="2"/>
        <v>50.814543</v>
      </c>
      <c r="T30" s="955">
        <f>SUM(T8:T29)</f>
        <v>3.46</v>
      </c>
      <c r="U30" s="1020">
        <f>SUM(U8:U29)</f>
        <v>2.1360000000000001</v>
      </c>
      <c r="V30" s="954">
        <f>SUM(V8:V29)</f>
        <v>7.0152020000000004</v>
      </c>
      <c r="W30" s="953">
        <f t="shared" si="2"/>
        <v>14.185337999999998</v>
      </c>
      <c r="X30" s="953">
        <f t="shared" si="2"/>
        <v>43.975000000000001</v>
      </c>
      <c r="Y30" s="953">
        <f>SUM(Y8:Y29)</f>
        <v>100.30000000000003</v>
      </c>
      <c r="Z30" s="955">
        <f t="shared" ref="Z30:AH30" si="3">SUM(Z8:Z29)</f>
        <v>3.9323709999999998</v>
      </c>
      <c r="AA30" s="955">
        <f t="shared" si="3"/>
        <v>1.65</v>
      </c>
      <c r="AB30" s="955">
        <f t="shared" si="3"/>
        <v>1</v>
      </c>
      <c r="AC30" s="955">
        <f t="shared" si="3"/>
        <v>0</v>
      </c>
      <c r="AD30" s="953">
        <f t="shared" si="3"/>
        <v>284.84300000000002</v>
      </c>
      <c r="AE30" s="953">
        <f t="shared" si="3"/>
        <v>600</v>
      </c>
      <c r="AF30" s="953">
        <f t="shared" si="3"/>
        <v>180</v>
      </c>
      <c r="AG30" s="953">
        <f t="shared" si="3"/>
        <v>5839.3017240000027</v>
      </c>
      <c r="AH30" s="953">
        <f t="shared" si="3"/>
        <v>163.62645299999997</v>
      </c>
      <c r="AI30" s="953">
        <f t="shared" si="2"/>
        <v>156.94734800000001</v>
      </c>
      <c r="AJ30" s="936">
        <f t="shared" si="2"/>
        <v>0</v>
      </c>
      <c r="AK30" s="936">
        <f t="shared" si="2"/>
        <v>0</v>
      </c>
      <c r="AL30" s="937">
        <f t="shared" si="2"/>
        <v>0</v>
      </c>
    </row>
    <row r="31" spans="1:38" s="945" customFormat="1" x14ac:dyDescent="0.25">
      <c r="A31" s="939"/>
      <c r="B31" s="971"/>
      <c r="C31" s="940"/>
      <c r="D31" s="940"/>
      <c r="E31" s="941"/>
      <c r="F31" s="1009"/>
      <c r="G31" s="1021"/>
      <c r="H31" s="929"/>
      <c r="I31" s="929"/>
      <c r="J31" s="1100"/>
      <c r="K31" s="1036"/>
      <c r="L31" s="1036"/>
      <c r="M31" s="1026"/>
      <c r="N31" s="942"/>
      <c r="O31" s="1026"/>
      <c r="P31" s="1026"/>
      <c r="Q31" s="942"/>
      <c r="R31" s="942"/>
      <c r="S31" s="942"/>
      <c r="T31" s="942"/>
      <c r="U31" s="1027"/>
      <c r="V31" s="929"/>
      <c r="W31" s="942"/>
      <c r="X31" s="942"/>
      <c r="Y31" s="942"/>
      <c r="Z31" s="942"/>
      <c r="AA31" s="942"/>
      <c r="AB31" s="942"/>
      <c r="AC31" s="942"/>
      <c r="AD31" s="942"/>
      <c r="AE31" s="942"/>
      <c r="AF31" s="942"/>
      <c r="AG31" s="942"/>
      <c r="AH31" s="942"/>
      <c r="AI31" s="942"/>
      <c r="AJ31" s="943"/>
      <c r="AK31" s="943"/>
      <c r="AL31" s="944"/>
    </row>
    <row r="32" spans="1:38" ht="18" customHeight="1" x14ac:dyDescent="0.25">
      <c r="C32" s="4312"/>
      <c r="D32" s="4312"/>
      <c r="E32" s="921"/>
      <c r="F32" s="1012"/>
      <c r="G32" s="1022"/>
      <c r="L32" s="4304">
        <f>'Biêu so 01 2020'!U93</f>
        <v>1.1999999999999993</v>
      </c>
      <c r="M32" s="4304"/>
      <c r="W32" s="4303" t="s">
        <v>2171</v>
      </c>
      <c r="X32" s="4303"/>
      <c r="Y32" s="4303"/>
      <c r="Z32" s="4303"/>
      <c r="AA32" s="4303"/>
      <c r="AB32" s="4303"/>
      <c r="AC32" s="4303"/>
      <c r="AD32" s="4303"/>
      <c r="AE32" s="4303"/>
      <c r="AF32" s="972"/>
      <c r="AG32" s="972"/>
      <c r="AH32" s="972"/>
      <c r="AI32" s="972"/>
    </row>
    <row r="33" spans="3:35" ht="16.5" customHeight="1" x14ac:dyDescent="0.25">
      <c r="C33" s="4280" t="s">
        <v>2175</v>
      </c>
      <c r="D33" s="4280"/>
      <c r="E33" s="4280"/>
      <c r="F33" s="4280"/>
      <c r="G33" s="4280"/>
      <c r="L33" s="4304">
        <f>L32-L30</f>
        <v>-1435.458764</v>
      </c>
      <c r="M33" s="4304"/>
      <c r="W33" s="4122" t="s">
        <v>1442</v>
      </c>
      <c r="X33" s="4122"/>
      <c r="Y33" s="4122"/>
      <c r="Z33" s="4122"/>
      <c r="AA33" s="4122"/>
      <c r="AB33" s="4122"/>
      <c r="AC33" s="4122"/>
      <c r="AD33" s="4122"/>
      <c r="AE33" s="4122"/>
      <c r="AF33" s="917"/>
      <c r="AG33" s="917"/>
      <c r="AH33" s="917"/>
      <c r="AI33" s="917"/>
    </row>
    <row r="34" spans="3:35" ht="16.5" customHeight="1" x14ac:dyDescent="0.25">
      <c r="C34" s="4279"/>
      <c r="D34" s="4279"/>
      <c r="E34" s="4279"/>
      <c r="F34" s="4279"/>
      <c r="G34" s="4279"/>
      <c r="W34" s="4122" t="s">
        <v>807</v>
      </c>
      <c r="X34" s="4122"/>
      <c r="Y34" s="4122"/>
      <c r="Z34" s="4122"/>
      <c r="AA34" s="4122"/>
      <c r="AB34" s="4122"/>
      <c r="AC34" s="4122"/>
      <c r="AD34" s="4122"/>
      <c r="AE34" s="4122"/>
      <c r="AF34" s="917"/>
      <c r="AG34" s="917"/>
      <c r="AH34" s="917"/>
      <c r="AI34" s="917"/>
    </row>
    <row r="35" spans="3:35" ht="16.5" customHeight="1" x14ac:dyDescent="0.25">
      <c r="C35"/>
      <c r="D35"/>
      <c r="E35" s="474"/>
      <c r="F35" s="1013"/>
      <c r="G35" s="1023"/>
      <c r="W35" s="948"/>
      <c r="X35" s="4311"/>
      <c r="Y35" s="4311"/>
      <c r="Z35" s="4311"/>
      <c r="AA35" s="4311"/>
      <c r="AB35" s="949"/>
      <c r="AC35" s="949"/>
      <c r="AD35" s="949"/>
      <c r="AE35" s="949"/>
      <c r="AF35" s="949"/>
      <c r="AG35" s="949"/>
      <c r="AH35" s="949"/>
      <c r="AI35" s="949"/>
    </row>
    <row r="36" spans="3:35" ht="16.5" customHeight="1" x14ac:dyDescent="0.25">
      <c r="C36"/>
      <c r="D36"/>
      <c r="E36" s="474"/>
      <c r="F36" s="1013"/>
      <c r="G36" s="1023"/>
      <c r="W36" s="948"/>
      <c r="X36" s="950"/>
      <c r="Y36" s="948"/>
      <c r="Z36" s="948"/>
      <c r="AA36" s="948"/>
      <c r="AB36" s="949"/>
      <c r="AC36" s="949"/>
      <c r="AD36" s="949"/>
      <c r="AE36" s="949"/>
      <c r="AF36" s="949"/>
      <c r="AG36" s="949"/>
      <c r="AH36" s="949"/>
      <c r="AI36" s="949"/>
    </row>
    <row r="37" spans="3:35" ht="16.5" customHeight="1" x14ac:dyDescent="0.25">
      <c r="C37"/>
      <c r="D37"/>
      <c r="E37" s="474"/>
      <c r="F37" s="1013"/>
      <c r="G37" s="1023"/>
      <c r="W37" s="948"/>
      <c r="X37" s="950"/>
      <c r="Y37" s="948"/>
      <c r="Z37" s="948"/>
      <c r="AA37" s="948"/>
      <c r="AB37" s="949"/>
      <c r="AC37" s="949"/>
      <c r="AD37" s="949"/>
      <c r="AE37" s="949"/>
      <c r="AF37" s="949"/>
      <c r="AG37" s="949"/>
      <c r="AH37" s="949"/>
      <c r="AI37" s="949"/>
    </row>
    <row r="38" spans="3:35" ht="16.5" customHeight="1" x14ac:dyDescent="0.25">
      <c r="C38"/>
      <c r="D38"/>
      <c r="E38" s="474"/>
      <c r="F38" s="1013"/>
      <c r="G38" s="1023"/>
      <c r="W38" s="948"/>
      <c r="X38" s="950"/>
      <c r="Y38" s="948"/>
      <c r="Z38" s="948"/>
      <c r="AA38" s="948"/>
      <c r="AB38" s="949"/>
      <c r="AC38" s="949"/>
      <c r="AD38" s="949"/>
      <c r="AE38" s="949"/>
      <c r="AF38" s="949"/>
      <c r="AG38" s="949"/>
      <c r="AH38" s="949"/>
      <c r="AI38" s="949"/>
    </row>
    <row r="39" spans="3:35" ht="16.5" customHeight="1" x14ac:dyDescent="0.25">
      <c r="C39"/>
      <c r="D39"/>
      <c r="E39" s="188"/>
      <c r="F39" s="1013"/>
      <c r="G39" s="1024"/>
    </row>
    <row r="40" spans="3:35" ht="16.5" customHeight="1" x14ac:dyDescent="0.25">
      <c r="C40" s="4313" t="s">
        <v>2210</v>
      </c>
      <c r="D40" s="4313"/>
      <c r="E40" s="4313"/>
      <c r="F40" s="4313"/>
      <c r="G40" s="4313"/>
      <c r="W40" s="4122" t="s">
        <v>808</v>
      </c>
      <c r="X40" s="4122"/>
      <c r="Y40" s="4122" t="s">
        <v>808</v>
      </c>
      <c r="Z40" s="4122"/>
      <c r="AA40" s="4122"/>
      <c r="AB40" s="4122"/>
      <c r="AC40" s="4122"/>
      <c r="AD40" s="4122"/>
      <c r="AE40" s="4122"/>
    </row>
    <row r="41" spans="3:35" ht="16.5" customHeight="1" x14ac:dyDescent="0.25"/>
    <row r="42" spans="3:35" ht="16.5" customHeight="1" x14ac:dyDescent="0.25"/>
    <row r="43" spans="3:35" ht="16.5" customHeight="1" x14ac:dyDescent="0.25"/>
    <row r="44" spans="3:35" ht="16.5" customHeight="1" x14ac:dyDescent="0.25"/>
    <row r="45" spans="3:35" ht="16.5" customHeight="1" x14ac:dyDescent="0.25"/>
    <row r="46" spans="3:35" ht="16.5" customHeight="1" x14ac:dyDescent="0.25"/>
    <row r="47" spans="3:35" ht="16.5" customHeight="1" x14ac:dyDescent="0.25"/>
    <row r="48" spans="3:35" ht="16.5" customHeight="1" x14ac:dyDescent="0.25"/>
    <row r="49" ht="16.5" customHeight="1" x14ac:dyDescent="0.25"/>
    <row r="50" ht="16.5" customHeight="1" x14ac:dyDescent="0.25"/>
    <row r="51" ht="16.5" customHeight="1" x14ac:dyDescent="0.25"/>
    <row r="52" ht="27.75" customHeight="1" x14ac:dyDescent="0.25"/>
    <row r="53" ht="16.5" customHeight="1" x14ac:dyDescent="0.25"/>
    <row r="54" ht="16.5" customHeight="1" x14ac:dyDescent="0.25"/>
    <row r="55" ht="16.5" customHeight="1" x14ac:dyDescent="0.25"/>
    <row r="56" ht="16.5" customHeight="1" x14ac:dyDescent="0.25"/>
    <row r="57" ht="29.25" customHeight="1" x14ac:dyDescent="0.25"/>
    <row r="58" ht="29.25" customHeight="1" x14ac:dyDescent="0.25"/>
    <row r="59" ht="29.25" customHeight="1" x14ac:dyDescent="0.25"/>
    <row r="60" ht="29.25" customHeight="1" x14ac:dyDescent="0.25"/>
    <row r="61" ht="29.25" customHeight="1" x14ac:dyDescent="0.25"/>
    <row r="62" ht="29.25" customHeight="1" x14ac:dyDescent="0.25"/>
    <row r="63" ht="29.25" customHeight="1" x14ac:dyDescent="0.25"/>
    <row r="64" ht="29.25" customHeight="1" x14ac:dyDescent="0.25"/>
    <row r="65" ht="29.25" customHeight="1" x14ac:dyDescent="0.25"/>
    <row r="66" ht="29.25" customHeight="1" x14ac:dyDescent="0.25"/>
    <row r="67" ht="29.25" customHeight="1" x14ac:dyDescent="0.25"/>
    <row r="68" ht="29.25" customHeight="1" x14ac:dyDescent="0.25"/>
    <row r="69" ht="29.25" customHeight="1" x14ac:dyDescent="0.25"/>
    <row r="70" ht="29.25" customHeight="1" x14ac:dyDescent="0.25"/>
    <row r="71" ht="29.25" customHeight="1" x14ac:dyDescent="0.25"/>
    <row r="72" ht="29.25" customHeight="1" x14ac:dyDescent="0.25"/>
    <row r="73" ht="29.25" customHeight="1" x14ac:dyDescent="0.25"/>
    <row r="74" ht="29.25" customHeight="1" x14ac:dyDescent="0.25"/>
    <row r="75" ht="29.25" customHeight="1" x14ac:dyDescent="0.25"/>
    <row r="76" ht="29.25" customHeight="1" x14ac:dyDescent="0.25"/>
    <row r="77" ht="29.25" customHeight="1" x14ac:dyDescent="0.25"/>
    <row r="78" ht="24.75" customHeight="1" x14ac:dyDescent="0.25"/>
    <row r="79" ht="23.25" customHeight="1" x14ac:dyDescent="0.25"/>
    <row r="80" ht="29.25" customHeight="1" x14ac:dyDescent="0.25"/>
    <row r="81" ht="29.25" customHeight="1" x14ac:dyDescent="0.25"/>
    <row r="82" ht="16.5" customHeight="1" x14ac:dyDescent="0.25"/>
    <row r="83" ht="16.5" customHeight="1" x14ac:dyDescent="0.25"/>
    <row r="84" ht="16.5" customHeight="1" x14ac:dyDescent="0.25"/>
    <row r="85" ht="41.25" customHeight="1" x14ac:dyDescent="0.25"/>
    <row r="86" ht="16.5" customHeight="1" x14ac:dyDescent="0.25"/>
    <row r="87" ht="16.5" customHeight="1" x14ac:dyDescent="0.25"/>
    <row r="88" ht="16.5" customHeight="1" x14ac:dyDescent="0.25"/>
    <row r="89" ht="16.5" customHeight="1" x14ac:dyDescent="0.25"/>
    <row r="90" ht="16.5" customHeight="1" x14ac:dyDescent="0.25"/>
    <row r="91" ht="16.5" customHeight="1" x14ac:dyDescent="0.25"/>
    <row r="92" ht="16.5" customHeight="1" x14ac:dyDescent="0.25"/>
    <row r="93" ht="16.5" customHeight="1" x14ac:dyDescent="0.25"/>
    <row r="94" ht="16.5" customHeight="1" x14ac:dyDescent="0.25"/>
    <row r="95" ht="23.25" customHeight="1" x14ac:dyDescent="0.25"/>
    <row r="96" ht="16.5" customHeight="1" x14ac:dyDescent="0.25"/>
    <row r="97" ht="16.5" customHeight="1" x14ac:dyDescent="0.25"/>
    <row r="98" ht="16.5" customHeight="1" x14ac:dyDescent="0.25"/>
    <row r="99" ht="16.5" customHeight="1" x14ac:dyDescent="0.25"/>
    <row r="100" ht="16.5" customHeight="1" x14ac:dyDescent="0.25"/>
    <row r="101" ht="16.5" customHeight="1" x14ac:dyDescent="0.25"/>
    <row r="102" ht="16.5" customHeight="1" x14ac:dyDescent="0.25"/>
    <row r="103" ht="16.5" customHeight="1" x14ac:dyDescent="0.25"/>
    <row r="104" ht="16.5" customHeight="1" x14ac:dyDescent="0.25"/>
    <row r="105" ht="16.5" customHeight="1" x14ac:dyDescent="0.25"/>
    <row r="106" ht="16.5" customHeight="1" x14ac:dyDescent="0.25"/>
    <row r="107" ht="16.5" customHeight="1" x14ac:dyDescent="0.25"/>
    <row r="108" ht="16.5" customHeight="1" x14ac:dyDescent="0.25"/>
    <row r="109" ht="16.5" customHeight="1" x14ac:dyDescent="0.25"/>
    <row r="110" ht="16.5" customHeight="1" x14ac:dyDescent="0.25"/>
    <row r="111" ht="16.5" customHeight="1" x14ac:dyDescent="0.25"/>
    <row r="113" ht="18.75" customHeight="1" x14ac:dyDescent="0.25"/>
    <row r="114" ht="18.75" customHeight="1" x14ac:dyDescent="0.25"/>
    <row r="115" ht="18.75" customHeight="1" x14ac:dyDescent="0.25"/>
    <row r="116" ht="18.75" customHeight="1" x14ac:dyDescent="0.25"/>
    <row r="117" ht="18.75" customHeight="1" x14ac:dyDescent="0.25"/>
    <row r="118" ht="18.75" customHeight="1" x14ac:dyDescent="0.25"/>
    <row r="119" ht="18.75" customHeight="1" x14ac:dyDescent="0.25"/>
    <row r="120" ht="18.75" customHeight="1" x14ac:dyDescent="0.25"/>
  </sheetData>
  <mergeCells count="47">
    <mergeCell ref="AI5:AI7"/>
    <mergeCell ref="AJ5:AJ7"/>
    <mergeCell ref="A1:E1"/>
    <mergeCell ref="AL5:AL7"/>
    <mergeCell ref="F6:H6"/>
    <mergeCell ref="I6:I7"/>
    <mergeCell ref="J6:K6"/>
    <mergeCell ref="L6:P6"/>
    <mergeCell ref="Q6:Q7"/>
    <mergeCell ref="AB5:AC6"/>
    <mergeCell ref="AD5:AD7"/>
    <mergeCell ref="AE5:AF6"/>
    <mergeCell ref="AG5:AG7"/>
    <mergeCell ref="AH5:AH7"/>
    <mergeCell ref="AB1:AD1"/>
    <mergeCell ref="Y5:Y7"/>
    <mergeCell ref="W40:AE40"/>
    <mergeCell ref="X35:AA35"/>
    <mergeCell ref="C32:D32"/>
    <mergeCell ref="C40:G40"/>
    <mergeCell ref="AI1:AK1"/>
    <mergeCell ref="A2:AK2"/>
    <mergeCell ref="A3:AK3"/>
    <mergeCell ref="AA4:AG4"/>
    <mergeCell ref="C5:C7"/>
    <mergeCell ref="D5:D7"/>
    <mergeCell ref="E5:E7"/>
    <mergeCell ref="F5:K5"/>
    <mergeCell ref="L5:Q5"/>
    <mergeCell ref="R5:R7"/>
    <mergeCell ref="S5:S7"/>
    <mergeCell ref="T5:T7"/>
    <mergeCell ref="A5:A7"/>
    <mergeCell ref="B5:B7"/>
    <mergeCell ref="W32:AE32"/>
    <mergeCell ref="W33:AE33"/>
    <mergeCell ref="W34:AE34"/>
    <mergeCell ref="C33:G33"/>
    <mergeCell ref="C34:G34"/>
    <mergeCell ref="L32:M32"/>
    <mergeCell ref="L33:M33"/>
    <mergeCell ref="U5:U7"/>
    <mergeCell ref="Z5:Z7"/>
    <mergeCell ref="AA5:AA7"/>
    <mergeCell ref="V5:V7"/>
    <mergeCell ref="W5:W7"/>
    <mergeCell ref="X5:X7"/>
  </mergeCells>
  <phoneticPr fontId="70" type="noConversion"/>
  <pageMargins left="0.57999999999999996" right="0.24" top="0.45" bottom="0.43" header="0.3" footer="0.3"/>
  <pageSetup paperSize="9" scale="65" firstPageNumber="163" orientation="landscape" useFirstPageNumber="1" r:id="rId1"/>
  <headerFooter>
    <oddHeader>&amp;RBiểu số 5.7</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C00000"/>
  </sheetPr>
  <dimension ref="A1:N30"/>
  <sheetViews>
    <sheetView view="pageBreakPreview" zoomScaleSheetLayoutView="100" workbookViewId="0">
      <pane xSplit="2" ySplit="7" topLeftCell="C11" activePane="bottomRight" state="frozen"/>
      <selection pane="topRight" activeCell="C1" sqref="C1"/>
      <selection pane="bottomLeft" activeCell="A8" sqref="A8"/>
      <selection pane="bottomRight" activeCell="A8" sqref="A8:L30"/>
    </sheetView>
  </sheetViews>
  <sheetFormatPr defaultColWidth="9.140625" defaultRowHeight="15" x14ac:dyDescent="0.25"/>
  <cols>
    <col min="1" max="1" width="4.7109375" style="1466" customWidth="1"/>
    <col min="2" max="2" width="23.28515625" style="546" customWidth="1"/>
    <col min="3" max="3" width="15.28515625" style="546" customWidth="1"/>
    <col min="4" max="4" width="10.140625" style="1459" customWidth="1"/>
    <col min="5" max="5" width="13.5703125" style="1472" customWidth="1"/>
    <col min="6" max="7" width="11.85546875" style="546" customWidth="1"/>
    <col min="8" max="8" width="11.7109375" style="546" customWidth="1"/>
    <col min="9" max="9" width="13.140625" style="1507" customWidth="1"/>
    <col min="10" max="10" width="12.85546875" style="546" customWidth="1"/>
    <col min="11" max="11" width="10.85546875" style="546" customWidth="1"/>
    <col min="12" max="12" width="11.7109375" style="546" customWidth="1"/>
    <col min="13" max="13" width="16.7109375" style="546" hidden="1" customWidth="1"/>
    <col min="14" max="14" width="23.85546875" style="1507" bestFit="1" customWidth="1"/>
    <col min="15" max="15" width="20.85546875" style="546" customWidth="1"/>
    <col min="16" max="16384" width="9.140625" style="546"/>
  </cols>
  <sheetData>
    <row r="1" spans="1:14" ht="15.75" x14ac:dyDescent="0.25">
      <c r="A1" s="4129" t="s">
        <v>842</v>
      </c>
      <c r="B1" s="4129"/>
      <c r="L1" s="1177"/>
    </row>
    <row r="2" spans="1:14" ht="15.75" x14ac:dyDescent="0.25">
      <c r="A2" s="4337" t="s">
        <v>2595</v>
      </c>
      <c r="B2" s="4337"/>
      <c r="C2" s="4337"/>
      <c r="D2" s="4337"/>
      <c r="E2" s="4337"/>
      <c r="F2" s="4337"/>
      <c r="G2" s="4337"/>
      <c r="H2" s="4337"/>
      <c r="I2" s="4337"/>
      <c r="J2" s="4337"/>
      <c r="K2" s="4337"/>
      <c r="L2" s="4337"/>
    </row>
    <row r="3" spans="1:14" ht="15.75" x14ac:dyDescent="0.25">
      <c r="A3" s="4338" t="s">
        <v>2596</v>
      </c>
      <c r="B3" s="4338"/>
      <c r="C3" s="4338"/>
      <c r="D3" s="4338"/>
      <c r="E3" s="4338"/>
      <c r="F3" s="4338"/>
      <c r="G3" s="4338"/>
      <c r="H3" s="4338"/>
      <c r="I3" s="4338"/>
      <c r="J3" s="4338"/>
      <c r="K3" s="4338"/>
      <c r="L3" s="4338"/>
    </row>
    <row r="4" spans="1:14" ht="15.75" x14ac:dyDescent="0.25">
      <c r="L4" s="1178" t="s">
        <v>2219</v>
      </c>
    </row>
    <row r="5" spans="1:14" s="1195" customFormat="1" ht="12.75" x14ac:dyDescent="0.25">
      <c r="A5" s="4339" t="s">
        <v>1579</v>
      </c>
      <c r="B5" s="4341" t="s">
        <v>193</v>
      </c>
      <c r="C5" s="4343" t="s">
        <v>2597</v>
      </c>
      <c r="D5" s="4345" t="s">
        <v>869</v>
      </c>
      <c r="E5" s="4346"/>
      <c r="F5" s="4346"/>
      <c r="G5" s="4346"/>
      <c r="H5" s="4347"/>
      <c r="I5" s="4348" t="s">
        <v>2598</v>
      </c>
      <c r="J5" s="4350" t="s">
        <v>552</v>
      </c>
      <c r="K5" s="4345" t="s">
        <v>907</v>
      </c>
      <c r="L5" s="4347"/>
      <c r="N5" s="1522"/>
    </row>
    <row r="6" spans="1:14" s="1195" customFormat="1" ht="48" x14ac:dyDescent="0.25">
      <c r="A6" s="4340"/>
      <c r="B6" s="4342"/>
      <c r="C6" s="4344"/>
      <c r="D6" s="1460" t="s">
        <v>2155</v>
      </c>
      <c r="E6" s="1473" t="s">
        <v>553</v>
      </c>
      <c r="F6" s="1323" t="s">
        <v>2156</v>
      </c>
      <c r="G6" s="1323" t="s">
        <v>2521</v>
      </c>
      <c r="H6" s="1323" t="s">
        <v>2157</v>
      </c>
      <c r="I6" s="4349"/>
      <c r="J6" s="4351"/>
      <c r="K6" s="1323" t="s">
        <v>2158</v>
      </c>
      <c r="L6" s="1323" t="s">
        <v>554</v>
      </c>
      <c r="N6" s="1522"/>
    </row>
    <row r="7" spans="1:14" s="1455" customFormat="1" ht="12.75" x14ac:dyDescent="0.2">
      <c r="A7" s="1467"/>
      <c r="B7" s="1182" t="s">
        <v>1114</v>
      </c>
      <c r="C7" s="1474">
        <f t="shared" ref="C7:L7" si="0">SUM(C8:C27)</f>
        <v>23115.915820000002</v>
      </c>
      <c r="D7" s="1461">
        <f t="shared" si="0"/>
        <v>0</v>
      </c>
      <c r="E7" s="1475">
        <f t="shared" si="0"/>
        <v>14350.142</v>
      </c>
      <c r="F7" s="1475">
        <f t="shared" si="0"/>
        <v>8862.1848199999986</v>
      </c>
      <c r="G7" s="1475">
        <f t="shared" si="0"/>
        <v>96.411000000000001</v>
      </c>
      <c r="H7" s="1475">
        <f t="shared" si="0"/>
        <v>0</v>
      </c>
      <c r="I7" s="1524" t="e">
        <f t="shared" si="0"/>
        <v>#REF!</v>
      </c>
      <c r="J7" s="1475" t="e">
        <f t="shared" si="0"/>
        <v>#REF!</v>
      </c>
      <c r="K7" s="1475">
        <f t="shared" si="0"/>
        <v>0</v>
      </c>
      <c r="L7" s="1475" t="e">
        <f t="shared" si="0"/>
        <v>#REF!</v>
      </c>
      <c r="N7" s="1494"/>
    </row>
    <row r="8" spans="1:14" s="1455" customFormat="1" ht="12.75" x14ac:dyDescent="0.2">
      <c r="A8" s="1469">
        <v>12</v>
      </c>
      <c r="B8" s="1326" t="s">
        <v>988</v>
      </c>
      <c r="C8" s="1327">
        <f t="shared" ref="C8:C27" si="1">D8+E8+F8-G8-H8</f>
        <v>8439.7309999999998</v>
      </c>
      <c r="D8" s="1463"/>
      <c r="E8" s="1465">
        <v>8536.1419999999998</v>
      </c>
      <c r="F8" s="1327"/>
      <c r="G8" s="1327">
        <v>96.411000000000001</v>
      </c>
      <c r="H8" s="1327"/>
      <c r="I8" s="1504">
        <v>7810.3697179999999</v>
      </c>
      <c r="J8" s="1327">
        <f t="shared" ref="J8:J23" si="2">C8-I8</f>
        <v>629.36128199999985</v>
      </c>
      <c r="K8" s="1327"/>
      <c r="L8" s="1327">
        <f t="shared" ref="L8:L24" si="3">J8-K8</f>
        <v>629.36128199999985</v>
      </c>
      <c r="M8" s="1456">
        <v>594004340</v>
      </c>
      <c r="N8" s="1494"/>
    </row>
    <row r="9" spans="1:14" s="1455" customFormat="1" ht="24" x14ac:dyDescent="0.2">
      <c r="A9" s="1469">
        <v>22</v>
      </c>
      <c r="B9" s="1326" t="s">
        <v>1805</v>
      </c>
      <c r="C9" s="1327">
        <f t="shared" si="1"/>
        <v>20</v>
      </c>
      <c r="D9" s="1463"/>
      <c r="E9" s="1465">
        <v>20</v>
      </c>
      <c r="F9" s="1327"/>
      <c r="G9" s="1327"/>
      <c r="H9" s="1327"/>
      <c r="I9" s="1504">
        <v>20</v>
      </c>
      <c r="J9" s="1463">
        <f t="shared" si="2"/>
        <v>0</v>
      </c>
      <c r="K9" s="1463"/>
      <c r="L9" s="1463">
        <f t="shared" si="3"/>
        <v>0</v>
      </c>
      <c r="N9" s="1494"/>
    </row>
    <row r="10" spans="1:14" s="1455" customFormat="1" ht="12.75" x14ac:dyDescent="0.2">
      <c r="A10" s="1469">
        <v>25</v>
      </c>
      <c r="B10" s="1326" t="s">
        <v>2226</v>
      </c>
      <c r="C10" s="1327">
        <f t="shared" si="1"/>
        <v>5758.2675130000007</v>
      </c>
      <c r="D10" s="1463"/>
      <c r="E10" s="1465">
        <v>3606</v>
      </c>
      <c r="F10" s="1327">
        <f>1438.832313+713.4352</f>
        <v>2152.2675130000002</v>
      </c>
      <c r="G10" s="1327"/>
      <c r="H10" s="1327"/>
      <c r="I10" s="1504">
        <f>5044.832313+713.4352</f>
        <v>5758.2675129999998</v>
      </c>
      <c r="J10" s="1463">
        <f t="shared" si="2"/>
        <v>0</v>
      </c>
      <c r="K10" s="1463"/>
      <c r="L10" s="1463">
        <f t="shared" si="3"/>
        <v>0</v>
      </c>
      <c r="N10" s="1494"/>
    </row>
    <row r="11" spans="1:14" s="1455" customFormat="1" ht="12.75" x14ac:dyDescent="0.2">
      <c r="A11" s="1469">
        <v>26</v>
      </c>
      <c r="B11" s="1326" t="s">
        <v>2227</v>
      </c>
      <c r="C11" s="1327">
        <f t="shared" si="1"/>
        <v>2218</v>
      </c>
      <c r="D11" s="1463"/>
      <c r="E11" s="1465">
        <v>1508</v>
      </c>
      <c r="F11" s="1327">
        <v>710</v>
      </c>
      <c r="G11" s="1327"/>
      <c r="H11" s="1327"/>
      <c r="I11" s="1504">
        <v>2218</v>
      </c>
      <c r="J11" s="1463">
        <f>C11-I11</f>
        <v>0</v>
      </c>
      <c r="K11" s="1463"/>
      <c r="L11" s="1463">
        <f t="shared" si="3"/>
        <v>0</v>
      </c>
      <c r="M11" s="1456"/>
      <c r="N11" s="1494"/>
    </row>
    <row r="12" spans="1:14" s="1521" customFormat="1" ht="12.75" x14ac:dyDescent="0.2">
      <c r="A12" s="1515">
        <v>33</v>
      </c>
      <c r="B12" s="1516" t="s">
        <v>2485</v>
      </c>
      <c r="C12" s="1517">
        <f t="shared" si="1"/>
        <v>60</v>
      </c>
      <c r="D12" s="1518"/>
      <c r="E12" s="1519">
        <v>60</v>
      </c>
      <c r="F12" s="1517"/>
      <c r="G12" s="1517"/>
      <c r="H12" s="1517"/>
      <c r="I12" s="1520">
        <v>60</v>
      </c>
      <c r="J12" s="1517">
        <f t="shared" si="2"/>
        <v>0</v>
      </c>
      <c r="K12" s="1517"/>
      <c r="L12" s="1517">
        <f t="shared" si="3"/>
        <v>0</v>
      </c>
      <c r="N12" s="1523"/>
    </row>
    <row r="13" spans="1:14" s="1521" customFormat="1" ht="12.75" x14ac:dyDescent="0.2">
      <c r="A13" s="1515">
        <v>38</v>
      </c>
      <c r="B13" s="1516" t="s">
        <v>2488</v>
      </c>
      <c r="C13" s="1517">
        <f t="shared" si="1"/>
        <v>60</v>
      </c>
      <c r="D13" s="1518"/>
      <c r="E13" s="1519">
        <v>60</v>
      </c>
      <c r="F13" s="1517"/>
      <c r="G13" s="1517"/>
      <c r="H13" s="1517"/>
      <c r="I13" s="1520">
        <v>60</v>
      </c>
      <c r="J13" s="1517">
        <f t="shared" si="2"/>
        <v>0</v>
      </c>
      <c r="K13" s="1517"/>
      <c r="L13" s="1517">
        <f t="shared" si="3"/>
        <v>0</v>
      </c>
      <c r="N13" s="1523"/>
    </row>
    <row r="14" spans="1:14" s="1455" customFormat="1" ht="12.75" x14ac:dyDescent="0.2">
      <c r="A14" s="1469">
        <v>40</v>
      </c>
      <c r="B14" s="1326" t="s">
        <v>2491</v>
      </c>
      <c r="C14" s="1327">
        <f t="shared" si="1"/>
        <v>2488.8029069999998</v>
      </c>
      <c r="D14" s="1463"/>
      <c r="E14" s="1465"/>
      <c r="F14" s="1327">
        <f>2488.802907</f>
        <v>2488.8029069999998</v>
      </c>
      <c r="G14" s="1327"/>
      <c r="H14" s="1327"/>
      <c r="I14" s="1492" t="e">
        <f>'B57'!#REF!-60</f>
        <v>#REF!</v>
      </c>
      <c r="J14" s="1327" t="e">
        <f t="shared" si="2"/>
        <v>#REF!</v>
      </c>
      <c r="K14" s="1327"/>
      <c r="L14" s="1327" t="e">
        <f t="shared" si="3"/>
        <v>#REF!</v>
      </c>
      <c r="N14" s="1494"/>
    </row>
    <row r="15" spans="1:14" s="1455" customFormat="1" ht="24" x14ac:dyDescent="0.2">
      <c r="A15" s="1469">
        <v>41</v>
      </c>
      <c r="B15" s="1326" t="s">
        <v>2492</v>
      </c>
      <c r="C15" s="1327">
        <f t="shared" si="1"/>
        <v>500</v>
      </c>
      <c r="D15" s="1463"/>
      <c r="E15" s="1465">
        <v>500</v>
      </c>
      <c r="F15" s="1327"/>
      <c r="G15" s="1327"/>
      <c r="H15" s="1327"/>
      <c r="I15" s="1504">
        <v>500</v>
      </c>
      <c r="J15" s="1327">
        <f t="shared" si="2"/>
        <v>0</v>
      </c>
      <c r="K15" s="1327"/>
      <c r="L15" s="1327">
        <f t="shared" si="3"/>
        <v>0</v>
      </c>
      <c r="N15" s="1494"/>
    </row>
    <row r="16" spans="1:14" s="1521" customFormat="1" ht="13.9" customHeight="1" x14ac:dyDescent="0.2">
      <c r="A16" s="1515">
        <v>42</v>
      </c>
      <c r="B16" s="1516" t="s">
        <v>2493</v>
      </c>
      <c r="C16" s="1517">
        <f t="shared" si="1"/>
        <v>60</v>
      </c>
      <c r="D16" s="1518"/>
      <c r="E16" s="1519">
        <v>60</v>
      </c>
      <c r="F16" s="1517"/>
      <c r="G16" s="1517"/>
      <c r="H16" s="1517"/>
      <c r="I16" s="1520">
        <v>60</v>
      </c>
      <c r="J16" s="1517">
        <f t="shared" si="2"/>
        <v>0</v>
      </c>
      <c r="K16" s="1517"/>
      <c r="L16" s="1517">
        <f t="shared" si="3"/>
        <v>0</v>
      </c>
      <c r="N16" s="1523"/>
    </row>
    <row r="17" spans="1:14" s="1455" customFormat="1" ht="12.75" x14ac:dyDescent="0.2">
      <c r="A17" s="1469">
        <v>43</v>
      </c>
      <c r="B17" s="1326" t="s">
        <v>2494</v>
      </c>
      <c r="C17" s="1327">
        <f t="shared" si="1"/>
        <v>25.6</v>
      </c>
      <c r="D17" s="1463"/>
      <c r="E17" s="1465"/>
      <c r="F17" s="1327">
        <v>25.6</v>
      </c>
      <c r="G17" s="1327"/>
      <c r="H17" s="1327"/>
      <c r="I17" s="1504">
        <v>25.6</v>
      </c>
      <c r="J17" s="1327">
        <f t="shared" si="2"/>
        <v>0</v>
      </c>
      <c r="K17" s="1327"/>
      <c r="L17" s="1327">
        <f t="shared" si="3"/>
        <v>0</v>
      </c>
      <c r="N17" s="1494"/>
    </row>
    <row r="18" spans="1:14" s="1455" customFormat="1" ht="12.75" x14ac:dyDescent="0.2">
      <c r="A18" s="1469"/>
      <c r="B18" s="1326" t="s">
        <v>2625</v>
      </c>
      <c r="C18" s="1327">
        <f>D18+E18+F18-G18-H18</f>
        <v>60.347999999999999</v>
      </c>
      <c r="D18" s="1463"/>
      <c r="E18" s="1465"/>
      <c r="F18" s="1327">
        <v>60.347999999999999</v>
      </c>
      <c r="G18" s="1327"/>
      <c r="H18" s="1327"/>
      <c r="I18" s="1504">
        <v>60.347999999999999</v>
      </c>
      <c r="J18" s="1327">
        <f t="shared" si="2"/>
        <v>0</v>
      </c>
      <c r="K18" s="1327"/>
      <c r="L18" s="1327">
        <f t="shared" si="3"/>
        <v>0</v>
      </c>
      <c r="N18" s="1494"/>
    </row>
    <row r="19" spans="1:14" s="1455" customFormat="1" ht="12.75" x14ac:dyDescent="0.2">
      <c r="A19" s="1469"/>
      <c r="B19" s="1326" t="s">
        <v>2626</v>
      </c>
      <c r="C19" s="1327">
        <f>D19+E19+F19-G19-H19</f>
        <v>30</v>
      </c>
      <c r="D19" s="1463"/>
      <c r="E19" s="1465"/>
      <c r="F19" s="1327">
        <v>30</v>
      </c>
      <c r="G19" s="1327"/>
      <c r="H19" s="1327"/>
      <c r="I19" s="1504">
        <v>30</v>
      </c>
      <c r="J19" s="1327">
        <f t="shared" si="2"/>
        <v>0</v>
      </c>
      <c r="K19" s="1327"/>
      <c r="L19" s="1327">
        <f t="shared" si="3"/>
        <v>0</v>
      </c>
      <c r="N19" s="1523"/>
    </row>
    <row r="20" spans="1:14" s="1455" customFormat="1" ht="24" x14ac:dyDescent="0.2">
      <c r="A20" s="1469">
        <v>44</v>
      </c>
      <c r="B20" s="1326" t="s">
        <v>2495</v>
      </c>
      <c r="C20" s="1327">
        <f t="shared" si="1"/>
        <v>440.23200000000003</v>
      </c>
      <c r="D20" s="1463"/>
      <c r="E20" s="1465"/>
      <c r="F20" s="1327">
        <v>440.23200000000003</v>
      </c>
      <c r="G20" s="1327"/>
      <c r="H20" s="1327"/>
      <c r="I20" s="1504">
        <v>434.08199999999999</v>
      </c>
      <c r="J20" s="1327">
        <f t="shared" si="2"/>
        <v>6.1500000000000341</v>
      </c>
      <c r="K20" s="1327"/>
      <c r="L20" s="1327">
        <f t="shared" si="3"/>
        <v>6.1500000000000341</v>
      </c>
      <c r="N20" s="1494"/>
    </row>
    <row r="21" spans="1:14" s="1455" customFormat="1" ht="12.75" x14ac:dyDescent="0.2">
      <c r="A21" s="1469">
        <v>45</v>
      </c>
      <c r="B21" s="1326" t="s">
        <v>2496</v>
      </c>
      <c r="C21" s="1327">
        <f t="shared" si="1"/>
        <v>531.5095</v>
      </c>
      <c r="D21" s="1463"/>
      <c r="E21" s="1465"/>
      <c r="F21" s="1327">
        <v>531.5095</v>
      </c>
      <c r="G21" s="1327"/>
      <c r="H21" s="1327"/>
      <c r="I21" s="1504">
        <v>526.59249999999997</v>
      </c>
      <c r="J21" s="1327">
        <f t="shared" si="2"/>
        <v>4.91700000000003</v>
      </c>
      <c r="K21" s="1327"/>
      <c r="L21" s="1327">
        <f t="shared" si="3"/>
        <v>4.91700000000003</v>
      </c>
      <c r="N21" s="1494"/>
    </row>
    <row r="22" spans="1:14" s="1455" customFormat="1" ht="12.75" x14ac:dyDescent="0.2">
      <c r="A22" s="1469">
        <v>46</v>
      </c>
      <c r="B22" s="1326" t="s">
        <v>2497</v>
      </c>
      <c r="C22" s="1327">
        <f t="shared" si="1"/>
        <v>744.17</v>
      </c>
      <c r="D22" s="1463"/>
      <c r="E22" s="1465"/>
      <c r="F22" s="1327">
        <v>744.17</v>
      </c>
      <c r="G22" s="1327"/>
      <c r="H22" s="1327"/>
      <c r="I22" s="1504">
        <f>288.95+90.62</f>
        <v>379.57</v>
      </c>
      <c r="J22" s="1327">
        <f t="shared" si="2"/>
        <v>364.59999999999997</v>
      </c>
      <c r="K22" s="1327"/>
      <c r="L22" s="1327">
        <f t="shared" si="3"/>
        <v>364.59999999999997</v>
      </c>
      <c r="N22" s="1494"/>
    </row>
    <row r="23" spans="1:14" s="1455" customFormat="1" ht="12.75" x14ac:dyDescent="0.2">
      <c r="A23" s="1469">
        <v>47</v>
      </c>
      <c r="B23" s="1326" t="s">
        <v>2498</v>
      </c>
      <c r="C23" s="1327">
        <f t="shared" si="1"/>
        <v>222.0924</v>
      </c>
      <c r="D23" s="1463"/>
      <c r="E23" s="1465"/>
      <c r="F23" s="1327">
        <v>222.0924</v>
      </c>
      <c r="G23" s="1327"/>
      <c r="H23" s="1327"/>
      <c r="I23" s="1504">
        <v>222.09039999999999</v>
      </c>
      <c r="J23" s="1327">
        <f t="shared" si="2"/>
        <v>2.0000000000095497E-3</v>
      </c>
      <c r="K23" s="1327"/>
      <c r="L23" s="1327">
        <f t="shared" si="3"/>
        <v>2.0000000000095497E-3</v>
      </c>
      <c r="N23" s="1494"/>
    </row>
    <row r="24" spans="1:14" s="1455" customFormat="1" ht="36" x14ac:dyDescent="0.2">
      <c r="A24" s="1469">
        <v>48</v>
      </c>
      <c r="B24" s="1326" t="s">
        <v>2499</v>
      </c>
      <c r="C24" s="1327">
        <f t="shared" si="1"/>
        <v>300</v>
      </c>
      <c r="D24" s="1463"/>
      <c r="E24" s="1465"/>
      <c r="F24" s="1327">
        <v>300</v>
      </c>
      <c r="G24" s="1327"/>
      <c r="H24" s="1327"/>
      <c r="I24" s="1504">
        <v>300</v>
      </c>
      <c r="J24" s="1327">
        <f>C24-I24</f>
        <v>0</v>
      </c>
      <c r="K24" s="1327"/>
      <c r="L24" s="1327">
        <f t="shared" si="3"/>
        <v>0</v>
      </c>
      <c r="N24" s="1494"/>
    </row>
    <row r="25" spans="1:14" s="1455" customFormat="1" ht="12.75" x14ac:dyDescent="0.2">
      <c r="A25" s="1469">
        <v>49</v>
      </c>
      <c r="B25" s="1326" t="s">
        <v>2600</v>
      </c>
      <c r="C25" s="1327">
        <f t="shared" si="1"/>
        <v>367.74799999999999</v>
      </c>
      <c r="D25" s="1463"/>
      <c r="E25" s="1465"/>
      <c r="F25" s="1327">
        <v>367.74799999999999</v>
      </c>
      <c r="G25" s="1327"/>
      <c r="H25" s="1327"/>
      <c r="I25" s="1504">
        <v>367.74799999999999</v>
      </c>
      <c r="J25" s="1327"/>
      <c r="K25" s="1327"/>
      <c r="L25" s="1327"/>
      <c r="N25" s="1494"/>
    </row>
    <row r="26" spans="1:14" s="1455" customFormat="1" ht="12.75" x14ac:dyDescent="0.2">
      <c r="A26" s="1469">
        <v>50</v>
      </c>
      <c r="B26" s="1326" t="s">
        <v>2601</v>
      </c>
      <c r="C26" s="1327">
        <f t="shared" si="1"/>
        <v>369.79199999999997</v>
      </c>
      <c r="D26" s="1463"/>
      <c r="E26" s="1465"/>
      <c r="F26" s="1327">
        <v>369.79199999999997</v>
      </c>
      <c r="G26" s="1327"/>
      <c r="H26" s="1327"/>
      <c r="I26" s="1504">
        <v>369.79199999999997</v>
      </c>
      <c r="J26" s="1327"/>
      <c r="K26" s="1327"/>
      <c r="L26" s="1327"/>
      <c r="N26" s="1523"/>
    </row>
    <row r="27" spans="1:14" s="1455" customFormat="1" ht="12.75" x14ac:dyDescent="0.2">
      <c r="A27" s="1469">
        <v>51</v>
      </c>
      <c r="B27" s="1326" t="s">
        <v>2602</v>
      </c>
      <c r="C27" s="1327">
        <f t="shared" si="1"/>
        <v>419.6225</v>
      </c>
      <c r="D27" s="1463"/>
      <c r="E27" s="1465"/>
      <c r="F27" s="1327">
        <v>419.6225</v>
      </c>
      <c r="G27" s="1327"/>
      <c r="H27" s="1327"/>
      <c r="I27" s="1504">
        <v>371.65839999999997</v>
      </c>
      <c r="J27" s="1327"/>
      <c r="K27" s="1327"/>
      <c r="L27" s="1327"/>
      <c r="N27" s="1494"/>
    </row>
    <row r="28" spans="1:14" s="1455" customFormat="1" ht="12.75" x14ac:dyDescent="0.2">
      <c r="A28" s="1469"/>
      <c r="B28" s="1326"/>
      <c r="C28" s="1327"/>
      <c r="D28" s="1463"/>
      <c r="E28" s="1465"/>
      <c r="F28" s="1327"/>
      <c r="G28" s="1327"/>
      <c r="H28" s="1327"/>
      <c r="I28" s="1504"/>
      <c r="J28" s="1327"/>
      <c r="K28" s="1327"/>
      <c r="L28" s="1327"/>
      <c r="N28" s="1494"/>
    </row>
    <row r="29" spans="1:14" s="1455" customFormat="1" ht="12.75" x14ac:dyDescent="0.2">
      <c r="A29" s="1469"/>
      <c r="B29" s="1326" t="s">
        <v>2627</v>
      </c>
      <c r="C29" s="1327"/>
      <c r="D29" s="1463"/>
      <c r="E29" s="1465"/>
      <c r="F29" s="1327"/>
      <c r="G29" s="1327"/>
      <c r="H29" s="1327"/>
      <c r="I29" s="1504"/>
      <c r="J29" s="1327"/>
      <c r="K29" s="1327"/>
      <c r="L29" s="1327"/>
      <c r="N29" s="1494"/>
    </row>
    <row r="30" spans="1:14" s="1455" customFormat="1" ht="12.75" x14ac:dyDescent="0.2">
      <c r="A30" s="1469"/>
      <c r="B30" s="1326" t="s">
        <v>2628</v>
      </c>
      <c r="C30" s="1327"/>
      <c r="D30" s="1463"/>
      <c r="E30" s="1465"/>
      <c r="F30" s="1327"/>
      <c r="G30" s="1327"/>
      <c r="H30" s="1327"/>
      <c r="I30" s="1504">
        <v>160.81</v>
      </c>
      <c r="J30" s="1327"/>
      <c r="K30" s="1327"/>
      <c r="L30" s="1327"/>
      <c r="N30" s="1494"/>
    </row>
  </sheetData>
  <mergeCells count="10">
    <mergeCell ref="A1:B1"/>
    <mergeCell ref="A2:L2"/>
    <mergeCell ref="A3:L3"/>
    <mergeCell ref="A5:A6"/>
    <mergeCell ref="B5:B6"/>
    <mergeCell ref="C5:C6"/>
    <mergeCell ref="D5:H5"/>
    <mergeCell ref="I5:I6"/>
    <mergeCell ref="J5:J6"/>
    <mergeCell ref="K5:L5"/>
  </mergeCells>
  <pageMargins left="0.51181102362204722" right="0.23622047244094491" top="0.55118110236220474" bottom="0.55118110236220474" header="0.31496062992125984" footer="0.31496062992125984"/>
  <pageSetup paperSize="9" scale="90" firstPageNumber="166" orientation="landscape" useFirstPageNumber="1" r:id="rId1"/>
  <headerFooter>
    <oddHeader>&amp;RBiểu số 5.10</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C00000"/>
  </sheetPr>
  <dimension ref="A1:O70"/>
  <sheetViews>
    <sheetView view="pageBreakPreview" zoomScaleSheetLayoutView="100" workbookViewId="0">
      <pane xSplit="2" ySplit="7" topLeftCell="C53" activePane="bottomRight" state="frozen"/>
      <selection pane="topRight" activeCell="C1" sqref="C1"/>
      <selection pane="bottomLeft" activeCell="A8" sqref="A8"/>
      <selection pane="bottomRight" activeCell="J10" sqref="J10"/>
    </sheetView>
  </sheetViews>
  <sheetFormatPr defaultColWidth="9.140625" defaultRowHeight="15" x14ac:dyDescent="0.25"/>
  <cols>
    <col min="1" max="1" width="4.7109375" style="1466" customWidth="1"/>
    <col min="2" max="2" width="23.28515625" style="546" customWidth="1"/>
    <col min="3" max="3" width="15.28515625" style="546" customWidth="1"/>
    <col min="4" max="4" width="10.140625" style="1459" customWidth="1"/>
    <col min="5" max="5" width="13.5703125" style="1472" customWidth="1"/>
    <col min="6" max="7" width="11.85546875" style="546" customWidth="1"/>
    <col min="8" max="8" width="11.7109375" style="546" customWidth="1"/>
    <col min="9" max="9" width="13.140625" style="1507" customWidth="1"/>
    <col min="10" max="10" width="12.85546875" style="546" customWidth="1"/>
    <col min="11" max="11" width="10.85546875" style="546" customWidth="1"/>
    <col min="12" max="12" width="11.7109375" style="546" customWidth="1"/>
    <col min="13" max="13" width="16.7109375" style="546" hidden="1" customWidth="1"/>
    <col min="14" max="14" width="23.85546875" style="546" bestFit="1" customWidth="1"/>
    <col min="15" max="15" width="20.85546875" style="546" customWidth="1"/>
    <col min="16" max="16384" width="9.140625" style="546"/>
  </cols>
  <sheetData>
    <row r="1" spans="1:14" ht="15.75" x14ac:dyDescent="0.25">
      <c r="A1" s="4129" t="s">
        <v>842</v>
      </c>
      <c r="B1" s="4129"/>
      <c r="L1" s="1177"/>
    </row>
    <row r="2" spans="1:14" ht="15.75" x14ac:dyDescent="0.25">
      <c r="A2" s="4337" t="s">
        <v>2595</v>
      </c>
      <c r="B2" s="4337"/>
      <c r="C2" s="4337"/>
      <c r="D2" s="4337"/>
      <c r="E2" s="4337"/>
      <c r="F2" s="4337"/>
      <c r="G2" s="4337"/>
      <c r="H2" s="4337"/>
      <c r="I2" s="4337"/>
      <c r="J2" s="4337"/>
      <c r="K2" s="4337"/>
      <c r="L2" s="4337"/>
    </row>
    <row r="3" spans="1:14" ht="15.75" x14ac:dyDescent="0.25">
      <c r="A3" s="4338" t="s">
        <v>2596</v>
      </c>
      <c r="B3" s="4338"/>
      <c r="C3" s="4338"/>
      <c r="D3" s="4338"/>
      <c r="E3" s="4338"/>
      <c r="F3" s="4338"/>
      <c r="G3" s="4338"/>
      <c r="H3" s="4338"/>
      <c r="I3" s="4338"/>
      <c r="J3" s="4338"/>
      <c r="K3" s="4338"/>
      <c r="L3" s="4338"/>
    </row>
    <row r="4" spans="1:14" ht="15.75" x14ac:dyDescent="0.25">
      <c r="L4" s="1178" t="s">
        <v>2219</v>
      </c>
    </row>
    <row r="5" spans="1:14" s="1195" customFormat="1" ht="12.75" x14ac:dyDescent="0.25">
      <c r="A5" s="4339" t="s">
        <v>1579</v>
      </c>
      <c r="B5" s="4341" t="s">
        <v>193</v>
      </c>
      <c r="C5" s="4343" t="s">
        <v>2597</v>
      </c>
      <c r="D5" s="4345" t="s">
        <v>869</v>
      </c>
      <c r="E5" s="4346"/>
      <c r="F5" s="4346"/>
      <c r="G5" s="4346"/>
      <c r="H5" s="4347"/>
      <c r="I5" s="4348" t="s">
        <v>2598</v>
      </c>
      <c r="J5" s="4350" t="s">
        <v>552</v>
      </c>
      <c r="K5" s="4345" t="s">
        <v>907</v>
      </c>
      <c r="L5" s="4347"/>
    </row>
    <row r="6" spans="1:14" s="1195" customFormat="1" ht="48" x14ac:dyDescent="0.25">
      <c r="A6" s="4340"/>
      <c r="B6" s="4342"/>
      <c r="C6" s="4344"/>
      <c r="D6" s="1460" t="s">
        <v>2155</v>
      </c>
      <c r="E6" s="1473" t="s">
        <v>553</v>
      </c>
      <c r="F6" s="1323" t="s">
        <v>2156</v>
      </c>
      <c r="G6" s="1323" t="s">
        <v>2521</v>
      </c>
      <c r="H6" s="1323" t="s">
        <v>2157</v>
      </c>
      <c r="I6" s="4349"/>
      <c r="J6" s="4351"/>
      <c r="K6" s="1323" t="s">
        <v>2158</v>
      </c>
      <c r="L6" s="1323" t="s">
        <v>554</v>
      </c>
    </row>
    <row r="7" spans="1:14" s="1455" customFormat="1" ht="12.75" x14ac:dyDescent="0.2">
      <c r="A7" s="1467"/>
      <c r="B7" s="1182" t="s">
        <v>1114</v>
      </c>
      <c r="C7" s="1474">
        <f t="shared" ref="C7:L7" si="0">SUM(C8:C59)</f>
        <v>229114.4470149999</v>
      </c>
      <c r="D7" s="1461">
        <f t="shared" si="0"/>
        <v>16.918800000000001</v>
      </c>
      <c r="E7" s="1475">
        <f t="shared" si="0"/>
        <v>209402.20599999995</v>
      </c>
      <c r="F7" s="1475">
        <f t="shared" si="0"/>
        <v>21338.571628999998</v>
      </c>
      <c r="G7" s="1475">
        <f t="shared" si="0"/>
        <v>474.81799999999998</v>
      </c>
      <c r="H7" s="1475">
        <f t="shared" si="0"/>
        <v>1168.4314139999999</v>
      </c>
      <c r="I7" s="1511">
        <f t="shared" si="0"/>
        <v>236365.51109900002</v>
      </c>
      <c r="J7" s="1475">
        <f t="shared" si="0"/>
        <v>-7251.0640840000042</v>
      </c>
      <c r="K7" s="1475">
        <f t="shared" si="0"/>
        <v>217.7381</v>
      </c>
      <c r="L7" s="1475">
        <f t="shared" si="0"/>
        <v>-7468.8021840000047</v>
      </c>
    </row>
    <row r="8" spans="1:14" s="1455" customFormat="1" ht="24" x14ac:dyDescent="0.2">
      <c r="A8" s="1468">
        <v>1</v>
      </c>
      <c r="B8" s="1324" t="s">
        <v>1791</v>
      </c>
      <c r="C8" s="1325">
        <f>D8+E8+F8-G8-H8</f>
        <v>6057.9339280000004</v>
      </c>
      <c r="D8" s="1462"/>
      <c r="E8" s="1476">
        <v>6425.3720000000003</v>
      </c>
      <c r="F8" s="1325"/>
      <c r="G8" s="1325">
        <v>119.49</v>
      </c>
      <c r="H8" s="1325">
        <v>247.948072</v>
      </c>
      <c r="I8" s="1508">
        <v>6177.4239280000002</v>
      </c>
      <c r="J8" s="1325">
        <f t="shared" ref="J8:J58" si="1">C8-I8</f>
        <v>-119.48999999999978</v>
      </c>
      <c r="K8" s="1325"/>
      <c r="L8" s="1325">
        <f t="shared" ref="L8:L14" si="2">J8-K8</f>
        <v>-119.48999999999978</v>
      </c>
      <c r="N8" s="1458">
        <v>257985183359</v>
      </c>
    </row>
    <row r="9" spans="1:14" s="1455" customFormat="1" ht="24" x14ac:dyDescent="0.2">
      <c r="A9" s="1469">
        <v>2</v>
      </c>
      <c r="B9" s="1326" t="s">
        <v>1792</v>
      </c>
      <c r="C9" s="1327">
        <f>D9+E9+F9-G9-H9</f>
        <v>4000.1944869999998</v>
      </c>
      <c r="D9" s="1463"/>
      <c r="E9" s="1465">
        <v>1004.394</v>
      </c>
      <c r="F9" s="1327">
        <v>3019.300487</v>
      </c>
      <c r="G9" s="1327">
        <v>23.5</v>
      </c>
      <c r="H9" s="1327"/>
      <c r="I9" s="1504">
        <v>3747.3524430000002</v>
      </c>
      <c r="J9" s="1327">
        <f t="shared" si="1"/>
        <v>252.84204399999953</v>
      </c>
      <c r="K9" s="1327"/>
      <c r="L9" s="1327">
        <f t="shared" si="2"/>
        <v>252.84204399999953</v>
      </c>
      <c r="N9" s="1458">
        <v>500000000</v>
      </c>
    </row>
    <row r="10" spans="1:14" s="1455" customFormat="1" ht="12.75" x14ac:dyDescent="0.2">
      <c r="A10" s="1469">
        <v>3</v>
      </c>
      <c r="B10" s="1326" t="s">
        <v>1793</v>
      </c>
      <c r="C10" s="1327">
        <f>D10+E10+F10-G10-H10</f>
        <v>456.24199999999996</v>
      </c>
      <c r="D10" s="1463"/>
      <c r="E10" s="1465">
        <v>418.11599999999999</v>
      </c>
      <c r="F10" s="1327">
        <v>42.786000000000001</v>
      </c>
      <c r="G10" s="1327">
        <v>4.66</v>
      </c>
      <c r="H10" s="1327"/>
      <c r="I10" s="1504">
        <v>455.51699400000001</v>
      </c>
      <c r="J10" s="1492">
        <f t="shared" si="1"/>
        <v>0.72500599999995075</v>
      </c>
      <c r="K10" s="1327"/>
      <c r="L10" s="1504">
        <f t="shared" si="2"/>
        <v>0.72500599999995075</v>
      </c>
      <c r="N10" s="1500">
        <f>SUM(N8:N9)</f>
        <v>258485183359</v>
      </c>
    </row>
    <row r="11" spans="1:14" s="1455" customFormat="1" ht="12.75" x14ac:dyDescent="0.2">
      <c r="A11" s="1469">
        <v>4</v>
      </c>
      <c r="B11" s="1326" t="s">
        <v>986</v>
      </c>
      <c r="C11" s="1327">
        <f>D11+E11+F11-G11-H11</f>
        <v>1053.529</v>
      </c>
      <c r="D11" s="1463"/>
      <c r="E11" s="1465">
        <v>1126.29</v>
      </c>
      <c r="F11" s="1327">
        <v>9.68</v>
      </c>
      <c r="G11" s="1327">
        <v>25.98</v>
      </c>
      <c r="H11" s="1327">
        <f>72.761-16.3</f>
        <v>56.460999999999999</v>
      </c>
      <c r="I11" s="1504">
        <v>1053.529</v>
      </c>
      <c r="J11" s="1327">
        <f t="shared" si="1"/>
        <v>0</v>
      </c>
      <c r="K11" s="1327"/>
      <c r="L11" s="1499">
        <f t="shared" si="2"/>
        <v>0</v>
      </c>
      <c r="N11" s="1497">
        <f>N10/1000000-I7</f>
        <v>22119.672259999963</v>
      </c>
    </row>
    <row r="12" spans="1:14" s="1455" customFormat="1" ht="12.75" x14ac:dyDescent="0.2">
      <c r="A12" s="1469">
        <v>5</v>
      </c>
      <c r="B12" s="1326" t="s">
        <v>1794</v>
      </c>
      <c r="C12" s="1327">
        <f t="shared" ref="C12:C59" si="3">D12+E12+F12-G12-H12</f>
        <v>4494.8758980000002</v>
      </c>
      <c r="D12" s="1463"/>
      <c r="E12" s="1465">
        <v>3250.9879999999998</v>
      </c>
      <c r="F12" s="1327">
        <v>1301.593752</v>
      </c>
      <c r="G12" s="1327">
        <v>11.32</v>
      </c>
      <c r="H12" s="1327">
        <v>46.385854000000002</v>
      </c>
      <c r="I12" s="1504">
        <v>4280.6090850000001</v>
      </c>
      <c r="J12" s="1327">
        <f t="shared" si="1"/>
        <v>214.26681300000018</v>
      </c>
      <c r="K12" s="1327"/>
      <c r="L12" s="1327">
        <f t="shared" si="2"/>
        <v>214.26681300000018</v>
      </c>
      <c r="M12" s="1456"/>
      <c r="N12" s="1494"/>
    </row>
    <row r="13" spans="1:14" s="1455" customFormat="1" ht="12.75" x14ac:dyDescent="0.2">
      <c r="A13" s="1469">
        <v>6</v>
      </c>
      <c r="B13" s="1326" t="s">
        <v>1795</v>
      </c>
      <c r="C13" s="1327">
        <f t="shared" si="3"/>
        <v>161062.761</v>
      </c>
      <c r="D13" s="1463"/>
      <c r="E13" s="1465">
        <v>161062.761</v>
      </c>
      <c r="F13" s="1327"/>
      <c r="G13" s="1327"/>
      <c r="H13" s="1327"/>
      <c r="I13" s="1504">
        <v>169987.67846900001</v>
      </c>
      <c r="J13" s="1327">
        <f t="shared" si="1"/>
        <v>-8924.9174690000073</v>
      </c>
      <c r="K13" s="1327"/>
      <c r="L13" s="1327">
        <f t="shared" si="2"/>
        <v>-8924.9174690000073</v>
      </c>
    </row>
    <row r="14" spans="1:14" s="1455" customFormat="1" ht="24" x14ac:dyDescent="0.2">
      <c r="A14" s="1469">
        <v>7</v>
      </c>
      <c r="B14" s="1326" t="s">
        <v>1796</v>
      </c>
      <c r="C14" s="1327">
        <f t="shared" si="3"/>
        <v>19194.103782000002</v>
      </c>
      <c r="D14" s="1463"/>
      <c r="E14" s="1465">
        <v>11654.825000000001</v>
      </c>
      <c r="F14" s="1327">
        <v>7585.3087820000001</v>
      </c>
      <c r="G14" s="1327">
        <v>46.03</v>
      </c>
      <c r="H14" s="1327"/>
      <c r="I14" s="1504">
        <v>17866.714239000001</v>
      </c>
      <c r="J14" s="1327">
        <f t="shared" si="1"/>
        <v>1327.3895430000011</v>
      </c>
      <c r="K14" s="1327">
        <v>214.55410000000001</v>
      </c>
      <c r="L14" s="1327">
        <f t="shared" si="2"/>
        <v>1112.8354430000011</v>
      </c>
      <c r="N14" s="1498">
        <v>445194717010</v>
      </c>
    </row>
    <row r="15" spans="1:14" s="1455" customFormat="1" ht="12.75" x14ac:dyDescent="0.2">
      <c r="A15" s="1469">
        <v>8</v>
      </c>
      <c r="B15" s="1326" t="s">
        <v>1797</v>
      </c>
      <c r="C15" s="1327">
        <f t="shared" si="3"/>
        <v>2031.0719999999999</v>
      </c>
      <c r="D15" s="1463"/>
      <c r="E15" s="1465">
        <v>1947.3920000000001</v>
      </c>
      <c r="F15" s="1327">
        <v>90.88</v>
      </c>
      <c r="G15" s="1327">
        <v>7.2</v>
      </c>
      <c r="H15" s="1327"/>
      <c r="I15" s="1504">
        <v>2360.1271529999999</v>
      </c>
      <c r="J15" s="1327">
        <f t="shared" si="1"/>
        <v>-329.05515300000002</v>
      </c>
      <c r="K15" s="1327"/>
      <c r="L15" s="1327">
        <f t="shared" ref="L15:L59" si="4">J15-K15</f>
        <v>-329.05515300000002</v>
      </c>
      <c r="N15" s="1458">
        <v>452442799265</v>
      </c>
    </row>
    <row r="16" spans="1:14" s="1455" customFormat="1" ht="24" x14ac:dyDescent="0.2">
      <c r="A16" s="1469">
        <v>9</v>
      </c>
      <c r="B16" s="1326" t="s">
        <v>1798</v>
      </c>
      <c r="C16" s="1327">
        <f t="shared" si="3"/>
        <v>3117.366</v>
      </c>
      <c r="D16" s="1463"/>
      <c r="E16" s="1465">
        <v>3117.366</v>
      </c>
      <c r="F16" s="1327"/>
      <c r="G16" s="1327"/>
      <c r="H16" s="1327"/>
      <c r="I16" s="1504">
        <v>3471.1308519999998</v>
      </c>
      <c r="J16" s="1327">
        <f>C16-I16</f>
        <v>-353.76485199999979</v>
      </c>
      <c r="K16" s="1327"/>
      <c r="L16" s="1327">
        <f t="shared" si="4"/>
        <v>-353.76485199999979</v>
      </c>
      <c r="N16" s="1500">
        <f>N15-N14</f>
        <v>7248082255</v>
      </c>
    </row>
    <row r="17" spans="1:15" s="1455" customFormat="1" ht="12.75" x14ac:dyDescent="0.2">
      <c r="A17" s="1469">
        <v>10</v>
      </c>
      <c r="B17" s="1326" t="s">
        <v>987</v>
      </c>
      <c r="C17" s="1327">
        <f t="shared" si="3"/>
        <v>1097.6590000000001</v>
      </c>
      <c r="D17" s="1463"/>
      <c r="E17" s="1465">
        <v>1097.6590000000001</v>
      </c>
      <c r="F17" s="1327"/>
      <c r="G17" s="1327"/>
      <c r="H17" s="1327"/>
      <c r="I17" s="1504">
        <v>1538.7167219999999</v>
      </c>
      <c r="J17" s="1327">
        <f>C17-I17</f>
        <v>-441.05772199999979</v>
      </c>
      <c r="K17" s="1327"/>
      <c r="L17" s="1327">
        <f t="shared" si="4"/>
        <v>-441.05772199999979</v>
      </c>
      <c r="M17" s="1456">
        <v>665688730</v>
      </c>
      <c r="N17" s="1456"/>
      <c r="O17" s="1456"/>
    </row>
    <row r="18" spans="1:15" s="1455" customFormat="1" ht="12.75" x14ac:dyDescent="0.2">
      <c r="A18" s="1469">
        <v>11</v>
      </c>
      <c r="B18" s="1326" t="s">
        <v>985</v>
      </c>
      <c r="C18" s="1327">
        <f>D18+E18+F18-G18-H18</f>
        <v>828.98412200000007</v>
      </c>
      <c r="D18" s="1463">
        <v>14.034800000000001</v>
      </c>
      <c r="E18" s="1465">
        <v>763.63400000000001</v>
      </c>
      <c r="F18" s="1327">
        <v>55.945321999999997</v>
      </c>
      <c r="G18" s="1327">
        <v>4.63</v>
      </c>
      <c r="H18" s="1327"/>
      <c r="I18" s="1504">
        <v>828.55686800000001</v>
      </c>
      <c r="J18" s="1327">
        <f>C18-I18</f>
        <v>0.42725400000006175</v>
      </c>
      <c r="K18" s="1465">
        <v>0.3</v>
      </c>
      <c r="L18" s="1501">
        <f>J18-K18</f>
        <v>0.12725400000006176</v>
      </c>
      <c r="M18" s="1457">
        <v>454044170</v>
      </c>
      <c r="N18" s="1525">
        <f>I7</f>
        <v>236365.51109900002</v>
      </c>
    </row>
    <row r="19" spans="1:15" s="1455" customFormat="1" ht="24" x14ac:dyDescent="0.2">
      <c r="A19" s="1469">
        <v>13</v>
      </c>
      <c r="B19" s="1326" t="s">
        <v>2482</v>
      </c>
      <c r="C19" s="1327">
        <f>D19+E19+F19-G19-H19</f>
        <v>223.4605</v>
      </c>
      <c r="D19" s="1463"/>
      <c r="E19" s="1465">
        <v>167.78</v>
      </c>
      <c r="F19" s="1327">
        <v>88</v>
      </c>
      <c r="G19" s="1327">
        <v>16.995000000000001</v>
      </c>
      <c r="H19" s="1327">
        <v>15.3245</v>
      </c>
      <c r="I19" s="1504">
        <v>223.4605</v>
      </c>
      <c r="J19" s="1463">
        <f>C19-I19</f>
        <v>0</v>
      </c>
      <c r="K19" s="1463"/>
      <c r="L19" s="1463">
        <f t="shared" si="4"/>
        <v>0</v>
      </c>
      <c r="M19" s="1457">
        <v>639688760</v>
      </c>
      <c r="N19" s="1525" t="e">
        <f>'lệnh chi'!I7</f>
        <v>#REF!</v>
      </c>
    </row>
    <row r="20" spans="1:15" s="1455" customFormat="1" ht="24" x14ac:dyDescent="0.2">
      <c r="A20" s="1469">
        <v>14</v>
      </c>
      <c r="B20" s="1326" t="s">
        <v>1800</v>
      </c>
      <c r="C20" s="1327">
        <f t="shared" si="3"/>
        <v>430.418812</v>
      </c>
      <c r="D20" s="1463"/>
      <c r="E20" s="1465">
        <v>379.78</v>
      </c>
      <c r="F20" s="1327">
        <v>289.45</v>
      </c>
      <c r="G20" s="1327">
        <v>16.254999999999999</v>
      </c>
      <c r="H20" s="1327">
        <v>222.55618799999999</v>
      </c>
      <c r="I20" s="1504">
        <v>430.418812</v>
      </c>
      <c r="J20" s="1463">
        <f t="shared" si="1"/>
        <v>0</v>
      </c>
      <c r="K20" s="1463"/>
      <c r="L20" s="1463">
        <f t="shared" si="4"/>
        <v>0</v>
      </c>
      <c r="M20" s="1457">
        <v>314143000</v>
      </c>
      <c r="N20" s="1496">
        <f>'lệnh chi'!I30</f>
        <v>160.81</v>
      </c>
    </row>
    <row r="21" spans="1:15" s="1455" customFormat="1" ht="12.75" x14ac:dyDescent="0.2">
      <c r="A21" s="1469">
        <v>15</v>
      </c>
      <c r="B21" s="1326" t="s">
        <v>1801</v>
      </c>
      <c r="C21" s="1327">
        <f t="shared" si="3"/>
        <v>396.63</v>
      </c>
      <c r="D21" s="1463"/>
      <c r="E21" s="1465">
        <v>466.97</v>
      </c>
      <c r="F21" s="1327"/>
      <c r="G21" s="1502">
        <v>70.34</v>
      </c>
      <c r="H21" s="1327"/>
      <c r="I21" s="1504">
        <v>396.63</v>
      </c>
      <c r="J21" s="1463">
        <f>C21-I21</f>
        <v>0</v>
      </c>
      <c r="K21" s="1463"/>
      <c r="L21" s="1463">
        <f t="shared" si="4"/>
        <v>0</v>
      </c>
      <c r="M21" s="1495">
        <f>SUM(M17:M20)</f>
        <v>2073564660</v>
      </c>
      <c r="N21" s="1496" t="e">
        <f>SUM(N18:N20)</f>
        <v>#REF!</v>
      </c>
    </row>
    <row r="22" spans="1:15" s="1455" customFormat="1" ht="12.75" x14ac:dyDescent="0.2">
      <c r="A22" s="1469">
        <v>16</v>
      </c>
      <c r="B22" s="1326" t="s">
        <v>1802</v>
      </c>
      <c r="C22" s="1327">
        <f>D22+E22+F22-G22-H22</f>
        <v>182.95499999999998</v>
      </c>
      <c r="D22" s="1463"/>
      <c r="E22" s="1465">
        <v>273.27999999999997</v>
      </c>
      <c r="F22" s="1327"/>
      <c r="G22" s="1327">
        <v>45.195</v>
      </c>
      <c r="H22" s="1327">
        <v>45.13</v>
      </c>
      <c r="I22" s="1504">
        <v>132.95500000000001</v>
      </c>
      <c r="J22" s="1463">
        <f t="shared" si="1"/>
        <v>49.999999999999972</v>
      </c>
      <c r="K22" s="1463"/>
      <c r="L22" s="1463">
        <f t="shared" si="4"/>
        <v>49.999999999999972</v>
      </c>
      <c r="M22" s="1457">
        <v>657685180</v>
      </c>
      <c r="N22" s="1496">
        <v>257985.18335899999</v>
      </c>
      <c r="O22" s="1503"/>
    </row>
    <row r="23" spans="1:15" s="1455" customFormat="1" ht="12.75" x14ac:dyDescent="0.2">
      <c r="A23" s="1469">
        <v>17</v>
      </c>
      <c r="B23" s="1326" t="s">
        <v>1803</v>
      </c>
      <c r="C23" s="1327">
        <f t="shared" si="3"/>
        <v>60.65</v>
      </c>
      <c r="D23" s="1463"/>
      <c r="E23" s="1465">
        <v>70</v>
      </c>
      <c r="F23" s="1327"/>
      <c r="G23" s="1327">
        <v>9.35</v>
      </c>
      <c r="H23" s="1327"/>
      <c r="I23" s="1504">
        <v>60.605200000000004</v>
      </c>
      <c r="J23" s="1463">
        <f t="shared" si="1"/>
        <v>4.4799999999995066E-2</v>
      </c>
      <c r="K23" s="1463"/>
      <c r="L23" s="1504">
        <f t="shared" si="4"/>
        <v>4.4799999999995066E-2</v>
      </c>
      <c r="M23" s="1457">
        <v>448406334</v>
      </c>
      <c r="N23" s="1458">
        <v>500</v>
      </c>
    </row>
    <row r="24" spans="1:15" s="1455" customFormat="1" ht="12.75" x14ac:dyDescent="0.2">
      <c r="A24" s="1469">
        <v>18</v>
      </c>
      <c r="B24" s="1326" t="s">
        <v>2489</v>
      </c>
      <c r="C24" s="1327">
        <f t="shared" si="3"/>
        <v>2701.8750000000005</v>
      </c>
      <c r="D24" s="1463"/>
      <c r="E24" s="1465">
        <v>2727.0520000000001</v>
      </c>
      <c r="F24" s="1327">
        <v>13.962999999999999</v>
      </c>
      <c r="G24" s="1327">
        <v>39.14</v>
      </c>
      <c r="H24" s="1327"/>
      <c r="I24" s="1504">
        <v>2701.875</v>
      </c>
      <c r="J24" s="1505">
        <f>C24-I24</f>
        <v>0</v>
      </c>
      <c r="K24" s="1505"/>
      <c r="L24" s="1505">
        <f t="shared" si="4"/>
        <v>0</v>
      </c>
      <c r="M24" s="1457">
        <v>587299995</v>
      </c>
      <c r="N24" s="1496">
        <f>N23+N22</f>
        <v>258485.18335899999</v>
      </c>
    </row>
    <row r="25" spans="1:15" s="1455" customFormat="1" ht="12.75" x14ac:dyDescent="0.2">
      <c r="A25" s="1469">
        <v>19</v>
      </c>
      <c r="B25" s="1326" t="s">
        <v>1559</v>
      </c>
      <c r="C25" s="1327">
        <f t="shared" si="3"/>
        <v>208.75</v>
      </c>
      <c r="D25" s="1463"/>
      <c r="E25" s="1465">
        <v>161.84</v>
      </c>
      <c r="F25" s="1327">
        <v>49</v>
      </c>
      <c r="G25" s="1327">
        <v>2.09</v>
      </c>
      <c r="H25" s="1327"/>
      <c r="I25" s="1504">
        <v>208.71607399999999</v>
      </c>
      <c r="J25" s="1492">
        <f>C25-I25</f>
        <v>3.3926000000008116E-2</v>
      </c>
      <c r="K25" s="1492"/>
      <c r="L25" s="1492">
        <f t="shared" si="4"/>
        <v>3.3926000000008116E-2</v>
      </c>
      <c r="M25" s="1457">
        <v>633364416</v>
      </c>
    </row>
    <row r="26" spans="1:15" s="1455" customFormat="1" ht="12.75" x14ac:dyDescent="0.2">
      <c r="A26" s="1469">
        <v>20</v>
      </c>
      <c r="B26" s="1326" t="s">
        <v>1560</v>
      </c>
      <c r="C26" s="1327">
        <f t="shared" si="3"/>
        <v>117.142</v>
      </c>
      <c r="D26" s="1463"/>
      <c r="E26" s="1465">
        <v>121.916</v>
      </c>
      <c r="F26" s="1327"/>
      <c r="G26" s="1327">
        <v>4.774</v>
      </c>
      <c r="H26" s="1327"/>
      <c r="I26" s="1504">
        <v>117.12966400000001</v>
      </c>
      <c r="J26" s="1327">
        <f t="shared" si="1"/>
        <v>1.2335999999990577E-2</v>
      </c>
      <c r="K26" s="1327"/>
      <c r="L26" s="1506">
        <f t="shared" si="4"/>
        <v>1.2335999999990577E-2</v>
      </c>
      <c r="M26" s="1457">
        <f>SUM(M21:M25)</f>
        <v>4400320585</v>
      </c>
    </row>
    <row r="27" spans="1:15" s="1455" customFormat="1" ht="12.75" x14ac:dyDescent="0.2">
      <c r="A27" s="1469">
        <v>21</v>
      </c>
      <c r="B27" s="1326" t="s">
        <v>1804</v>
      </c>
      <c r="C27" s="1327">
        <f t="shared" si="3"/>
        <v>89.215999999999994</v>
      </c>
      <c r="D27" s="1463"/>
      <c r="E27" s="1465">
        <v>77.215999999999994</v>
      </c>
      <c r="F27" s="1327">
        <v>12</v>
      </c>
      <c r="G27" s="1327"/>
      <c r="H27" s="1327"/>
      <c r="I27" s="1504">
        <v>89.215999999999994</v>
      </c>
      <c r="J27" s="1463">
        <f t="shared" si="1"/>
        <v>0</v>
      </c>
      <c r="K27" s="1463"/>
      <c r="L27" s="1463">
        <f t="shared" si="4"/>
        <v>0</v>
      </c>
      <c r="M27" s="1456">
        <f>J24-G24</f>
        <v>-39.14</v>
      </c>
    </row>
    <row r="28" spans="1:15" s="1455" customFormat="1" ht="12.75" x14ac:dyDescent="0.2">
      <c r="A28" s="1469">
        <v>23</v>
      </c>
      <c r="B28" s="1326" t="s">
        <v>1806</v>
      </c>
      <c r="C28" s="1327">
        <f t="shared" si="3"/>
        <v>106.11699999999999</v>
      </c>
      <c r="D28" s="1463"/>
      <c r="E28" s="1465">
        <v>77.215999999999994</v>
      </c>
      <c r="F28" s="1327">
        <v>34</v>
      </c>
      <c r="G28" s="1327">
        <v>5.0990000000000002</v>
      </c>
      <c r="H28" s="1327"/>
      <c r="I28" s="1504">
        <v>105.11579999999999</v>
      </c>
      <c r="J28" s="1463">
        <f t="shared" si="1"/>
        <v>1.0011999999999972</v>
      </c>
      <c r="K28" s="1463"/>
      <c r="L28" s="1463">
        <f t="shared" si="4"/>
        <v>1.0011999999999972</v>
      </c>
    </row>
    <row r="29" spans="1:15" s="1455" customFormat="1" ht="12.75" x14ac:dyDescent="0.2">
      <c r="A29" s="1469">
        <v>24</v>
      </c>
      <c r="B29" s="1326" t="s">
        <v>1807</v>
      </c>
      <c r="C29" s="1327">
        <f t="shared" si="3"/>
        <v>92.016999999999996</v>
      </c>
      <c r="D29" s="1463"/>
      <c r="E29" s="1465">
        <v>122.21599999999999</v>
      </c>
      <c r="F29" s="1327"/>
      <c r="G29" s="1327"/>
      <c r="H29" s="1327">
        <v>30.199000000000002</v>
      </c>
      <c r="I29" s="1504">
        <v>92.016999999999996</v>
      </c>
      <c r="J29" s="1463">
        <f t="shared" si="1"/>
        <v>0</v>
      </c>
      <c r="K29" s="1463"/>
      <c r="L29" s="1463">
        <f t="shared" si="4"/>
        <v>0</v>
      </c>
    </row>
    <row r="30" spans="1:15" s="1488" customFormat="1" ht="24" x14ac:dyDescent="0.2">
      <c r="A30" s="1483">
        <v>27</v>
      </c>
      <c r="B30" s="1484" t="s">
        <v>2228</v>
      </c>
      <c r="C30" s="1485">
        <f t="shared" si="3"/>
        <v>4178.0519999999997</v>
      </c>
      <c r="D30" s="1486">
        <v>2.8839999999999999</v>
      </c>
      <c r="E30" s="1487">
        <v>3856.8510000000001</v>
      </c>
      <c r="F30" s="1485">
        <v>318.31700000000001</v>
      </c>
      <c r="G30" s="1485"/>
      <c r="H30" s="1485"/>
      <c r="I30" s="1490">
        <f>2491.449054+1535.278884</f>
        <v>4026.727938</v>
      </c>
      <c r="J30" s="1486">
        <f t="shared" si="1"/>
        <v>151.32406199999969</v>
      </c>
      <c r="K30" s="1486">
        <v>2.8839999999999999</v>
      </c>
      <c r="L30" s="1486">
        <f t="shared" si="4"/>
        <v>148.4400619999997</v>
      </c>
      <c r="M30" s="1489">
        <v>0</v>
      </c>
    </row>
    <row r="31" spans="1:15" s="1455" customFormat="1" ht="12.75" x14ac:dyDescent="0.2">
      <c r="A31" s="1469">
        <v>28</v>
      </c>
      <c r="B31" s="1326" t="s">
        <v>2500</v>
      </c>
      <c r="C31" s="1327">
        <f t="shared" si="3"/>
        <v>1679.848</v>
      </c>
      <c r="D31" s="1463"/>
      <c r="E31" s="1465">
        <v>1638.1079999999999</v>
      </c>
      <c r="F31" s="1327">
        <v>48</v>
      </c>
      <c r="G31" s="1327">
        <v>6.26</v>
      </c>
      <c r="H31" s="1327"/>
      <c r="I31" s="1504">
        <v>1657.9563450000001</v>
      </c>
      <c r="J31" s="1327">
        <f>C31-I31</f>
        <v>21.891654999999901</v>
      </c>
      <c r="K31" s="1327"/>
      <c r="L31" s="1327">
        <f t="shared" si="4"/>
        <v>21.891654999999901</v>
      </c>
      <c r="N31" s="1456"/>
    </row>
    <row r="32" spans="1:15" s="1455" customFormat="1" ht="12.75" x14ac:dyDescent="0.2">
      <c r="A32" s="1469">
        <v>29</v>
      </c>
      <c r="B32" s="1326" t="s">
        <v>2490</v>
      </c>
      <c r="C32" s="1327">
        <f t="shared" si="3"/>
        <v>427.77820000000003</v>
      </c>
      <c r="D32" s="1463"/>
      <c r="E32" s="1465">
        <v>932.20500000000004</v>
      </c>
      <c r="F32" s="1327"/>
      <c r="G32" s="1327"/>
      <c r="H32" s="1327">
        <v>504.42680000000001</v>
      </c>
      <c r="I32" s="1504">
        <v>427.77820000000003</v>
      </c>
      <c r="J32" s="1492">
        <f>C32-I32</f>
        <v>0</v>
      </c>
      <c r="K32" s="1492"/>
      <c r="L32" s="1492">
        <f t="shared" si="4"/>
        <v>0</v>
      </c>
    </row>
    <row r="33" spans="1:14" s="1455" customFormat="1" ht="12.75" x14ac:dyDescent="0.2">
      <c r="A33" s="1469">
        <v>31</v>
      </c>
      <c r="B33" s="1326" t="s">
        <v>2483</v>
      </c>
      <c r="C33" s="1327">
        <f t="shared" si="3"/>
        <v>9649.855305000001</v>
      </c>
      <c r="D33" s="1463"/>
      <c r="E33" s="1465">
        <v>2200</v>
      </c>
      <c r="F33" s="1327">
        <v>7449.855305</v>
      </c>
      <c r="G33" s="1327"/>
      <c r="H33" s="1327"/>
      <c r="I33" s="1504">
        <v>9290.2040049999996</v>
      </c>
      <c r="J33" s="1327">
        <f t="shared" si="1"/>
        <v>359.65130000000136</v>
      </c>
      <c r="K33" s="1327"/>
      <c r="L33" s="1327">
        <f t="shared" si="4"/>
        <v>359.65130000000136</v>
      </c>
    </row>
    <row r="34" spans="1:14" s="1455" customFormat="1" ht="24" x14ac:dyDescent="0.2">
      <c r="A34" s="1469">
        <v>32</v>
      </c>
      <c r="B34" s="1326" t="s">
        <v>2484</v>
      </c>
      <c r="C34" s="1327">
        <f t="shared" si="3"/>
        <v>591.1</v>
      </c>
      <c r="D34" s="1463"/>
      <c r="E34" s="1465"/>
      <c r="F34" s="1465">
        <v>591.1</v>
      </c>
      <c r="G34" s="1327"/>
      <c r="H34" s="1327"/>
      <c r="I34" s="1504">
        <v>574.89372000000003</v>
      </c>
      <c r="J34" s="1327">
        <f t="shared" si="1"/>
        <v>16.206279999999992</v>
      </c>
      <c r="K34" s="1327"/>
      <c r="L34" s="1327">
        <f t="shared" si="4"/>
        <v>16.206279999999992</v>
      </c>
    </row>
    <row r="35" spans="1:14" s="1455" customFormat="1" ht="12.75" x14ac:dyDescent="0.2">
      <c r="A35" s="1469">
        <v>34</v>
      </c>
      <c r="B35" s="1326" t="s">
        <v>2486</v>
      </c>
      <c r="C35" s="1327">
        <f t="shared" si="3"/>
        <v>75.616</v>
      </c>
      <c r="D35" s="1463"/>
      <c r="E35" s="1465">
        <v>77.215999999999994</v>
      </c>
      <c r="F35" s="1327"/>
      <c r="G35" s="1327">
        <v>1.6</v>
      </c>
      <c r="H35" s="1327"/>
      <c r="I35" s="1504">
        <v>71.605999999999995</v>
      </c>
      <c r="J35" s="1327">
        <f t="shared" si="1"/>
        <v>4.0100000000000051</v>
      </c>
      <c r="K35" s="1327"/>
      <c r="L35" s="1493">
        <f t="shared" si="4"/>
        <v>4.0100000000000051</v>
      </c>
    </row>
    <row r="36" spans="1:14" s="1455" customFormat="1" ht="24" x14ac:dyDescent="0.2">
      <c r="A36" s="1469">
        <v>35</v>
      </c>
      <c r="B36" s="1326" t="s">
        <v>2487</v>
      </c>
      <c r="C36" s="1327">
        <f t="shared" si="3"/>
        <v>316</v>
      </c>
      <c r="D36" s="1463"/>
      <c r="E36" s="1465">
        <v>316</v>
      </c>
      <c r="F36" s="1327"/>
      <c r="G36" s="1327"/>
      <c r="H36" s="1327"/>
      <c r="I36" s="1504">
        <v>298.084655</v>
      </c>
      <c r="J36" s="1327">
        <f t="shared" si="1"/>
        <v>17.915345000000002</v>
      </c>
      <c r="K36" s="1327"/>
      <c r="L36" s="1327">
        <f t="shared" si="4"/>
        <v>17.915345000000002</v>
      </c>
    </row>
    <row r="37" spans="1:14" s="1455" customFormat="1" ht="12.75" x14ac:dyDescent="0.2">
      <c r="A37" s="1469">
        <v>37</v>
      </c>
      <c r="B37" s="1326" t="s">
        <v>2377</v>
      </c>
      <c r="C37" s="1327">
        <f t="shared" si="3"/>
        <v>3560.2711810000001</v>
      </c>
      <c r="D37" s="1463"/>
      <c r="E37" s="1465">
        <v>3307.7629999999999</v>
      </c>
      <c r="F37" s="1327">
        <v>267.418181</v>
      </c>
      <c r="G37" s="1327">
        <f>14.91</f>
        <v>14.91</v>
      </c>
      <c r="H37" s="1327"/>
      <c r="I37" s="1504">
        <v>3109.5405890000002</v>
      </c>
      <c r="J37" s="1327">
        <f>C37-I37</f>
        <v>450.73059199999989</v>
      </c>
      <c r="K37" s="1327"/>
      <c r="L37" s="1327">
        <f t="shared" si="4"/>
        <v>450.73059199999989</v>
      </c>
      <c r="M37" s="1456">
        <f>G37+251523225+194763351</f>
        <v>446286590.90999997</v>
      </c>
      <c r="N37" s="1456"/>
    </row>
    <row r="38" spans="1:14" s="1455" customFormat="1" ht="12.75" x14ac:dyDescent="0.2">
      <c r="A38" s="1469">
        <v>39</v>
      </c>
      <c r="B38" s="1326" t="s">
        <v>2624</v>
      </c>
      <c r="C38" s="1327">
        <f t="shared" si="3"/>
        <v>13.603999999999999</v>
      </c>
      <c r="D38" s="1463"/>
      <c r="E38" s="1465"/>
      <c r="F38" s="1327">
        <v>13.603999999999999</v>
      </c>
      <c r="G38" s="1327"/>
      <c r="H38" s="1327"/>
      <c r="I38" s="1504">
        <v>13.603999999999999</v>
      </c>
      <c r="J38" s="1463">
        <f t="shared" si="1"/>
        <v>0</v>
      </c>
      <c r="K38" s="1463"/>
      <c r="L38" s="1463">
        <f t="shared" si="4"/>
        <v>0</v>
      </c>
    </row>
    <row r="39" spans="1:14" s="1455" customFormat="1" ht="24" x14ac:dyDescent="0.2">
      <c r="A39" s="1469">
        <v>52</v>
      </c>
      <c r="B39" s="1326" t="s">
        <v>2518</v>
      </c>
      <c r="C39" s="1327">
        <f t="shared" si="3"/>
        <v>28</v>
      </c>
      <c r="D39" s="1463"/>
      <c r="E39" s="1465">
        <v>28</v>
      </c>
      <c r="F39" s="1327"/>
      <c r="G39" s="1327"/>
      <c r="H39" s="1327"/>
      <c r="I39" s="1504">
        <v>27.77</v>
      </c>
      <c r="J39" s="1327">
        <f t="shared" si="1"/>
        <v>0.23000000000000043</v>
      </c>
      <c r="K39" s="1327"/>
      <c r="L39" s="1327">
        <f t="shared" si="4"/>
        <v>0.23000000000000043</v>
      </c>
    </row>
    <row r="40" spans="1:14" s="1455" customFormat="1" ht="24" x14ac:dyDescent="0.2">
      <c r="A40" s="1469">
        <v>53</v>
      </c>
      <c r="B40" s="1326" t="s">
        <v>2519</v>
      </c>
      <c r="C40" s="1327">
        <f t="shared" si="3"/>
        <v>28</v>
      </c>
      <c r="D40" s="1463"/>
      <c r="E40" s="1465">
        <v>28</v>
      </c>
      <c r="F40" s="1327"/>
      <c r="G40" s="1327"/>
      <c r="H40" s="1327"/>
      <c r="I40" s="1504">
        <v>27.54</v>
      </c>
      <c r="J40" s="1327">
        <f t="shared" si="1"/>
        <v>0.46000000000000085</v>
      </c>
      <c r="K40" s="1327"/>
      <c r="L40" s="1327">
        <f t="shared" si="4"/>
        <v>0.46000000000000085</v>
      </c>
    </row>
    <row r="41" spans="1:14" s="1455" customFormat="1" ht="24" x14ac:dyDescent="0.2">
      <c r="A41" s="1469">
        <v>54</v>
      </c>
      <c r="B41" s="1326" t="s">
        <v>2520</v>
      </c>
      <c r="C41" s="1327">
        <f t="shared" si="3"/>
        <v>28</v>
      </c>
      <c r="D41" s="1463"/>
      <c r="E41" s="1465">
        <v>28</v>
      </c>
      <c r="F41" s="1327"/>
      <c r="G41" s="1327"/>
      <c r="H41" s="1327"/>
      <c r="I41" s="1504">
        <v>28</v>
      </c>
      <c r="J41" s="1327">
        <f t="shared" si="1"/>
        <v>0</v>
      </c>
      <c r="K41" s="1327"/>
      <c r="L41" s="1327">
        <f t="shared" si="4"/>
        <v>0</v>
      </c>
    </row>
    <row r="42" spans="1:14" s="1455" customFormat="1" ht="24" x14ac:dyDescent="0.2">
      <c r="A42" s="1469">
        <v>55</v>
      </c>
      <c r="B42" s="1326" t="s">
        <v>2502</v>
      </c>
      <c r="C42" s="1327">
        <f t="shared" si="3"/>
        <v>28</v>
      </c>
      <c r="D42" s="1463"/>
      <c r="E42" s="1465">
        <v>28</v>
      </c>
      <c r="F42" s="1327"/>
      <c r="G42" s="1327"/>
      <c r="H42" s="1327"/>
      <c r="I42" s="1504">
        <v>28</v>
      </c>
      <c r="J42" s="1327">
        <f t="shared" si="1"/>
        <v>0</v>
      </c>
      <c r="K42" s="1327"/>
      <c r="L42" s="1327">
        <f t="shared" si="4"/>
        <v>0</v>
      </c>
    </row>
    <row r="43" spans="1:14" s="1455" customFormat="1" ht="24" x14ac:dyDescent="0.2">
      <c r="A43" s="1469">
        <v>56</v>
      </c>
      <c r="B43" s="1326" t="s">
        <v>2503</v>
      </c>
      <c r="C43" s="1327">
        <f t="shared" si="3"/>
        <v>28</v>
      </c>
      <c r="D43" s="1463"/>
      <c r="E43" s="1465">
        <v>28</v>
      </c>
      <c r="F43" s="1327"/>
      <c r="G43" s="1327"/>
      <c r="H43" s="1327"/>
      <c r="I43" s="1504">
        <v>20.562000000000001</v>
      </c>
      <c r="J43" s="1327">
        <f t="shared" si="1"/>
        <v>7.4379999999999988</v>
      </c>
      <c r="K43" s="1327"/>
      <c r="L43" s="1327">
        <f t="shared" si="4"/>
        <v>7.4379999999999988</v>
      </c>
    </row>
    <row r="44" spans="1:14" s="1455" customFormat="1" ht="24" x14ac:dyDescent="0.2">
      <c r="A44" s="1469">
        <v>57</v>
      </c>
      <c r="B44" s="1326" t="s">
        <v>2501</v>
      </c>
      <c r="C44" s="1327">
        <f t="shared" si="3"/>
        <v>28</v>
      </c>
      <c r="D44" s="1463"/>
      <c r="E44" s="1465">
        <v>28</v>
      </c>
      <c r="F44" s="1327"/>
      <c r="G44" s="1327"/>
      <c r="H44" s="1327"/>
      <c r="I44" s="1504">
        <v>22.806999999999999</v>
      </c>
      <c r="J44" s="1327">
        <f>C44-I44</f>
        <v>5.1930000000000014</v>
      </c>
      <c r="K44" s="1327"/>
      <c r="L44" s="1327">
        <f t="shared" si="4"/>
        <v>5.1930000000000014</v>
      </c>
    </row>
    <row r="45" spans="1:14" s="1455" customFormat="1" ht="24" x14ac:dyDescent="0.2">
      <c r="A45" s="1469">
        <v>58</v>
      </c>
      <c r="B45" s="1326" t="s">
        <v>2504</v>
      </c>
      <c r="C45" s="1327">
        <f t="shared" si="3"/>
        <v>28</v>
      </c>
      <c r="D45" s="1463"/>
      <c r="E45" s="1465">
        <v>28</v>
      </c>
      <c r="F45" s="1327"/>
      <c r="G45" s="1327"/>
      <c r="H45" s="1327"/>
      <c r="I45" s="1504">
        <v>27.649000000000001</v>
      </c>
      <c r="J45" s="1327">
        <f t="shared" si="1"/>
        <v>0.35099999999999909</v>
      </c>
      <c r="K45" s="1327"/>
      <c r="L45" s="1327">
        <f t="shared" si="4"/>
        <v>0.35099999999999909</v>
      </c>
    </row>
    <row r="46" spans="1:14" s="1455" customFormat="1" ht="24" x14ac:dyDescent="0.2">
      <c r="A46" s="1469">
        <v>59</v>
      </c>
      <c r="B46" s="1326" t="s">
        <v>2505</v>
      </c>
      <c r="C46" s="1327">
        <f t="shared" si="3"/>
        <v>28</v>
      </c>
      <c r="D46" s="1463"/>
      <c r="E46" s="1465">
        <v>28</v>
      </c>
      <c r="F46" s="1327"/>
      <c r="G46" s="1327"/>
      <c r="H46" s="1327"/>
      <c r="I46" s="1504">
        <v>20.562000000000001</v>
      </c>
      <c r="J46" s="1327">
        <f t="shared" si="1"/>
        <v>7.4379999999999988</v>
      </c>
      <c r="K46" s="1327"/>
      <c r="L46" s="1327">
        <f t="shared" si="4"/>
        <v>7.4379999999999988</v>
      </c>
    </row>
    <row r="47" spans="1:14" s="1455" customFormat="1" ht="24" x14ac:dyDescent="0.2">
      <c r="A47" s="1469">
        <v>60</v>
      </c>
      <c r="B47" s="1326" t="s">
        <v>2506</v>
      </c>
      <c r="C47" s="1327">
        <f t="shared" si="3"/>
        <v>28</v>
      </c>
      <c r="D47" s="1463"/>
      <c r="E47" s="1465">
        <v>28</v>
      </c>
      <c r="F47" s="1327"/>
      <c r="G47" s="1327"/>
      <c r="H47" s="1327"/>
      <c r="I47" s="1504">
        <v>20.562000000000001</v>
      </c>
      <c r="J47" s="1327">
        <f t="shared" si="1"/>
        <v>7.4379999999999988</v>
      </c>
      <c r="K47" s="1327"/>
      <c r="L47" s="1327">
        <f t="shared" si="4"/>
        <v>7.4379999999999988</v>
      </c>
    </row>
    <row r="48" spans="1:14" s="1455" customFormat="1" ht="24" x14ac:dyDescent="0.2">
      <c r="A48" s="1469">
        <v>61</v>
      </c>
      <c r="B48" s="1326" t="s">
        <v>2507</v>
      </c>
      <c r="C48" s="1327">
        <f t="shared" si="3"/>
        <v>28</v>
      </c>
      <c r="D48" s="1463"/>
      <c r="E48" s="1465">
        <v>28</v>
      </c>
      <c r="F48" s="1327"/>
      <c r="G48" s="1327"/>
      <c r="H48" s="1327"/>
      <c r="I48" s="1504">
        <v>26.837</v>
      </c>
      <c r="J48" s="1327">
        <f t="shared" si="1"/>
        <v>1.1630000000000003</v>
      </c>
      <c r="K48" s="1327"/>
      <c r="L48" s="1327">
        <f t="shared" si="4"/>
        <v>1.1630000000000003</v>
      </c>
    </row>
    <row r="49" spans="1:12" s="1455" customFormat="1" ht="24" x14ac:dyDescent="0.2">
      <c r="A49" s="1469">
        <v>62</v>
      </c>
      <c r="B49" s="1326" t="s">
        <v>2508</v>
      </c>
      <c r="C49" s="1327">
        <f t="shared" si="3"/>
        <v>28</v>
      </c>
      <c r="D49" s="1463"/>
      <c r="E49" s="1465">
        <v>28</v>
      </c>
      <c r="F49" s="1327"/>
      <c r="G49" s="1327"/>
      <c r="H49" s="1327"/>
      <c r="I49" s="1504">
        <v>27.952000000000002</v>
      </c>
      <c r="J49" s="1327">
        <f t="shared" si="1"/>
        <v>4.7999999999998266E-2</v>
      </c>
      <c r="K49" s="1327"/>
      <c r="L49" s="1327">
        <f t="shared" si="4"/>
        <v>4.7999999999998266E-2</v>
      </c>
    </row>
    <row r="50" spans="1:12" s="1455" customFormat="1" ht="24" x14ac:dyDescent="0.2">
      <c r="A50" s="1469">
        <v>63</v>
      </c>
      <c r="B50" s="1326" t="s">
        <v>2509</v>
      </c>
      <c r="C50" s="1327">
        <f t="shared" si="3"/>
        <v>28</v>
      </c>
      <c r="D50" s="1463"/>
      <c r="E50" s="1465">
        <v>28</v>
      </c>
      <c r="F50" s="1327"/>
      <c r="G50" s="1327"/>
      <c r="H50" s="1327"/>
      <c r="I50" s="1504">
        <v>28</v>
      </c>
      <c r="J50" s="1327">
        <f t="shared" si="1"/>
        <v>0</v>
      </c>
      <c r="K50" s="1327"/>
      <c r="L50" s="1327">
        <f t="shared" si="4"/>
        <v>0</v>
      </c>
    </row>
    <row r="51" spans="1:12" s="1455" customFormat="1" ht="24" x14ac:dyDescent="0.2">
      <c r="A51" s="1469">
        <v>64</v>
      </c>
      <c r="B51" s="1326" t="s">
        <v>2510</v>
      </c>
      <c r="C51" s="1327">
        <f t="shared" si="3"/>
        <v>28</v>
      </c>
      <c r="D51" s="1463"/>
      <c r="E51" s="1465">
        <v>28</v>
      </c>
      <c r="F51" s="1327"/>
      <c r="G51" s="1327"/>
      <c r="H51" s="1327"/>
      <c r="I51" s="1504">
        <v>24.641999999999999</v>
      </c>
      <c r="J51" s="1327">
        <f t="shared" si="1"/>
        <v>3.3580000000000005</v>
      </c>
      <c r="K51" s="1327"/>
      <c r="L51" s="1327">
        <f t="shared" si="4"/>
        <v>3.3580000000000005</v>
      </c>
    </row>
    <row r="52" spans="1:12" s="1455" customFormat="1" ht="24" x14ac:dyDescent="0.2">
      <c r="A52" s="1469">
        <v>65</v>
      </c>
      <c r="B52" s="1326" t="s">
        <v>2511</v>
      </c>
      <c r="C52" s="1327">
        <f t="shared" si="3"/>
        <v>28</v>
      </c>
      <c r="D52" s="1463"/>
      <c r="E52" s="1465">
        <v>28</v>
      </c>
      <c r="F52" s="1327"/>
      <c r="G52" s="1327"/>
      <c r="H52" s="1327"/>
      <c r="I52" s="1504">
        <v>28</v>
      </c>
      <c r="J52" s="1327">
        <f t="shared" si="1"/>
        <v>0</v>
      </c>
      <c r="K52" s="1327"/>
      <c r="L52" s="1327">
        <f t="shared" si="4"/>
        <v>0</v>
      </c>
    </row>
    <row r="53" spans="1:12" s="1455" customFormat="1" ht="24" x14ac:dyDescent="0.2">
      <c r="A53" s="1469">
        <v>66</v>
      </c>
      <c r="B53" s="1326" t="s">
        <v>2512</v>
      </c>
      <c r="C53" s="1327">
        <f t="shared" si="3"/>
        <v>28</v>
      </c>
      <c r="D53" s="1463"/>
      <c r="E53" s="1465">
        <v>28</v>
      </c>
      <c r="F53" s="1327"/>
      <c r="G53" s="1327"/>
      <c r="H53" s="1327"/>
      <c r="I53" s="1504">
        <v>28</v>
      </c>
      <c r="J53" s="1327">
        <f t="shared" si="1"/>
        <v>0</v>
      </c>
      <c r="K53" s="1327"/>
      <c r="L53" s="1327">
        <f t="shared" si="4"/>
        <v>0</v>
      </c>
    </row>
    <row r="54" spans="1:12" s="1455" customFormat="1" ht="24" x14ac:dyDescent="0.2">
      <c r="A54" s="1469">
        <v>67</v>
      </c>
      <c r="B54" s="1326" t="s">
        <v>2513</v>
      </c>
      <c r="C54" s="1327">
        <f t="shared" si="3"/>
        <v>28</v>
      </c>
      <c r="D54" s="1463"/>
      <c r="E54" s="1465">
        <v>28</v>
      </c>
      <c r="F54" s="1327"/>
      <c r="G54" s="1327"/>
      <c r="H54" s="1327"/>
      <c r="I54" s="1504">
        <v>26.393999999999998</v>
      </c>
      <c r="J54" s="1327">
        <f t="shared" si="1"/>
        <v>1.6060000000000016</v>
      </c>
      <c r="K54" s="1327"/>
      <c r="L54" s="1327">
        <f t="shared" si="4"/>
        <v>1.6060000000000016</v>
      </c>
    </row>
    <row r="55" spans="1:12" s="1455" customFormat="1" ht="24" x14ac:dyDescent="0.2">
      <c r="A55" s="1469">
        <v>68</v>
      </c>
      <c r="B55" s="1326" t="s">
        <v>2514</v>
      </c>
      <c r="C55" s="1327">
        <f t="shared" si="3"/>
        <v>28</v>
      </c>
      <c r="D55" s="1463"/>
      <c r="E55" s="1465">
        <v>28</v>
      </c>
      <c r="F55" s="1327"/>
      <c r="G55" s="1327"/>
      <c r="H55" s="1327"/>
      <c r="I55" s="1504">
        <v>28</v>
      </c>
      <c r="J55" s="1327">
        <f t="shared" si="1"/>
        <v>0</v>
      </c>
      <c r="K55" s="1327"/>
      <c r="L55" s="1327">
        <f t="shared" si="4"/>
        <v>0</v>
      </c>
    </row>
    <row r="56" spans="1:12" s="1455" customFormat="1" ht="24" x14ac:dyDescent="0.2">
      <c r="A56" s="1469">
        <v>69</v>
      </c>
      <c r="B56" s="1326" t="s">
        <v>2515</v>
      </c>
      <c r="C56" s="1327">
        <f t="shared" si="3"/>
        <v>28</v>
      </c>
      <c r="D56" s="1463"/>
      <c r="E56" s="1465">
        <v>28</v>
      </c>
      <c r="F56" s="1327"/>
      <c r="G56" s="1327"/>
      <c r="H56" s="1327"/>
      <c r="I56" s="1504">
        <v>20.562000000000001</v>
      </c>
      <c r="J56" s="1327">
        <f t="shared" si="1"/>
        <v>7.4379999999999988</v>
      </c>
      <c r="K56" s="1327"/>
      <c r="L56" s="1327">
        <f t="shared" si="4"/>
        <v>7.4379999999999988</v>
      </c>
    </row>
    <row r="57" spans="1:12" s="1455" customFormat="1" ht="24" x14ac:dyDescent="0.2">
      <c r="A57" s="1469">
        <v>70</v>
      </c>
      <c r="B57" s="1326" t="s">
        <v>2516</v>
      </c>
      <c r="C57" s="1327">
        <f t="shared" si="3"/>
        <v>28</v>
      </c>
      <c r="D57" s="1463"/>
      <c r="E57" s="1465">
        <v>28</v>
      </c>
      <c r="F57" s="1327"/>
      <c r="G57" s="1327"/>
      <c r="H57" s="1327"/>
      <c r="I57" s="1504">
        <v>21.442</v>
      </c>
      <c r="J57" s="1327">
        <f t="shared" si="1"/>
        <v>6.5579999999999998</v>
      </c>
      <c r="K57" s="1327"/>
      <c r="L57" s="1327">
        <f t="shared" si="4"/>
        <v>6.5579999999999998</v>
      </c>
    </row>
    <row r="58" spans="1:12" s="1455" customFormat="1" ht="24" x14ac:dyDescent="0.2">
      <c r="A58" s="1469">
        <v>71</v>
      </c>
      <c r="B58" s="1326" t="s">
        <v>2517</v>
      </c>
      <c r="C58" s="1327">
        <f t="shared" si="3"/>
        <v>28</v>
      </c>
      <c r="D58" s="1463"/>
      <c r="E58" s="1465">
        <v>28</v>
      </c>
      <c r="F58" s="1327"/>
      <c r="G58" s="1327"/>
      <c r="H58" s="1327"/>
      <c r="I58" s="1504">
        <v>28</v>
      </c>
      <c r="J58" s="1327">
        <f t="shared" si="1"/>
        <v>0</v>
      </c>
      <c r="K58" s="1327"/>
      <c r="L58" s="1327">
        <f t="shared" si="4"/>
        <v>0</v>
      </c>
    </row>
    <row r="59" spans="1:12" s="1455" customFormat="1" ht="12.75" x14ac:dyDescent="0.2">
      <c r="A59" s="1470">
        <v>72</v>
      </c>
      <c r="B59" s="1328" t="s">
        <v>2229</v>
      </c>
      <c r="C59" s="1327">
        <f t="shared" si="3"/>
        <v>58.369799999999998</v>
      </c>
      <c r="D59" s="1464"/>
      <c r="E59" s="1477"/>
      <c r="F59" s="1329">
        <v>58.369799999999998</v>
      </c>
      <c r="G59" s="1329"/>
      <c r="H59" s="1329"/>
      <c r="I59" s="1509">
        <v>58.339843999999999</v>
      </c>
      <c r="J59" s="1491">
        <f>C59-I59</f>
        <v>2.9955999999998539E-2</v>
      </c>
      <c r="K59" s="1491"/>
      <c r="L59" s="1491">
        <f t="shared" si="4"/>
        <v>2.9955999999998539E-2</v>
      </c>
    </row>
    <row r="62" spans="1:12" ht="15.75" x14ac:dyDescent="0.25">
      <c r="H62" s="4338" t="s">
        <v>2132</v>
      </c>
      <c r="I62" s="4338"/>
      <c r="J62" s="4338"/>
      <c r="K62" s="4338"/>
      <c r="L62" s="4338"/>
    </row>
    <row r="63" spans="1:12" ht="15.75" x14ac:dyDescent="0.25">
      <c r="B63" s="4129" t="s">
        <v>2173</v>
      </c>
      <c r="C63" s="4129"/>
      <c r="D63" s="4129"/>
      <c r="E63" s="1478"/>
      <c r="H63" s="4337" t="s">
        <v>638</v>
      </c>
      <c r="I63" s="4337"/>
      <c r="J63" s="4337"/>
      <c r="K63" s="4337"/>
      <c r="L63" s="4337"/>
    </row>
    <row r="64" spans="1:12" ht="15.75" x14ac:dyDescent="0.25">
      <c r="B64" s="4129" t="s">
        <v>807</v>
      </c>
      <c r="C64" s="4129"/>
      <c r="D64" s="4129"/>
      <c r="E64" s="1478"/>
      <c r="H64" s="4337" t="s">
        <v>639</v>
      </c>
      <c r="I64" s="4337"/>
      <c r="J64" s="4337"/>
      <c r="K64" s="4337"/>
      <c r="L64" s="4337"/>
    </row>
    <row r="65" spans="2:12" ht="15.75" x14ac:dyDescent="0.25">
      <c r="B65" s="1479"/>
      <c r="C65" s="915"/>
      <c r="D65" s="1480"/>
      <c r="E65" s="1478"/>
      <c r="H65" s="1481"/>
      <c r="I65" s="4353"/>
      <c r="J65" s="4353"/>
      <c r="K65" s="4353"/>
      <c r="L65" s="4353"/>
    </row>
    <row r="66" spans="2:12" ht="15.75" x14ac:dyDescent="0.25">
      <c r="B66" s="1479"/>
      <c r="C66" s="915"/>
      <c r="D66" s="1480"/>
      <c r="E66" s="1478"/>
      <c r="H66" s="1481"/>
      <c r="I66" s="1510"/>
      <c r="J66" s="1481"/>
      <c r="K66" s="1481"/>
      <c r="L66" s="1482"/>
    </row>
    <row r="67" spans="2:12" ht="15.75" x14ac:dyDescent="0.25">
      <c r="B67" s="1479"/>
      <c r="C67" s="915"/>
      <c r="D67" s="1480"/>
      <c r="E67" s="1478"/>
      <c r="H67" s="1481"/>
      <c r="I67" s="1510"/>
      <c r="J67" s="1481"/>
      <c r="K67" s="1481"/>
      <c r="L67" s="1482"/>
    </row>
    <row r="68" spans="2:12" ht="15.75" x14ac:dyDescent="0.25">
      <c r="B68" s="1479"/>
      <c r="C68" s="915"/>
      <c r="D68" s="1480"/>
      <c r="E68" s="1478"/>
      <c r="H68" s="1481"/>
      <c r="I68" s="1510"/>
      <c r="J68" s="1481"/>
      <c r="K68" s="1481"/>
      <c r="L68" s="1482"/>
    </row>
    <row r="69" spans="2:12" ht="15.75" x14ac:dyDescent="0.25">
      <c r="B69" s="1479"/>
      <c r="C69" s="915"/>
      <c r="D69" s="4352"/>
      <c r="E69" s="4352"/>
      <c r="H69" s="1481"/>
      <c r="I69" s="1510"/>
      <c r="J69" s="1481"/>
      <c r="K69" s="1481"/>
      <c r="L69" s="1482"/>
    </row>
    <row r="70" spans="2:12" ht="15.75" x14ac:dyDescent="0.25">
      <c r="B70" s="4129" t="s">
        <v>808</v>
      </c>
      <c r="C70" s="4129"/>
      <c r="D70" s="4129"/>
      <c r="E70" s="1478"/>
      <c r="H70" s="4129" t="s">
        <v>1731</v>
      </c>
      <c r="I70" s="4129"/>
      <c r="J70" s="4129"/>
      <c r="K70" s="4129"/>
      <c r="L70" s="4129"/>
    </row>
  </sheetData>
  <mergeCells count="19">
    <mergeCell ref="A1:B1"/>
    <mergeCell ref="A2:L2"/>
    <mergeCell ref="A3:L3"/>
    <mergeCell ref="A5:A6"/>
    <mergeCell ref="B5:B6"/>
    <mergeCell ref="C5:C6"/>
    <mergeCell ref="D5:H5"/>
    <mergeCell ref="I5:I6"/>
    <mergeCell ref="J5:J6"/>
    <mergeCell ref="K5:L5"/>
    <mergeCell ref="D69:E69"/>
    <mergeCell ref="B70:D70"/>
    <mergeCell ref="H70:L70"/>
    <mergeCell ref="H62:L62"/>
    <mergeCell ref="B63:D63"/>
    <mergeCell ref="H63:L63"/>
    <mergeCell ref="B64:D64"/>
    <mergeCell ref="H64:L64"/>
    <mergeCell ref="I65:L65"/>
  </mergeCells>
  <pageMargins left="0.51181102362204722" right="0.23622047244094491" top="0.55118110236220474" bottom="0.55118110236220474" header="0.31496062992125984" footer="0.31496062992125984"/>
  <pageSetup paperSize="9" scale="90" firstPageNumber="166" orientation="landscape" useFirstPageNumber="1" r:id="rId1"/>
  <headerFooter>
    <oddHeader>&amp;RBiểu số 5.10</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C00000"/>
  </sheetPr>
  <dimension ref="A1:N209"/>
  <sheetViews>
    <sheetView view="pageBreakPreview" zoomScaleSheetLayoutView="100" workbookViewId="0">
      <pane xSplit="2" ySplit="8" topLeftCell="C51" activePane="bottomRight" state="frozen"/>
      <selection pane="topRight" activeCell="C1" sqref="C1"/>
      <selection pane="bottomLeft" activeCell="A8" sqref="A8"/>
      <selection pane="bottomRight" sqref="A1:XFD1048576"/>
    </sheetView>
  </sheetViews>
  <sheetFormatPr defaultColWidth="9.140625" defaultRowHeight="15" x14ac:dyDescent="0.25"/>
  <cols>
    <col min="1" max="1" width="4.7109375" style="1466" customWidth="1"/>
    <col min="2" max="2" width="23.28515625" style="546" customWidth="1"/>
    <col min="3" max="3" width="15.28515625" style="546" customWidth="1"/>
    <col min="4" max="4" width="10.140625" style="1459" customWidth="1"/>
    <col min="5" max="5" width="13.5703125" style="1472" customWidth="1"/>
    <col min="6" max="7" width="11.85546875" style="546" customWidth="1"/>
    <col min="8" max="8" width="11.7109375" style="546" customWidth="1"/>
    <col min="9" max="9" width="13.140625" style="1507" customWidth="1"/>
    <col min="10" max="10" width="12.85546875" style="546" customWidth="1"/>
    <col min="11" max="11" width="10.85546875" style="546" customWidth="1"/>
    <col min="12" max="12" width="11.7109375" style="546" customWidth="1"/>
    <col min="13" max="13" width="16.7109375" style="546" hidden="1" customWidth="1"/>
    <col min="14" max="14" width="20.85546875" style="546" customWidth="1"/>
    <col min="15" max="16384" width="9.140625" style="546"/>
  </cols>
  <sheetData>
    <row r="1" spans="1:13" ht="15.75" x14ac:dyDescent="0.25">
      <c r="A1" s="4129" t="s">
        <v>842</v>
      </c>
      <c r="B1" s="4129"/>
      <c r="L1" s="1177"/>
    </row>
    <row r="2" spans="1:13" ht="15.75" x14ac:dyDescent="0.25">
      <c r="A2" s="4337" t="s">
        <v>2595</v>
      </c>
      <c r="B2" s="4337"/>
      <c r="C2" s="4337"/>
      <c r="D2" s="4337"/>
      <c r="E2" s="4337"/>
      <c r="F2" s="4337"/>
      <c r="G2" s="4337"/>
      <c r="H2" s="4337"/>
      <c r="I2" s="4337"/>
      <c r="J2" s="4337"/>
      <c r="K2" s="4337"/>
      <c r="L2" s="4337"/>
    </row>
    <row r="3" spans="1:13" ht="15.75" x14ac:dyDescent="0.25">
      <c r="A3" s="4338" t="s">
        <v>2596</v>
      </c>
      <c r="B3" s="4338"/>
      <c r="C3" s="4338"/>
      <c r="D3" s="4338"/>
      <c r="E3" s="4338"/>
      <c r="F3" s="4338"/>
      <c r="G3" s="4338"/>
      <c r="H3" s="4338"/>
      <c r="I3" s="4338"/>
      <c r="J3" s="4338"/>
      <c r="K3" s="4338"/>
      <c r="L3" s="4338"/>
    </row>
    <row r="4" spans="1:13" ht="15.75" x14ac:dyDescent="0.25">
      <c r="L4" s="1178" t="s">
        <v>2219</v>
      </c>
    </row>
    <row r="5" spans="1:13" s="1195" customFormat="1" ht="12.75" x14ac:dyDescent="0.25">
      <c r="A5" s="4339" t="s">
        <v>1579</v>
      </c>
      <c r="B5" s="4341" t="s">
        <v>193</v>
      </c>
      <c r="C5" s="4343" t="s">
        <v>2597</v>
      </c>
      <c r="D5" s="4345" t="s">
        <v>869</v>
      </c>
      <c r="E5" s="4346"/>
      <c r="F5" s="4346"/>
      <c r="G5" s="4346"/>
      <c r="H5" s="4347"/>
      <c r="I5" s="4348" t="s">
        <v>2598</v>
      </c>
      <c r="J5" s="4350" t="s">
        <v>552</v>
      </c>
      <c r="K5" s="4345" t="s">
        <v>907</v>
      </c>
      <c r="L5" s="4347"/>
    </row>
    <row r="6" spans="1:13" s="1195" customFormat="1" ht="48" x14ac:dyDescent="0.25">
      <c r="A6" s="4340"/>
      <c r="B6" s="4342"/>
      <c r="C6" s="4344"/>
      <c r="D6" s="1460" t="s">
        <v>2155</v>
      </c>
      <c r="E6" s="1473" t="s">
        <v>553</v>
      </c>
      <c r="F6" s="1323" t="s">
        <v>2156</v>
      </c>
      <c r="G6" s="1323" t="s">
        <v>2521</v>
      </c>
      <c r="H6" s="1323" t="s">
        <v>2157</v>
      </c>
      <c r="I6" s="4349"/>
      <c r="J6" s="4351"/>
      <c r="K6" s="1323" t="s">
        <v>2158</v>
      </c>
      <c r="L6" s="1323" t="s">
        <v>554</v>
      </c>
    </row>
    <row r="7" spans="1:13" s="1195" customFormat="1" ht="12.75" x14ac:dyDescent="0.25">
      <c r="A7" s="1512"/>
      <c r="B7" s="1513" t="s">
        <v>1114</v>
      </c>
      <c r="C7" s="1514">
        <f t="shared" ref="C7:H7" si="0">C8+C61+C82</f>
        <v>252391.17283499989</v>
      </c>
      <c r="D7" s="1514">
        <f t="shared" si="0"/>
        <v>16.918800000000001</v>
      </c>
      <c r="E7" s="1514">
        <f t="shared" si="0"/>
        <v>223752.34799999994</v>
      </c>
      <c r="F7" s="1514">
        <f t="shared" si="0"/>
        <v>30361.566448999998</v>
      </c>
      <c r="G7" s="1514">
        <f t="shared" si="0"/>
        <v>571.22900000000004</v>
      </c>
      <c r="H7" s="1514">
        <f t="shared" si="0"/>
        <v>1168.4314139999999</v>
      </c>
      <c r="I7" s="1514">
        <f>I8+I61+I82</f>
        <v>258488.08335900001</v>
      </c>
      <c r="J7" s="1514">
        <f>J8+J61+J82</f>
        <v>-6144.8746240000046</v>
      </c>
      <c r="K7" s="1514">
        <f>K8+K61+K82</f>
        <v>217.7381</v>
      </c>
      <c r="L7" s="1514">
        <f>L8+L61+L82</f>
        <v>-6362.6127240000051</v>
      </c>
      <c r="M7" s="1514">
        <f>M8+M61+M82</f>
        <v>0</v>
      </c>
    </row>
    <row r="8" spans="1:13" s="1455" customFormat="1" ht="12.75" x14ac:dyDescent="0.2">
      <c r="A8" s="1467"/>
      <c r="B8" s="1182" t="s">
        <v>2630</v>
      </c>
      <c r="C8" s="1474">
        <f t="shared" ref="C8:L8" si="1">SUM(C9:C60)</f>
        <v>229114.4470149999</v>
      </c>
      <c r="D8" s="1461">
        <f t="shared" si="1"/>
        <v>16.918800000000001</v>
      </c>
      <c r="E8" s="1475">
        <f t="shared" si="1"/>
        <v>209402.20599999995</v>
      </c>
      <c r="F8" s="1475">
        <f t="shared" si="1"/>
        <v>21338.571628999998</v>
      </c>
      <c r="G8" s="1475">
        <f t="shared" si="1"/>
        <v>474.81799999999998</v>
      </c>
      <c r="H8" s="1475">
        <f t="shared" si="1"/>
        <v>1168.4314139999999</v>
      </c>
      <c r="I8" s="1511">
        <f t="shared" si="1"/>
        <v>236365.51109900002</v>
      </c>
      <c r="J8" s="1475">
        <f t="shared" si="1"/>
        <v>-7251.0640840000042</v>
      </c>
      <c r="K8" s="1475">
        <f t="shared" si="1"/>
        <v>217.7381</v>
      </c>
      <c r="L8" s="1475">
        <f t="shared" si="1"/>
        <v>-7468.8021840000047</v>
      </c>
    </row>
    <row r="9" spans="1:13" s="1455" customFormat="1" ht="24" x14ac:dyDescent="0.2">
      <c r="A9" s="1468">
        <v>1</v>
      </c>
      <c r="B9" s="1324" t="s">
        <v>1791</v>
      </c>
      <c r="C9" s="1325">
        <f>D9+E9+F9-G9-H9</f>
        <v>6057.9339280000004</v>
      </c>
      <c r="D9" s="1462"/>
      <c r="E9" s="1476">
        <v>6425.3720000000003</v>
      </c>
      <c r="F9" s="1325"/>
      <c r="G9" s="1325">
        <v>119.49</v>
      </c>
      <c r="H9" s="1325">
        <v>247.948072</v>
      </c>
      <c r="I9" s="1508">
        <v>6177.4239280000002</v>
      </c>
      <c r="J9" s="1325">
        <f t="shared" ref="J9:J52" si="2">C9-I9</f>
        <v>-119.48999999999978</v>
      </c>
      <c r="K9" s="1325"/>
      <c r="L9" s="1325">
        <f t="shared" ref="L9:L15" si="3">J9-K9</f>
        <v>-119.48999999999978</v>
      </c>
    </row>
    <row r="10" spans="1:13" s="1455" customFormat="1" ht="24" x14ac:dyDescent="0.2">
      <c r="A10" s="1469">
        <v>2</v>
      </c>
      <c r="B10" s="1326" t="s">
        <v>1792</v>
      </c>
      <c r="C10" s="1327">
        <f>D10+E10+F10-G10-H10</f>
        <v>4000.1944869999998</v>
      </c>
      <c r="D10" s="1463"/>
      <c r="E10" s="1465">
        <v>1004.394</v>
      </c>
      <c r="F10" s="1327">
        <v>3019.300487</v>
      </c>
      <c r="G10" s="1327">
        <v>23.5</v>
      </c>
      <c r="H10" s="1327"/>
      <c r="I10" s="1504">
        <v>3747.3524430000002</v>
      </c>
      <c r="J10" s="1327">
        <f t="shared" si="2"/>
        <v>252.84204399999953</v>
      </c>
      <c r="K10" s="1327"/>
      <c r="L10" s="1327">
        <f t="shared" si="3"/>
        <v>252.84204399999953</v>
      </c>
    </row>
    <row r="11" spans="1:13" s="1455" customFormat="1" ht="12.75" x14ac:dyDescent="0.2">
      <c r="A11" s="1469">
        <v>3</v>
      </c>
      <c r="B11" s="1326" t="s">
        <v>1793</v>
      </c>
      <c r="C11" s="1327">
        <f>D11+E11+F11-G11-H11</f>
        <v>456.24199999999996</v>
      </c>
      <c r="D11" s="1463"/>
      <c r="E11" s="1465">
        <v>418.11599999999999</v>
      </c>
      <c r="F11" s="1327">
        <v>42.786000000000001</v>
      </c>
      <c r="G11" s="1327">
        <v>4.66</v>
      </c>
      <c r="H11" s="1327"/>
      <c r="I11" s="1504">
        <v>455.51699400000001</v>
      </c>
      <c r="J11" s="1492">
        <f t="shared" si="2"/>
        <v>0.72500599999995075</v>
      </c>
      <c r="K11" s="1327"/>
      <c r="L11" s="1504">
        <f t="shared" si="3"/>
        <v>0.72500599999995075</v>
      </c>
    </row>
    <row r="12" spans="1:13" s="1455" customFormat="1" ht="12.75" x14ac:dyDescent="0.2">
      <c r="A12" s="1469">
        <v>4</v>
      </c>
      <c r="B12" s="1326" t="s">
        <v>986</v>
      </c>
      <c r="C12" s="1327">
        <f>D12+E12+F12-G12-H12</f>
        <v>1053.529</v>
      </c>
      <c r="D12" s="1463"/>
      <c r="E12" s="1465">
        <v>1126.29</v>
      </c>
      <c r="F12" s="1327">
        <v>9.68</v>
      </c>
      <c r="G12" s="1327">
        <v>25.98</v>
      </c>
      <c r="H12" s="1327">
        <f>72.761-16.3</f>
        <v>56.460999999999999</v>
      </c>
      <c r="I12" s="1504">
        <v>1053.529</v>
      </c>
      <c r="J12" s="1327">
        <f t="shared" si="2"/>
        <v>0</v>
      </c>
      <c r="K12" s="1327"/>
      <c r="L12" s="1499">
        <f t="shared" si="3"/>
        <v>0</v>
      </c>
    </row>
    <row r="13" spans="1:13" s="1455" customFormat="1" ht="12.75" x14ac:dyDescent="0.2">
      <c r="A13" s="1469">
        <v>5</v>
      </c>
      <c r="B13" s="1326" t="s">
        <v>1794</v>
      </c>
      <c r="C13" s="1327">
        <f t="shared" ref="C13:C56" si="4">D13+E13+F13-G13-H13</f>
        <v>4494.8758980000002</v>
      </c>
      <c r="D13" s="1463"/>
      <c r="E13" s="1465">
        <v>3250.9879999999998</v>
      </c>
      <c r="F13" s="1327">
        <v>1301.593752</v>
      </c>
      <c r="G13" s="1327">
        <v>11.32</v>
      </c>
      <c r="H13" s="1327">
        <v>46.385854000000002</v>
      </c>
      <c r="I13" s="1504">
        <v>4280.6090850000001</v>
      </c>
      <c r="J13" s="1327">
        <f t="shared" si="2"/>
        <v>214.26681300000018</v>
      </c>
      <c r="K13" s="1327"/>
      <c r="L13" s="1327">
        <f t="shared" si="3"/>
        <v>214.26681300000018</v>
      </c>
      <c r="M13" s="1456"/>
    </row>
    <row r="14" spans="1:13" s="1455" customFormat="1" ht="12.75" x14ac:dyDescent="0.2">
      <c r="A14" s="1469">
        <v>6</v>
      </c>
      <c r="B14" s="1326" t="s">
        <v>1795</v>
      </c>
      <c r="C14" s="1327">
        <f t="shared" si="4"/>
        <v>161062.761</v>
      </c>
      <c r="D14" s="1463"/>
      <c r="E14" s="1465">
        <v>161062.761</v>
      </c>
      <c r="F14" s="1327"/>
      <c r="G14" s="1327"/>
      <c r="H14" s="1327"/>
      <c r="I14" s="1504">
        <v>169987.67846900001</v>
      </c>
      <c r="J14" s="1327">
        <f t="shared" si="2"/>
        <v>-8924.9174690000073</v>
      </c>
      <c r="K14" s="1327"/>
      <c r="L14" s="1327">
        <f t="shared" si="3"/>
        <v>-8924.9174690000073</v>
      </c>
    </row>
    <row r="15" spans="1:13" s="1455" customFormat="1" ht="24" x14ac:dyDescent="0.2">
      <c r="A15" s="1469">
        <v>7</v>
      </c>
      <c r="B15" s="1326" t="s">
        <v>1796</v>
      </c>
      <c r="C15" s="1327">
        <f t="shared" si="4"/>
        <v>19194.103782000002</v>
      </c>
      <c r="D15" s="1463"/>
      <c r="E15" s="1465">
        <v>11654.825000000001</v>
      </c>
      <c r="F15" s="1327">
        <v>7585.3087820000001</v>
      </c>
      <c r="G15" s="1327">
        <v>46.03</v>
      </c>
      <c r="H15" s="1327"/>
      <c r="I15" s="1504">
        <v>17866.714239000001</v>
      </c>
      <c r="J15" s="1327">
        <f t="shared" si="2"/>
        <v>1327.3895430000011</v>
      </c>
      <c r="K15" s="1327">
        <v>214.55410000000001</v>
      </c>
      <c r="L15" s="1327">
        <f t="shared" si="3"/>
        <v>1112.8354430000011</v>
      </c>
    </row>
    <row r="16" spans="1:13" s="1455" customFormat="1" ht="12.75" x14ac:dyDescent="0.2">
      <c r="A16" s="1469">
        <v>8</v>
      </c>
      <c r="B16" s="1326" t="s">
        <v>1797</v>
      </c>
      <c r="C16" s="1327">
        <f t="shared" si="4"/>
        <v>2031.0719999999999</v>
      </c>
      <c r="D16" s="1463"/>
      <c r="E16" s="1465">
        <v>1947.3920000000001</v>
      </c>
      <c r="F16" s="1327">
        <v>90.88</v>
      </c>
      <c r="G16" s="1327">
        <v>7.2</v>
      </c>
      <c r="H16" s="1327"/>
      <c r="I16" s="1504">
        <v>2360.1271529999999</v>
      </c>
      <c r="J16" s="1327">
        <f t="shared" si="2"/>
        <v>-329.05515300000002</v>
      </c>
      <c r="K16" s="1327"/>
      <c r="L16" s="1327">
        <f t="shared" ref="L16:L59" si="5">J16-K16</f>
        <v>-329.05515300000002</v>
      </c>
    </row>
    <row r="17" spans="1:14" s="1455" customFormat="1" ht="24" x14ac:dyDescent="0.2">
      <c r="A17" s="1469">
        <v>9</v>
      </c>
      <c r="B17" s="1326" t="s">
        <v>1798</v>
      </c>
      <c r="C17" s="1327">
        <f t="shared" si="4"/>
        <v>3117.366</v>
      </c>
      <c r="D17" s="1463"/>
      <c r="E17" s="1465">
        <v>3117.366</v>
      </c>
      <c r="F17" s="1327"/>
      <c r="G17" s="1327"/>
      <c r="H17" s="1327"/>
      <c r="I17" s="1504">
        <v>3471.1308519999998</v>
      </c>
      <c r="J17" s="1327">
        <f>C17-I17</f>
        <v>-353.76485199999979</v>
      </c>
      <c r="K17" s="1327"/>
      <c r="L17" s="1327">
        <f t="shared" si="5"/>
        <v>-353.76485199999979</v>
      </c>
    </row>
    <row r="18" spans="1:14" s="1455" customFormat="1" ht="12.75" x14ac:dyDescent="0.2">
      <c r="A18" s="1469">
        <v>10</v>
      </c>
      <c r="B18" s="1326" t="s">
        <v>987</v>
      </c>
      <c r="C18" s="1327">
        <f t="shared" si="4"/>
        <v>1097.6590000000001</v>
      </c>
      <c r="D18" s="1463"/>
      <c r="E18" s="1465">
        <v>1097.6590000000001</v>
      </c>
      <c r="F18" s="1327"/>
      <c r="G18" s="1327"/>
      <c r="H18" s="1327"/>
      <c r="I18" s="1504">
        <v>1538.7167219999999</v>
      </c>
      <c r="J18" s="1327">
        <f>C18-I18</f>
        <v>-441.05772199999979</v>
      </c>
      <c r="K18" s="1327"/>
      <c r="L18" s="1327">
        <f t="shared" si="5"/>
        <v>-441.05772199999979</v>
      </c>
      <c r="M18" s="1456">
        <v>665688730</v>
      </c>
      <c r="N18" s="1456"/>
    </row>
    <row r="19" spans="1:14" s="1455" customFormat="1" ht="12.75" x14ac:dyDescent="0.2">
      <c r="A19" s="1469">
        <v>11</v>
      </c>
      <c r="B19" s="1326" t="s">
        <v>985</v>
      </c>
      <c r="C19" s="1327">
        <f>D19+E19+F19-G19-H19</f>
        <v>828.98412200000007</v>
      </c>
      <c r="D19" s="1463">
        <v>14.034800000000001</v>
      </c>
      <c r="E19" s="1465">
        <v>763.63400000000001</v>
      </c>
      <c r="F19" s="1327">
        <v>55.945321999999997</v>
      </c>
      <c r="G19" s="1327">
        <v>4.63</v>
      </c>
      <c r="H19" s="1327"/>
      <c r="I19" s="1504">
        <v>828.55686800000001</v>
      </c>
      <c r="J19" s="1327">
        <f>C19-I19</f>
        <v>0.42725400000006175</v>
      </c>
      <c r="K19" s="1465">
        <v>0.3</v>
      </c>
      <c r="L19" s="1501">
        <f>J19-K19</f>
        <v>0.12725400000006176</v>
      </c>
      <c r="M19" s="1457">
        <v>454044170</v>
      </c>
    </row>
    <row r="20" spans="1:14" s="1455" customFormat="1" ht="24" x14ac:dyDescent="0.2">
      <c r="A20" s="1469">
        <v>13</v>
      </c>
      <c r="B20" s="1326" t="s">
        <v>2482</v>
      </c>
      <c r="C20" s="1327">
        <f>D20+E20+F20-G20-H20</f>
        <v>223.4605</v>
      </c>
      <c r="D20" s="1463"/>
      <c r="E20" s="1465">
        <v>167.78</v>
      </c>
      <c r="F20" s="1327">
        <v>88</v>
      </c>
      <c r="G20" s="1327">
        <v>16.995000000000001</v>
      </c>
      <c r="H20" s="1327">
        <v>15.3245</v>
      </c>
      <c r="I20" s="1504">
        <v>223.4605</v>
      </c>
      <c r="J20" s="1463">
        <f>C20-I20</f>
        <v>0</v>
      </c>
      <c r="K20" s="1463"/>
      <c r="L20" s="1463">
        <f t="shared" si="5"/>
        <v>0</v>
      </c>
      <c r="M20" s="1457">
        <v>639688760</v>
      </c>
    </row>
    <row r="21" spans="1:14" s="1455" customFormat="1" ht="24" x14ac:dyDescent="0.2">
      <c r="A21" s="1469">
        <v>14</v>
      </c>
      <c r="B21" s="1326" t="s">
        <v>1800</v>
      </c>
      <c r="C21" s="1327">
        <f t="shared" si="4"/>
        <v>430.418812</v>
      </c>
      <c r="D21" s="1463"/>
      <c r="E21" s="1465">
        <v>379.78</v>
      </c>
      <c r="F21" s="1327">
        <v>289.45</v>
      </c>
      <c r="G21" s="1327">
        <v>16.254999999999999</v>
      </c>
      <c r="H21" s="1327">
        <v>222.55618799999999</v>
      </c>
      <c r="I21" s="1504">
        <v>430.418812</v>
      </c>
      <c r="J21" s="1463">
        <f t="shared" si="2"/>
        <v>0</v>
      </c>
      <c r="K21" s="1463"/>
      <c r="L21" s="1463">
        <f t="shared" si="5"/>
        <v>0</v>
      </c>
      <c r="M21" s="1457">
        <v>314143000</v>
      </c>
    </row>
    <row r="22" spans="1:14" s="1455" customFormat="1" ht="12.75" x14ac:dyDescent="0.2">
      <c r="A22" s="1469">
        <v>15</v>
      </c>
      <c r="B22" s="1326" t="s">
        <v>1801</v>
      </c>
      <c r="C22" s="1327">
        <f t="shared" si="4"/>
        <v>396.63</v>
      </c>
      <c r="D22" s="1463"/>
      <c r="E22" s="1465">
        <v>466.97</v>
      </c>
      <c r="F22" s="1327"/>
      <c r="G22" s="1502">
        <v>70.34</v>
      </c>
      <c r="H22" s="1327"/>
      <c r="I22" s="1504">
        <v>396.63</v>
      </c>
      <c r="J22" s="1463">
        <f>C22-I22</f>
        <v>0</v>
      </c>
      <c r="K22" s="1463"/>
      <c r="L22" s="1463">
        <f t="shared" si="5"/>
        <v>0</v>
      </c>
      <c r="M22" s="1495">
        <f>SUM(M18:M21)</f>
        <v>2073564660</v>
      </c>
    </row>
    <row r="23" spans="1:14" s="1455" customFormat="1" ht="12.75" x14ac:dyDescent="0.2">
      <c r="A23" s="1469">
        <v>16</v>
      </c>
      <c r="B23" s="1326" t="s">
        <v>1802</v>
      </c>
      <c r="C23" s="1327">
        <f>D23+E23+F23-G23-H23</f>
        <v>182.95499999999998</v>
      </c>
      <c r="D23" s="1463"/>
      <c r="E23" s="1465">
        <v>273.27999999999997</v>
      </c>
      <c r="F23" s="1327"/>
      <c r="G23" s="1327">
        <v>45.195</v>
      </c>
      <c r="H23" s="1327">
        <v>45.13</v>
      </c>
      <c r="I23" s="1504">
        <v>132.95500000000001</v>
      </c>
      <c r="J23" s="1463">
        <f t="shared" si="2"/>
        <v>49.999999999999972</v>
      </c>
      <c r="K23" s="1463"/>
      <c r="L23" s="1463">
        <f t="shared" si="5"/>
        <v>49.999999999999972</v>
      </c>
      <c r="M23" s="1457">
        <v>657685180</v>
      </c>
      <c r="N23" s="1503"/>
    </row>
    <row r="24" spans="1:14" s="1455" customFormat="1" ht="12.75" x14ac:dyDescent="0.2">
      <c r="A24" s="1469">
        <v>17</v>
      </c>
      <c r="B24" s="1326" t="s">
        <v>1803</v>
      </c>
      <c r="C24" s="1327">
        <f t="shared" si="4"/>
        <v>60.65</v>
      </c>
      <c r="D24" s="1463"/>
      <c r="E24" s="1465">
        <v>70</v>
      </c>
      <c r="F24" s="1327"/>
      <c r="G24" s="1327">
        <v>9.35</v>
      </c>
      <c r="H24" s="1327"/>
      <c r="I24" s="1504">
        <v>60.605200000000004</v>
      </c>
      <c r="J24" s="1463">
        <f t="shared" si="2"/>
        <v>4.4799999999995066E-2</v>
      </c>
      <c r="K24" s="1463"/>
      <c r="L24" s="1504">
        <f t="shared" si="5"/>
        <v>4.4799999999995066E-2</v>
      </c>
      <c r="M24" s="1457">
        <v>448406334</v>
      </c>
    </row>
    <row r="25" spans="1:14" s="1455" customFormat="1" ht="12.75" x14ac:dyDescent="0.2">
      <c r="A25" s="1469">
        <v>18</v>
      </c>
      <c r="B25" s="1326" t="s">
        <v>2489</v>
      </c>
      <c r="C25" s="1327">
        <f t="shared" si="4"/>
        <v>2701.8750000000005</v>
      </c>
      <c r="D25" s="1463"/>
      <c r="E25" s="1465">
        <v>2727.0520000000001</v>
      </c>
      <c r="F25" s="1327">
        <v>13.962999999999999</v>
      </c>
      <c r="G25" s="1327">
        <v>39.14</v>
      </c>
      <c r="H25" s="1327"/>
      <c r="I25" s="1504">
        <v>2701.875</v>
      </c>
      <c r="J25" s="1505">
        <f>C25-I25</f>
        <v>0</v>
      </c>
      <c r="K25" s="1505"/>
      <c r="L25" s="1505">
        <f t="shared" si="5"/>
        <v>0</v>
      </c>
      <c r="M25" s="1457">
        <v>587299995</v>
      </c>
    </row>
    <row r="26" spans="1:14" s="1455" customFormat="1" ht="12.75" x14ac:dyDescent="0.2">
      <c r="A26" s="1469">
        <v>19</v>
      </c>
      <c r="B26" s="1326" t="s">
        <v>1559</v>
      </c>
      <c r="C26" s="1327">
        <f t="shared" si="4"/>
        <v>208.75</v>
      </c>
      <c r="D26" s="1463"/>
      <c r="E26" s="1465">
        <v>161.84</v>
      </c>
      <c r="F26" s="1327">
        <v>49</v>
      </c>
      <c r="G26" s="1327">
        <v>2.09</v>
      </c>
      <c r="H26" s="1327"/>
      <c r="I26" s="1504">
        <v>208.71607399999999</v>
      </c>
      <c r="J26" s="1492">
        <f>C26-I26</f>
        <v>3.3926000000008116E-2</v>
      </c>
      <c r="K26" s="1492"/>
      <c r="L26" s="1492">
        <f t="shared" si="5"/>
        <v>3.3926000000008116E-2</v>
      </c>
      <c r="M26" s="1457">
        <v>633364416</v>
      </c>
    </row>
    <row r="27" spans="1:14" s="1455" customFormat="1" ht="12.75" x14ac:dyDescent="0.2">
      <c r="A27" s="1469">
        <v>20</v>
      </c>
      <c r="B27" s="1326" t="s">
        <v>1560</v>
      </c>
      <c r="C27" s="1327">
        <f t="shared" si="4"/>
        <v>117.142</v>
      </c>
      <c r="D27" s="1463"/>
      <c r="E27" s="1465">
        <v>121.916</v>
      </c>
      <c r="F27" s="1327"/>
      <c r="G27" s="1327">
        <v>4.774</v>
      </c>
      <c r="H27" s="1327"/>
      <c r="I27" s="1504">
        <v>117.12966400000001</v>
      </c>
      <c r="J27" s="1327">
        <f t="shared" si="2"/>
        <v>1.2335999999990577E-2</v>
      </c>
      <c r="K27" s="1327"/>
      <c r="L27" s="1506">
        <f t="shared" si="5"/>
        <v>1.2335999999990577E-2</v>
      </c>
      <c r="M27" s="1457">
        <f>SUM(M22:M26)</f>
        <v>4400320585</v>
      </c>
    </row>
    <row r="28" spans="1:14" s="1455" customFormat="1" ht="12.75" x14ac:dyDescent="0.2">
      <c r="A28" s="1469">
        <v>21</v>
      </c>
      <c r="B28" s="1326" t="s">
        <v>1804</v>
      </c>
      <c r="C28" s="1327">
        <f t="shared" si="4"/>
        <v>89.215999999999994</v>
      </c>
      <c r="D28" s="1463"/>
      <c r="E28" s="1465">
        <v>77.215999999999994</v>
      </c>
      <c r="F28" s="1327">
        <v>12</v>
      </c>
      <c r="G28" s="1327"/>
      <c r="H28" s="1327"/>
      <c r="I28" s="1504">
        <v>89.215999999999994</v>
      </c>
      <c r="J28" s="1463">
        <f t="shared" si="2"/>
        <v>0</v>
      </c>
      <c r="K28" s="1463"/>
      <c r="L28" s="1463">
        <f t="shared" si="5"/>
        <v>0</v>
      </c>
      <c r="M28" s="1456">
        <f>J25-G25</f>
        <v>-39.14</v>
      </c>
    </row>
    <row r="29" spans="1:14" s="1455" customFormat="1" ht="12.75" x14ac:dyDescent="0.2">
      <c r="A29" s="1469">
        <v>23</v>
      </c>
      <c r="B29" s="1326" t="s">
        <v>1806</v>
      </c>
      <c r="C29" s="1327">
        <f t="shared" si="4"/>
        <v>106.11699999999999</v>
      </c>
      <c r="D29" s="1463"/>
      <c r="E29" s="1465">
        <v>77.215999999999994</v>
      </c>
      <c r="F29" s="1327">
        <v>34</v>
      </c>
      <c r="G29" s="1327">
        <v>5.0990000000000002</v>
      </c>
      <c r="H29" s="1327"/>
      <c r="I29" s="1504">
        <v>105.11579999999999</v>
      </c>
      <c r="J29" s="1463">
        <f t="shared" si="2"/>
        <v>1.0011999999999972</v>
      </c>
      <c r="K29" s="1463"/>
      <c r="L29" s="1463">
        <f t="shared" si="5"/>
        <v>1.0011999999999972</v>
      </c>
    </row>
    <row r="30" spans="1:14" s="1455" customFormat="1" ht="12.75" x14ac:dyDescent="0.2">
      <c r="A30" s="1469">
        <v>24</v>
      </c>
      <c r="B30" s="1326" t="s">
        <v>1807</v>
      </c>
      <c r="C30" s="1327">
        <f t="shared" si="4"/>
        <v>92.016999999999996</v>
      </c>
      <c r="D30" s="1463"/>
      <c r="E30" s="1465">
        <v>122.21599999999999</v>
      </c>
      <c r="F30" s="1327"/>
      <c r="G30" s="1327"/>
      <c r="H30" s="1327">
        <v>30.199000000000002</v>
      </c>
      <c r="I30" s="1504">
        <v>92.016999999999996</v>
      </c>
      <c r="J30" s="1463">
        <f t="shared" si="2"/>
        <v>0</v>
      </c>
      <c r="K30" s="1463"/>
      <c r="L30" s="1463">
        <f t="shared" si="5"/>
        <v>0</v>
      </c>
    </row>
    <row r="31" spans="1:14" s="1488" customFormat="1" ht="24" x14ac:dyDescent="0.2">
      <c r="A31" s="1483">
        <v>27</v>
      </c>
      <c r="B31" s="1484" t="s">
        <v>2228</v>
      </c>
      <c r="C31" s="1485">
        <f t="shared" si="4"/>
        <v>4178.0519999999997</v>
      </c>
      <c r="D31" s="1486">
        <v>2.8839999999999999</v>
      </c>
      <c r="E31" s="1487">
        <v>3856.8510000000001</v>
      </c>
      <c r="F31" s="1485">
        <v>318.31700000000001</v>
      </c>
      <c r="G31" s="1485"/>
      <c r="H31" s="1485"/>
      <c r="I31" s="1490">
        <f>2491.449054+1535.278884</f>
        <v>4026.727938</v>
      </c>
      <c r="J31" s="1486">
        <f t="shared" si="2"/>
        <v>151.32406199999969</v>
      </c>
      <c r="K31" s="1486">
        <v>2.8839999999999999</v>
      </c>
      <c r="L31" s="1486">
        <f t="shared" si="5"/>
        <v>148.4400619999997</v>
      </c>
      <c r="M31" s="1489">
        <v>0</v>
      </c>
    </row>
    <row r="32" spans="1:14" s="1455" customFormat="1" ht="12.75" x14ac:dyDescent="0.2">
      <c r="A32" s="1469">
        <v>28</v>
      </c>
      <c r="B32" s="1326" t="s">
        <v>2500</v>
      </c>
      <c r="C32" s="1327">
        <f t="shared" si="4"/>
        <v>1679.848</v>
      </c>
      <c r="D32" s="1463"/>
      <c r="E32" s="1465">
        <v>1638.1079999999999</v>
      </c>
      <c r="F32" s="1327">
        <v>48</v>
      </c>
      <c r="G32" s="1327">
        <v>6.26</v>
      </c>
      <c r="H32" s="1327"/>
      <c r="I32" s="1504">
        <v>1657.9563450000001</v>
      </c>
      <c r="J32" s="1327">
        <f>C32-I32</f>
        <v>21.891654999999901</v>
      </c>
      <c r="K32" s="1327"/>
      <c r="L32" s="1327">
        <f t="shared" si="5"/>
        <v>21.891654999999901</v>
      </c>
    </row>
    <row r="33" spans="1:13" s="1455" customFormat="1" ht="12.75" x14ac:dyDescent="0.2">
      <c r="A33" s="1469">
        <v>29</v>
      </c>
      <c r="B33" s="1326" t="s">
        <v>2490</v>
      </c>
      <c r="C33" s="1327">
        <f t="shared" si="4"/>
        <v>427.77820000000003</v>
      </c>
      <c r="D33" s="1463"/>
      <c r="E33" s="1465">
        <v>932.20500000000004</v>
      </c>
      <c r="F33" s="1327"/>
      <c r="G33" s="1327"/>
      <c r="H33" s="1327">
        <v>504.42680000000001</v>
      </c>
      <c r="I33" s="1504">
        <v>427.77820000000003</v>
      </c>
      <c r="J33" s="1492">
        <f>C33-I33</f>
        <v>0</v>
      </c>
      <c r="K33" s="1492"/>
      <c r="L33" s="1492">
        <f t="shared" si="5"/>
        <v>0</v>
      </c>
    </row>
    <row r="34" spans="1:13" s="1455" customFormat="1" ht="12.75" x14ac:dyDescent="0.2">
      <c r="A34" s="1469">
        <v>31</v>
      </c>
      <c r="B34" s="1326" t="s">
        <v>2483</v>
      </c>
      <c r="C34" s="1327">
        <f t="shared" si="4"/>
        <v>9649.855305000001</v>
      </c>
      <c r="D34" s="1463"/>
      <c r="E34" s="1465">
        <v>2200</v>
      </c>
      <c r="F34" s="1327">
        <v>7449.855305</v>
      </c>
      <c r="G34" s="1327"/>
      <c r="H34" s="1327"/>
      <c r="I34" s="1504">
        <v>9290.2040049999996</v>
      </c>
      <c r="J34" s="1327">
        <f t="shared" si="2"/>
        <v>359.65130000000136</v>
      </c>
      <c r="K34" s="1327"/>
      <c r="L34" s="1327">
        <f t="shared" si="5"/>
        <v>359.65130000000136</v>
      </c>
    </row>
    <row r="35" spans="1:13" s="1455" customFormat="1" ht="24" x14ac:dyDescent="0.2">
      <c r="A35" s="1469">
        <v>32</v>
      </c>
      <c r="B35" s="1326" t="s">
        <v>2484</v>
      </c>
      <c r="C35" s="1327">
        <f t="shared" si="4"/>
        <v>591.1</v>
      </c>
      <c r="D35" s="1463"/>
      <c r="E35" s="1465"/>
      <c r="F35" s="1465">
        <v>591.1</v>
      </c>
      <c r="G35" s="1327"/>
      <c r="H35" s="1327"/>
      <c r="I35" s="1504">
        <v>574.89372000000003</v>
      </c>
      <c r="J35" s="1327">
        <f t="shared" si="2"/>
        <v>16.206279999999992</v>
      </c>
      <c r="K35" s="1327"/>
      <c r="L35" s="1327">
        <f t="shared" si="5"/>
        <v>16.206279999999992</v>
      </c>
    </row>
    <row r="36" spans="1:13" s="1455" customFormat="1" ht="12.75" x14ac:dyDescent="0.2">
      <c r="A36" s="1469">
        <v>34</v>
      </c>
      <c r="B36" s="1326" t="s">
        <v>2486</v>
      </c>
      <c r="C36" s="1327">
        <f t="shared" si="4"/>
        <v>75.616</v>
      </c>
      <c r="D36" s="1463"/>
      <c r="E36" s="1465">
        <v>77.215999999999994</v>
      </c>
      <c r="F36" s="1327"/>
      <c r="G36" s="1327">
        <v>1.6</v>
      </c>
      <c r="H36" s="1327"/>
      <c r="I36" s="1504">
        <v>71.605999999999995</v>
      </c>
      <c r="J36" s="1327">
        <f t="shared" si="2"/>
        <v>4.0100000000000051</v>
      </c>
      <c r="K36" s="1327"/>
      <c r="L36" s="1493">
        <f t="shared" si="5"/>
        <v>4.0100000000000051</v>
      </c>
    </row>
    <row r="37" spans="1:13" s="1455" customFormat="1" ht="24" x14ac:dyDescent="0.2">
      <c r="A37" s="1469">
        <v>35</v>
      </c>
      <c r="B37" s="1326" t="s">
        <v>2487</v>
      </c>
      <c r="C37" s="1327">
        <f t="shared" si="4"/>
        <v>316</v>
      </c>
      <c r="D37" s="1463"/>
      <c r="E37" s="1465">
        <v>316</v>
      </c>
      <c r="F37" s="1327"/>
      <c r="G37" s="1327"/>
      <c r="H37" s="1327"/>
      <c r="I37" s="1504">
        <v>298.084655</v>
      </c>
      <c r="J37" s="1327">
        <f t="shared" si="2"/>
        <v>17.915345000000002</v>
      </c>
      <c r="K37" s="1327"/>
      <c r="L37" s="1327">
        <f t="shared" si="5"/>
        <v>17.915345000000002</v>
      </c>
    </row>
    <row r="38" spans="1:13" s="1455" customFormat="1" ht="12.75" x14ac:dyDescent="0.2">
      <c r="A38" s="1469">
        <v>37</v>
      </c>
      <c r="B38" s="1326" t="s">
        <v>2377</v>
      </c>
      <c r="C38" s="1327">
        <f t="shared" si="4"/>
        <v>3560.2711810000001</v>
      </c>
      <c r="D38" s="1463"/>
      <c r="E38" s="1465">
        <v>3307.7629999999999</v>
      </c>
      <c r="F38" s="1327">
        <v>267.418181</v>
      </c>
      <c r="G38" s="1327">
        <f>14.91</f>
        <v>14.91</v>
      </c>
      <c r="H38" s="1327"/>
      <c r="I38" s="1504">
        <v>3109.5405890000002</v>
      </c>
      <c r="J38" s="1327">
        <f>C38-I38</f>
        <v>450.73059199999989</v>
      </c>
      <c r="K38" s="1327"/>
      <c r="L38" s="1327">
        <f t="shared" si="5"/>
        <v>450.73059199999989</v>
      </c>
      <c r="M38" s="1456">
        <f>G38+251523225+194763351</f>
        <v>446286590.90999997</v>
      </c>
    </row>
    <row r="39" spans="1:13" s="1455" customFormat="1" ht="12.75" x14ac:dyDescent="0.2">
      <c r="A39" s="1469">
        <v>39</v>
      </c>
      <c r="B39" s="1326" t="s">
        <v>2624</v>
      </c>
      <c r="C39" s="1327">
        <f t="shared" si="4"/>
        <v>13.603999999999999</v>
      </c>
      <c r="D39" s="1463"/>
      <c r="E39" s="1465"/>
      <c r="F39" s="1327">
        <v>13.603999999999999</v>
      </c>
      <c r="G39" s="1327"/>
      <c r="H39" s="1327"/>
      <c r="I39" s="1504">
        <v>13.603999999999999</v>
      </c>
      <c r="J39" s="1463">
        <f t="shared" si="2"/>
        <v>0</v>
      </c>
      <c r="K39" s="1463"/>
      <c r="L39" s="1463">
        <f t="shared" si="5"/>
        <v>0</v>
      </c>
    </row>
    <row r="40" spans="1:13" s="1455" customFormat="1" ht="24" x14ac:dyDescent="0.2">
      <c r="A40" s="1469">
        <v>52</v>
      </c>
      <c r="B40" s="1326" t="s">
        <v>2518</v>
      </c>
      <c r="C40" s="1327">
        <f t="shared" si="4"/>
        <v>28</v>
      </c>
      <c r="D40" s="1463"/>
      <c r="E40" s="1465">
        <v>28</v>
      </c>
      <c r="F40" s="1327"/>
      <c r="G40" s="1327"/>
      <c r="H40" s="1327"/>
      <c r="I40" s="1504">
        <v>27.77</v>
      </c>
      <c r="J40" s="1327">
        <f t="shared" si="2"/>
        <v>0.23000000000000043</v>
      </c>
      <c r="K40" s="1327"/>
      <c r="L40" s="1327">
        <f t="shared" si="5"/>
        <v>0.23000000000000043</v>
      </c>
    </row>
    <row r="41" spans="1:13" s="1455" customFormat="1" ht="24" x14ac:dyDescent="0.2">
      <c r="A41" s="1469">
        <v>53</v>
      </c>
      <c r="B41" s="1326" t="s">
        <v>2519</v>
      </c>
      <c r="C41" s="1327">
        <f t="shared" si="4"/>
        <v>28</v>
      </c>
      <c r="D41" s="1463"/>
      <c r="E41" s="1465">
        <v>28</v>
      </c>
      <c r="F41" s="1327"/>
      <c r="G41" s="1327"/>
      <c r="H41" s="1327"/>
      <c r="I41" s="1504">
        <v>27.54</v>
      </c>
      <c r="J41" s="1327">
        <f t="shared" si="2"/>
        <v>0.46000000000000085</v>
      </c>
      <c r="K41" s="1327"/>
      <c r="L41" s="1327">
        <f t="shared" si="5"/>
        <v>0.46000000000000085</v>
      </c>
    </row>
    <row r="42" spans="1:13" s="1455" customFormat="1" ht="24" x14ac:dyDescent="0.2">
      <c r="A42" s="1469">
        <v>54</v>
      </c>
      <c r="B42" s="1326" t="s">
        <v>2520</v>
      </c>
      <c r="C42" s="1327">
        <f t="shared" si="4"/>
        <v>28</v>
      </c>
      <c r="D42" s="1463"/>
      <c r="E42" s="1465">
        <v>28</v>
      </c>
      <c r="F42" s="1327"/>
      <c r="G42" s="1327"/>
      <c r="H42" s="1327"/>
      <c r="I42" s="1504">
        <v>28</v>
      </c>
      <c r="J42" s="1327">
        <f t="shared" si="2"/>
        <v>0</v>
      </c>
      <c r="K42" s="1327"/>
      <c r="L42" s="1327">
        <f t="shared" si="5"/>
        <v>0</v>
      </c>
    </row>
    <row r="43" spans="1:13" s="1455" customFormat="1" ht="24" x14ac:dyDescent="0.2">
      <c r="A43" s="1469">
        <v>55</v>
      </c>
      <c r="B43" s="1326" t="s">
        <v>2502</v>
      </c>
      <c r="C43" s="1327">
        <f t="shared" si="4"/>
        <v>28</v>
      </c>
      <c r="D43" s="1463"/>
      <c r="E43" s="1465">
        <v>28</v>
      </c>
      <c r="F43" s="1327"/>
      <c r="G43" s="1327"/>
      <c r="H43" s="1327"/>
      <c r="I43" s="1504">
        <v>28</v>
      </c>
      <c r="J43" s="1327">
        <f t="shared" si="2"/>
        <v>0</v>
      </c>
      <c r="K43" s="1327"/>
      <c r="L43" s="1327">
        <f t="shared" si="5"/>
        <v>0</v>
      </c>
    </row>
    <row r="44" spans="1:13" s="1455" customFormat="1" ht="24" x14ac:dyDescent="0.2">
      <c r="A44" s="1469">
        <v>56</v>
      </c>
      <c r="B44" s="1326" t="s">
        <v>2503</v>
      </c>
      <c r="C44" s="1327">
        <f t="shared" si="4"/>
        <v>28</v>
      </c>
      <c r="D44" s="1463"/>
      <c r="E44" s="1465">
        <v>28</v>
      </c>
      <c r="F44" s="1327"/>
      <c r="G44" s="1327"/>
      <c r="H44" s="1327"/>
      <c r="I44" s="1504">
        <v>20.562000000000001</v>
      </c>
      <c r="J44" s="1327">
        <f t="shared" si="2"/>
        <v>7.4379999999999988</v>
      </c>
      <c r="K44" s="1327"/>
      <c r="L44" s="1327">
        <f t="shared" si="5"/>
        <v>7.4379999999999988</v>
      </c>
    </row>
    <row r="45" spans="1:13" s="1455" customFormat="1" ht="24" x14ac:dyDescent="0.2">
      <c r="A45" s="1469">
        <v>57</v>
      </c>
      <c r="B45" s="1326" t="s">
        <v>2501</v>
      </c>
      <c r="C45" s="1327">
        <f t="shared" si="4"/>
        <v>28</v>
      </c>
      <c r="D45" s="1463"/>
      <c r="E45" s="1465">
        <v>28</v>
      </c>
      <c r="F45" s="1327"/>
      <c r="G45" s="1327"/>
      <c r="H45" s="1327"/>
      <c r="I45" s="1504">
        <v>22.806999999999999</v>
      </c>
      <c r="J45" s="1327">
        <f>C45-I45</f>
        <v>5.1930000000000014</v>
      </c>
      <c r="K45" s="1327"/>
      <c r="L45" s="1327">
        <f t="shared" si="5"/>
        <v>5.1930000000000014</v>
      </c>
    </row>
    <row r="46" spans="1:13" s="1455" customFormat="1" ht="24" x14ac:dyDescent="0.2">
      <c r="A46" s="1469">
        <v>58</v>
      </c>
      <c r="B46" s="1326" t="s">
        <v>2504</v>
      </c>
      <c r="C46" s="1327">
        <f t="shared" si="4"/>
        <v>28</v>
      </c>
      <c r="D46" s="1463"/>
      <c r="E46" s="1465">
        <v>28</v>
      </c>
      <c r="F46" s="1327"/>
      <c r="G46" s="1327"/>
      <c r="H46" s="1327"/>
      <c r="I46" s="1504">
        <v>27.649000000000001</v>
      </c>
      <c r="J46" s="1327">
        <f t="shared" si="2"/>
        <v>0.35099999999999909</v>
      </c>
      <c r="K46" s="1327"/>
      <c r="L46" s="1327">
        <f t="shared" si="5"/>
        <v>0.35099999999999909</v>
      </c>
    </row>
    <row r="47" spans="1:13" s="1455" customFormat="1" ht="24" x14ac:dyDescent="0.2">
      <c r="A47" s="1469">
        <v>59</v>
      </c>
      <c r="B47" s="1326" t="s">
        <v>2505</v>
      </c>
      <c r="C47" s="1327">
        <f t="shared" si="4"/>
        <v>28</v>
      </c>
      <c r="D47" s="1463"/>
      <c r="E47" s="1465">
        <v>28</v>
      </c>
      <c r="F47" s="1327"/>
      <c r="G47" s="1327"/>
      <c r="H47" s="1327"/>
      <c r="I47" s="1504">
        <v>20.562000000000001</v>
      </c>
      <c r="J47" s="1327">
        <f t="shared" si="2"/>
        <v>7.4379999999999988</v>
      </c>
      <c r="K47" s="1327"/>
      <c r="L47" s="1327">
        <f t="shared" si="5"/>
        <v>7.4379999999999988</v>
      </c>
    </row>
    <row r="48" spans="1:13" s="1455" customFormat="1" ht="24" x14ac:dyDescent="0.2">
      <c r="A48" s="1469">
        <v>60</v>
      </c>
      <c r="B48" s="1326" t="s">
        <v>2506</v>
      </c>
      <c r="C48" s="1327">
        <f t="shared" si="4"/>
        <v>28</v>
      </c>
      <c r="D48" s="1463"/>
      <c r="E48" s="1465">
        <v>28</v>
      </c>
      <c r="F48" s="1327"/>
      <c r="G48" s="1327"/>
      <c r="H48" s="1327"/>
      <c r="I48" s="1504">
        <v>20.562000000000001</v>
      </c>
      <c r="J48" s="1327">
        <f t="shared" si="2"/>
        <v>7.4379999999999988</v>
      </c>
      <c r="K48" s="1327"/>
      <c r="L48" s="1327">
        <f t="shared" si="5"/>
        <v>7.4379999999999988</v>
      </c>
    </row>
    <row r="49" spans="1:12" s="1455" customFormat="1" ht="24" x14ac:dyDescent="0.2">
      <c r="A49" s="1469">
        <v>61</v>
      </c>
      <c r="B49" s="1326" t="s">
        <v>2507</v>
      </c>
      <c r="C49" s="1327">
        <f t="shared" si="4"/>
        <v>28</v>
      </c>
      <c r="D49" s="1463"/>
      <c r="E49" s="1465">
        <v>28</v>
      </c>
      <c r="F49" s="1327"/>
      <c r="G49" s="1327"/>
      <c r="H49" s="1327"/>
      <c r="I49" s="1504">
        <v>26.837</v>
      </c>
      <c r="J49" s="1327">
        <f t="shared" si="2"/>
        <v>1.1630000000000003</v>
      </c>
      <c r="K49" s="1327"/>
      <c r="L49" s="1327">
        <f t="shared" si="5"/>
        <v>1.1630000000000003</v>
      </c>
    </row>
    <row r="50" spans="1:12" s="1455" customFormat="1" ht="24" x14ac:dyDescent="0.2">
      <c r="A50" s="1469">
        <v>62</v>
      </c>
      <c r="B50" s="1326" t="s">
        <v>2508</v>
      </c>
      <c r="C50" s="1327">
        <f t="shared" si="4"/>
        <v>28</v>
      </c>
      <c r="D50" s="1463"/>
      <c r="E50" s="1465">
        <v>28</v>
      </c>
      <c r="F50" s="1327"/>
      <c r="G50" s="1327"/>
      <c r="H50" s="1327"/>
      <c r="I50" s="1504">
        <v>27.952000000000002</v>
      </c>
      <c r="J50" s="1327">
        <f t="shared" si="2"/>
        <v>4.7999999999998266E-2</v>
      </c>
      <c r="K50" s="1327"/>
      <c r="L50" s="1327">
        <f t="shared" si="5"/>
        <v>4.7999999999998266E-2</v>
      </c>
    </row>
    <row r="51" spans="1:12" s="1455" customFormat="1" ht="24" x14ac:dyDescent="0.2">
      <c r="A51" s="1469">
        <v>63</v>
      </c>
      <c r="B51" s="1326" t="s">
        <v>2509</v>
      </c>
      <c r="C51" s="1327">
        <f t="shared" si="4"/>
        <v>28</v>
      </c>
      <c r="D51" s="1463"/>
      <c r="E51" s="1465">
        <v>28</v>
      </c>
      <c r="F51" s="1327"/>
      <c r="G51" s="1327"/>
      <c r="H51" s="1327"/>
      <c r="I51" s="1504">
        <v>28</v>
      </c>
      <c r="J51" s="1327">
        <f t="shared" si="2"/>
        <v>0</v>
      </c>
      <c r="K51" s="1327"/>
      <c r="L51" s="1327">
        <f t="shared" si="5"/>
        <v>0</v>
      </c>
    </row>
    <row r="52" spans="1:12" s="1455" customFormat="1" ht="24" x14ac:dyDescent="0.2">
      <c r="A52" s="1469">
        <v>64</v>
      </c>
      <c r="B52" s="1326" t="s">
        <v>2510</v>
      </c>
      <c r="C52" s="1327">
        <f t="shared" si="4"/>
        <v>28</v>
      </c>
      <c r="D52" s="1463"/>
      <c r="E52" s="1465">
        <v>28</v>
      </c>
      <c r="F52" s="1327"/>
      <c r="G52" s="1327"/>
      <c r="H52" s="1327"/>
      <c r="I52" s="1504">
        <v>24.641999999999999</v>
      </c>
      <c r="J52" s="1327">
        <f t="shared" si="2"/>
        <v>3.3580000000000005</v>
      </c>
      <c r="K52" s="1327"/>
      <c r="L52" s="1327">
        <f t="shared" si="5"/>
        <v>3.3580000000000005</v>
      </c>
    </row>
    <row r="53" spans="1:12" s="1455" customFormat="1" ht="24" x14ac:dyDescent="0.2">
      <c r="A53" s="1469">
        <v>65</v>
      </c>
      <c r="B53" s="1326" t="s">
        <v>2511</v>
      </c>
      <c r="C53" s="1327">
        <f t="shared" si="4"/>
        <v>28</v>
      </c>
      <c r="D53" s="1463"/>
      <c r="E53" s="1465">
        <v>28</v>
      </c>
      <c r="F53" s="1327"/>
      <c r="G53" s="1327"/>
      <c r="H53" s="1327"/>
      <c r="I53" s="1504">
        <v>28</v>
      </c>
      <c r="J53" s="1327">
        <f t="shared" ref="J53:J59" si="6">C53-I53</f>
        <v>0</v>
      </c>
      <c r="K53" s="1327"/>
      <c r="L53" s="1327">
        <f t="shared" si="5"/>
        <v>0</v>
      </c>
    </row>
    <row r="54" spans="1:12" s="1455" customFormat="1" ht="24" x14ac:dyDescent="0.2">
      <c r="A54" s="1469">
        <v>66</v>
      </c>
      <c r="B54" s="1326" t="s">
        <v>2512</v>
      </c>
      <c r="C54" s="1327">
        <f t="shared" si="4"/>
        <v>28</v>
      </c>
      <c r="D54" s="1463"/>
      <c r="E54" s="1465">
        <v>28</v>
      </c>
      <c r="F54" s="1327"/>
      <c r="G54" s="1327"/>
      <c r="H54" s="1327"/>
      <c r="I54" s="1504">
        <v>28</v>
      </c>
      <c r="J54" s="1327">
        <f t="shared" si="6"/>
        <v>0</v>
      </c>
      <c r="K54" s="1327"/>
      <c r="L54" s="1327">
        <f t="shared" si="5"/>
        <v>0</v>
      </c>
    </row>
    <row r="55" spans="1:12" s="1455" customFormat="1" ht="24" x14ac:dyDescent="0.2">
      <c r="A55" s="1469">
        <v>67</v>
      </c>
      <c r="B55" s="1326" t="s">
        <v>2513</v>
      </c>
      <c r="C55" s="1327">
        <f t="shared" si="4"/>
        <v>28</v>
      </c>
      <c r="D55" s="1463"/>
      <c r="E55" s="1465">
        <v>28</v>
      </c>
      <c r="F55" s="1327"/>
      <c r="G55" s="1327"/>
      <c r="H55" s="1327"/>
      <c r="I55" s="1504">
        <v>26.393999999999998</v>
      </c>
      <c r="J55" s="1327">
        <f t="shared" si="6"/>
        <v>1.6060000000000016</v>
      </c>
      <c r="K55" s="1327"/>
      <c r="L55" s="1327">
        <f t="shared" si="5"/>
        <v>1.6060000000000016</v>
      </c>
    </row>
    <row r="56" spans="1:12" s="1455" customFormat="1" ht="24" x14ac:dyDescent="0.2">
      <c r="A56" s="1469">
        <v>68</v>
      </c>
      <c r="B56" s="1326" t="s">
        <v>2514</v>
      </c>
      <c r="C56" s="1327">
        <f t="shared" si="4"/>
        <v>28</v>
      </c>
      <c r="D56" s="1463"/>
      <c r="E56" s="1465">
        <v>28</v>
      </c>
      <c r="F56" s="1327"/>
      <c r="G56" s="1327"/>
      <c r="H56" s="1327"/>
      <c r="I56" s="1504">
        <v>28</v>
      </c>
      <c r="J56" s="1327">
        <f t="shared" si="6"/>
        <v>0</v>
      </c>
      <c r="K56" s="1327"/>
      <c r="L56" s="1327">
        <f t="shared" si="5"/>
        <v>0</v>
      </c>
    </row>
    <row r="57" spans="1:12" s="1455" customFormat="1" ht="24" x14ac:dyDescent="0.2">
      <c r="A57" s="1469">
        <v>69</v>
      </c>
      <c r="B57" s="1326" t="s">
        <v>2515</v>
      </c>
      <c r="C57" s="1327">
        <f>D57+E57+F57-G57-H57</f>
        <v>28</v>
      </c>
      <c r="D57" s="1463"/>
      <c r="E57" s="1465">
        <v>28</v>
      </c>
      <c r="F57" s="1327"/>
      <c r="G57" s="1327"/>
      <c r="H57" s="1327"/>
      <c r="I57" s="1504">
        <v>20.562000000000001</v>
      </c>
      <c r="J57" s="1327">
        <f t="shared" si="6"/>
        <v>7.4379999999999988</v>
      </c>
      <c r="K57" s="1327"/>
      <c r="L57" s="1327">
        <f t="shared" si="5"/>
        <v>7.4379999999999988</v>
      </c>
    </row>
    <row r="58" spans="1:12" s="1455" customFormat="1" ht="24" x14ac:dyDescent="0.2">
      <c r="A58" s="1469">
        <v>70</v>
      </c>
      <c r="B58" s="1326" t="s">
        <v>2516</v>
      </c>
      <c r="C58" s="1327">
        <f>D58+E58+F58-G58-H58</f>
        <v>28</v>
      </c>
      <c r="D58" s="1463"/>
      <c r="E58" s="1465">
        <v>28</v>
      </c>
      <c r="F58" s="1327"/>
      <c r="G58" s="1327"/>
      <c r="H58" s="1327"/>
      <c r="I58" s="1504">
        <v>21.442</v>
      </c>
      <c r="J58" s="1327">
        <f t="shared" si="6"/>
        <v>6.5579999999999998</v>
      </c>
      <c r="K58" s="1327"/>
      <c r="L58" s="1327">
        <f t="shared" si="5"/>
        <v>6.5579999999999998</v>
      </c>
    </row>
    <row r="59" spans="1:12" s="1455" customFormat="1" ht="24" x14ac:dyDescent="0.2">
      <c r="A59" s="1469">
        <v>71</v>
      </c>
      <c r="B59" s="1326" t="s">
        <v>2517</v>
      </c>
      <c r="C59" s="1327">
        <f>D59+E59+F59-G59-H59</f>
        <v>28</v>
      </c>
      <c r="D59" s="1463"/>
      <c r="E59" s="1465">
        <v>28</v>
      </c>
      <c r="F59" s="1327"/>
      <c r="G59" s="1327"/>
      <c r="H59" s="1327"/>
      <c r="I59" s="1504">
        <v>28</v>
      </c>
      <c r="J59" s="1327">
        <f t="shared" si="6"/>
        <v>0</v>
      </c>
      <c r="K59" s="1327"/>
      <c r="L59" s="1327">
        <f t="shared" si="5"/>
        <v>0</v>
      </c>
    </row>
    <row r="60" spans="1:12" s="1455" customFormat="1" ht="12.6" customHeight="1" x14ac:dyDescent="0.2">
      <c r="A60" s="1470">
        <v>72</v>
      </c>
      <c r="B60" s="1328" t="s">
        <v>2229</v>
      </c>
      <c r="C60" s="1327">
        <f>D60+E60+F60-G60-H60</f>
        <v>58.369799999999998</v>
      </c>
      <c r="D60" s="1464"/>
      <c r="E60" s="1477"/>
      <c r="F60" s="1329">
        <v>58.369799999999998</v>
      </c>
      <c r="G60" s="1329"/>
      <c r="H60" s="1329"/>
      <c r="I60" s="1509">
        <v>58.339843999999999</v>
      </c>
      <c r="J60" s="1491">
        <f>C60-I60</f>
        <v>2.9955999999998539E-2</v>
      </c>
      <c r="K60" s="1491"/>
      <c r="L60" s="1491">
        <f>J60-K60</f>
        <v>2.9955999999998539E-2</v>
      </c>
    </row>
    <row r="61" spans="1:12" s="1532" customFormat="1" ht="12.75" x14ac:dyDescent="0.2">
      <c r="A61" s="1529" t="s">
        <v>866</v>
      </c>
      <c r="B61" s="1530" t="s">
        <v>2629</v>
      </c>
      <c r="C61" s="1531">
        <f t="shared" ref="C61:H61" si="7">SUM(C62:C81)</f>
        <v>23115.915820000002</v>
      </c>
      <c r="D61" s="1531">
        <f t="shared" si="7"/>
        <v>0</v>
      </c>
      <c r="E61" s="1531">
        <f t="shared" si="7"/>
        <v>14350.142</v>
      </c>
      <c r="F61" s="1531">
        <f t="shared" si="7"/>
        <v>8862.1848199999986</v>
      </c>
      <c r="G61" s="1531">
        <f t="shared" si="7"/>
        <v>96.411000000000001</v>
      </c>
      <c r="H61" s="1531">
        <f t="shared" si="7"/>
        <v>0</v>
      </c>
      <c r="I61" s="1531">
        <f>SUM(I62:I81)</f>
        <v>21961.76226</v>
      </c>
      <c r="J61" s="1531">
        <f>SUM(J62:J81)</f>
        <v>1106.1894599999998</v>
      </c>
      <c r="K61" s="1531">
        <f>SUM(K62:K81)</f>
        <v>0</v>
      </c>
      <c r="L61" s="1531">
        <f>SUM(L62:L81)</f>
        <v>1106.1894599999998</v>
      </c>
    </row>
    <row r="62" spans="1:12" x14ac:dyDescent="0.25">
      <c r="A62" s="1469">
        <v>1</v>
      </c>
      <c r="B62" s="1326" t="s">
        <v>988</v>
      </c>
      <c r="C62" s="1327">
        <v>8439.7309999999998</v>
      </c>
      <c r="D62" s="1463"/>
      <c r="E62" s="1465">
        <v>8536.1419999999998</v>
      </c>
      <c r="F62" s="1327"/>
      <c r="G62" s="1327">
        <v>96.411000000000001</v>
      </c>
      <c r="H62" s="1327"/>
      <c r="I62" s="1504">
        <v>7810.3697179999999</v>
      </c>
      <c r="J62" s="1327">
        <v>629.36128199999985</v>
      </c>
      <c r="K62" s="1327"/>
      <c r="L62" s="1327">
        <v>629.36128199999985</v>
      </c>
    </row>
    <row r="63" spans="1:12" ht="24.75" x14ac:dyDescent="0.25">
      <c r="A63" s="1469">
        <v>2</v>
      </c>
      <c r="B63" s="1326" t="s">
        <v>1805</v>
      </c>
      <c r="C63" s="1327">
        <v>20</v>
      </c>
      <c r="D63" s="1463"/>
      <c r="E63" s="1465">
        <v>20</v>
      </c>
      <c r="F63" s="1327"/>
      <c r="G63" s="1327"/>
      <c r="H63" s="1327"/>
      <c r="I63" s="1504">
        <v>20</v>
      </c>
      <c r="J63" s="1463">
        <v>0</v>
      </c>
      <c r="K63" s="1463"/>
      <c r="L63" s="1463">
        <v>0</v>
      </c>
    </row>
    <row r="64" spans="1:12" x14ac:dyDescent="0.25">
      <c r="A64" s="1469">
        <v>3</v>
      </c>
      <c r="B64" s="1326" t="s">
        <v>2226</v>
      </c>
      <c r="C64" s="1327">
        <v>5758.2675130000007</v>
      </c>
      <c r="D64" s="1463"/>
      <c r="E64" s="1465">
        <v>3606</v>
      </c>
      <c r="F64" s="1327">
        <v>2152.2675130000002</v>
      </c>
      <c r="G64" s="1327"/>
      <c r="H64" s="1327"/>
      <c r="I64" s="1504">
        <v>5758.2675129999998</v>
      </c>
      <c r="J64" s="1463">
        <v>0</v>
      </c>
      <c r="K64" s="1463"/>
      <c r="L64" s="1463">
        <v>0</v>
      </c>
    </row>
    <row r="65" spans="1:12" x14ac:dyDescent="0.25">
      <c r="A65" s="1469">
        <v>4</v>
      </c>
      <c r="B65" s="1326" t="s">
        <v>2227</v>
      </c>
      <c r="C65" s="1327">
        <v>2218</v>
      </c>
      <c r="D65" s="1463"/>
      <c r="E65" s="1465">
        <v>1508</v>
      </c>
      <c r="F65" s="1327">
        <v>710</v>
      </c>
      <c r="G65" s="1327"/>
      <c r="H65" s="1327"/>
      <c r="I65" s="1504">
        <v>2218</v>
      </c>
      <c r="J65" s="1463">
        <v>0</v>
      </c>
      <c r="K65" s="1463"/>
      <c r="L65" s="1463">
        <v>0</v>
      </c>
    </row>
    <row r="66" spans="1:12" x14ac:dyDescent="0.25">
      <c r="A66" s="1469">
        <v>5</v>
      </c>
      <c r="B66" s="1516" t="s">
        <v>2485</v>
      </c>
      <c r="C66" s="1517">
        <v>60</v>
      </c>
      <c r="D66" s="1518"/>
      <c r="E66" s="1519">
        <v>60</v>
      </c>
      <c r="F66" s="1517"/>
      <c r="G66" s="1517"/>
      <c r="H66" s="1517"/>
      <c r="I66" s="1520">
        <v>60</v>
      </c>
      <c r="J66" s="1517">
        <v>0</v>
      </c>
      <c r="K66" s="1517"/>
      <c r="L66" s="1517">
        <v>0</v>
      </c>
    </row>
    <row r="67" spans="1:12" x14ac:dyDescent="0.25">
      <c r="A67" s="1469">
        <v>6</v>
      </c>
      <c r="B67" s="1516" t="s">
        <v>2488</v>
      </c>
      <c r="C67" s="1517">
        <v>60</v>
      </c>
      <c r="D67" s="1518"/>
      <c r="E67" s="1519">
        <v>60</v>
      </c>
      <c r="F67" s="1517"/>
      <c r="G67" s="1517"/>
      <c r="H67" s="1517"/>
      <c r="I67" s="1520">
        <v>60</v>
      </c>
      <c r="J67" s="1517">
        <v>0</v>
      </c>
      <c r="K67" s="1517"/>
      <c r="L67" s="1517">
        <v>0</v>
      </c>
    </row>
    <row r="68" spans="1:12" x14ac:dyDescent="0.25">
      <c r="A68" s="1469">
        <v>7</v>
      </c>
      <c r="B68" s="1326" t="s">
        <v>2491</v>
      </c>
      <c r="C68" s="1327">
        <v>2488.8029069999998</v>
      </c>
      <c r="D68" s="1463"/>
      <c r="E68" s="1465"/>
      <c r="F68" s="1327">
        <v>2488.8029069999998</v>
      </c>
      <c r="G68" s="1327"/>
      <c r="H68" s="1327"/>
      <c r="I68" s="1492">
        <v>2387.6437289999999</v>
      </c>
      <c r="J68" s="1327">
        <v>101.15917799999988</v>
      </c>
      <c r="K68" s="1327"/>
      <c r="L68" s="1327">
        <v>101.15917799999988</v>
      </c>
    </row>
    <row r="69" spans="1:12" ht="24.75" x14ac:dyDescent="0.25">
      <c r="A69" s="1469">
        <v>8</v>
      </c>
      <c r="B69" s="1326" t="s">
        <v>2492</v>
      </c>
      <c r="C69" s="1327">
        <v>500</v>
      </c>
      <c r="D69" s="1463"/>
      <c r="E69" s="1465">
        <v>500</v>
      </c>
      <c r="F69" s="1327"/>
      <c r="G69" s="1327"/>
      <c r="H69" s="1327"/>
      <c r="I69" s="1504">
        <v>500</v>
      </c>
      <c r="J69" s="1327">
        <v>0</v>
      </c>
      <c r="K69" s="1327"/>
      <c r="L69" s="1327">
        <v>0</v>
      </c>
    </row>
    <row r="70" spans="1:12" x14ac:dyDescent="0.25">
      <c r="A70" s="1469">
        <v>9</v>
      </c>
      <c r="B70" s="1516" t="s">
        <v>2493</v>
      </c>
      <c r="C70" s="1517">
        <v>60</v>
      </c>
      <c r="D70" s="1518"/>
      <c r="E70" s="1519">
        <v>60</v>
      </c>
      <c r="F70" s="1517"/>
      <c r="G70" s="1517"/>
      <c r="H70" s="1517"/>
      <c r="I70" s="1520">
        <v>60</v>
      </c>
      <c r="J70" s="1517">
        <v>0</v>
      </c>
      <c r="K70" s="1517"/>
      <c r="L70" s="1517">
        <v>0</v>
      </c>
    </row>
    <row r="71" spans="1:12" x14ac:dyDescent="0.25">
      <c r="A71" s="1469">
        <v>10</v>
      </c>
      <c r="B71" s="1326" t="s">
        <v>2494</v>
      </c>
      <c r="C71" s="1327">
        <v>25.6</v>
      </c>
      <c r="D71" s="1463"/>
      <c r="E71" s="1465"/>
      <c r="F71" s="1327">
        <v>25.6</v>
      </c>
      <c r="G71" s="1327"/>
      <c r="H71" s="1327"/>
      <c r="I71" s="1504">
        <v>25.6</v>
      </c>
      <c r="J71" s="1327">
        <v>0</v>
      </c>
      <c r="K71" s="1327"/>
      <c r="L71" s="1327">
        <v>0</v>
      </c>
    </row>
    <row r="72" spans="1:12" x14ac:dyDescent="0.25">
      <c r="A72" s="1469">
        <v>11</v>
      </c>
      <c r="B72" s="1326" t="s">
        <v>2625</v>
      </c>
      <c r="C72" s="1327">
        <v>60.347999999999999</v>
      </c>
      <c r="D72" s="1463"/>
      <c r="E72" s="1465"/>
      <c r="F72" s="1327">
        <v>60.347999999999999</v>
      </c>
      <c r="G72" s="1327"/>
      <c r="H72" s="1327"/>
      <c r="I72" s="1504">
        <v>60.347999999999999</v>
      </c>
      <c r="J72" s="1327">
        <v>0</v>
      </c>
      <c r="K72" s="1327"/>
      <c r="L72" s="1327">
        <v>0</v>
      </c>
    </row>
    <row r="73" spans="1:12" x14ac:dyDescent="0.25">
      <c r="A73" s="1469">
        <v>12</v>
      </c>
      <c r="B73" s="1326" t="s">
        <v>2626</v>
      </c>
      <c r="C73" s="1327">
        <v>30</v>
      </c>
      <c r="D73" s="1463"/>
      <c r="E73" s="1465"/>
      <c r="F73" s="1327">
        <v>30</v>
      </c>
      <c r="G73" s="1327"/>
      <c r="H73" s="1327"/>
      <c r="I73" s="1504">
        <v>30</v>
      </c>
      <c r="J73" s="1327">
        <v>0</v>
      </c>
      <c r="K73" s="1327"/>
      <c r="L73" s="1327">
        <v>0</v>
      </c>
    </row>
    <row r="74" spans="1:12" ht="24.75" x14ac:dyDescent="0.25">
      <c r="A74" s="1469">
        <v>13</v>
      </c>
      <c r="B74" s="1326" t="s">
        <v>2495</v>
      </c>
      <c r="C74" s="1327">
        <v>440.23200000000003</v>
      </c>
      <c r="D74" s="1463"/>
      <c r="E74" s="1465"/>
      <c r="F74" s="1327">
        <v>440.23200000000003</v>
      </c>
      <c r="G74" s="1327"/>
      <c r="H74" s="1327"/>
      <c r="I74" s="1504">
        <v>434.08199999999999</v>
      </c>
      <c r="J74" s="1327">
        <v>6.1500000000000341</v>
      </c>
      <c r="K74" s="1327"/>
      <c r="L74" s="1327">
        <v>6.1500000000000341</v>
      </c>
    </row>
    <row r="75" spans="1:12" x14ac:dyDescent="0.25">
      <c r="A75" s="1469">
        <v>14</v>
      </c>
      <c r="B75" s="1326" t="s">
        <v>2496</v>
      </c>
      <c r="C75" s="1327">
        <v>531.5095</v>
      </c>
      <c r="D75" s="1463"/>
      <c r="E75" s="1465"/>
      <c r="F75" s="1327">
        <v>531.5095</v>
      </c>
      <c r="G75" s="1327"/>
      <c r="H75" s="1327"/>
      <c r="I75" s="1504">
        <v>526.59249999999997</v>
      </c>
      <c r="J75" s="1327">
        <v>4.91700000000003</v>
      </c>
      <c r="K75" s="1327"/>
      <c r="L75" s="1327">
        <v>4.91700000000003</v>
      </c>
    </row>
    <row r="76" spans="1:12" x14ac:dyDescent="0.25">
      <c r="A76" s="1469">
        <v>15</v>
      </c>
      <c r="B76" s="1326" t="s">
        <v>2497</v>
      </c>
      <c r="C76" s="1327">
        <v>744.17</v>
      </c>
      <c r="D76" s="1463"/>
      <c r="E76" s="1465"/>
      <c r="F76" s="1327">
        <v>744.17</v>
      </c>
      <c r="G76" s="1327"/>
      <c r="H76" s="1327"/>
      <c r="I76" s="1504">
        <v>379.57</v>
      </c>
      <c r="J76" s="1327">
        <v>364.59999999999997</v>
      </c>
      <c r="K76" s="1327"/>
      <c r="L76" s="1327">
        <v>364.59999999999997</v>
      </c>
    </row>
    <row r="77" spans="1:12" x14ac:dyDescent="0.25">
      <c r="A77" s="1469">
        <v>16</v>
      </c>
      <c r="B77" s="1326" t="s">
        <v>2498</v>
      </c>
      <c r="C77" s="1327">
        <v>222.0924</v>
      </c>
      <c r="D77" s="1463"/>
      <c r="E77" s="1465"/>
      <c r="F77" s="1327">
        <v>222.0924</v>
      </c>
      <c r="G77" s="1327"/>
      <c r="H77" s="1327"/>
      <c r="I77" s="1504">
        <v>222.09039999999999</v>
      </c>
      <c r="J77" s="1327">
        <v>2.0000000000095497E-3</v>
      </c>
      <c r="K77" s="1327"/>
      <c r="L77" s="1327">
        <v>2.0000000000095497E-3</v>
      </c>
    </row>
    <row r="78" spans="1:12" ht="36.75" x14ac:dyDescent="0.25">
      <c r="A78" s="1469">
        <v>17</v>
      </c>
      <c r="B78" s="1326" t="s">
        <v>2499</v>
      </c>
      <c r="C78" s="1327">
        <v>300</v>
      </c>
      <c r="D78" s="1463"/>
      <c r="E78" s="1465"/>
      <c r="F78" s="1327">
        <v>300</v>
      </c>
      <c r="G78" s="1327"/>
      <c r="H78" s="1327"/>
      <c r="I78" s="1504">
        <v>300</v>
      </c>
      <c r="J78" s="1327">
        <v>0</v>
      </c>
      <c r="K78" s="1327"/>
      <c r="L78" s="1327">
        <v>0</v>
      </c>
    </row>
    <row r="79" spans="1:12" x14ac:dyDescent="0.25">
      <c r="A79" s="1469">
        <v>18</v>
      </c>
      <c r="B79" s="1326" t="s">
        <v>2600</v>
      </c>
      <c r="C79" s="1327">
        <v>367.74799999999999</v>
      </c>
      <c r="D79" s="1463"/>
      <c r="E79" s="1465"/>
      <c r="F79" s="1327">
        <v>367.74799999999999</v>
      </c>
      <c r="G79" s="1327"/>
      <c r="H79" s="1327"/>
      <c r="I79" s="1504">
        <v>367.74799999999999</v>
      </c>
      <c r="J79" s="1327"/>
      <c r="K79" s="1327"/>
      <c r="L79" s="1327"/>
    </row>
    <row r="80" spans="1:12" x14ac:dyDescent="0.25">
      <c r="A80" s="1469">
        <v>19</v>
      </c>
      <c r="B80" s="1326" t="s">
        <v>2601</v>
      </c>
      <c r="C80" s="1327">
        <v>369.79199999999997</v>
      </c>
      <c r="D80" s="1463"/>
      <c r="E80" s="1465"/>
      <c r="F80" s="1327">
        <v>369.79199999999997</v>
      </c>
      <c r="G80" s="1327"/>
      <c r="H80" s="1327"/>
      <c r="I80" s="1504">
        <v>369.79199999999997</v>
      </c>
      <c r="J80" s="1327"/>
      <c r="K80" s="1327"/>
      <c r="L80" s="1327"/>
    </row>
    <row r="81" spans="1:12" x14ac:dyDescent="0.25">
      <c r="A81" s="1469">
        <v>20</v>
      </c>
      <c r="B81" s="1326" t="s">
        <v>2602</v>
      </c>
      <c r="C81" s="1327">
        <v>419.6225</v>
      </c>
      <c r="D81" s="1463"/>
      <c r="E81" s="1465"/>
      <c r="F81" s="1327">
        <v>419.6225</v>
      </c>
      <c r="G81" s="1327"/>
      <c r="H81" s="1327"/>
      <c r="I81" s="1504">
        <v>371.65839999999997</v>
      </c>
      <c r="J81" s="1327"/>
      <c r="K81" s="1327"/>
      <c r="L81" s="1327"/>
    </row>
    <row r="82" spans="1:12" s="562" customFormat="1" ht="14.25" x14ac:dyDescent="0.2">
      <c r="A82" s="1526" t="s">
        <v>872</v>
      </c>
      <c r="B82" s="1527" t="s">
        <v>2627</v>
      </c>
      <c r="C82" s="1528">
        <f>C83</f>
        <v>160.81</v>
      </c>
      <c r="D82" s="1528">
        <f t="shared" ref="D82:I82" si="8">D83</f>
        <v>0</v>
      </c>
      <c r="E82" s="1528">
        <f t="shared" si="8"/>
        <v>0</v>
      </c>
      <c r="F82" s="1528">
        <f t="shared" si="8"/>
        <v>160.81</v>
      </c>
      <c r="G82" s="1528">
        <f t="shared" si="8"/>
        <v>0</v>
      </c>
      <c r="H82" s="1528">
        <f t="shared" si="8"/>
        <v>0</v>
      </c>
      <c r="I82" s="1528">
        <f t="shared" si="8"/>
        <v>160.81</v>
      </c>
      <c r="J82" s="1528"/>
      <c r="K82" s="1528"/>
      <c r="L82" s="1528"/>
    </row>
    <row r="83" spans="1:12" x14ac:dyDescent="0.25">
      <c r="A83" s="1469">
        <v>1</v>
      </c>
      <c r="B83" s="1326" t="s">
        <v>2628</v>
      </c>
      <c r="C83" s="1327">
        <f>F83</f>
        <v>160.81</v>
      </c>
      <c r="D83" s="1463"/>
      <c r="E83" s="1465"/>
      <c r="F83" s="1327">
        <v>160.81</v>
      </c>
      <c r="G83" s="1327"/>
      <c r="H83" s="1327"/>
      <c r="I83" s="1504">
        <v>160.81</v>
      </c>
      <c r="J83" s="1327"/>
      <c r="K83" s="1327"/>
      <c r="L83" s="1327"/>
    </row>
    <row r="201" spans="2:12" s="546" customFormat="1" ht="15.75" x14ac:dyDescent="0.25">
      <c r="D201" s="1459"/>
      <c r="E201" s="1472"/>
      <c r="H201" s="4338" t="s">
        <v>2132</v>
      </c>
      <c r="I201" s="4338"/>
      <c r="J201" s="4338"/>
      <c r="K201" s="4338"/>
      <c r="L201" s="4338"/>
    </row>
    <row r="202" spans="2:12" s="546" customFormat="1" ht="15.75" x14ac:dyDescent="0.25">
      <c r="B202" s="4129" t="s">
        <v>2173</v>
      </c>
      <c r="C202" s="4129"/>
      <c r="D202" s="4129"/>
      <c r="E202" s="1478"/>
      <c r="H202" s="4337" t="s">
        <v>638</v>
      </c>
      <c r="I202" s="4337"/>
      <c r="J202" s="4337"/>
      <c r="K202" s="4337"/>
      <c r="L202" s="4337"/>
    </row>
    <row r="203" spans="2:12" s="546" customFormat="1" ht="15.75" x14ac:dyDescent="0.25">
      <c r="B203" s="4129" t="s">
        <v>807</v>
      </c>
      <c r="C203" s="4129"/>
      <c r="D203" s="4129"/>
      <c r="E203" s="1478"/>
      <c r="H203" s="4337" t="s">
        <v>639</v>
      </c>
      <c r="I203" s="4337"/>
      <c r="J203" s="4337"/>
      <c r="K203" s="4337"/>
      <c r="L203" s="4337"/>
    </row>
    <row r="204" spans="2:12" s="546" customFormat="1" ht="15.75" x14ac:dyDescent="0.25">
      <c r="B204" s="1479"/>
      <c r="C204" s="915"/>
      <c r="D204" s="1480"/>
      <c r="E204" s="1478"/>
      <c r="H204" s="1481"/>
      <c r="I204" s="4353"/>
      <c r="J204" s="4353"/>
      <c r="K204" s="4353"/>
      <c r="L204" s="4353"/>
    </row>
    <row r="205" spans="2:12" s="546" customFormat="1" ht="15.75" x14ac:dyDescent="0.25">
      <c r="B205" s="1479"/>
      <c r="C205" s="915"/>
      <c r="D205" s="1480"/>
      <c r="E205" s="1478"/>
      <c r="H205" s="1481"/>
      <c r="I205" s="1510"/>
      <c r="J205" s="1481"/>
      <c r="K205" s="1481"/>
      <c r="L205" s="1482"/>
    </row>
    <row r="206" spans="2:12" s="546" customFormat="1" ht="15.75" x14ac:dyDescent="0.25">
      <c r="B206" s="1479"/>
      <c r="C206" s="915"/>
      <c r="D206" s="1480"/>
      <c r="E206" s="1478"/>
      <c r="H206" s="1481"/>
      <c r="I206" s="1510"/>
      <c r="J206" s="1481"/>
      <c r="K206" s="1481"/>
      <c r="L206" s="1482"/>
    </row>
    <row r="207" spans="2:12" s="546" customFormat="1" ht="15.75" x14ac:dyDescent="0.25">
      <c r="B207" s="1479"/>
      <c r="C207" s="915"/>
      <c r="D207" s="1480"/>
      <c r="E207" s="1478"/>
      <c r="H207" s="1481"/>
      <c r="I207" s="1510"/>
      <c r="J207" s="1481"/>
      <c r="K207" s="1481"/>
      <c r="L207" s="1482"/>
    </row>
    <row r="208" spans="2:12" s="546" customFormat="1" ht="15.75" x14ac:dyDescent="0.25">
      <c r="B208" s="1479"/>
      <c r="C208" s="915"/>
      <c r="D208" s="4352"/>
      <c r="E208" s="4352"/>
      <c r="H208" s="1481"/>
      <c r="I208" s="1510"/>
      <c r="J208" s="1481"/>
      <c r="K208" s="1481"/>
      <c r="L208" s="1482"/>
    </row>
    <row r="209" spans="2:12" s="546" customFormat="1" ht="15.75" x14ac:dyDescent="0.25">
      <c r="B209" s="4129" t="s">
        <v>808</v>
      </c>
      <c r="C209" s="4129"/>
      <c r="D209" s="4129"/>
      <c r="E209" s="1478"/>
      <c r="H209" s="4129" t="s">
        <v>1731</v>
      </c>
      <c r="I209" s="4129"/>
      <c r="J209" s="4129"/>
      <c r="K209" s="4129"/>
      <c r="L209" s="4129"/>
    </row>
  </sheetData>
  <mergeCells count="19">
    <mergeCell ref="A1:B1"/>
    <mergeCell ref="A2:L2"/>
    <mergeCell ref="A3:L3"/>
    <mergeCell ref="A5:A6"/>
    <mergeCell ref="B5:B6"/>
    <mergeCell ref="C5:C6"/>
    <mergeCell ref="D5:H5"/>
    <mergeCell ref="I5:I6"/>
    <mergeCell ref="J5:J6"/>
    <mergeCell ref="K5:L5"/>
    <mergeCell ref="D208:E208"/>
    <mergeCell ref="B209:D209"/>
    <mergeCell ref="H209:L209"/>
    <mergeCell ref="H201:L201"/>
    <mergeCell ref="B202:D202"/>
    <mergeCell ref="H202:L202"/>
    <mergeCell ref="B203:D203"/>
    <mergeCell ref="H203:L203"/>
    <mergeCell ref="I204:L204"/>
  </mergeCells>
  <pageMargins left="0.51181102362204722" right="0.23622047244094491" top="0.55118110236220474" bottom="0.55118110236220474" header="0.31496062992125984" footer="0.31496062992125984"/>
  <pageSetup paperSize="9" scale="90" firstPageNumber="166" orientation="landscape" useFirstPageNumber="1" r:id="rId1"/>
  <headerFooter>
    <oddHeader>&amp;RBiểu số 5.10</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U48"/>
  <sheetViews>
    <sheetView view="pageBreakPreview" zoomScaleSheetLayoutView="100" workbookViewId="0">
      <pane xSplit="2" ySplit="8" topLeftCell="C30" activePane="bottomRight" state="frozen"/>
      <selection pane="topRight" activeCell="C1" sqref="C1"/>
      <selection pane="bottomLeft" activeCell="A9" sqref="A9"/>
      <selection pane="bottomRight" activeCell="N35" sqref="N35"/>
    </sheetView>
  </sheetViews>
  <sheetFormatPr defaultColWidth="9.140625" defaultRowHeight="15" x14ac:dyDescent="0.25"/>
  <cols>
    <col min="1" max="1" width="4.5703125" style="191" customWidth="1"/>
    <col min="2" max="2" width="20.85546875" style="191" customWidth="1"/>
    <col min="3" max="3" width="13.28515625" style="187" customWidth="1"/>
    <col min="4" max="4" width="15" style="187" customWidth="1"/>
    <col min="5" max="5" width="15.140625" style="188" customWidth="1"/>
    <col min="6" max="6" width="12.28515625" style="188" customWidth="1"/>
    <col min="7" max="7" width="12" style="188" customWidth="1"/>
    <col min="8" max="8" width="11.140625" style="188" customWidth="1"/>
    <col min="9" max="9" width="11.7109375" style="188" customWidth="1"/>
    <col min="10" max="10" width="10.7109375" style="188" customWidth="1"/>
    <col min="11" max="11" width="11" style="188" customWidth="1"/>
    <col min="12" max="12" width="11.85546875" style="188" customWidth="1"/>
    <col min="13" max="13" width="11.7109375" style="188" customWidth="1"/>
    <col min="14" max="14" width="12.140625" style="188" customWidth="1"/>
    <col min="15" max="15" width="12.28515625" style="189" customWidth="1"/>
    <col min="16" max="16" width="11.7109375" style="190" customWidth="1"/>
    <col min="17" max="17" width="12.140625" style="188" customWidth="1"/>
    <col min="18" max="18" width="8.85546875" style="188" customWidth="1"/>
    <col min="19" max="19" width="8.42578125" style="188" customWidth="1"/>
    <col min="20" max="20" width="15.5703125" style="191" bestFit="1" customWidth="1"/>
    <col min="21" max="16384" width="9.140625" style="191"/>
  </cols>
  <sheetData>
    <row r="1" spans="1:19" ht="24" customHeight="1" x14ac:dyDescent="0.25">
      <c r="A1" s="185" t="s">
        <v>842</v>
      </c>
      <c r="B1" s="186"/>
      <c r="Q1" s="4361" t="s">
        <v>1257</v>
      </c>
      <c r="R1" s="4361"/>
    </row>
    <row r="2" spans="1:19" ht="11.25" hidden="1" customHeight="1" x14ac:dyDescent="0.25">
      <c r="A2" s="4359"/>
      <c r="B2" s="4359"/>
      <c r="C2" s="4359"/>
      <c r="D2" s="4359"/>
      <c r="E2" s="4359"/>
      <c r="F2" s="4359"/>
      <c r="G2" s="4359"/>
      <c r="H2" s="4359"/>
      <c r="I2" s="4359"/>
      <c r="J2" s="4359"/>
      <c r="K2" s="4359"/>
      <c r="L2" s="4359"/>
      <c r="M2" s="4359"/>
      <c r="N2" s="4359"/>
      <c r="O2" s="4359"/>
      <c r="P2" s="4359"/>
      <c r="Q2" s="4359"/>
      <c r="R2" s="4359"/>
      <c r="S2" s="4359"/>
    </row>
    <row r="3" spans="1:19" ht="19.5" customHeight="1" x14ac:dyDescent="0.25">
      <c r="A3" s="4359" t="s">
        <v>2266</v>
      </c>
      <c r="B3" s="4359"/>
      <c r="C3" s="4359"/>
      <c r="D3" s="4359"/>
      <c r="E3" s="4359"/>
      <c r="F3" s="4359"/>
      <c r="G3" s="4359"/>
      <c r="H3" s="4359"/>
      <c r="I3" s="4359"/>
      <c r="J3" s="4359"/>
      <c r="K3" s="4359"/>
      <c r="L3" s="4359"/>
      <c r="M3" s="4359"/>
      <c r="N3" s="4359"/>
      <c r="O3" s="4359"/>
      <c r="P3" s="4359"/>
      <c r="Q3" s="4359"/>
      <c r="R3" s="4359"/>
      <c r="S3" s="4359"/>
    </row>
    <row r="4" spans="1:19" s="197" customFormat="1" ht="18.600000000000001" customHeight="1" x14ac:dyDescent="0.25">
      <c r="A4" s="4360" t="str">
        <f>'B55'!A4:O4</f>
        <v>(Kèm theo Quyết định số         /QĐ-UBND ngày      tháng 4 năm 2026 của UBND xã Phong Quang)</v>
      </c>
      <c r="B4" s="4360"/>
      <c r="C4" s="4360"/>
      <c r="D4" s="4360"/>
      <c r="E4" s="4360"/>
      <c r="F4" s="4360"/>
      <c r="G4" s="4360"/>
      <c r="H4" s="4360"/>
      <c r="I4" s="4360"/>
      <c r="J4" s="4360"/>
      <c r="K4" s="4360"/>
      <c r="L4" s="4360"/>
      <c r="M4" s="4360"/>
      <c r="N4" s="4360"/>
      <c r="O4" s="4360"/>
      <c r="P4" s="4360"/>
      <c r="Q4" s="4360"/>
      <c r="R4" s="4360"/>
      <c r="S4" s="4360"/>
    </row>
    <row r="5" spans="1:19" ht="15.75" x14ac:dyDescent="0.25">
      <c r="R5" s="192" t="s">
        <v>192</v>
      </c>
    </row>
    <row r="6" spans="1:19" s="723" customFormat="1" ht="18" customHeight="1" x14ac:dyDescent="0.25">
      <c r="A6" s="4355" t="s">
        <v>844</v>
      </c>
      <c r="B6" s="4355" t="s">
        <v>1778</v>
      </c>
      <c r="C6" s="4355" t="s">
        <v>846</v>
      </c>
      <c r="D6" s="4371" t="s">
        <v>13</v>
      </c>
      <c r="E6" s="4355" t="s">
        <v>892</v>
      </c>
      <c r="F6" s="4355" t="s">
        <v>947</v>
      </c>
      <c r="G6" s="4355" t="s">
        <v>1779</v>
      </c>
      <c r="H6" s="4355" t="s">
        <v>949</v>
      </c>
      <c r="I6" s="4355" t="s">
        <v>545</v>
      </c>
      <c r="J6" s="4355" t="s">
        <v>1477</v>
      </c>
      <c r="K6" s="4355" t="s">
        <v>950</v>
      </c>
      <c r="L6" s="4355" t="s">
        <v>1478</v>
      </c>
      <c r="M6" s="4369" t="s">
        <v>907</v>
      </c>
      <c r="N6" s="4370"/>
      <c r="O6" s="4355" t="s">
        <v>1780</v>
      </c>
      <c r="P6" s="4355" t="s">
        <v>105</v>
      </c>
      <c r="Q6" s="4355" t="s">
        <v>1781</v>
      </c>
      <c r="R6" s="4357" t="s">
        <v>14</v>
      </c>
    </row>
    <row r="7" spans="1:19" s="723" customFormat="1" ht="56.25" customHeight="1" x14ac:dyDescent="0.25">
      <c r="A7" s="4356"/>
      <c r="B7" s="4356"/>
      <c r="C7" s="4356"/>
      <c r="D7" s="4356"/>
      <c r="E7" s="4356"/>
      <c r="F7" s="4356"/>
      <c r="G7" s="4356"/>
      <c r="H7" s="4356"/>
      <c r="I7" s="4356"/>
      <c r="J7" s="4356"/>
      <c r="K7" s="4356"/>
      <c r="L7" s="4356"/>
      <c r="M7" s="721" t="s">
        <v>550</v>
      </c>
      <c r="N7" s="721" t="s">
        <v>551</v>
      </c>
      <c r="O7" s="4356"/>
      <c r="P7" s="4356"/>
      <c r="Q7" s="4356"/>
      <c r="R7" s="4358"/>
    </row>
    <row r="8" spans="1:19" s="723" customFormat="1" ht="13.9" customHeight="1" x14ac:dyDescent="0.25">
      <c r="A8" s="722" t="s">
        <v>847</v>
      </c>
      <c r="B8" s="722" t="s">
        <v>904</v>
      </c>
      <c r="C8" s="724" t="s">
        <v>1773</v>
      </c>
      <c r="D8" s="724"/>
      <c r="E8" s="724" t="s">
        <v>1776</v>
      </c>
      <c r="F8" s="724" t="s">
        <v>1782</v>
      </c>
      <c r="G8" s="724" t="s">
        <v>1783</v>
      </c>
      <c r="H8" s="724" t="s">
        <v>1784</v>
      </c>
      <c r="I8" s="724" t="s">
        <v>1785</v>
      </c>
      <c r="J8" s="724" t="s">
        <v>1521</v>
      </c>
      <c r="K8" s="724" t="s">
        <v>1522</v>
      </c>
      <c r="L8" s="724" t="s">
        <v>738</v>
      </c>
      <c r="M8" s="724" t="s">
        <v>1523</v>
      </c>
      <c r="N8" s="724" t="s">
        <v>1786</v>
      </c>
      <c r="O8" s="724" t="s">
        <v>1787</v>
      </c>
      <c r="P8" s="724" t="s">
        <v>1788</v>
      </c>
      <c r="Q8" s="724" t="s">
        <v>1789</v>
      </c>
      <c r="R8" s="725" t="s">
        <v>1790</v>
      </c>
    </row>
    <row r="9" spans="1:19" s="918" customFormat="1" ht="13.9" customHeight="1" x14ac:dyDescent="0.25">
      <c r="A9" s="4362" t="s">
        <v>1580</v>
      </c>
      <c r="B9" s="4362"/>
      <c r="C9" s="1080">
        <f t="shared" ref="C9:Q9" si="0">SUM(C10:C39)</f>
        <v>254967402381</v>
      </c>
      <c r="D9" s="1080">
        <f t="shared" si="0"/>
        <v>237059963547</v>
      </c>
      <c r="E9" s="1080">
        <f t="shared" si="0"/>
        <v>158544230067</v>
      </c>
      <c r="F9" s="1080">
        <f t="shared" si="0"/>
        <v>2622675033</v>
      </c>
      <c r="G9" s="1080">
        <f t="shared" si="0"/>
        <v>1385015765</v>
      </c>
      <c r="H9" s="1080">
        <f t="shared" si="0"/>
        <v>1968141664</v>
      </c>
      <c r="I9" s="1080">
        <f t="shared" si="0"/>
        <v>1068214357</v>
      </c>
      <c r="J9" s="1080">
        <f t="shared" si="0"/>
        <v>513872200</v>
      </c>
      <c r="K9" s="1080">
        <f t="shared" si="0"/>
        <v>541310748</v>
      </c>
      <c r="L9" s="1080">
        <f t="shared" si="0"/>
        <v>22180780013</v>
      </c>
      <c r="M9" s="1080">
        <f t="shared" si="0"/>
        <v>2054358810</v>
      </c>
      <c r="N9" s="1080">
        <f t="shared" si="0"/>
        <v>13725540154</v>
      </c>
      <c r="O9" s="1080">
        <f t="shared" si="0"/>
        <v>32088780978</v>
      </c>
      <c r="P9" s="1080">
        <f t="shared" si="0"/>
        <v>14689693633</v>
      </c>
      <c r="Q9" s="1080">
        <f t="shared" si="0"/>
        <v>1457249089</v>
      </c>
      <c r="R9" s="1080">
        <f>D9/C9*100</f>
        <v>92.976577136225131</v>
      </c>
    </row>
    <row r="10" spans="1:19" s="723" customFormat="1" ht="33" customHeight="1" x14ac:dyDescent="0.25">
      <c r="A10" s="1081">
        <v>1</v>
      </c>
      <c r="B10" s="1079" t="s">
        <v>1791</v>
      </c>
      <c r="C10" s="1082">
        <v>6567653779</v>
      </c>
      <c r="D10" s="1082">
        <f t="shared" ref="D10:D15" si="1">SUM(E10:L10)+O10+P10+Q10</f>
        <v>6163219419</v>
      </c>
      <c r="E10" s="1082">
        <v>0</v>
      </c>
      <c r="F10" s="1082"/>
      <c r="G10" s="1082"/>
      <c r="H10" s="1082"/>
      <c r="I10" s="1082"/>
      <c r="J10" s="1082"/>
      <c r="K10" s="1082"/>
      <c r="L10" s="1082">
        <v>0</v>
      </c>
      <c r="M10" s="1082">
        <v>0</v>
      </c>
      <c r="N10" s="1082">
        <v>0</v>
      </c>
      <c r="O10" s="1082">
        <v>6163219419</v>
      </c>
      <c r="P10" s="1082"/>
      <c r="Q10" s="1082"/>
      <c r="R10" s="1083">
        <f t="shared" ref="R10:R39" si="2">D10/C10*100</f>
        <v>93.842026793599047</v>
      </c>
    </row>
    <row r="11" spans="1:19" s="723" customFormat="1" ht="32.25" customHeight="1" x14ac:dyDescent="0.25">
      <c r="A11" s="1081">
        <v>2</v>
      </c>
      <c r="B11" s="1079" t="s">
        <v>1792</v>
      </c>
      <c r="C11" s="1082">
        <v>2206252000</v>
      </c>
      <c r="D11" s="1082">
        <f t="shared" si="1"/>
        <v>1966444007</v>
      </c>
      <c r="E11" s="1082">
        <v>0</v>
      </c>
      <c r="F11" s="1082"/>
      <c r="G11" s="1082"/>
      <c r="H11" s="1082"/>
      <c r="I11" s="1082"/>
      <c r="J11" s="1082"/>
      <c r="K11" s="1082"/>
      <c r="L11" s="1082">
        <v>875132220</v>
      </c>
      <c r="M11" s="1082">
        <v>0</v>
      </c>
      <c r="N11" s="1082">
        <v>815132220</v>
      </c>
      <c r="O11" s="1082">
        <v>1091311787</v>
      </c>
      <c r="P11" s="1082"/>
      <c r="Q11" s="1082"/>
      <c r="R11" s="1083">
        <f t="shared" si="2"/>
        <v>89.130525751364758</v>
      </c>
    </row>
    <row r="12" spans="1:19" s="723" customFormat="1" ht="13.9" customHeight="1" x14ac:dyDescent="0.25">
      <c r="A12" s="1081">
        <v>3</v>
      </c>
      <c r="B12" s="1079" t="s">
        <v>1793</v>
      </c>
      <c r="C12" s="1082">
        <v>491445000</v>
      </c>
      <c r="D12" s="1082">
        <f t="shared" si="1"/>
        <v>477978549</v>
      </c>
      <c r="E12" s="1082">
        <v>0</v>
      </c>
      <c r="F12" s="1082"/>
      <c r="G12" s="1082"/>
      <c r="H12" s="1082"/>
      <c r="I12" s="1082"/>
      <c r="J12" s="1082"/>
      <c r="K12" s="1082"/>
      <c r="L12" s="1082">
        <v>0</v>
      </c>
      <c r="M12" s="1082">
        <v>0</v>
      </c>
      <c r="N12" s="1082">
        <v>0</v>
      </c>
      <c r="O12" s="1082">
        <v>477978549</v>
      </c>
      <c r="P12" s="1082"/>
      <c r="Q12" s="1082"/>
      <c r="R12" s="1083">
        <f t="shared" si="2"/>
        <v>97.259825412813242</v>
      </c>
    </row>
    <row r="13" spans="1:19" s="723" customFormat="1" ht="24" customHeight="1" x14ac:dyDescent="0.25">
      <c r="A13" s="1081">
        <v>4</v>
      </c>
      <c r="B13" s="1079" t="s">
        <v>986</v>
      </c>
      <c r="C13" s="1082">
        <v>1080377000</v>
      </c>
      <c r="D13" s="1082">
        <f t="shared" si="1"/>
        <v>1064451046</v>
      </c>
      <c r="E13" s="1082">
        <v>0</v>
      </c>
      <c r="F13" s="1082"/>
      <c r="G13" s="1082"/>
      <c r="H13" s="1082"/>
      <c r="I13" s="1082"/>
      <c r="J13" s="1082"/>
      <c r="K13" s="1082"/>
      <c r="L13" s="1082">
        <v>0</v>
      </c>
      <c r="M13" s="1082">
        <v>0</v>
      </c>
      <c r="N13" s="1082">
        <v>0</v>
      </c>
      <c r="O13" s="1082">
        <v>1064451046</v>
      </c>
      <c r="P13" s="1082"/>
      <c r="Q13" s="1082"/>
      <c r="R13" s="1083">
        <f t="shared" si="2"/>
        <v>98.525889203491005</v>
      </c>
    </row>
    <row r="14" spans="1:19" s="723" customFormat="1" ht="24" customHeight="1" x14ac:dyDescent="0.25">
      <c r="A14" s="1081">
        <v>5</v>
      </c>
      <c r="B14" s="1079" t="s">
        <v>1794</v>
      </c>
      <c r="C14" s="1082">
        <v>3716455320</v>
      </c>
      <c r="D14" s="1082">
        <f t="shared" si="1"/>
        <v>3508559980</v>
      </c>
      <c r="E14" s="1082">
        <v>0</v>
      </c>
      <c r="F14" s="1082"/>
      <c r="G14" s="1082"/>
      <c r="H14" s="1082"/>
      <c r="I14" s="1082"/>
      <c r="J14" s="1082"/>
      <c r="K14" s="1082"/>
      <c r="L14" s="1082">
        <v>2802033245</v>
      </c>
      <c r="M14" s="1082">
        <v>1999704515</v>
      </c>
      <c r="N14" s="1082">
        <v>0</v>
      </c>
      <c r="O14" s="1082">
        <v>706526735</v>
      </c>
      <c r="P14" s="1082"/>
      <c r="Q14" s="1082"/>
      <c r="R14" s="1083">
        <f t="shared" si="2"/>
        <v>94.406085312496103</v>
      </c>
    </row>
    <row r="15" spans="1:19" s="723" customFormat="1" ht="24" customHeight="1" x14ac:dyDescent="0.25">
      <c r="A15" s="1081">
        <v>6</v>
      </c>
      <c r="B15" s="1079" t="s">
        <v>1795</v>
      </c>
      <c r="C15" s="1082">
        <v>162648072257</v>
      </c>
      <c r="D15" s="1082">
        <f t="shared" si="1"/>
        <v>152876570183</v>
      </c>
      <c r="E15" s="1082">
        <v>151570260262</v>
      </c>
      <c r="F15" s="1082"/>
      <c r="G15" s="1082"/>
      <c r="H15" s="1082"/>
      <c r="I15" s="1082"/>
      <c r="J15" s="1082"/>
      <c r="K15" s="1082"/>
      <c r="L15" s="1082">
        <v>0</v>
      </c>
      <c r="M15" s="1082">
        <v>0</v>
      </c>
      <c r="N15" s="1082">
        <v>0</v>
      </c>
      <c r="O15" s="1082">
        <v>1306309921</v>
      </c>
      <c r="P15" s="1082"/>
      <c r="Q15" s="1082"/>
      <c r="R15" s="1083">
        <f t="shared" si="2"/>
        <v>93.992242306714786</v>
      </c>
    </row>
    <row r="16" spans="1:19" s="723" customFormat="1" ht="30" customHeight="1" x14ac:dyDescent="0.25">
      <c r="A16" s="1081">
        <v>7</v>
      </c>
      <c r="B16" s="1079" t="s">
        <v>1796</v>
      </c>
      <c r="C16" s="1082">
        <v>17795557826</v>
      </c>
      <c r="D16" s="1082">
        <f>SUM(E16:L16)+O16+P16+Q16</f>
        <v>16630024092</v>
      </c>
      <c r="E16" s="1082">
        <v>677550000</v>
      </c>
      <c r="F16" s="1082"/>
      <c r="G16" s="1082"/>
      <c r="H16" s="1082"/>
      <c r="I16" s="1082"/>
      <c r="J16" s="1082"/>
      <c r="K16" s="1082"/>
      <c r="L16" s="1082">
        <v>0</v>
      </c>
      <c r="M16" s="1082">
        <v>0</v>
      </c>
      <c r="N16" s="1082">
        <v>0</v>
      </c>
      <c r="O16" s="1082">
        <v>1262780459</v>
      </c>
      <c r="P16" s="1084">
        <v>14689693633</v>
      </c>
      <c r="Q16" s="1082"/>
      <c r="R16" s="1083">
        <f t="shared" si="2"/>
        <v>93.450423159553281</v>
      </c>
    </row>
    <row r="17" spans="1:18" s="723" customFormat="1" ht="30" customHeight="1" x14ac:dyDescent="0.25">
      <c r="A17" s="1081">
        <v>8</v>
      </c>
      <c r="B17" s="1079" t="s">
        <v>1797</v>
      </c>
      <c r="C17" s="1082">
        <v>2060891300</v>
      </c>
      <c r="D17" s="1082">
        <f t="shared" ref="D17:D37" si="3">SUM(E17:L17)+O17+P17+Q17</f>
        <v>1993190903</v>
      </c>
      <c r="E17" s="1082">
        <v>0</v>
      </c>
      <c r="F17" s="1082"/>
      <c r="G17" s="1082"/>
      <c r="H17" s="1082"/>
      <c r="I17" s="1082"/>
      <c r="J17" s="1082"/>
      <c r="K17" s="1082"/>
      <c r="L17" s="1082">
        <v>174365603</v>
      </c>
      <c r="M17" s="1082">
        <v>0</v>
      </c>
      <c r="N17" s="1082">
        <v>0</v>
      </c>
      <c r="O17" s="1082">
        <v>1818825300</v>
      </c>
      <c r="P17" s="1082"/>
      <c r="Q17" s="1082"/>
      <c r="R17" s="1083">
        <f t="shared" si="2"/>
        <v>96.714994284269139</v>
      </c>
    </row>
    <row r="18" spans="1:18" s="723" customFormat="1" ht="30" customHeight="1" x14ac:dyDescent="0.25">
      <c r="A18" s="1081">
        <v>9</v>
      </c>
      <c r="B18" s="1079" t="s">
        <v>1798</v>
      </c>
      <c r="C18" s="1082">
        <v>2870207000</v>
      </c>
      <c r="D18" s="1082">
        <f t="shared" si="3"/>
        <v>2637058338</v>
      </c>
      <c r="E18" s="1082">
        <v>0</v>
      </c>
      <c r="F18" s="1082"/>
      <c r="G18" s="1082"/>
      <c r="H18" s="1082"/>
      <c r="I18" s="1082"/>
      <c r="J18" s="1082"/>
      <c r="K18" s="1082"/>
      <c r="L18" s="1082">
        <v>1966612297</v>
      </c>
      <c r="M18" s="1082">
        <v>0</v>
      </c>
      <c r="N18" s="1082">
        <v>0</v>
      </c>
      <c r="O18" s="1082">
        <v>670446041</v>
      </c>
      <c r="P18" s="1082"/>
      <c r="Q18" s="1082"/>
      <c r="R18" s="1083">
        <f t="shared" si="2"/>
        <v>91.876939119722024</v>
      </c>
    </row>
    <row r="19" spans="1:18" s="723" customFormat="1" ht="25.5" customHeight="1" x14ac:dyDescent="0.25">
      <c r="A19" s="1081">
        <v>10</v>
      </c>
      <c r="B19" s="1079" t="s">
        <v>987</v>
      </c>
      <c r="C19" s="1082">
        <v>1441220000</v>
      </c>
      <c r="D19" s="1082">
        <f t="shared" si="3"/>
        <v>1382614754</v>
      </c>
      <c r="E19" s="1082">
        <v>0</v>
      </c>
      <c r="F19" s="1082"/>
      <c r="G19" s="1082"/>
      <c r="H19" s="1082"/>
      <c r="I19" s="1082"/>
      <c r="J19" s="1082"/>
      <c r="K19" s="1082"/>
      <c r="L19" s="1082">
        <v>0</v>
      </c>
      <c r="M19" s="1082">
        <v>0</v>
      </c>
      <c r="N19" s="1082">
        <v>0</v>
      </c>
      <c r="O19" s="1082">
        <v>1382614754</v>
      </c>
      <c r="P19" s="1082"/>
      <c r="Q19" s="1082"/>
      <c r="R19" s="1083">
        <f t="shared" si="2"/>
        <v>95.933636363636367</v>
      </c>
    </row>
    <row r="20" spans="1:18" s="723" customFormat="1" ht="25.5" customHeight="1" x14ac:dyDescent="0.25">
      <c r="A20" s="1081">
        <v>11</v>
      </c>
      <c r="B20" s="1079" t="s">
        <v>985</v>
      </c>
      <c r="C20" s="1082">
        <v>773337000</v>
      </c>
      <c r="D20" s="1082">
        <f t="shared" si="3"/>
        <v>732647147</v>
      </c>
      <c r="E20" s="1082">
        <v>0</v>
      </c>
      <c r="F20" s="1082"/>
      <c r="G20" s="1082"/>
      <c r="H20" s="1082"/>
      <c r="I20" s="1082"/>
      <c r="J20" s="1082"/>
      <c r="K20" s="1082"/>
      <c r="L20" s="1082">
        <v>0</v>
      </c>
      <c r="M20" s="1082">
        <v>0</v>
      </c>
      <c r="N20" s="1082">
        <v>0</v>
      </c>
      <c r="O20" s="1082">
        <v>732647147</v>
      </c>
      <c r="P20" s="1082"/>
      <c r="Q20" s="1082"/>
      <c r="R20" s="1083">
        <f t="shared" si="2"/>
        <v>94.738406024799019</v>
      </c>
    </row>
    <row r="21" spans="1:18" s="723" customFormat="1" ht="25.5" customHeight="1" x14ac:dyDescent="0.25">
      <c r="A21" s="1081">
        <v>12</v>
      </c>
      <c r="B21" s="1079" t="s">
        <v>988</v>
      </c>
      <c r="C21" s="1082">
        <f>D21</f>
        <v>8583395946</v>
      </c>
      <c r="D21" s="1082">
        <f t="shared" si="3"/>
        <v>8583395946</v>
      </c>
      <c r="E21" s="1082">
        <v>0</v>
      </c>
      <c r="F21" s="1082"/>
      <c r="G21" s="1082"/>
      <c r="H21" s="1082"/>
      <c r="I21" s="1082"/>
      <c r="J21" s="1082"/>
      <c r="K21" s="1082"/>
      <c r="L21" s="1082">
        <v>0</v>
      </c>
      <c r="M21" s="1082">
        <v>0</v>
      </c>
      <c r="N21" s="1082">
        <v>0</v>
      </c>
      <c r="O21" s="1082">
        <v>8583395946</v>
      </c>
      <c r="P21" s="1082"/>
      <c r="Q21" s="1082"/>
      <c r="R21" s="1083">
        <f t="shared" si="2"/>
        <v>100</v>
      </c>
    </row>
    <row r="22" spans="1:18" s="723" customFormat="1" ht="25.5" customHeight="1" x14ac:dyDescent="0.25">
      <c r="A22" s="1081">
        <v>13</v>
      </c>
      <c r="B22" s="1079" t="s">
        <v>1799</v>
      </c>
      <c r="C22" s="1082">
        <v>890295505</v>
      </c>
      <c r="D22" s="1082">
        <f t="shared" si="3"/>
        <v>834992780</v>
      </c>
      <c r="E22" s="1082">
        <v>0</v>
      </c>
      <c r="F22" s="1082"/>
      <c r="G22" s="1082"/>
      <c r="H22" s="1082"/>
      <c r="I22" s="1082"/>
      <c r="J22" s="1082"/>
      <c r="K22" s="1082"/>
      <c r="L22" s="1082">
        <v>0</v>
      </c>
      <c r="M22" s="1082">
        <v>0</v>
      </c>
      <c r="N22" s="1082">
        <v>0</v>
      </c>
      <c r="O22" s="1082">
        <v>834992780</v>
      </c>
      <c r="P22" s="1082"/>
      <c r="Q22" s="1082"/>
      <c r="R22" s="1083">
        <f t="shared" si="2"/>
        <v>93.788273141960886</v>
      </c>
    </row>
    <row r="23" spans="1:18" s="723" customFormat="1" ht="25.5" customHeight="1" x14ac:dyDescent="0.25">
      <c r="A23" s="1081">
        <v>14</v>
      </c>
      <c r="B23" s="1079" t="s">
        <v>1800</v>
      </c>
      <c r="C23" s="1082">
        <v>931645959</v>
      </c>
      <c r="D23" s="1082">
        <f t="shared" si="3"/>
        <v>900637123</v>
      </c>
      <c r="E23" s="1082">
        <v>0</v>
      </c>
      <c r="F23" s="1082"/>
      <c r="G23" s="1082"/>
      <c r="H23" s="1082"/>
      <c r="I23" s="1082"/>
      <c r="J23" s="1082"/>
      <c r="K23" s="1082"/>
      <c r="L23" s="1082">
        <v>0</v>
      </c>
      <c r="M23" s="1082">
        <v>0</v>
      </c>
      <c r="N23" s="1082">
        <v>0</v>
      </c>
      <c r="O23" s="1082">
        <v>900637123</v>
      </c>
      <c r="P23" s="1082"/>
      <c r="Q23" s="1082"/>
      <c r="R23" s="1083">
        <f t="shared" si="2"/>
        <v>96.671607309574554</v>
      </c>
    </row>
    <row r="24" spans="1:18" s="723" customFormat="1" ht="25.5" customHeight="1" x14ac:dyDescent="0.25">
      <c r="A24" s="1081">
        <v>15</v>
      </c>
      <c r="B24" s="1079" t="s">
        <v>1801</v>
      </c>
      <c r="C24" s="1082">
        <v>831269340</v>
      </c>
      <c r="D24" s="1082">
        <f t="shared" si="3"/>
        <v>807821995</v>
      </c>
      <c r="E24" s="1082">
        <v>0</v>
      </c>
      <c r="F24" s="1082"/>
      <c r="G24" s="1082"/>
      <c r="H24" s="1082"/>
      <c r="I24" s="1082"/>
      <c r="J24" s="1082"/>
      <c r="K24" s="1082"/>
      <c r="L24" s="1082">
        <v>0</v>
      </c>
      <c r="M24" s="1082">
        <v>0</v>
      </c>
      <c r="N24" s="1082">
        <v>0</v>
      </c>
      <c r="O24" s="1082">
        <v>807821995</v>
      </c>
      <c r="P24" s="1082"/>
      <c r="Q24" s="1082"/>
      <c r="R24" s="1083">
        <f t="shared" si="2"/>
        <v>97.179332393036404</v>
      </c>
    </row>
    <row r="25" spans="1:18" s="723" customFormat="1" ht="25.5" customHeight="1" x14ac:dyDescent="0.25">
      <c r="A25" s="1081">
        <v>16</v>
      </c>
      <c r="B25" s="1079" t="s">
        <v>1802</v>
      </c>
      <c r="C25" s="1082">
        <v>845748760</v>
      </c>
      <c r="D25" s="1082">
        <f t="shared" si="3"/>
        <v>827060416</v>
      </c>
      <c r="E25" s="1082">
        <v>0</v>
      </c>
      <c r="F25" s="1082"/>
      <c r="G25" s="1082"/>
      <c r="H25" s="1082"/>
      <c r="I25" s="1082"/>
      <c r="J25" s="1082"/>
      <c r="K25" s="1082"/>
      <c r="L25" s="1082">
        <v>0</v>
      </c>
      <c r="M25" s="1082">
        <v>0</v>
      </c>
      <c r="N25" s="1082">
        <v>0</v>
      </c>
      <c r="O25" s="1082">
        <v>827060416</v>
      </c>
      <c r="P25" s="1082"/>
      <c r="Q25" s="1082"/>
      <c r="R25" s="1083">
        <f t="shared" si="2"/>
        <v>97.790319668928632</v>
      </c>
    </row>
    <row r="26" spans="1:18" s="723" customFormat="1" ht="25.5" customHeight="1" x14ac:dyDescent="0.25">
      <c r="A26" s="1081">
        <v>17</v>
      </c>
      <c r="B26" s="1079" t="s">
        <v>1803</v>
      </c>
      <c r="C26" s="1082">
        <v>498873000</v>
      </c>
      <c r="D26" s="1082">
        <f t="shared" si="3"/>
        <v>432547177</v>
      </c>
      <c r="E26" s="1082">
        <v>0</v>
      </c>
      <c r="F26" s="1082"/>
      <c r="G26" s="1082"/>
      <c r="H26" s="1082"/>
      <c r="I26" s="1082"/>
      <c r="J26" s="1082"/>
      <c r="K26" s="1082"/>
      <c r="L26" s="1082">
        <v>0</v>
      </c>
      <c r="M26" s="1082">
        <v>0</v>
      </c>
      <c r="N26" s="1082">
        <v>0</v>
      </c>
      <c r="O26" s="1082">
        <v>432547177</v>
      </c>
      <c r="P26" s="1082"/>
      <c r="Q26" s="1082"/>
      <c r="R26" s="1083">
        <f t="shared" si="2"/>
        <v>86.704868172861623</v>
      </c>
    </row>
    <row r="27" spans="1:18" s="723" customFormat="1" ht="25.5" customHeight="1" x14ac:dyDescent="0.25">
      <c r="A27" s="1081">
        <v>18</v>
      </c>
      <c r="B27" s="1079" t="s">
        <v>1559</v>
      </c>
      <c r="C27" s="1082">
        <v>178034000</v>
      </c>
      <c r="D27" s="1082">
        <f t="shared" si="3"/>
        <v>156462486</v>
      </c>
      <c r="E27" s="1082">
        <v>0</v>
      </c>
      <c r="F27" s="1082"/>
      <c r="G27" s="1082"/>
      <c r="H27" s="1082"/>
      <c r="I27" s="1082"/>
      <c r="J27" s="1082"/>
      <c r="K27" s="1082"/>
      <c r="L27" s="1082">
        <v>0</v>
      </c>
      <c r="M27" s="1082">
        <v>0</v>
      </c>
      <c r="N27" s="1082">
        <v>0</v>
      </c>
      <c r="O27" s="1082">
        <v>156462486</v>
      </c>
      <c r="P27" s="1082"/>
      <c r="Q27" s="1082"/>
      <c r="R27" s="1083">
        <f t="shared" si="2"/>
        <v>87.883486300369597</v>
      </c>
    </row>
    <row r="28" spans="1:18" s="723" customFormat="1" ht="25.5" customHeight="1" x14ac:dyDescent="0.25">
      <c r="A28" s="1081">
        <v>19</v>
      </c>
      <c r="B28" s="1079" t="s">
        <v>1560</v>
      </c>
      <c r="C28" s="1082">
        <v>121916000</v>
      </c>
      <c r="D28" s="1082">
        <f t="shared" si="3"/>
        <v>120069220</v>
      </c>
      <c r="E28" s="1082">
        <v>0</v>
      </c>
      <c r="F28" s="1082"/>
      <c r="G28" s="1082"/>
      <c r="H28" s="1082"/>
      <c r="I28" s="1082"/>
      <c r="J28" s="1082"/>
      <c r="K28" s="1082"/>
      <c r="L28" s="1082">
        <v>0</v>
      </c>
      <c r="M28" s="1082">
        <v>0</v>
      </c>
      <c r="N28" s="1082">
        <v>0</v>
      </c>
      <c r="O28" s="1082">
        <v>120069220</v>
      </c>
      <c r="P28" s="1082"/>
      <c r="Q28" s="1082"/>
      <c r="R28" s="1083">
        <f t="shared" si="2"/>
        <v>98.485202926605211</v>
      </c>
    </row>
    <row r="29" spans="1:18" s="723" customFormat="1" ht="25.5" customHeight="1" x14ac:dyDescent="0.25">
      <c r="A29" s="1081">
        <v>20</v>
      </c>
      <c r="B29" s="1079" t="s">
        <v>1804</v>
      </c>
      <c r="C29" s="1082">
        <v>77216000</v>
      </c>
      <c r="D29" s="1082">
        <f t="shared" si="3"/>
        <v>77216000</v>
      </c>
      <c r="E29" s="1082">
        <v>0</v>
      </c>
      <c r="F29" s="1082"/>
      <c r="G29" s="1082"/>
      <c r="H29" s="1082"/>
      <c r="I29" s="1082"/>
      <c r="J29" s="1082"/>
      <c r="K29" s="1082"/>
      <c r="L29" s="1082">
        <v>0</v>
      </c>
      <c r="M29" s="1082">
        <v>0</v>
      </c>
      <c r="N29" s="1082">
        <v>0</v>
      </c>
      <c r="O29" s="1082">
        <v>77216000</v>
      </c>
      <c r="P29" s="1082"/>
      <c r="Q29" s="1082"/>
      <c r="R29" s="1083">
        <f t="shared" si="2"/>
        <v>100</v>
      </c>
    </row>
    <row r="30" spans="1:18" s="723" customFormat="1" ht="29.25" customHeight="1" x14ac:dyDescent="0.25">
      <c r="A30" s="1081">
        <v>21</v>
      </c>
      <c r="B30" s="1079" t="s">
        <v>1805</v>
      </c>
      <c r="C30" s="1082">
        <f>D30</f>
        <v>20000000</v>
      </c>
      <c r="D30" s="1082">
        <f t="shared" si="3"/>
        <v>20000000</v>
      </c>
      <c r="E30" s="1082">
        <v>0</v>
      </c>
      <c r="F30" s="1082"/>
      <c r="G30" s="1082"/>
      <c r="H30" s="1082"/>
      <c r="I30" s="1082"/>
      <c r="J30" s="1082"/>
      <c r="K30" s="1082"/>
      <c r="L30" s="1082">
        <v>0</v>
      </c>
      <c r="M30" s="1082">
        <v>0</v>
      </c>
      <c r="N30" s="1082">
        <v>0</v>
      </c>
      <c r="O30" s="1082">
        <v>20000000</v>
      </c>
      <c r="P30" s="1082"/>
      <c r="Q30" s="1082"/>
      <c r="R30" s="1083">
        <f t="shared" si="2"/>
        <v>100</v>
      </c>
    </row>
    <row r="31" spans="1:18" s="723" customFormat="1" ht="29.25" customHeight="1" x14ac:dyDescent="0.25">
      <c r="A31" s="1081">
        <v>22</v>
      </c>
      <c r="B31" s="1079" t="s">
        <v>1806</v>
      </c>
      <c r="C31" s="1082">
        <v>121216000</v>
      </c>
      <c r="D31" s="1082">
        <f t="shared" si="3"/>
        <v>75696795</v>
      </c>
      <c r="E31" s="1082">
        <v>0</v>
      </c>
      <c r="F31" s="1082"/>
      <c r="G31" s="1082"/>
      <c r="H31" s="1082"/>
      <c r="I31" s="1082"/>
      <c r="J31" s="1082"/>
      <c r="K31" s="1082"/>
      <c r="L31" s="1082">
        <v>0</v>
      </c>
      <c r="M31" s="1082">
        <v>0</v>
      </c>
      <c r="N31" s="1082">
        <v>0</v>
      </c>
      <c r="O31" s="1082">
        <v>75696795</v>
      </c>
      <c r="P31" s="1082"/>
      <c r="Q31" s="1082"/>
      <c r="R31" s="1083">
        <f t="shared" si="2"/>
        <v>62.447857543558605</v>
      </c>
    </row>
    <row r="32" spans="1:18" s="723" customFormat="1" ht="27.75" customHeight="1" x14ac:dyDescent="0.25">
      <c r="A32" s="1081">
        <v>23</v>
      </c>
      <c r="B32" s="1079" t="s">
        <v>1807</v>
      </c>
      <c r="C32" s="1082">
        <v>116188000</v>
      </c>
      <c r="D32" s="1082">
        <f t="shared" si="3"/>
        <v>116188000</v>
      </c>
      <c r="E32" s="1082">
        <v>0</v>
      </c>
      <c r="F32" s="1082"/>
      <c r="G32" s="1082"/>
      <c r="H32" s="1082"/>
      <c r="I32" s="1082"/>
      <c r="J32" s="1082"/>
      <c r="K32" s="1082"/>
      <c r="L32" s="1082">
        <v>0</v>
      </c>
      <c r="M32" s="1082">
        <v>0</v>
      </c>
      <c r="N32" s="1082">
        <v>0</v>
      </c>
      <c r="O32" s="1082">
        <v>116188000</v>
      </c>
      <c r="P32" s="1082"/>
      <c r="Q32" s="1082"/>
      <c r="R32" s="1083">
        <f t="shared" si="2"/>
        <v>100</v>
      </c>
    </row>
    <row r="33" spans="1:21" s="723" customFormat="1" ht="27.75" customHeight="1" x14ac:dyDescent="0.25">
      <c r="A33" s="1081">
        <v>24</v>
      </c>
      <c r="B33" s="1079" t="s">
        <v>1808</v>
      </c>
      <c r="C33" s="1082">
        <v>1670000000</v>
      </c>
      <c r="D33" s="1082">
        <f t="shared" si="3"/>
        <v>1642187000</v>
      </c>
      <c r="E33" s="1082">
        <v>0</v>
      </c>
      <c r="F33" s="1082"/>
      <c r="G33" s="1082"/>
      <c r="H33" s="1082"/>
      <c r="I33" s="1082"/>
      <c r="J33" s="1082"/>
      <c r="K33" s="1082"/>
      <c r="L33" s="1082">
        <v>1642187000</v>
      </c>
      <c r="M33" s="1082">
        <v>0</v>
      </c>
      <c r="N33" s="1082">
        <v>0</v>
      </c>
      <c r="O33" s="1082">
        <v>0</v>
      </c>
      <c r="P33" s="1082"/>
      <c r="Q33" s="1082"/>
      <c r="R33" s="1083">
        <f t="shared" si="2"/>
        <v>98.334550898203588</v>
      </c>
    </row>
    <row r="34" spans="1:21" s="723" customFormat="1" ht="27.75" customHeight="1" x14ac:dyDescent="0.25">
      <c r="A34" s="1081">
        <v>25</v>
      </c>
      <c r="B34" s="1079" t="s">
        <v>1809</v>
      </c>
      <c r="C34" s="1082">
        <f>D34</f>
        <v>4420249089</v>
      </c>
      <c r="D34" s="1082">
        <f t="shared" si="3"/>
        <v>4420249089</v>
      </c>
      <c r="E34" s="1082">
        <v>0</v>
      </c>
      <c r="F34" s="1082"/>
      <c r="G34" s="1082"/>
      <c r="H34" s="1082"/>
      <c r="I34" s="1082"/>
      <c r="J34" s="1082"/>
      <c r="K34" s="1082"/>
      <c r="L34" s="1082">
        <v>2963000000</v>
      </c>
      <c r="M34" s="1082">
        <v>0</v>
      </c>
      <c r="N34" s="1082">
        <v>2963000000</v>
      </c>
      <c r="O34" s="1082">
        <v>0</v>
      </c>
      <c r="P34" s="1082"/>
      <c r="Q34" s="1082">
        <f>907249089+550000000</f>
        <v>1457249089</v>
      </c>
      <c r="R34" s="1083">
        <f t="shared" si="2"/>
        <v>100</v>
      </c>
    </row>
    <row r="35" spans="1:21" s="1052" customFormat="1" ht="24" customHeight="1" x14ac:dyDescent="0.25">
      <c r="A35" s="1081">
        <v>26</v>
      </c>
      <c r="B35" s="1085" t="s">
        <v>1810</v>
      </c>
      <c r="C35" s="1086">
        <v>25910656533</v>
      </c>
      <c r="D35" s="1082">
        <f>SUM(E35:L35)+O35+P35+Q35</f>
        <v>20513451335</v>
      </c>
      <c r="E35" s="1086">
        <v>6296419805</v>
      </c>
      <c r="F35" s="1086"/>
      <c r="G35" s="1086"/>
      <c r="H35" s="1086"/>
      <c r="I35" s="1086"/>
      <c r="J35" s="1086"/>
      <c r="K35" s="1086"/>
      <c r="L35" s="1086">
        <v>11757449648</v>
      </c>
      <c r="M35" s="1086">
        <v>54654295</v>
      </c>
      <c r="N35" s="1086">
        <v>9947407934</v>
      </c>
      <c r="O35" s="1086">
        <v>2459581882</v>
      </c>
      <c r="P35" s="1086"/>
      <c r="Q35" s="1086"/>
      <c r="R35" s="1083">
        <f t="shared" si="2"/>
        <v>79.169940402219908</v>
      </c>
    </row>
    <row r="36" spans="1:21" s="1052" customFormat="1" ht="21" customHeight="1" x14ac:dyDescent="0.25">
      <c r="A36" s="1081">
        <v>27</v>
      </c>
      <c r="B36" s="1085" t="s">
        <v>2226</v>
      </c>
      <c r="C36" s="1086">
        <f>D36</f>
        <v>2622675033</v>
      </c>
      <c r="D36" s="1082">
        <f t="shared" si="3"/>
        <v>2622675033</v>
      </c>
      <c r="E36" s="1086"/>
      <c r="F36" s="1086">
        <v>2622675033</v>
      </c>
      <c r="G36" s="1086"/>
      <c r="H36" s="1086"/>
      <c r="I36" s="1086"/>
      <c r="J36" s="1086"/>
      <c r="K36" s="1086"/>
      <c r="L36" s="1086"/>
      <c r="M36" s="1086">
        <v>0</v>
      </c>
      <c r="N36" s="1086">
        <v>0</v>
      </c>
      <c r="O36" s="1086">
        <v>0</v>
      </c>
      <c r="P36" s="1086"/>
      <c r="Q36" s="1086"/>
      <c r="R36" s="1083">
        <f t="shared" si="2"/>
        <v>100</v>
      </c>
    </row>
    <row r="37" spans="1:21" s="1052" customFormat="1" ht="24" customHeight="1" x14ac:dyDescent="0.25">
      <c r="A37" s="1081">
        <v>28</v>
      </c>
      <c r="B37" s="1085" t="s">
        <v>2227</v>
      </c>
      <c r="C37" s="1086">
        <f>D37</f>
        <v>1385015765</v>
      </c>
      <c r="D37" s="1082">
        <f t="shared" si="3"/>
        <v>1385015765</v>
      </c>
      <c r="E37" s="1086"/>
      <c r="F37" s="1086"/>
      <c r="G37" s="1086">
        <v>1385015765</v>
      </c>
      <c r="H37" s="1086"/>
      <c r="I37" s="1086"/>
      <c r="J37" s="1086"/>
      <c r="K37" s="1086"/>
      <c r="L37" s="1086"/>
      <c r="M37" s="1086"/>
      <c r="N37" s="1086"/>
      <c r="O37" s="1086"/>
      <c r="P37" s="1086"/>
      <c r="Q37" s="1086"/>
      <c r="R37" s="1083">
        <f t="shared" si="2"/>
        <v>100</v>
      </c>
    </row>
    <row r="38" spans="1:21" s="1052" customFormat="1" ht="24" customHeight="1" x14ac:dyDescent="0.25">
      <c r="A38" s="1081">
        <v>29</v>
      </c>
      <c r="B38" s="1085" t="s">
        <v>2228</v>
      </c>
      <c r="C38" s="1086">
        <f>D38</f>
        <v>3550228221</v>
      </c>
      <c r="D38" s="1082">
        <f>SUM(E38:L38)+O38+P38+Q38</f>
        <v>3550228221</v>
      </c>
      <c r="E38" s="1086"/>
      <c r="F38" s="1086"/>
      <c r="G38" s="1086"/>
      <c r="H38" s="1086">
        <v>1968141664</v>
      </c>
      <c r="I38" s="1086">
        <v>1068214357</v>
      </c>
      <c r="J38" s="1086">
        <v>513872200</v>
      </c>
      <c r="K38" s="1086"/>
      <c r="L38" s="1086"/>
      <c r="M38" s="1086"/>
      <c r="N38" s="1086"/>
      <c r="O38" s="1086"/>
      <c r="P38" s="1086"/>
      <c r="Q38" s="1086"/>
      <c r="R38" s="1083">
        <f t="shared" si="2"/>
        <v>100</v>
      </c>
    </row>
    <row r="39" spans="1:21" s="1052" customFormat="1" ht="24" customHeight="1" x14ac:dyDescent="0.25">
      <c r="A39" s="1087">
        <v>30</v>
      </c>
      <c r="B39" s="1088" t="s">
        <v>2229</v>
      </c>
      <c r="C39" s="1089">
        <f>D39</f>
        <v>541310748</v>
      </c>
      <c r="D39" s="1090">
        <f>SUM(E39:L39)+O39+P39+Q39</f>
        <v>541310748</v>
      </c>
      <c r="E39" s="1089"/>
      <c r="F39" s="1089"/>
      <c r="G39" s="1089"/>
      <c r="H39" s="1089"/>
      <c r="I39" s="1089"/>
      <c r="J39" s="1089"/>
      <c r="K39" s="1089">
        <v>541310748</v>
      </c>
      <c r="L39" s="1089"/>
      <c r="M39" s="1089"/>
      <c r="N39" s="1089"/>
      <c r="O39" s="1089"/>
      <c r="P39" s="1089"/>
      <c r="Q39" s="1089"/>
      <c r="R39" s="1091">
        <f t="shared" si="2"/>
        <v>100</v>
      </c>
    </row>
    <row r="40" spans="1:21" ht="24" customHeight="1" x14ac:dyDescent="0.25">
      <c r="E40" s="188">
        <v>0</v>
      </c>
      <c r="I40" s="4361"/>
      <c r="J40" s="4361"/>
      <c r="O40" s="4365" t="s">
        <v>2132</v>
      </c>
      <c r="P40" s="4366"/>
      <c r="Q40" s="4366"/>
      <c r="R40" s="4366"/>
      <c r="S40" s="4366"/>
      <c r="U40" s="296"/>
    </row>
    <row r="41" spans="1:21" ht="25.5" customHeight="1" x14ac:dyDescent="0.25">
      <c r="F41" s="4129" t="s">
        <v>2173</v>
      </c>
      <c r="G41" s="4129"/>
      <c r="H41" s="4129"/>
      <c r="I41" s="182"/>
      <c r="O41" s="4367" t="s">
        <v>638</v>
      </c>
      <c r="P41" s="4368"/>
      <c r="Q41" s="4368"/>
      <c r="R41" s="4368"/>
      <c r="S41" s="4368"/>
    </row>
    <row r="42" spans="1:21" ht="15" customHeight="1" x14ac:dyDescent="0.25">
      <c r="F42" s="4129" t="s">
        <v>807</v>
      </c>
      <c r="G42" s="4129"/>
      <c r="H42" s="4129"/>
      <c r="I42" s="182"/>
      <c r="O42" s="4368" t="s">
        <v>639</v>
      </c>
      <c r="P42" s="4368"/>
      <c r="Q42" s="4368"/>
      <c r="R42" s="4368"/>
      <c r="S42" s="4368"/>
    </row>
    <row r="43" spans="1:21" ht="24" customHeight="1" x14ac:dyDescent="0.25">
      <c r="F43" s="293"/>
      <c r="G43" s="915"/>
      <c r="H43" s="182"/>
      <c r="I43" s="182"/>
      <c r="O43" s="351"/>
      <c r="P43" s="4372"/>
      <c r="Q43" s="4372"/>
      <c r="R43" s="4372"/>
      <c r="S43" s="4372"/>
    </row>
    <row r="44" spans="1:21" ht="15.75" x14ac:dyDescent="0.25">
      <c r="F44" s="293"/>
      <c r="G44" s="915"/>
      <c r="H44" s="182"/>
      <c r="I44" s="182"/>
      <c r="O44" s="351"/>
      <c r="P44" s="352"/>
      <c r="Q44" s="353"/>
      <c r="R44" s="353"/>
      <c r="S44" s="353"/>
    </row>
    <row r="45" spans="1:21" ht="15.75" x14ac:dyDescent="0.25">
      <c r="F45" s="293"/>
      <c r="G45" s="915"/>
      <c r="H45" s="182"/>
      <c r="I45" s="182"/>
      <c r="O45" s="351"/>
      <c r="P45" s="352"/>
      <c r="Q45" s="353"/>
      <c r="R45" s="353"/>
      <c r="S45" s="353"/>
    </row>
    <row r="46" spans="1:21" ht="15.75" x14ac:dyDescent="0.25">
      <c r="F46" s="293"/>
      <c r="G46" s="915"/>
      <c r="H46" s="182"/>
      <c r="I46" s="182"/>
      <c r="O46" s="351"/>
      <c r="P46" s="352"/>
      <c r="Q46" s="353"/>
      <c r="R46" s="353"/>
      <c r="S46" s="353"/>
    </row>
    <row r="47" spans="1:21" ht="15.75" x14ac:dyDescent="0.25">
      <c r="F47" s="293"/>
      <c r="G47" s="915"/>
      <c r="H47" s="4354"/>
      <c r="I47" s="4354"/>
    </row>
    <row r="48" spans="1:21" ht="15.75" x14ac:dyDescent="0.25">
      <c r="F48" s="4129" t="s">
        <v>808</v>
      </c>
      <c r="G48" s="4129"/>
      <c r="H48" s="4129"/>
      <c r="I48" s="182"/>
      <c r="O48" s="4363" t="s">
        <v>1731</v>
      </c>
      <c r="P48" s="4364"/>
      <c r="Q48" s="4364"/>
      <c r="R48" s="4364"/>
      <c r="S48" s="4364"/>
    </row>
  </sheetData>
  <mergeCells count="32">
    <mergeCell ref="Q1:R1"/>
    <mergeCell ref="A9:B9"/>
    <mergeCell ref="O48:S48"/>
    <mergeCell ref="L6:L7"/>
    <mergeCell ref="I40:J40"/>
    <mergeCell ref="O40:S40"/>
    <mergeCell ref="O41:S41"/>
    <mergeCell ref="O42:S42"/>
    <mergeCell ref="M6:N6"/>
    <mergeCell ref="O6:O7"/>
    <mergeCell ref="D6:D7"/>
    <mergeCell ref="E6:E7"/>
    <mergeCell ref="F6:F7"/>
    <mergeCell ref="G6:G7"/>
    <mergeCell ref="P43:S43"/>
    <mergeCell ref="F41:H41"/>
    <mergeCell ref="A2:S2"/>
    <mergeCell ref="A3:S3"/>
    <mergeCell ref="A6:A7"/>
    <mergeCell ref="B6:B7"/>
    <mergeCell ref="C6:C7"/>
    <mergeCell ref="H6:H7"/>
    <mergeCell ref="A4:S4"/>
    <mergeCell ref="I6:I7"/>
    <mergeCell ref="J6:J7"/>
    <mergeCell ref="K6:K7"/>
    <mergeCell ref="H47:I47"/>
    <mergeCell ref="F48:H48"/>
    <mergeCell ref="Q6:Q7"/>
    <mergeCell ref="R6:R7"/>
    <mergeCell ref="P6:P7"/>
    <mergeCell ref="F42:H42"/>
  </mergeCells>
  <phoneticPr fontId="70" type="noConversion"/>
  <pageMargins left="0.33" right="0.16" top="0.5" bottom="0" header="0.3" footer="0.3"/>
  <pageSetup paperSize="9" scale="65" firstPageNumber="165" orientation="landscape"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C28"/>
  <sheetViews>
    <sheetView topLeftCell="A1048576" workbookViewId="0">
      <selection sqref="A1:XFD1048576"/>
    </sheetView>
  </sheetViews>
  <sheetFormatPr defaultColWidth="9.140625" defaultRowHeight="12.75" zeroHeight="1" x14ac:dyDescent="0.2"/>
  <cols>
    <col min="1" max="1" width="5.7109375" style="832" customWidth="1"/>
    <col min="2" max="16" width="9.140625" style="831"/>
    <col min="17" max="17" width="10.7109375" style="831" bestFit="1" customWidth="1"/>
    <col min="18" max="19" width="9.140625" style="831"/>
    <col min="20" max="20" width="6" style="831" customWidth="1"/>
    <col min="21" max="21" width="23.42578125" style="831" customWidth="1"/>
    <col min="22" max="16384" width="9.140625" style="831"/>
  </cols>
  <sheetData>
    <row r="1" spans="1:29" ht="15.75" hidden="1" x14ac:dyDescent="0.25">
      <c r="A1" s="830" t="s">
        <v>1266</v>
      </c>
    </row>
    <row r="2" spans="1:29" ht="18.75" hidden="1" x14ac:dyDescent="0.3">
      <c r="A2" s="3988" t="s">
        <v>1605</v>
      </c>
      <c r="B2" s="3988"/>
      <c r="C2" s="3988"/>
      <c r="D2" s="3988"/>
      <c r="E2" s="3988"/>
      <c r="F2" s="3988"/>
      <c r="G2" s="3988"/>
      <c r="H2" s="3988"/>
      <c r="I2" s="3988"/>
      <c r="J2" s="3988"/>
      <c r="K2" s="3988"/>
      <c r="L2" s="3988"/>
      <c r="M2" s="3988"/>
      <c r="N2" s="3988"/>
      <c r="O2" s="3988"/>
      <c r="P2" s="3988"/>
      <c r="Q2" s="3988"/>
      <c r="R2" s="3988"/>
      <c r="S2" s="3988"/>
    </row>
    <row r="3" spans="1:29" hidden="1" x14ac:dyDescent="0.2">
      <c r="I3" s="833"/>
      <c r="J3" s="833"/>
      <c r="K3" s="833"/>
      <c r="L3" s="833"/>
      <c r="M3" s="834"/>
      <c r="N3" s="834"/>
      <c r="O3" s="3989" t="s">
        <v>843</v>
      </c>
      <c r="P3" s="3989"/>
      <c r="Q3" s="3989"/>
      <c r="R3" s="3989"/>
      <c r="S3" s="3989"/>
    </row>
    <row r="4" spans="1:29" s="835" customFormat="1" hidden="1" x14ac:dyDescent="0.25">
      <c r="A4" s="3987" t="s">
        <v>844</v>
      </c>
      <c r="B4" s="3987" t="s">
        <v>466</v>
      </c>
      <c r="C4" s="3990" t="s">
        <v>1600</v>
      </c>
      <c r="D4" s="3991"/>
      <c r="E4" s="3991"/>
      <c r="F4" s="3991"/>
      <c r="G4" s="3991"/>
      <c r="H4" s="3991"/>
      <c r="I4" s="3992"/>
      <c r="J4" s="3987" t="s">
        <v>1601</v>
      </c>
      <c r="K4" s="3987"/>
      <c r="L4" s="3987"/>
      <c r="M4" s="3987"/>
      <c r="N4" s="3987"/>
      <c r="O4" s="3987" t="s">
        <v>1602</v>
      </c>
      <c r="P4" s="3987"/>
      <c r="Q4" s="3987"/>
      <c r="R4" s="3987"/>
      <c r="S4" s="3987"/>
      <c r="T4" s="3979" t="s">
        <v>1267</v>
      </c>
    </row>
    <row r="5" spans="1:29" s="835" customFormat="1" hidden="1" x14ac:dyDescent="0.25">
      <c r="A5" s="3987"/>
      <c r="B5" s="3987"/>
      <c r="C5" s="3982" t="s">
        <v>868</v>
      </c>
      <c r="D5" s="3984" t="s">
        <v>1206</v>
      </c>
      <c r="E5" s="3984"/>
      <c r="F5" s="3984"/>
      <c r="G5" s="3985" t="s">
        <v>1268</v>
      </c>
      <c r="H5" s="3985" t="s">
        <v>1269</v>
      </c>
      <c r="I5" s="3985" t="s">
        <v>1270</v>
      </c>
      <c r="J5" s="3987" t="s">
        <v>868</v>
      </c>
      <c r="K5" s="3987" t="s">
        <v>907</v>
      </c>
      <c r="L5" s="3987"/>
      <c r="M5" s="3987"/>
      <c r="N5" s="3987"/>
      <c r="O5" s="3984" t="s">
        <v>868</v>
      </c>
      <c r="P5" s="836"/>
      <c r="Q5" s="836"/>
      <c r="R5" s="3987" t="s">
        <v>907</v>
      </c>
      <c r="S5" s="3987"/>
      <c r="T5" s="3980"/>
    </row>
    <row r="6" spans="1:29" s="835" customFormat="1" ht="76.5" hidden="1" x14ac:dyDescent="0.25">
      <c r="A6" s="3987"/>
      <c r="B6" s="3987"/>
      <c r="C6" s="3983"/>
      <c r="D6" s="837" t="s">
        <v>868</v>
      </c>
      <c r="E6" s="837" t="s">
        <v>1271</v>
      </c>
      <c r="F6" s="837" t="s">
        <v>34</v>
      </c>
      <c r="G6" s="3986"/>
      <c r="H6" s="3986"/>
      <c r="I6" s="3986"/>
      <c r="J6" s="3987"/>
      <c r="K6" s="836" t="s">
        <v>1272</v>
      </c>
      <c r="L6" s="836" t="s">
        <v>1273</v>
      </c>
      <c r="M6" s="836" t="s">
        <v>1487</v>
      </c>
      <c r="N6" s="836" t="s">
        <v>1274</v>
      </c>
      <c r="O6" s="3984"/>
      <c r="P6" s="838" t="s">
        <v>1604</v>
      </c>
      <c r="Q6" s="838" t="s">
        <v>1275</v>
      </c>
      <c r="R6" s="838" t="s">
        <v>1603</v>
      </c>
      <c r="S6" s="838" t="s">
        <v>1276</v>
      </c>
      <c r="T6" s="3981"/>
    </row>
    <row r="7" spans="1:29" s="835" customFormat="1" hidden="1" x14ac:dyDescent="0.25">
      <c r="A7" s="839" t="s">
        <v>847</v>
      </c>
      <c r="B7" s="839" t="s">
        <v>848</v>
      </c>
      <c r="C7" s="839" t="s">
        <v>1277</v>
      </c>
      <c r="D7" s="839" t="s">
        <v>1278</v>
      </c>
      <c r="E7" s="839">
        <v>3</v>
      </c>
      <c r="F7" s="840">
        <v>4</v>
      </c>
      <c r="G7" s="840">
        <v>5</v>
      </c>
      <c r="H7" s="840">
        <v>6</v>
      </c>
      <c r="I7" s="839">
        <v>7</v>
      </c>
      <c r="J7" s="839"/>
      <c r="K7" s="839"/>
      <c r="L7" s="839"/>
      <c r="M7" s="840">
        <v>8</v>
      </c>
      <c r="N7" s="840"/>
      <c r="O7" s="840" t="s">
        <v>1279</v>
      </c>
      <c r="P7" s="840"/>
      <c r="Q7" s="840"/>
      <c r="R7" s="839">
        <v>10</v>
      </c>
      <c r="S7" s="839">
        <v>11</v>
      </c>
      <c r="T7" s="841"/>
    </row>
    <row r="8" spans="1:29" s="845" customFormat="1" hidden="1" x14ac:dyDescent="0.25">
      <c r="A8" s="842"/>
      <c r="B8" s="842" t="s">
        <v>868</v>
      </c>
      <c r="C8" s="843">
        <f t="shared" ref="C8:S8" si="0">C9</f>
        <v>1812.4201500000004</v>
      </c>
      <c r="D8" s="843">
        <f t="shared" si="0"/>
        <v>636.73935000000029</v>
      </c>
      <c r="E8" s="843">
        <f t="shared" si="0"/>
        <v>27.530999999999999</v>
      </c>
      <c r="F8" s="843">
        <f t="shared" si="0"/>
        <v>609.20835000000034</v>
      </c>
      <c r="G8" s="843">
        <f t="shared" si="0"/>
        <v>1175.6808000000001</v>
      </c>
      <c r="H8" s="843">
        <f t="shared" si="0"/>
        <v>0</v>
      </c>
      <c r="I8" s="843">
        <f t="shared" si="0"/>
        <v>0</v>
      </c>
      <c r="J8" s="843">
        <f t="shared" si="0"/>
        <v>1180</v>
      </c>
      <c r="K8" s="843">
        <f t="shared" si="0"/>
        <v>0</v>
      </c>
      <c r="L8" s="843">
        <f t="shared" si="0"/>
        <v>0</v>
      </c>
      <c r="M8" s="843">
        <f t="shared" si="0"/>
        <v>1180</v>
      </c>
      <c r="N8" s="843">
        <f t="shared" si="0"/>
        <v>0</v>
      </c>
      <c r="O8" s="843">
        <f t="shared" si="0"/>
        <v>632.42015000000038</v>
      </c>
      <c r="P8" s="843">
        <f t="shared" si="0"/>
        <v>462.45799999999997</v>
      </c>
      <c r="Q8" s="843">
        <f t="shared" si="0"/>
        <v>182.458</v>
      </c>
      <c r="R8" s="843">
        <f t="shared" si="0"/>
        <v>280</v>
      </c>
      <c r="S8" s="843">
        <f t="shared" si="0"/>
        <v>169.96215000000041</v>
      </c>
      <c r="T8" s="844"/>
    </row>
    <row r="9" spans="1:29" s="845" customFormat="1" ht="19.899999999999999" hidden="1" customHeight="1" x14ac:dyDescent="0.25">
      <c r="A9" s="839">
        <v>1</v>
      </c>
      <c r="B9" s="846" t="s">
        <v>1280</v>
      </c>
      <c r="C9" s="847">
        <f>D9+SUM(G9:I9)</f>
        <v>1812.4201500000004</v>
      </c>
      <c r="D9" s="847">
        <f>SUM(E9:F9)</f>
        <v>636.73935000000029</v>
      </c>
      <c r="E9" s="847">
        <v>27.530999999999999</v>
      </c>
      <c r="F9" s="847">
        <v>609.20835000000034</v>
      </c>
      <c r="G9" s="847">
        <v>1175.6808000000001</v>
      </c>
      <c r="H9" s="847"/>
      <c r="I9" s="847"/>
      <c r="J9" s="847">
        <f>K9+L9+M9+N9</f>
        <v>1180</v>
      </c>
      <c r="K9" s="847"/>
      <c r="L9" s="847"/>
      <c r="M9" s="847">
        <f>1180</f>
        <v>1180</v>
      </c>
      <c r="N9" s="847"/>
      <c r="O9" s="847">
        <f>C9-J9</f>
        <v>632.42015000000038</v>
      </c>
      <c r="P9" s="847">
        <f>Q9+R9</f>
        <v>462.45799999999997</v>
      </c>
      <c r="Q9" s="847">
        <v>182.458</v>
      </c>
      <c r="R9" s="847">
        <v>280</v>
      </c>
      <c r="S9" s="847">
        <f>O9-P9</f>
        <v>169.96215000000041</v>
      </c>
      <c r="T9" s="847"/>
    </row>
    <row r="10" spans="1:29" hidden="1" x14ac:dyDescent="0.2">
      <c r="D10" s="848"/>
      <c r="E10" s="848"/>
      <c r="F10" s="849"/>
      <c r="G10" s="850"/>
      <c r="H10" s="848"/>
      <c r="I10" s="848"/>
      <c r="J10" s="848"/>
      <c r="K10" s="848"/>
      <c r="L10" s="848"/>
      <c r="M10" s="848"/>
      <c r="N10" s="848"/>
      <c r="O10" s="848"/>
      <c r="P10" s="848"/>
      <c r="Q10" s="848"/>
      <c r="R10" s="850"/>
    </row>
    <row r="11" spans="1:29" s="852" customFormat="1" ht="33" hidden="1" customHeight="1" x14ac:dyDescent="0.25">
      <c r="A11" s="851"/>
      <c r="E11" s="853"/>
      <c r="F11" s="854"/>
      <c r="G11" s="854"/>
      <c r="H11" s="854"/>
      <c r="I11" s="854"/>
      <c r="J11" s="3995" t="s">
        <v>104</v>
      </c>
      <c r="K11" s="3995"/>
      <c r="L11" s="3995"/>
      <c r="M11" s="3995"/>
      <c r="N11" s="3995"/>
      <c r="O11" s="854"/>
      <c r="P11" s="854"/>
      <c r="Q11" s="854"/>
      <c r="R11" s="854"/>
      <c r="U11" s="854"/>
      <c r="AC11" s="855"/>
    </row>
    <row r="12" spans="1:29" s="852" customFormat="1" ht="16.5" hidden="1" x14ac:dyDescent="0.25">
      <c r="A12" s="851"/>
      <c r="B12" s="3993" t="s">
        <v>1303</v>
      </c>
      <c r="C12" s="3993"/>
      <c r="D12" s="3993"/>
      <c r="E12" s="853"/>
      <c r="F12" s="854"/>
      <c r="G12" s="854"/>
      <c r="H12" s="854"/>
      <c r="I12" s="854"/>
      <c r="J12" s="3996" t="s">
        <v>1441</v>
      </c>
      <c r="K12" s="3996"/>
      <c r="L12" s="3996"/>
      <c r="M12" s="3996"/>
      <c r="N12" s="3996"/>
      <c r="O12" s="854"/>
      <c r="P12" s="854"/>
      <c r="Q12" s="854"/>
      <c r="R12" s="854"/>
      <c r="AC12" s="855"/>
    </row>
    <row r="13" spans="1:29" s="852" customFormat="1" ht="16.5" hidden="1" x14ac:dyDescent="0.25">
      <c r="A13" s="851"/>
      <c r="B13" s="856"/>
      <c r="C13" s="856"/>
      <c r="D13" s="856"/>
      <c r="E13" s="853"/>
      <c r="F13" s="854"/>
      <c r="G13" s="854"/>
      <c r="H13" s="854"/>
      <c r="I13" s="854"/>
      <c r="J13" s="857"/>
      <c r="K13" s="857"/>
      <c r="L13" s="857"/>
      <c r="M13" s="857"/>
      <c r="N13" s="857"/>
      <c r="O13" s="854"/>
      <c r="P13" s="854"/>
      <c r="Q13" s="854"/>
      <c r="R13" s="854"/>
      <c r="AC13" s="855"/>
    </row>
    <row r="14" spans="1:29" s="852" customFormat="1" ht="16.5" hidden="1" x14ac:dyDescent="0.25">
      <c r="A14" s="851"/>
      <c r="B14" s="856"/>
      <c r="C14" s="856"/>
      <c r="D14" s="856"/>
      <c r="E14" s="853"/>
      <c r="F14" s="854"/>
      <c r="G14" s="854"/>
      <c r="H14" s="854"/>
      <c r="I14" s="854"/>
      <c r="J14" s="857"/>
      <c r="K14" s="857"/>
      <c r="L14" s="857"/>
      <c r="M14" s="857"/>
      <c r="N14" s="857"/>
      <c r="O14" s="854"/>
      <c r="P14" s="854"/>
      <c r="Q14" s="854"/>
      <c r="R14" s="854"/>
      <c r="AC14" s="855"/>
    </row>
    <row r="15" spans="1:29" s="852" customFormat="1" ht="16.5" hidden="1" x14ac:dyDescent="0.25">
      <c r="A15" s="851"/>
      <c r="B15" s="856"/>
      <c r="C15" s="856"/>
      <c r="D15" s="856"/>
      <c r="E15" s="853"/>
      <c r="F15" s="854"/>
      <c r="G15" s="854"/>
      <c r="H15" s="854"/>
      <c r="I15" s="854"/>
      <c r="J15" s="857"/>
      <c r="K15" s="857"/>
      <c r="L15" s="857"/>
      <c r="M15" s="857"/>
      <c r="N15" s="857"/>
      <c r="O15" s="854"/>
      <c r="P15" s="854"/>
      <c r="Q15" s="854"/>
      <c r="R15" s="854"/>
      <c r="AC15" s="855"/>
    </row>
    <row r="16" spans="1:29" s="852" customFormat="1" ht="16.5" hidden="1" x14ac:dyDescent="0.25">
      <c r="A16" s="851"/>
      <c r="B16" s="858"/>
      <c r="C16" s="855"/>
      <c r="D16" s="859"/>
      <c r="E16" s="853"/>
      <c r="F16" s="854"/>
      <c r="G16" s="854"/>
      <c r="H16" s="854"/>
      <c r="I16" s="854"/>
      <c r="J16" s="3995"/>
      <c r="K16" s="3995"/>
      <c r="L16" s="3995"/>
      <c r="M16" s="3995"/>
      <c r="N16" s="3995"/>
      <c r="O16" s="854"/>
      <c r="P16" s="854"/>
      <c r="Q16" s="854"/>
      <c r="R16" s="854"/>
      <c r="AC16" s="855"/>
    </row>
    <row r="17" spans="1:29" s="852" customFormat="1" ht="16.5" hidden="1" x14ac:dyDescent="0.25">
      <c r="A17" s="851"/>
      <c r="B17" s="858"/>
      <c r="C17" s="855"/>
      <c r="D17" s="859"/>
      <c r="E17" s="853"/>
      <c r="F17" s="854"/>
      <c r="G17" s="854"/>
      <c r="H17" s="854"/>
      <c r="I17" s="854"/>
      <c r="J17" s="854"/>
      <c r="K17" s="854"/>
      <c r="L17" s="860"/>
      <c r="M17" s="861"/>
      <c r="N17" s="862"/>
      <c r="O17" s="854"/>
      <c r="P17" s="854"/>
      <c r="Q17" s="854"/>
      <c r="R17" s="854"/>
      <c r="AC17" s="855"/>
    </row>
    <row r="18" spans="1:29" s="852" customFormat="1" ht="16.5" hidden="1" x14ac:dyDescent="0.25">
      <c r="A18" s="851"/>
      <c r="B18" s="3993" t="s">
        <v>1304</v>
      </c>
      <c r="C18" s="3993"/>
      <c r="D18" s="3993"/>
      <c r="E18" s="853"/>
      <c r="F18" s="854"/>
      <c r="G18" s="854"/>
      <c r="H18" s="854"/>
      <c r="I18" s="854"/>
      <c r="J18" s="3994" t="s">
        <v>808</v>
      </c>
      <c r="K18" s="3994"/>
      <c r="L18" s="3994"/>
      <c r="M18" s="3994"/>
      <c r="N18" s="3994"/>
      <c r="O18" s="854"/>
      <c r="P18" s="854"/>
      <c r="Q18" s="854"/>
      <c r="R18" s="854"/>
      <c r="S18" s="854"/>
      <c r="T18" s="854"/>
      <c r="U18" s="854"/>
      <c r="V18" s="853"/>
      <c r="W18" s="853"/>
      <c r="AC18" s="855"/>
    </row>
    <row r="19" spans="1:29" hidden="1" x14ac:dyDescent="0.2">
      <c r="D19" s="848"/>
      <c r="E19" s="848"/>
      <c r="F19" s="848"/>
      <c r="G19" s="848"/>
      <c r="H19" s="848"/>
      <c r="I19" s="848"/>
      <c r="J19" s="848"/>
      <c r="K19" s="848"/>
      <c r="L19" s="848"/>
      <c r="M19" s="848"/>
      <c r="N19" s="848"/>
      <c r="O19" s="848"/>
      <c r="P19" s="848"/>
      <c r="Q19" s="848"/>
      <c r="R19" s="848"/>
    </row>
    <row r="20" spans="1:29" hidden="1" x14ac:dyDescent="0.2">
      <c r="D20" s="848"/>
      <c r="E20" s="848"/>
      <c r="F20" s="848"/>
      <c r="G20" s="848"/>
      <c r="H20" s="848"/>
      <c r="I20" s="848"/>
      <c r="J20" s="848"/>
      <c r="K20" s="848"/>
      <c r="L20" s="848"/>
      <c r="M20" s="848"/>
      <c r="N20" s="848"/>
      <c r="O20" s="848"/>
      <c r="P20" s="848"/>
      <c r="Q20" s="848"/>
      <c r="R20" s="848"/>
    </row>
    <row r="21" spans="1:29" hidden="1" x14ac:dyDescent="0.2">
      <c r="D21" s="848"/>
      <c r="E21" s="848"/>
      <c r="F21" s="848"/>
      <c r="G21" s="848"/>
      <c r="H21" s="848"/>
      <c r="I21" s="848"/>
      <c r="J21" s="848"/>
      <c r="K21" s="848"/>
      <c r="L21" s="848"/>
      <c r="M21" s="848"/>
      <c r="N21" s="848"/>
      <c r="O21" s="848"/>
      <c r="P21" s="848"/>
      <c r="Q21" s="848"/>
      <c r="R21" s="848"/>
    </row>
    <row r="22" spans="1:29" hidden="1" x14ac:dyDescent="0.2">
      <c r="D22" s="848"/>
      <c r="E22" s="848"/>
      <c r="F22" s="848"/>
      <c r="G22" s="848"/>
      <c r="H22" s="848"/>
      <c r="I22" s="848"/>
      <c r="J22" s="848"/>
      <c r="K22" s="848"/>
      <c r="L22" s="848"/>
      <c r="M22" s="848"/>
      <c r="N22" s="848"/>
      <c r="O22" s="848"/>
      <c r="P22" s="848"/>
      <c r="Q22" s="848"/>
      <c r="R22" s="848"/>
    </row>
    <row r="23" spans="1:29" hidden="1" x14ac:dyDescent="0.2">
      <c r="D23" s="848"/>
      <c r="E23" s="848"/>
      <c r="F23" s="848"/>
      <c r="G23" s="848"/>
      <c r="H23" s="848"/>
      <c r="I23" s="848"/>
      <c r="J23" s="848"/>
      <c r="K23" s="848"/>
      <c r="L23" s="848"/>
      <c r="M23" s="848"/>
      <c r="N23" s="848"/>
      <c r="O23" s="848"/>
      <c r="P23" s="848"/>
      <c r="Q23" s="848"/>
      <c r="R23" s="848"/>
    </row>
    <row r="24" spans="1:29" hidden="1" x14ac:dyDescent="0.2">
      <c r="D24" s="848"/>
      <c r="E24" s="848"/>
      <c r="F24" s="848"/>
      <c r="G24" s="848"/>
      <c r="H24" s="848"/>
      <c r="I24" s="848"/>
      <c r="J24" s="848"/>
      <c r="K24" s="848"/>
      <c r="L24" s="848"/>
      <c r="M24" s="848"/>
      <c r="N24" s="848"/>
      <c r="O24" s="848"/>
      <c r="P24" s="848"/>
      <c r="Q24" s="848"/>
      <c r="R24" s="848"/>
    </row>
    <row r="25" spans="1:29" hidden="1" x14ac:dyDescent="0.2">
      <c r="D25" s="848"/>
      <c r="E25" s="848"/>
      <c r="F25" s="848"/>
      <c r="G25" s="848"/>
      <c r="H25" s="848"/>
      <c r="I25" s="848"/>
      <c r="J25" s="848"/>
      <c r="K25" s="848"/>
      <c r="L25" s="848"/>
      <c r="M25" s="848"/>
      <c r="N25" s="848"/>
      <c r="O25" s="848"/>
      <c r="P25" s="848"/>
      <c r="Q25" s="848"/>
      <c r="R25" s="848"/>
    </row>
    <row r="26" spans="1:29" hidden="1" x14ac:dyDescent="0.2">
      <c r="D26" s="848"/>
      <c r="E26" s="848"/>
      <c r="F26" s="848"/>
      <c r="G26" s="848"/>
      <c r="H26" s="848"/>
      <c r="I26" s="848"/>
      <c r="J26" s="848"/>
      <c r="K26" s="848"/>
      <c r="L26" s="848"/>
      <c r="M26" s="848"/>
      <c r="N26" s="848"/>
      <c r="O26" s="848"/>
      <c r="P26" s="848"/>
      <c r="Q26" s="848"/>
      <c r="R26" s="848"/>
    </row>
    <row r="27" spans="1:29" hidden="1" x14ac:dyDescent="0.2">
      <c r="D27" s="848"/>
      <c r="E27" s="848"/>
      <c r="F27" s="848"/>
      <c r="G27" s="848"/>
      <c r="H27" s="848"/>
      <c r="I27" s="848"/>
      <c r="J27" s="848"/>
      <c r="K27" s="848"/>
      <c r="L27" s="848"/>
      <c r="M27" s="848"/>
      <c r="N27" s="848"/>
      <c r="O27" s="848"/>
      <c r="P27" s="848"/>
      <c r="Q27" s="848"/>
      <c r="R27" s="848"/>
    </row>
    <row r="28" spans="1:29" hidden="1" x14ac:dyDescent="0.2">
      <c r="D28" s="848"/>
      <c r="E28" s="848"/>
      <c r="F28" s="848"/>
      <c r="G28" s="848"/>
      <c r="H28" s="848"/>
      <c r="I28" s="848"/>
      <c r="J28" s="848"/>
      <c r="K28" s="848"/>
      <c r="L28" s="848"/>
      <c r="M28" s="848"/>
      <c r="N28" s="848"/>
      <c r="O28" s="848"/>
      <c r="P28" s="848"/>
      <c r="Q28" s="848"/>
      <c r="R28" s="848"/>
    </row>
  </sheetData>
  <mergeCells count="23">
    <mergeCell ref="B18:D18"/>
    <mergeCell ref="J18:N18"/>
    <mergeCell ref="J11:N11"/>
    <mergeCell ref="B12:D12"/>
    <mergeCell ref="J12:N12"/>
    <mergeCell ref="J16:N16"/>
    <mergeCell ref="A2:S2"/>
    <mergeCell ref="O3:S3"/>
    <mergeCell ref="A4:A6"/>
    <mergeCell ref="B4:B6"/>
    <mergeCell ref="C4:I4"/>
    <mergeCell ref="J4:N4"/>
    <mergeCell ref="O4:S4"/>
    <mergeCell ref="T4:T6"/>
    <mergeCell ref="C5:C6"/>
    <mergeCell ref="D5:F5"/>
    <mergeCell ref="G5:G6"/>
    <mergeCell ref="H5:H6"/>
    <mergeCell ref="I5:I6"/>
    <mergeCell ref="J5:J6"/>
    <mergeCell ref="K5:N5"/>
    <mergeCell ref="O5:O6"/>
    <mergeCell ref="R5:S5"/>
  </mergeCells>
  <phoneticPr fontId="70" type="noConversion"/>
  <pageMargins left="0.7" right="0.7" top="0.75" bottom="0.75" header="0.3" footer="0.3"/>
  <pageSetup paperSize="9" scale="75" orientation="landscape"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AW80"/>
  <sheetViews>
    <sheetView topLeftCell="A1048576" zoomScale="117" zoomScaleNormal="117" workbookViewId="0">
      <selection activeCell="A81" sqref="A1:XFD1048576"/>
    </sheetView>
  </sheetViews>
  <sheetFormatPr defaultColWidth="9.140625" defaultRowHeight="12" zeroHeight="1" x14ac:dyDescent="0.2"/>
  <cols>
    <col min="1" max="1" width="3.28515625" style="863" customWidth="1"/>
    <col min="2" max="2" width="21" style="863" customWidth="1"/>
    <col min="3" max="3" width="5.85546875" style="863" customWidth="1"/>
    <col min="4" max="6" width="6" style="913" customWidth="1"/>
    <col min="7" max="7" width="10.5703125" style="863" customWidth="1"/>
    <col min="8" max="8" width="10" style="863" customWidth="1"/>
    <col min="9" max="9" width="8.28515625" style="863" customWidth="1"/>
    <col min="10" max="11" width="8.42578125" style="863" customWidth="1"/>
    <col min="12" max="12" width="9.140625" style="863" customWidth="1"/>
    <col min="13" max="13" width="9.7109375" style="863" customWidth="1"/>
    <col min="14" max="14" width="9.5703125" style="863" customWidth="1"/>
    <col min="15" max="15" width="4.42578125" style="863" customWidth="1"/>
    <col min="16" max="16" width="5.140625" style="863" customWidth="1"/>
    <col min="17" max="17" width="5.28515625" style="863" customWidth="1"/>
    <col min="18" max="19" width="10" style="863" customWidth="1"/>
    <col min="20" max="20" width="12.28515625" style="863" customWidth="1"/>
    <col min="21" max="21" width="10.7109375" style="863" customWidth="1"/>
    <col min="22" max="22" width="10.5703125" style="863" customWidth="1"/>
    <col min="23" max="25" width="6.7109375" style="863" customWidth="1"/>
    <col min="26" max="28" width="11.28515625" style="863" customWidth="1"/>
    <col min="29" max="29" width="9.5703125" style="863" customWidth="1"/>
    <col min="30" max="30" width="10.28515625" style="863" customWidth="1"/>
    <col min="31" max="31" width="14" style="864" customWidth="1"/>
    <col min="32" max="16384" width="9.140625" style="863"/>
  </cols>
  <sheetData>
    <row r="1" spans="1:49" ht="14.25" hidden="1" x14ac:dyDescent="0.2">
      <c r="A1" s="4380" t="s">
        <v>842</v>
      </c>
      <c r="B1" s="4380"/>
      <c r="C1" s="4380"/>
      <c r="D1" s="4380"/>
      <c r="E1" s="4380"/>
      <c r="F1" s="4380"/>
      <c r="G1" s="4380"/>
      <c r="H1" s="4380"/>
      <c r="I1" s="4380"/>
      <c r="J1" s="4380"/>
      <c r="K1" s="4380"/>
      <c r="L1" s="4380"/>
      <c r="M1" s="4380"/>
      <c r="N1" s="4380"/>
      <c r="O1" s="4380"/>
      <c r="P1" s="4380"/>
      <c r="Q1" s="4380"/>
      <c r="R1" s="4380"/>
      <c r="S1" s="4380"/>
      <c r="W1" s="4381" t="s">
        <v>2077</v>
      </c>
      <c r="X1" s="4381"/>
      <c r="Y1" s="4381"/>
      <c r="Z1" s="4381"/>
      <c r="AA1" s="4381"/>
      <c r="AB1" s="4381"/>
      <c r="AC1" s="4381"/>
      <c r="AD1" s="4381"/>
    </row>
    <row r="2" spans="1:49" ht="21.75" hidden="1" customHeight="1" x14ac:dyDescent="0.2">
      <c r="A2" s="4382" t="s">
        <v>1823</v>
      </c>
      <c r="B2" s="4382"/>
      <c r="C2" s="4382"/>
      <c r="D2" s="4382"/>
      <c r="E2" s="4382"/>
      <c r="F2" s="4382"/>
      <c r="G2" s="4382"/>
      <c r="H2" s="4382"/>
      <c r="I2" s="4382"/>
      <c r="J2" s="4382"/>
      <c r="K2" s="4382"/>
      <c r="L2" s="4382"/>
      <c r="M2" s="4382"/>
      <c r="N2" s="4382"/>
      <c r="O2" s="4382"/>
      <c r="P2" s="4382"/>
      <c r="Q2" s="4382"/>
      <c r="R2" s="4382"/>
      <c r="S2" s="4382"/>
      <c r="T2" s="4382"/>
      <c r="U2" s="4382"/>
      <c r="V2" s="4382"/>
      <c r="W2" s="4382"/>
      <c r="X2" s="4382"/>
      <c r="Y2" s="4382"/>
      <c r="Z2" s="4382"/>
      <c r="AA2" s="4382"/>
      <c r="AB2" s="4382"/>
      <c r="AC2" s="4382"/>
      <c r="AD2" s="4382"/>
    </row>
    <row r="3" spans="1:49" ht="16.5" hidden="1" customHeight="1" x14ac:dyDescent="0.2">
      <c r="A3" s="865"/>
      <c r="B3" s="866"/>
      <c r="C3" s="867"/>
      <c r="D3" s="868"/>
      <c r="E3" s="868"/>
      <c r="F3" s="868"/>
      <c r="G3" s="867"/>
      <c r="H3" s="867"/>
      <c r="I3" s="867"/>
      <c r="J3" s="867"/>
      <c r="K3" s="867"/>
      <c r="L3" s="867"/>
      <c r="M3" s="867"/>
      <c r="N3" s="867"/>
      <c r="O3" s="867"/>
      <c r="P3" s="867"/>
      <c r="Q3" s="867"/>
      <c r="R3" s="867"/>
      <c r="S3" s="867"/>
      <c r="Z3" s="869" t="s">
        <v>1461</v>
      </c>
      <c r="AA3" s="870"/>
      <c r="AB3" s="870"/>
      <c r="AD3" s="869"/>
    </row>
    <row r="4" spans="1:49" s="875" customFormat="1" ht="8.25" hidden="1" x14ac:dyDescent="0.15">
      <c r="A4" s="4373" t="s">
        <v>844</v>
      </c>
      <c r="B4" s="4373" t="s">
        <v>845</v>
      </c>
      <c r="C4" s="4373" t="s">
        <v>2130</v>
      </c>
      <c r="D4" s="4383" t="s">
        <v>913</v>
      </c>
      <c r="E4" s="871"/>
      <c r="F4" s="871"/>
      <c r="G4" s="4373" t="s">
        <v>2078</v>
      </c>
      <c r="H4" s="4377" t="s">
        <v>2079</v>
      </c>
      <c r="I4" s="4379"/>
      <c r="J4" s="4373" t="s">
        <v>2080</v>
      </c>
      <c r="K4" s="4373" t="s">
        <v>2081</v>
      </c>
      <c r="L4" s="4377" t="s">
        <v>2082</v>
      </c>
      <c r="M4" s="4378"/>
      <c r="N4" s="4378"/>
      <c r="O4" s="4378"/>
      <c r="P4" s="4378"/>
      <c r="Q4" s="4379"/>
      <c r="R4" s="4377" t="s">
        <v>2083</v>
      </c>
      <c r="S4" s="4378"/>
      <c r="T4" s="4378"/>
      <c r="U4" s="4378"/>
      <c r="V4" s="4378"/>
      <c r="W4" s="4379"/>
      <c r="X4" s="872"/>
      <c r="Y4" s="872"/>
      <c r="Z4" s="4373" t="s">
        <v>2084</v>
      </c>
      <c r="AA4" s="873"/>
      <c r="AB4" s="873"/>
      <c r="AC4" s="4373" t="s">
        <v>2085</v>
      </c>
      <c r="AD4" s="4373" t="s">
        <v>2086</v>
      </c>
      <c r="AE4" s="874"/>
    </row>
    <row r="5" spans="1:49" s="875" customFormat="1" ht="8.25" hidden="1" x14ac:dyDescent="0.15">
      <c r="A5" s="4374"/>
      <c r="B5" s="4374"/>
      <c r="C5" s="4374"/>
      <c r="D5" s="4384"/>
      <c r="E5" s="4386" t="s">
        <v>339</v>
      </c>
      <c r="F5" s="4386" t="s">
        <v>2131</v>
      </c>
      <c r="G5" s="4374"/>
      <c r="H5" s="4373" t="s">
        <v>868</v>
      </c>
      <c r="I5" s="4373" t="s">
        <v>2087</v>
      </c>
      <c r="J5" s="4374"/>
      <c r="K5" s="4374"/>
      <c r="L5" s="4373" t="s">
        <v>2088</v>
      </c>
      <c r="M5" s="4376" t="s">
        <v>2089</v>
      </c>
      <c r="N5" s="4376"/>
      <c r="O5" s="4376"/>
      <c r="P5" s="4373" t="s">
        <v>2090</v>
      </c>
      <c r="Q5" s="4373" t="s">
        <v>2091</v>
      </c>
      <c r="R5" s="4373" t="s">
        <v>2092</v>
      </c>
      <c r="S5" s="4376" t="s">
        <v>2089</v>
      </c>
      <c r="T5" s="4376"/>
      <c r="U5" s="4376"/>
      <c r="V5" s="4373" t="s">
        <v>2090</v>
      </c>
      <c r="W5" s="4373" t="s">
        <v>2091</v>
      </c>
      <c r="X5" s="876"/>
      <c r="Y5" s="876"/>
      <c r="Z5" s="4374"/>
      <c r="AA5" s="876"/>
      <c r="AB5" s="876"/>
      <c r="AC5" s="4374"/>
      <c r="AD5" s="4374"/>
      <c r="AE5" s="874"/>
    </row>
    <row r="6" spans="1:49" s="875" customFormat="1" ht="82.5" hidden="1" x14ac:dyDescent="0.15">
      <c r="A6" s="4375"/>
      <c r="B6" s="4375"/>
      <c r="C6" s="4375"/>
      <c r="D6" s="4385"/>
      <c r="E6" s="4387"/>
      <c r="F6" s="4387"/>
      <c r="G6" s="4375"/>
      <c r="H6" s="4375"/>
      <c r="I6" s="4375"/>
      <c r="J6" s="4375"/>
      <c r="K6" s="4375"/>
      <c r="L6" s="4375"/>
      <c r="M6" s="877" t="s">
        <v>868</v>
      </c>
      <c r="N6" s="877" t="s">
        <v>2093</v>
      </c>
      <c r="O6" s="877" t="s">
        <v>2094</v>
      </c>
      <c r="P6" s="4375"/>
      <c r="Q6" s="4375"/>
      <c r="R6" s="4375"/>
      <c r="S6" s="877" t="s">
        <v>868</v>
      </c>
      <c r="T6" s="877" t="s">
        <v>2093</v>
      </c>
      <c r="U6" s="877" t="s">
        <v>2094</v>
      </c>
      <c r="V6" s="4375"/>
      <c r="W6" s="4375"/>
      <c r="X6" s="878"/>
      <c r="Y6" s="878"/>
      <c r="Z6" s="4375"/>
      <c r="AA6" s="878"/>
      <c r="AB6" s="878"/>
      <c r="AC6" s="4375"/>
      <c r="AD6" s="4375"/>
      <c r="AE6" s="874"/>
    </row>
    <row r="7" spans="1:49" ht="22.5" hidden="1" customHeight="1" x14ac:dyDescent="0.2">
      <c r="A7" s="879" t="s">
        <v>847</v>
      </c>
      <c r="B7" s="879" t="s">
        <v>848</v>
      </c>
      <c r="C7" s="879">
        <v>1</v>
      </c>
      <c r="D7" s="880">
        <v>2</v>
      </c>
      <c r="E7" s="881"/>
      <c r="F7" s="881"/>
      <c r="G7" s="879">
        <v>3</v>
      </c>
      <c r="H7" s="880">
        <v>4</v>
      </c>
      <c r="I7" s="879">
        <v>5</v>
      </c>
      <c r="J7" s="880">
        <v>6</v>
      </c>
      <c r="K7" s="879">
        <v>7</v>
      </c>
      <c r="L7" s="880">
        <v>8</v>
      </c>
      <c r="M7" s="879">
        <v>9</v>
      </c>
      <c r="N7" s="880">
        <v>10</v>
      </c>
      <c r="O7" s="879">
        <v>11</v>
      </c>
      <c r="P7" s="880">
        <v>12</v>
      </c>
      <c r="Q7" s="879">
        <v>13</v>
      </c>
      <c r="R7" s="880">
        <v>14</v>
      </c>
      <c r="S7" s="879">
        <v>15</v>
      </c>
      <c r="T7" s="880">
        <v>16</v>
      </c>
      <c r="U7" s="879">
        <v>17</v>
      </c>
      <c r="V7" s="880">
        <v>18</v>
      </c>
      <c r="W7" s="879">
        <v>19</v>
      </c>
      <c r="X7" s="879"/>
      <c r="Y7" s="879"/>
      <c r="Z7" s="880">
        <v>20</v>
      </c>
      <c r="AA7" s="880"/>
      <c r="AB7" s="880"/>
      <c r="AC7" s="879">
        <v>21</v>
      </c>
      <c r="AD7" s="880">
        <v>22</v>
      </c>
    </row>
    <row r="8" spans="1:49" s="887" customFormat="1" ht="22.5" hidden="1" customHeight="1" x14ac:dyDescent="0.2">
      <c r="A8" s="882"/>
      <c r="B8" s="882" t="s">
        <v>1114</v>
      </c>
      <c r="C8" s="882"/>
      <c r="D8" s="883"/>
      <c r="E8" s="884"/>
      <c r="F8" s="881"/>
      <c r="G8" s="882"/>
      <c r="H8" s="882"/>
      <c r="I8" s="882"/>
      <c r="J8" s="882"/>
      <c r="K8" s="882"/>
      <c r="L8" s="882"/>
      <c r="M8" s="882"/>
      <c r="N8" s="882"/>
      <c r="O8" s="882"/>
      <c r="P8" s="882"/>
      <c r="Q8" s="882"/>
      <c r="R8" s="882"/>
      <c r="S8" s="882"/>
      <c r="T8" s="882"/>
      <c r="U8" s="882"/>
      <c r="V8" s="882"/>
      <c r="W8" s="882"/>
      <c r="X8" s="882"/>
      <c r="Y8" s="882"/>
      <c r="Z8" s="882"/>
      <c r="AA8" s="882"/>
      <c r="AB8" s="882"/>
      <c r="AC8" s="882"/>
      <c r="AD8" s="885"/>
      <c r="AE8" s="886"/>
    </row>
    <row r="9" spans="1:49" s="887" customFormat="1" ht="17.25" hidden="1" customHeight="1" x14ac:dyDescent="0.2">
      <c r="A9" s="888" t="s">
        <v>887</v>
      </c>
      <c r="B9" s="889" t="s">
        <v>2102</v>
      </c>
      <c r="C9" s="890"/>
      <c r="D9" s="891"/>
      <c r="E9" s="891"/>
      <c r="F9" s="891"/>
      <c r="G9" s="890">
        <f>G10</f>
        <v>2572624530</v>
      </c>
      <c r="H9" s="890">
        <f t="shared" ref="H9:R9" si="0">H10</f>
        <v>0</v>
      </c>
      <c r="I9" s="890">
        <f t="shared" si="0"/>
        <v>2572624530</v>
      </c>
      <c r="J9" s="890">
        <f t="shared" si="0"/>
        <v>0</v>
      </c>
      <c r="K9" s="890">
        <f t="shared" si="0"/>
        <v>0</v>
      </c>
      <c r="L9" s="890">
        <f t="shared" si="0"/>
        <v>0</v>
      </c>
      <c r="M9" s="890">
        <f t="shared" si="0"/>
        <v>2419394000</v>
      </c>
      <c r="N9" s="890">
        <f t="shared" si="0"/>
        <v>0</v>
      </c>
      <c r="O9" s="890">
        <f t="shared" si="0"/>
        <v>2419394000</v>
      </c>
      <c r="P9" s="890">
        <f t="shared" si="0"/>
        <v>0</v>
      </c>
      <c r="Q9" s="890">
        <f t="shared" si="0"/>
        <v>0</v>
      </c>
      <c r="R9" s="890">
        <f t="shared" si="0"/>
        <v>0</v>
      </c>
      <c r="S9" s="890">
        <v>2020000000</v>
      </c>
      <c r="T9" s="890">
        <f>T10</f>
        <v>0</v>
      </c>
      <c r="U9" s="890">
        <f t="shared" ref="U9:AE9" si="1">U10</f>
        <v>2020000000</v>
      </c>
      <c r="V9" s="890">
        <f t="shared" si="1"/>
        <v>0</v>
      </c>
      <c r="W9" s="890">
        <f t="shared" si="1"/>
        <v>0</v>
      </c>
      <c r="X9" s="890">
        <f t="shared" si="1"/>
        <v>0</v>
      </c>
      <c r="Y9" s="890">
        <f t="shared" si="1"/>
        <v>0</v>
      </c>
      <c r="Z9" s="890">
        <f t="shared" si="1"/>
        <v>2572624530</v>
      </c>
      <c r="AA9" s="890">
        <f t="shared" si="1"/>
        <v>0</v>
      </c>
      <c r="AB9" s="890">
        <f t="shared" si="1"/>
        <v>2572624530</v>
      </c>
      <c r="AC9" s="890">
        <f t="shared" si="1"/>
        <v>0</v>
      </c>
      <c r="AD9" s="890">
        <f t="shared" si="1"/>
        <v>0</v>
      </c>
      <c r="AE9" s="890">
        <f t="shared" si="1"/>
        <v>0</v>
      </c>
      <c r="AF9" s="890">
        <v>0</v>
      </c>
      <c r="AG9" s="890">
        <v>0</v>
      </c>
      <c r="AH9" s="890">
        <v>0</v>
      </c>
      <c r="AI9" s="890">
        <v>0</v>
      </c>
      <c r="AJ9" s="890">
        <v>0</v>
      </c>
      <c r="AK9" s="890">
        <v>0</v>
      </c>
      <c r="AL9" s="890">
        <v>405659265</v>
      </c>
      <c r="AM9" s="890">
        <v>405659265</v>
      </c>
      <c r="AN9" s="890">
        <v>405659265</v>
      </c>
      <c r="AO9" s="890">
        <v>0</v>
      </c>
      <c r="AP9" s="890">
        <v>0</v>
      </c>
      <c r="AQ9" s="890">
        <v>0</v>
      </c>
      <c r="AR9" s="890">
        <v>405659265</v>
      </c>
      <c r="AS9" s="890">
        <f>AS10</f>
        <v>0</v>
      </c>
      <c r="AT9" s="890">
        <f>AT10</f>
        <v>405659265</v>
      </c>
      <c r="AU9" s="890">
        <f>AU10</f>
        <v>0</v>
      </c>
      <c r="AV9" s="890">
        <f>AV10</f>
        <v>0</v>
      </c>
      <c r="AW9" s="890">
        <f>AW10</f>
        <v>0</v>
      </c>
    </row>
    <row r="10" spans="1:49" s="887" customFormat="1" ht="17.25" hidden="1" customHeight="1" x14ac:dyDescent="0.2">
      <c r="A10" s="888"/>
      <c r="B10" s="889" t="s">
        <v>2098</v>
      </c>
      <c r="C10" s="890"/>
      <c r="D10" s="891"/>
      <c r="E10" s="891"/>
      <c r="F10" s="891"/>
      <c r="G10" s="890">
        <f>SUM(G11:G12)</f>
        <v>2572624530</v>
      </c>
      <c r="H10" s="890">
        <f t="shared" ref="H10:R10" si="2">SUM(H11:H12)</f>
        <v>0</v>
      </c>
      <c r="I10" s="890">
        <f t="shared" si="2"/>
        <v>2572624530</v>
      </c>
      <c r="J10" s="890">
        <f t="shared" si="2"/>
        <v>0</v>
      </c>
      <c r="K10" s="890">
        <f t="shared" si="2"/>
        <v>0</v>
      </c>
      <c r="L10" s="890">
        <f t="shared" si="2"/>
        <v>0</v>
      </c>
      <c r="M10" s="890">
        <f t="shared" si="2"/>
        <v>2419394000</v>
      </c>
      <c r="N10" s="890">
        <f t="shared" si="2"/>
        <v>0</v>
      </c>
      <c r="O10" s="890">
        <f t="shared" si="2"/>
        <v>2419394000</v>
      </c>
      <c r="P10" s="890">
        <f t="shared" si="2"/>
        <v>0</v>
      </c>
      <c r="Q10" s="890">
        <f t="shared" si="2"/>
        <v>0</v>
      </c>
      <c r="R10" s="890">
        <f t="shared" si="2"/>
        <v>0</v>
      </c>
      <c r="S10" s="890">
        <v>2020000000</v>
      </c>
      <c r="T10" s="890">
        <f>SUM(T11:T12)</f>
        <v>0</v>
      </c>
      <c r="U10" s="890">
        <f>SUM(U11:U12)</f>
        <v>2020000000</v>
      </c>
      <c r="V10" s="890">
        <f t="shared" ref="V10:AE10" si="3">SUM(V11:V12)</f>
        <v>0</v>
      </c>
      <c r="W10" s="890">
        <f t="shared" si="3"/>
        <v>0</v>
      </c>
      <c r="X10" s="890">
        <f t="shared" si="3"/>
        <v>0</v>
      </c>
      <c r="Y10" s="890">
        <f t="shared" si="3"/>
        <v>0</v>
      </c>
      <c r="Z10" s="890">
        <f t="shared" si="3"/>
        <v>2572624530</v>
      </c>
      <c r="AA10" s="890">
        <f t="shared" si="3"/>
        <v>0</v>
      </c>
      <c r="AB10" s="890">
        <f t="shared" si="3"/>
        <v>2572624530</v>
      </c>
      <c r="AC10" s="890">
        <f t="shared" si="3"/>
        <v>0</v>
      </c>
      <c r="AD10" s="890">
        <f t="shared" si="3"/>
        <v>0</v>
      </c>
      <c r="AE10" s="890">
        <f t="shared" si="3"/>
        <v>0</v>
      </c>
      <c r="AF10" s="890">
        <v>0</v>
      </c>
      <c r="AG10" s="890">
        <v>0</v>
      </c>
      <c r="AH10" s="890">
        <v>0</v>
      </c>
      <c r="AI10" s="890">
        <v>0</v>
      </c>
      <c r="AJ10" s="890">
        <v>0</v>
      </c>
      <c r="AK10" s="890">
        <v>0</v>
      </c>
      <c r="AL10" s="890">
        <v>405659265</v>
      </c>
      <c r="AM10" s="890">
        <v>405659265</v>
      </c>
      <c r="AN10" s="890">
        <v>405659265</v>
      </c>
      <c r="AO10" s="890">
        <v>0</v>
      </c>
      <c r="AP10" s="890">
        <v>0</v>
      </c>
      <c r="AQ10" s="890">
        <v>0</v>
      </c>
      <c r="AR10" s="890">
        <v>405659265</v>
      </c>
      <c r="AS10" s="890">
        <f>SUM(AS11:AS12)</f>
        <v>0</v>
      </c>
      <c r="AT10" s="890">
        <f>SUM(AT11:AT12)</f>
        <v>405659265</v>
      </c>
      <c r="AU10" s="890">
        <f>SUM(AU11:AU12)</f>
        <v>0</v>
      </c>
      <c r="AV10" s="890">
        <f>SUM(AV11:AV12)</f>
        <v>0</v>
      </c>
      <c r="AW10" s="890">
        <f>SUM(AW11:AW12)</f>
        <v>0</v>
      </c>
    </row>
    <row r="11" spans="1:49" ht="39" hidden="1" customHeight="1" x14ac:dyDescent="0.2">
      <c r="A11" s="892" t="s">
        <v>1773</v>
      </c>
      <c r="B11" s="893" t="s">
        <v>2103</v>
      </c>
      <c r="C11" s="894"/>
      <c r="D11" s="895"/>
      <c r="E11" s="895"/>
      <c r="F11" s="895"/>
      <c r="G11" s="894">
        <v>661445083</v>
      </c>
      <c r="H11" s="894"/>
      <c r="I11" s="894">
        <f>G11</f>
        <v>661445083</v>
      </c>
      <c r="J11" s="894"/>
      <c r="K11" s="894"/>
      <c r="L11" s="894"/>
      <c r="M11" s="894">
        <f>SUM(N11:R11)</f>
        <v>638971000</v>
      </c>
      <c r="N11" s="894"/>
      <c r="O11" s="894">
        <v>638971000</v>
      </c>
      <c r="P11" s="894"/>
      <c r="Q11" s="894"/>
      <c r="R11" s="894"/>
      <c r="S11" s="894">
        <v>520000000</v>
      </c>
      <c r="T11" s="894"/>
      <c r="U11" s="894">
        <f>S11</f>
        <v>520000000</v>
      </c>
      <c r="V11" s="894"/>
      <c r="W11" s="894"/>
      <c r="X11" s="894"/>
      <c r="Y11" s="894"/>
      <c r="Z11" s="894">
        <f>SUM(AA11:AE11)</f>
        <v>661445083</v>
      </c>
      <c r="AA11" s="894"/>
      <c r="AB11" s="894">
        <f>I11</f>
        <v>661445083</v>
      </c>
      <c r="AC11" s="894"/>
      <c r="AD11" s="894"/>
      <c r="AE11" s="894"/>
      <c r="AF11" s="894">
        <v>0</v>
      </c>
      <c r="AG11" s="894">
        <v>0</v>
      </c>
      <c r="AH11" s="894">
        <v>0</v>
      </c>
      <c r="AI11" s="894"/>
      <c r="AJ11" s="894"/>
      <c r="AK11" s="894"/>
      <c r="AL11" s="894">
        <v>120597188</v>
      </c>
      <c r="AM11" s="894">
        <v>120597188</v>
      </c>
      <c r="AN11" s="894">
        <v>120597188</v>
      </c>
      <c r="AO11" s="894">
        <v>0</v>
      </c>
      <c r="AP11" s="894">
        <v>0</v>
      </c>
      <c r="AQ11" s="894">
        <v>0</v>
      </c>
      <c r="AR11" s="894">
        <v>120597188</v>
      </c>
      <c r="AS11" s="894"/>
      <c r="AT11" s="894">
        <f>AR11</f>
        <v>120597188</v>
      </c>
      <c r="AU11" s="894"/>
      <c r="AV11" s="894"/>
      <c r="AW11" s="894"/>
    </row>
    <row r="12" spans="1:49" ht="38.25" hidden="1" customHeight="1" x14ac:dyDescent="0.2">
      <c r="A12" s="892" t="s">
        <v>1774</v>
      </c>
      <c r="B12" s="893" t="s">
        <v>2105</v>
      </c>
      <c r="C12" s="894"/>
      <c r="D12" s="895"/>
      <c r="E12" s="895"/>
      <c r="F12" s="895"/>
      <c r="G12" s="894">
        <v>1911179447</v>
      </c>
      <c r="H12" s="894"/>
      <c r="I12" s="894">
        <f>G12</f>
        <v>1911179447</v>
      </c>
      <c r="J12" s="894"/>
      <c r="K12" s="894"/>
      <c r="L12" s="894"/>
      <c r="M12" s="894">
        <f>SUM(N12:R12)</f>
        <v>1780423000</v>
      </c>
      <c r="N12" s="894"/>
      <c r="O12" s="894">
        <v>1780423000</v>
      </c>
      <c r="P12" s="894"/>
      <c r="Q12" s="894"/>
      <c r="R12" s="894"/>
      <c r="S12" s="894">
        <v>1500000000</v>
      </c>
      <c r="T12" s="894"/>
      <c r="U12" s="894">
        <f>S12</f>
        <v>1500000000</v>
      </c>
      <c r="V12" s="894"/>
      <c r="W12" s="894"/>
      <c r="X12" s="894"/>
      <c r="Y12" s="894"/>
      <c r="Z12" s="894">
        <f>SUM(AA12:AE12)</f>
        <v>1911179447</v>
      </c>
      <c r="AA12" s="894"/>
      <c r="AB12" s="894">
        <f>I12</f>
        <v>1911179447</v>
      </c>
      <c r="AC12" s="894"/>
      <c r="AD12" s="894"/>
      <c r="AE12" s="894"/>
      <c r="AF12" s="894"/>
      <c r="AG12" s="894"/>
      <c r="AH12" s="894"/>
      <c r="AI12" s="894"/>
      <c r="AJ12" s="894"/>
      <c r="AK12" s="894"/>
      <c r="AL12" s="894">
        <v>285062077</v>
      </c>
      <c r="AM12" s="894">
        <v>285062077</v>
      </c>
      <c r="AN12" s="894">
        <v>285062077</v>
      </c>
      <c r="AO12" s="894"/>
      <c r="AP12" s="894"/>
      <c r="AQ12" s="894">
        <v>0</v>
      </c>
      <c r="AR12" s="894">
        <v>285062077</v>
      </c>
      <c r="AS12" s="894"/>
      <c r="AT12" s="894">
        <f>AR12</f>
        <v>285062077</v>
      </c>
      <c r="AU12" s="894"/>
      <c r="AV12" s="894"/>
      <c r="AW12" s="894"/>
    </row>
    <row r="13" spans="1:49" ht="16.5" hidden="1" customHeight="1" x14ac:dyDescent="0.2">
      <c r="A13" s="896" t="s">
        <v>888</v>
      </c>
      <c r="B13" s="896" t="s">
        <v>2095</v>
      </c>
      <c r="C13" s="890"/>
      <c r="D13" s="891"/>
      <c r="E13" s="891"/>
      <c r="F13" s="891"/>
      <c r="G13" s="890">
        <f>G14</f>
        <v>0</v>
      </c>
      <c r="H13" s="890">
        <f t="shared" ref="H13:R14" si="4">H14</f>
        <v>0</v>
      </c>
      <c r="I13" s="890">
        <f t="shared" si="4"/>
        <v>0</v>
      </c>
      <c r="J13" s="890">
        <f t="shared" si="4"/>
        <v>0</v>
      </c>
      <c r="K13" s="890">
        <f t="shared" si="4"/>
        <v>0</v>
      </c>
      <c r="L13" s="890">
        <f t="shared" si="4"/>
        <v>0</v>
      </c>
      <c r="M13" s="890">
        <f t="shared" si="4"/>
        <v>0</v>
      </c>
      <c r="N13" s="890">
        <f t="shared" si="4"/>
        <v>0</v>
      </c>
      <c r="O13" s="890">
        <f t="shared" si="4"/>
        <v>0</v>
      </c>
      <c r="P13" s="890">
        <f t="shared" si="4"/>
        <v>0</v>
      </c>
      <c r="Q13" s="890">
        <f t="shared" si="4"/>
        <v>0</v>
      </c>
      <c r="R13" s="890">
        <f t="shared" si="4"/>
        <v>0</v>
      </c>
      <c r="S13" s="890">
        <v>0</v>
      </c>
      <c r="T13" s="890"/>
      <c r="U13" s="890"/>
      <c r="V13" s="890"/>
      <c r="W13" s="890"/>
      <c r="X13" s="890"/>
      <c r="Y13" s="890">
        <f t="shared" ref="Y13:AE14" si="5">Y14</f>
        <v>0</v>
      </c>
      <c r="Z13" s="890">
        <f t="shared" si="5"/>
        <v>0</v>
      </c>
      <c r="AA13" s="890">
        <f t="shared" si="5"/>
        <v>0</v>
      </c>
      <c r="AB13" s="890">
        <f t="shared" si="5"/>
        <v>0</v>
      </c>
      <c r="AC13" s="890">
        <f t="shared" si="5"/>
        <v>0</v>
      </c>
      <c r="AD13" s="890">
        <f t="shared" si="5"/>
        <v>0</v>
      </c>
      <c r="AE13" s="890">
        <f t="shared" si="5"/>
        <v>0</v>
      </c>
      <c r="AF13" s="890">
        <v>0</v>
      </c>
      <c r="AG13" s="890">
        <v>0</v>
      </c>
      <c r="AH13" s="890">
        <v>0</v>
      </c>
      <c r="AI13" s="890">
        <v>0</v>
      </c>
      <c r="AJ13" s="890">
        <v>0</v>
      </c>
      <c r="AK13" s="890">
        <v>0</v>
      </c>
      <c r="AL13" s="890">
        <v>700000000</v>
      </c>
      <c r="AM13" s="890">
        <v>700000000</v>
      </c>
      <c r="AN13" s="890">
        <v>700000000</v>
      </c>
      <c r="AO13" s="890">
        <v>0</v>
      </c>
      <c r="AP13" s="890">
        <v>0</v>
      </c>
      <c r="AQ13" s="890">
        <v>0</v>
      </c>
      <c r="AR13" s="890">
        <v>700000000</v>
      </c>
      <c r="AS13" s="890">
        <f>AS14</f>
        <v>0</v>
      </c>
      <c r="AT13" s="890">
        <f t="shared" ref="AT13:AW14" si="6">AT14</f>
        <v>700000000</v>
      </c>
      <c r="AU13" s="890">
        <f t="shared" si="6"/>
        <v>0</v>
      </c>
      <c r="AV13" s="890">
        <f t="shared" si="6"/>
        <v>0</v>
      </c>
      <c r="AW13" s="890">
        <f t="shared" si="6"/>
        <v>0</v>
      </c>
    </row>
    <row r="14" spans="1:49" ht="30.75" hidden="1" customHeight="1" x14ac:dyDescent="0.2">
      <c r="A14" s="896"/>
      <c r="B14" s="897" t="s">
        <v>2096</v>
      </c>
      <c r="C14" s="890"/>
      <c r="D14" s="891"/>
      <c r="E14" s="891"/>
      <c r="F14" s="891"/>
      <c r="G14" s="890">
        <f>G15</f>
        <v>0</v>
      </c>
      <c r="H14" s="890">
        <f t="shared" si="4"/>
        <v>0</v>
      </c>
      <c r="I14" s="890">
        <f t="shared" si="4"/>
        <v>0</v>
      </c>
      <c r="J14" s="890">
        <f t="shared" si="4"/>
        <v>0</v>
      </c>
      <c r="K14" s="890">
        <f t="shared" si="4"/>
        <v>0</v>
      </c>
      <c r="L14" s="890">
        <f t="shared" si="4"/>
        <v>0</v>
      </c>
      <c r="M14" s="890">
        <f t="shared" si="4"/>
        <v>0</v>
      </c>
      <c r="N14" s="890">
        <f t="shared" si="4"/>
        <v>0</v>
      </c>
      <c r="O14" s="890">
        <f t="shared" si="4"/>
        <v>0</v>
      </c>
      <c r="P14" s="890">
        <f t="shared" si="4"/>
        <v>0</v>
      </c>
      <c r="Q14" s="890">
        <f t="shared" si="4"/>
        <v>0</v>
      </c>
      <c r="R14" s="890">
        <f t="shared" si="4"/>
        <v>0</v>
      </c>
      <c r="S14" s="890">
        <v>0</v>
      </c>
      <c r="T14" s="890"/>
      <c r="U14" s="890"/>
      <c r="V14" s="890"/>
      <c r="W14" s="890"/>
      <c r="X14" s="890"/>
      <c r="Y14" s="890">
        <f t="shared" si="5"/>
        <v>0</v>
      </c>
      <c r="Z14" s="890">
        <f t="shared" si="5"/>
        <v>0</v>
      </c>
      <c r="AA14" s="890">
        <f t="shared" si="5"/>
        <v>0</v>
      </c>
      <c r="AB14" s="890">
        <f t="shared" si="5"/>
        <v>0</v>
      </c>
      <c r="AC14" s="890">
        <f t="shared" si="5"/>
        <v>0</v>
      </c>
      <c r="AD14" s="890">
        <f t="shared" si="5"/>
        <v>0</v>
      </c>
      <c r="AE14" s="890">
        <f t="shared" si="5"/>
        <v>0</v>
      </c>
      <c r="AF14" s="890">
        <v>0</v>
      </c>
      <c r="AG14" s="890">
        <v>0</v>
      </c>
      <c r="AH14" s="890">
        <v>0</v>
      </c>
      <c r="AI14" s="890">
        <v>0</v>
      </c>
      <c r="AJ14" s="890">
        <v>0</v>
      </c>
      <c r="AK14" s="890">
        <v>0</v>
      </c>
      <c r="AL14" s="890">
        <v>700000000</v>
      </c>
      <c r="AM14" s="890">
        <v>700000000</v>
      </c>
      <c r="AN14" s="890">
        <v>700000000</v>
      </c>
      <c r="AO14" s="890">
        <v>0</v>
      </c>
      <c r="AP14" s="890">
        <v>0</v>
      </c>
      <c r="AQ14" s="890">
        <v>0</v>
      </c>
      <c r="AR14" s="890">
        <v>700000000</v>
      </c>
      <c r="AS14" s="890">
        <f>AS15</f>
        <v>0</v>
      </c>
      <c r="AT14" s="890">
        <f t="shared" si="6"/>
        <v>700000000</v>
      </c>
      <c r="AU14" s="890">
        <f t="shared" si="6"/>
        <v>0</v>
      </c>
      <c r="AV14" s="890">
        <f t="shared" si="6"/>
        <v>0</v>
      </c>
      <c r="AW14" s="890">
        <f t="shared" si="6"/>
        <v>0</v>
      </c>
    </row>
    <row r="15" spans="1:49" ht="26.25" hidden="1" customHeight="1" x14ac:dyDescent="0.2">
      <c r="A15" s="898" t="s">
        <v>1773</v>
      </c>
      <c r="B15" s="893" t="s">
        <v>2106</v>
      </c>
      <c r="C15" s="894"/>
      <c r="D15" s="895"/>
      <c r="E15" s="895"/>
      <c r="F15" s="895"/>
      <c r="G15" s="894"/>
      <c r="H15" s="894"/>
      <c r="I15" s="894"/>
      <c r="J15" s="894"/>
      <c r="K15" s="894"/>
      <c r="L15" s="894"/>
      <c r="M15" s="894"/>
      <c r="N15" s="894"/>
      <c r="O15" s="894"/>
      <c r="P15" s="894"/>
      <c r="Q15" s="894"/>
      <c r="R15" s="894"/>
      <c r="S15" s="894"/>
      <c r="T15" s="894"/>
      <c r="U15" s="894"/>
      <c r="V15" s="894"/>
      <c r="W15" s="894"/>
      <c r="X15" s="894"/>
      <c r="Y15" s="894"/>
      <c r="Z15" s="894"/>
      <c r="AA15" s="894"/>
      <c r="AB15" s="894"/>
      <c r="AC15" s="894"/>
      <c r="AD15" s="894"/>
      <c r="AE15" s="894"/>
      <c r="AF15" s="894"/>
      <c r="AG15" s="894"/>
      <c r="AH15" s="894"/>
      <c r="AI15" s="894"/>
      <c r="AJ15" s="894"/>
      <c r="AK15" s="894"/>
      <c r="AL15" s="894">
        <v>700000000</v>
      </c>
      <c r="AM15" s="894">
        <v>700000000</v>
      </c>
      <c r="AN15" s="894">
        <v>700000000</v>
      </c>
      <c r="AO15" s="894"/>
      <c r="AP15" s="894"/>
      <c r="AQ15" s="894">
        <v>0</v>
      </c>
      <c r="AR15" s="894">
        <v>700000000</v>
      </c>
      <c r="AS15" s="894"/>
      <c r="AT15" s="894">
        <f>AR15</f>
        <v>700000000</v>
      </c>
      <c r="AU15" s="894"/>
      <c r="AV15" s="894"/>
      <c r="AW15" s="894"/>
    </row>
    <row r="16" spans="1:49" s="887" customFormat="1" ht="17.25" hidden="1" customHeight="1" x14ac:dyDescent="0.2">
      <c r="A16" s="899" t="s">
        <v>2101</v>
      </c>
      <c r="B16" s="900" t="s">
        <v>2107</v>
      </c>
      <c r="C16" s="901"/>
      <c r="D16" s="902"/>
      <c r="E16" s="902"/>
      <c r="F16" s="902"/>
      <c r="G16" s="901">
        <f>G17</f>
        <v>13909657869</v>
      </c>
      <c r="H16" s="901">
        <f t="shared" ref="H16:R16" si="7">H17</f>
        <v>0</v>
      </c>
      <c r="I16" s="901">
        <f t="shared" si="7"/>
        <v>12609657869</v>
      </c>
      <c r="J16" s="901">
        <f t="shared" si="7"/>
        <v>1300000000</v>
      </c>
      <c r="K16" s="901">
        <f t="shared" si="7"/>
        <v>0</v>
      </c>
      <c r="L16" s="901">
        <f t="shared" si="7"/>
        <v>0</v>
      </c>
      <c r="M16" s="901">
        <f t="shared" si="7"/>
        <v>4518456400</v>
      </c>
      <c r="N16" s="901">
        <f t="shared" si="7"/>
        <v>0</v>
      </c>
      <c r="O16" s="901">
        <f t="shared" si="7"/>
        <v>3218456400</v>
      </c>
      <c r="P16" s="901">
        <f t="shared" si="7"/>
        <v>1300000000</v>
      </c>
      <c r="Q16" s="901">
        <f t="shared" si="7"/>
        <v>0</v>
      </c>
      <c r="R16" s="901">
        <f t="shared" si="7"/>
        <v>0</v>
      </c>
      <c r="S16" s="901">
        <v>3500000000</v>
      </c>
      <c r="T16" s="901">
        <f>T17</f>
        <v>0</v>
      </c>
      <c r="U16" s="901">
        <f t="shared" ref="U16:AE16" si="8">U17</f>
        <v>2200000000</v>
      </c>
      <c r="V16" s="901">
        <f t="shared" si="8"/>
        <v>1300000000</v>
      </c>
      <c r="W16" s="901">
        <f t="shared" si="8"/>
        <v>0</v>
      </c>
      <c r="X16" s="901">
        <f t="shared" si="8"/>
        <v>0</v>
      </c>
      <c r="Y16" s="901">
        <f t="shared" si="8"/>
        <v>0</v>
      </c>
      <c r="Z16" s="901">
        <f t="shared" si="8"/>
        <v>13909657869</v>
      </c>
      <c r="AA16" s="901">
        <f t="shared" si="8"/>
        <v>0</v>
      </c>
      <c r="AB16" s="901">
        <f t="shared" si="8"/>
        <v>12609657869</v>
      </c>
      <c r="AC16" s="901">
        <f t="shared" si="8"/>
        <v>1300000000</v>
      </c>
      <c r="AD16" s="901">
        <f t="shared" si="8"/>
        <v>0</v>
      </c>
      <c r="AE16" s="901">
        <f t="shared" si="8"/>
        <v>0</v>
      </c>
      <c r="AF16" s="901">
        <v>0</v>
      </c>
      <c r="AG16" s="901">
        <v>0</v>
      </c>
      <c r="AH16" s="901">
        <v>0</v>
      </c>
      <c r="AI16" s="901">
        <v>0</v>
      </c>
      <c r="AJ16" s="901">
        <v>0</v>
      </c>
      <c r="AK16" s="901">
        <v>0</v>
      </c>
      <c r="AL16" s="901">
        <v>1026223566</v>
      </c>
      <c r="AM16" s="901">
        <v>1026223566</v>
      </c>
      <c r="AN16" s="901">
        <v>1026223566</v>
      </c>
      <c r="AO16" s="901">
        <v>0</v>
      </c>
      <c r="AP16" s="901">
        <v>0</v>
      </c>
      <c r="AQ16" s="901">
        <v>0</v>
      </c>
      <c r="AR16" s="901">
        <v>1141223566</v>
      </c>
      <c r="AS16" s="901">
        <f>AS17</f>
        <v>0</v>
      </c>
      <c r="AT16" s="901">
        <f>AT17</f>
        <v>1141223566</v>
      </c>
      <c r="AU16" s="901">
        <f>AU17</f>
        <v>0</v>
      </c>
      <c r="AV16" s="901">
        <f>AV17</f>
        <v>0</v>
      </c>
      <c r="AW16" s="901">
        <f>AW17</f>
        <v>0</v>
      </c>
    </row>
    <row r="17" spans="1:49" s="887" customFormat="1" ht="17.25" hidden="1" customHeight="1" x14ac:dyDescent="0.2">
      <c r="A17" s="899"/>
      <c r="B17" s="900" t="s">
        <v>2098</v>
      </c>
      <c r="C17" s="901"/>
      <c r="D17" s="902"/>
      <c r="E17" s="902"/>
      <c r="F17" s="902"/>
      <c r="G17" s="901">
        <f>SUM(G18:G21)</f>
        <v>13909657869</v>
      </c>
      <c r="H17" s="901">
        <f t="shared" ref="H17:R17" si="9">SUM(H18:H21)</f>
        <v>0</v>
      </c>
      <c r="I17" s="901">
        <f t="shared" si="9"/>
        <v>12609657869</v>
      </c>
      <c r="J17" s="901">
        <f t="shared" si="9"/>
        <v>1300000000</v>
      </c>
      <c r="K17" s="901">
        <f t="shared" si="9"/>
        <v>0</v>
      </c>
      <c r="L17" s="901">
        <f t="shared" si="9"/>
        <v>0</v>
      </c>
      <c r="M17" s="901">
        <f t="shared" si="9"/>
        <v>4518456400</v>
      </c>
      <c r="N17" s="901">
        <f t="shared" si="9"/>
        <v>0</v>
      </c>
      <c r="O17" s="901">
        <f t="shared" si="9"/>
        <v>3218456400</v>
      </c>
      <c r="P17" s="901">
        <f t="shared" si="9"/>
        <v>1300000000</v>
      </c>
      <c r="Q17" s="901">
        <f t="shared" si="9"/>
        <v>0</v>
      </c>
      <c r="R17" s="901">
        <f t="shared" si="9"/>
        <v>0</v>
      </c>
      <c r="S17" s="901">
        <v>3500000000</v>
      </c>
      <c r="T17" s="901">
        <f>SUM(T18:T21)</f>
        <v>0</v>
      </c>
      <c r="U17" s="901">
        <f t="shared" ref="U17:AD17" si="10">SUM(U18:U21)</f>
        <v>2200000000</v>
      </c>
      <c r="V17" s="901">
        <f t="shared" si="10"/>
        <v>1300000000</v>
      </c>
      <c r="W17" s="901">
        <f t="shared" si="10"/>
        <v>0</v>
      </c>
      <c r="X17" s="901">
        <f t="shared" si="10"/>
        <v>0</v>
      </c>
      <c r="Y17" s="901">
        <f t="shared" si="10"/>
        <v>0</v>
      </c>
      <c r="Z17" s="901">
        <f t="shared" si="10"/>
        <v>13909657869</v>
      </c>
      <c r="AA17" s="901">
        <f t="shared" si="10"/>
        <v>0</v>
      </c>
      <c r="AB17" s="901">
        <f t="shared" si="10"/>
        <v>12609657869</v>
      </c>
      <c r="AC17" s="901">
        <f t="shared" si="10"/>
        <v>1300000000</v>
      </c>
      <c r="AD17" s="901">
        <f t="shared" si="10"/>
        <v>0</v>
      </c>
      <c r="AE17" s="901">
        <f>SUM(AE18:AE21)</f>
        <v>0</v>
      </c>
      <c r="AF17" s="901">
        <v>0</v>
      </c>
      <c r="AG17" s="901">
        <v>0</v>
      </c>
      <c r="AH17" s="901">
        <v>0</v>
      </c>
      <c r="AI17" s="901">
        <v>0</v>
      </c>
      <c r="AJ17" s="901">
        <v>0</v>
      </c>
      <c r="AK17" s="901">
        <v>0</v>
      </c>
      <c r="AL17" s="901">
        <v>1026223566</v>
      </c>
      <c r="AM17" s="901">
        <v>1026223566</v>
      </c>
      <c r="AN17" s="901">
        <v>1026223566</v>
      </c>
      <c r="AO17" s="901">
        <v>0</v>
      </c>
      <c r="AP17" s="901">
        <v>0</v>
      </c>
      <c r="AQ17" s="901">
        <v>0</v>
      </c>
      <c r="AR17" s="901">
        <v>1141223566</v>
      </c>
      <c r="AS17" s="901">
        <f>SUM(AS18:AS21)</f>
        <v>0</v>
      </c>
      <c r="AT17" s="901">
        <f>SUM(AT18:AT21)</f>
        <v>1141223566</v>
      </c>
      <c r="AU17" s="901">
        <f>SUM(AU18:AU21)</f>
        <v>0</v>
      </c>
      <c r="AV17" s="901">
        <f>SUM(AV18:AV21)</f>
        <v>0</v>
      </c>
      <c r="AW17" s="901">
        <f>SUM(AW18:AW21)</f>
        <v>0</v>
      </c>
    </row>
    <row r="18" spans="1:49" ht="27.75" hidden="1" customHeight="1" x14ac:dyDescent="0.2">
      <c r="A18" s="892" t="s">
        <v>1773</v>
      </c>
      <c r="B18" s="893" t="s">
        <v>408</v>
      </c>
      <c r="C18" s="894"/>
      <c r="D18" s="895"/>
      <c r="E18" s="895"/>
      <c r="F18" s="895"/>
      <c r="G18" s="894">
        <v>2485079536</v>
      </c>
      <c r="H18" s="894"/>
      <c r="I18" s="894">
        <f>G18</f>
        <v>2485079536</v>
      </c>
      <c r="J18" s="894"/>
      <c r="K18" s="894"/>
      <c r="L18" s="894"/>
      <c r="M18" s="894">
        <f>SUM(N18:R18)</f>
        <v>2148367000</v>
      </c>
      <c r="N18" s="894"/>
      <c r="O18" s="894">
        <v>2148367000</v>
      </c>
      <c r="P18" s="894"/>
      <c r="Q18" s="894"/>
      <c r="R18" s="894"/>
      <c r="S18" s="894">
        <v>2000000000</v>
      </c>
      <c r="T18" s="894"/>
      <c r="U18" s="894">
        <f>S18</f>
        <v>2000000000</v>
      </c>
      <c r="V18" s="894"/>
      <c r="W18" s="894"/>
      <c r="X18" s="894"/>
      <c r="Y18" s="894"/>
      <c r="Z18" s="894">
        <f>SUM(AA18:AE18)</f>
        <v>2485079536</v>
      </c>
      <c r="AA18" s="894"/>
      <c r="AB18" s="894">
        <f>I18</f>
        <v>2485079536</v>
      </c>
      <c r="AC18" s="894"/>
      <c r="AD18" s="894"/>
      <c r="AE18" s="894"/>
      <c r="AF18" s="894">
        <v>0</v>
      </c>
      <c r="AG18" s="894">
        <v>0</v>
      </c>
      <c r="AH18" s="894">
        <v>0</v>
      </c>
      <c r="AI18" s="894"/>
      <c r="AJ18" s="894"/>
      <c r="AK18" s="894"/>
      <c r="AL18" s="894">
        <v>151924266</v>
      </c>
      <c r="AM18" s="894">
        <v>151924266</v>
      </c>
      <c r="AN18" s="894">
        <v>151924266</v>
      </c>
      <c r="AO18" s="894">
        <v>0</v>
      </c>
      <c r="AP18" s="894">
        <v>0</v>
      </c>
      <c r="AQ18" s="894">
        <v>0</v>
      </c>
      <c r="AR18" s="894">
        <v>236924266</v>
      </c>
      <c r="AS18" s="894"/>
      <c r="AT18" s="894">
        <f>AR18</f>
        <v>236924266</v>
      </c>
      <c r="AU18" s="894"/>
      <c r="AV18" s="894"/>
      <c r="AW18" s="894"/>
    </row>
    <row r="19" spans="1:49" ht="40.5" hidden="1" customHeight="1" x14ac:dyDescent="0.2">
      <c r="A19" s="892" t="s">
        <v>1774</v>
      </c>
      <c r="B19" s="893" t="s">
        <v>2108</v>
      </c>
      <c r="C19" s="894"/>
      <c r="D19" s="895"/>
      <c r="E19" s="895"/>
      <c r="F19" s="895"/>
      <c r="G19" s="894">
        <v>450079432</v>
      </c>
      <c r="H19" s="894"/>
      <c r="I19" s="894">
        <f>G19</f>
        <v>450079432</v>
      </c>
      <c r="J19" s="894"/>
      <c r="K19" s="894"/>
      <c r="L19" s="894"/>
      <c r="M19" s="894">
        <f>SUM(N19:R19)</f>
        <v>433296000</v>
      </c>
      <c r="N19" s="894"/>
      <c r="O19" s="894">
        <v>433296000</v>
      </c>
      <c r="P19" s="894"/>
      <c r="Q19" s="894"/>
      <c r="R19" s="894"/>
      <c r="S19" s="894">
        <v>200000000</v>
      </c>
      <c r="T19" s="894"/>
      <c r="U19" s="894">
        <f>S19</f>
        <v>200000000</v>
      </c>
      <c r="V19" s="894"/>
      <c r="W19" s="894"/>
      <c r="X19" s="894"/>
      <c r="Y19" s="894"/>
      <c r="Z19" s="894">
        <f>SUM(AA19:AE19)</f>
        <v>450079432</v>
      </c>
      <c r="AA19" s="894"/>
      <c r="AB19" s="894">
        <f>I19</f>
        <v>450079432</v>
      </c>
      <c r="AC19" s="894"/>
      <c r="AD19" s="894"/>
      <c r="AE19" s="894"/>
      <c r="AF19" s="894"/>
      <c r="AG19" s="894"/>
      <c r="AH19" s="894"/>
      <c r="AI19" s="894"/>
      <c r="AJ19" s="894"/>
      <c r="AK19" s="894"/>
      <c r="AL19" s="894">
        <v>233295600</v>
      </c>
      <c r="AM19" s="894">
        <v>233295600</v>
      </c>
      <c r="AN19" s="894">
        <v>233295600</v>
      </c>
      <c r="AO19" s="894"/>
      <c r="AP19" s="894"/>
      <c r="AQ19" s="894">
        <v>0</v>
      </c>
      <c r="AR19" s="894">
        <v>233295600</v>
      </c>
      <c r="AS19" s="894"/>
      <c r="AT19" s="894">
        <f>AR19</f>
        <v>233295600</v>
      </c>
      <c r="AU19" s="894"/>
      <c r="AV19" s="894"/>
      <c r="AW19" s="894"/>
    </row>
    <row r="20" spans="1:49" ht="27.75" hidden="1" customHeight="1" x14ac:dyDescent="0.2">
      <c r="A20" s="892" t="s">
        <v>1776</v>
      </c>
      <c r="B20" s="893" t="s">
        <v>2109</v>
      </c>
      <c r="C20" s="894"/>
      <c r="D20" s="895"/>
      <c r="E20" s="895"/>
      <c r="F20" s="895"/>
      <c r="G20" s="894">
        <v>1957498901</v>
      </c>
      <c r="H20" s="894"/>
      <c r="I20" s="894">
        <f>G20-J20</f>
        <v>657498901</v>
      </c>
      <c r="J20" s="894">
        <v>1300000000</v>
      </c>
      <c r="K20" s="894"/>
      <c r="L20" s="894"/>
      <c r="M20" s="894">
        <f>SUM(N20:R20)</f>
        <v>1925060000</v>
      </c>
      <c r="N20" s="894"/>
      <c r="O20" s="894">
        <f>1925060000-1300000000</f>
        <v>625060000</v>
      </c>
      <c r="P20" s="894">
        <v>1300000000</v>
      </c>
      <c r="Q20" s="894"/>
      <c r="R20" s="894"/>
      <c r="S20" s="894">
        <v>1300000000</v>
      </c>
      <c r="T20" s="894"/>
      <c r="U20" s="894"/>
      <c r="V20" s="894">
        <v>1300000000</v>
      </c>
      <c r="W20" s="894"/>
      <c r="X20" s="894"/>
      <c r="Y20" s="894"/>
      <c r="Z20" s="894">
        <f>SUM(AA20:AE20)</f>
        <v>1957498901</v>
      </c>
      <c r="AA20" s="894"/>
      <c r="AB20" s="894">
        <f>I20</f>
        <v>657498901</v>
      </c>
      <c r="AC20" s="894">
        <f>J20</f>
        <v>1300000000</v>
      </c>
      <c r="AD20" s="894"/>
      <c r="AE20" s="894"/>
      <c r="AF20" s="894"/>
      <c r="AG20" s="894"/>
      <c r="AH20" s="894"/>
      <c r="AI20" s="894"/>
      <c r="AJ20" s="894"/>
      <c r="AK20" s="894"/>
      <c r="AL20" s="894">
        <v>629270300</v>
      </c>
      <c r="AM20" s="894">
        <v>629270300</v>
      </c>
      <c r="AN20" s="894">
        <v>629270300</v>
      </c>
      <c r="AO20" s="894"/>
      <c r="AP20" s="894"/>
      <c r="AQ20" s="894">
        <v>0</v>
      </c>
      <c r="AR20" s="894">
        <v>659270300</v>
      </c>
      <c r="AS20" s="894"/>
      <c r="AT20" s="894">
        <f>AR20</f>
        <v>659270300</v>
      </c>
      <c r="AU20" s="894"/>
      <c r="AV20" s="894"/>
      <c r="AW20" s="894"/>
    </row>
    <row r="21" spans="1:49" ht="27.75" hidden="1" customHeight="1" x14ac:dyDescent="0.2">
      <c r="A21" s="892" t="s">
        <v>509</v>
      </c>
      <c r="B21" s="893" t="s">
        <v>2110</v>
      </c>
      <c r="C21" s="894"/>
      <c r="D21" s="895"/>
      <c r="E21" s="895"/>
      <c r="F21" s="895"/>
      <c r="G21" s="894">
        <v>9017000000</v>
      </c>
      <c r="H21" s="894"/>
      <c r="I21" s="894">
        <f>G21</f>
        <v>9017000000</v>
      </c>
      <c r="J21" s="894"/>
      <c r="K21" s="894"/>
      <c r="L21" s="894"/>
      <c r="M21" s="894">
        <f>SUM(N21:R21)</f>
        <v>11733400</v>
      </c>
      <c r="N21" s="894"/>
      <c r="O21" s="894">
        <v>11733400</v>
      </c>
      <c r="P21" s="894"/>
      <c r="Q21" s="894"/>
      <c r="R21" s="894"/>
      <c r="S21" s="894"/>
      <c r="T21" s="894"/>
      <c r="U21" s="894"/>
      <c r="V21" s="894"/>
      <c r="W21" s="894"/>
      <c r="X21" s="894"/>
      <c r="Y21" s="894"/>
      <c r="Z21" s="894">
        <f>SUM(AA21:AE21)</f>
        <v>9017000000</v>
      </c>
      <c r="AA21" s="894"/>
      <c r="AB21" s="894">
        <f>I21</f>
        <v>9017000000</v>
      </c>
      <c r="AC21" s="894"/>
      <c r="AD21" s="894"/>
      <c r="AE21" s="894"/>
      <c r="AF21" s="894"/>
      <c r="AG21" s="894"/>
      <c r="AH21" s="894"/>
      <c r="AI21" s="894"/>
      <c r="AJ21" s="894"/>
      <c r="AK21" s="894"/>
      <c r="AL21" s="894">
        <v>11733400</v>
      </c>
      <c r="AM21" s="894">
        <v>11733400</v>
      </c>
      <c r="AN21" s="894">
        <v>11733400</v>
      </c>
      <c r="AO21" s="894"/>
      <c r="AP21" s="894"/>
      <c r="AQ21" s="894">
        <v>0</v>
      </c>
      <c r="AR21" s="894">
        <v>11733400</v>
      </c>
      <c r="AS21" s="894"/>
      <c r="AT21" s="894">
        <f>AR21</f>
        <v>11733400</v>
      </c>
      <c r="AU21" s="894"/>
      <c r="AV21" s="894"/>
      <c r="AW21" s="894"/>
    </row>
    <row r="22" spans="1:49" s="887" customFormat="1" ht="20.25" hidden="1" customHeight="1" x14ac:dyDescent="0.2">
      <c r="A22" s="899" t="s">
        <v>2111</v>
      </c>
      <c r="B22" s="900" t="s">
        <v>2112</v>
      </c>
      <c r="C22" s="901"/>
      <c r="D22" s="903"/>
      <c r="E22" s="903"/>
      <c r="F22" s="903"/>
      <c r="G22" s="904">
        <f>G23</f>
        <v>2357461923</v>
      </c>
      <c r="H22" s="904">
        <f t="shared" ref="H22:R22" si="11">H23</f>
        <v>0</v>
      </c>
      <c r="I22" s="904">
        <f t="shared" si="11"/>
        <v>1157461923</v>
      </c>
      <c r="J22" s="904">
        <f t="shared" si="11"/>
        <v>0</v>
      </c>
      <c r="K22" s="904">
        <f t="shared" si="11"/>
        <v>0</v>
      </c>
      <c r="L22" s="904">
        <f t="shared" si="11"/>
        <v>1200000000</v>
      </c>
      <c r="M22" s="904">
        <f t="shared" si="11"/>
        <v>2207268000</v>
      </c>
      <c r="N22" s="904">
        <f t="shared" si="11"/>
        <v>0</v>
      </c>
      <c r="O22" s="904">
        <f t="shared" si="11"/>
        <v>1007268000</v>
      </c>
      <c r="P22" s="904">
        <f t="shared" si="11"/>
        <v>0</v>
      </c>
      <c r="Q22" s="904">
        <f t="shared" si="11"/>
        <v>0</v>
      </c>
      <c r="R22" s="904">
        <f t="shared" si="11"/>
        <v>1200000000</v>
      </c>
      <c r="S22" s="904">
        <v>300000000</v>
      </c>
      <c r="T22" s="904">
        <f>T23</f>
        <v>0</v>
      </c>
      <c r="U22" s="904">
        <f t="shared" ref="U22:AE22" si="12">U23</f>
        <v>300000000</v>
      </c>
      <c r="V22" s="904">
        <f t="shared" si="12"/>
        <v>0</v>
      </c>
      <c r="W22" s="904">
        <f t="shared" si="12"/>
        <v>0</v>
      </c>
      <c r="X22" s="904">
        <f t="shared" si="12"/>
        <v>0</v>
      </c>
      <c r="Y22" s="904">
        <f t="shared" si="12"/>
        <v>0</v>
      </c>
      <c r="Z22" s="904">
        <f t="shared" si="12"/>
        <v>2357461923</v>
      </c>
      <c r="AA22" s="904">
        <f t="shared" si="12"/>
        <v>0</v>
      </c>
      <c r="AB22" s="904">
        <f t="shared" si="12"/>
        <v>1157461923</v>
      </c>
      <c r="AC22" s="904">
        <f t="shared" si="12"/>
        <v>0</v>
      </c>
      <c r="AD22" s="904">
        <f t="shared" si="12"/>
        <v>0</v>
      </c>
      <c r="AE22" s="904">
        <f t="shared" si="12"/>
        <v>1200000000</v>
      </c>
      <c r="AF22" s="904">
        <v>0</v>
      </c>
      <c r="AG22" s="904">
        <v>0</v>
      </c>
      <c r="AH22" s="904">
        <v>0</v>
      </c>
      <c r="AI22" s="904">
        <v>0</v>
      </c>
      <c r="AJ22" s="904">
        <v>0</v>
      </c>
      <c r="AK22" s="904">
        <v>0</v>
      </c>
      <c r="AL22" s="904">
        <v>740338229</v>
      </c>
      <c r="AM22" s="904">
        <v>740338229</v>
      </c>
      <c r="AN22" s="904">
        <v>740338229</v>
      </c>
      <c r="AO22" s="904">
        <v>0</v>
      </c>
      <c r="AP22" s="904">
        <v>0</v>
      </c>
      <c r="AQ22" s="904">
        <v>0</v>
      </c>
      <c r="AR22" s="904">
        <v>790338229</v>
      </c>
      <c r="AS22" s="904">
        <f>AS23</f>
        <v>0</v>
      </c>
      <c r="AT22" s="904">
        <f>AT23</f>
        <v>790338229</v>
      </c>
      <c r="AU22" s="904">
        <f>AU23</f>
        <v>0</v>
      </c>
      <c r="AV22" s="904">
        <f>AV23</f>
        <v>0</v>
      </c>
      <c r="AW22" s="904">
        <f>AW23</f>
        <v>0</v>
      </c>
    </row>
    <row r="23" spans="1:49" s="887" customFormat="1" ht="16.5" hidden="1" customHeight="1" x14ac:dyDescent="0.2">
      <c r="A23" s="899"/>
      <c r="B23" s="900" t="s">
        <v>2113</v>
      </c>
      <c r="C23" s="901"/>
      <c r="D23" s="903"/>
      <c r="E23" s="903"/>
      <c r="F23" s="903"/>
      <c r="G23" s="904">
        <f>SUM(G24:G25)</f>
        <v>2357461923</v>
      </c>
      <c r="H23" s="904">
        <f t="shared" ref="H23:R23" si="13">SUM(H24:H25)</f>
        <v>0</v>
      </c>
      <c r="I23" s="904">
        <f>SUM(I24:I25)</f>
        <v>1157461923</v>
      </c>
      <c r="J23" s="904">
        <f t="shared" si="13"/>
        <v>0</v>
      </c>
      <c r="K23" s="904">
        <f t="shared" si="13"/>
        <v>0</v>
      </c>
      <c r="L23" s="904">
        <f t="shared" si="13"/>
        <v>1200000000</v>
      </c>
      <c r="M23" s="904">
        <f t="shared" si="13"/>
        <v>2207268000</v>
      </c>
      <c r="N23" s="904">
        <f t="shared" si="13"/>
        <v>0</v>
      </c>
      <c r="O23" s="904">
        <f t="shared" si="13"/>
        <v>1007268000</v>
      </c>
      <c r="P23" s="904">
        <f t="shared" si="13"/>
        <v>0</v>
      </c>
      <c r="Q23" s="904">
        <f t="shared" si="13"/>
        <v>0</v>
      </c>
      <c r="R23" s="904">
        <f t="shared" si="13"/>
        <v>1200000000</v>
      </c>
      <c r="S23" s="904">
        <v>300000000</v>
      </c>
      <c r="T23" s="904">
        <f>SUM(T24:T25)</f>
        <v>0</v>
      </c>
      <c r="U23" s="904">
        <f t="shared" ref="U23:AE23" si="14">SUM(U24:U25)</f>
        <v>300000000</v>
      </c>
      <c r="V23" s="904">
        <f t="shared" si="14"/>
        <v>0</v>
      </c>
      <c r="W23" s="904">
        <f t="shared" si="14"/>
        <v>0</v>
      </c>
      <c r="X23" s="904">
        <f t="shared" si="14"/>
        <v>0</v>
      </c>
      <c r="Y23" s="904">
        <f t="shared" si="14"/>
        <v>0</v>
      </c>
      <c r="Z23" s="904">
        <f t="shared" si="14"/>
        <v>2357461923</v>
      </c>
      <c r="AA23" s="904">
        <f t="shared" si="14"/>
        <v>0</v>
      </c>
      <c r="AB23" s="904">
        <f t="shared" si="14"/>
        <v>1157461923</v>
      </c>
      <c r="AC23" s="904">
        <f t="shared" si="14"/>
        <v>0</v>
      </c>
      <c r="AD23" s="904">
        <f t="shared" si="14"/>
        <v>0</v>
      </c>
      <c r="AE23" s="904">
        <f t="shared" si="14"/>
        <v>1200000000</v>
      </c>
      <c r="AF23" s="904">
        <v>0</v>
      </c>
      <c r="AG23" s="904">
        <v>0</v>
      </c>
      <c r="AH23" s="904">
        <v>0</v>
      </c>
      <c r="AI23" s="904">
        <v>0</v>
      </c>
      <c r="AJ23" s="904">
        <v>0</v>
      </c>
      <c r="AK23" s="904">
        <v>0</v>
      </c>
      <c r="AL23" s="904">
        <v>740338229</v>
      </c>
      <c r="AM23" s="904">
        <v>740338229</v>
      </c>
      <c r="AN23" s="904">
        <v>740338229</v>
      </c>
      <c r="AO23" s="904">
        <v>0</v>
      </c>
      <c r="AP23" s="904">
        <v>0</v>
      </c>
      <c r="AQ23" s="904">
        <v>0</v>
      </c>
      <c r="AR23" s="904">
        <v>790338229</v>
      </c>
      <c r="AS23" s="904">
        <f>SUM(AS24:AS25)</f>
        <v>0</v>
      </c>
      <c r="AT23" s="904">
        <f>SUM(AT24:AT25)</f>
        <v>790338229</v>
      </c>
      <c r="AU23" s="904">
        <f>SUM(AU24:AU25)</f>
        <v>0</v>
      </c>
      <c r="AV23" s="904">
        <f>SUM(AV24:AV25)</f>
        <v>0</v>
      </c>
      <c r="AW23" s="904">
        <f>SUM(AW24:AW25)</f>
        <v>0</v>
      </c>
    </row>
    <row r="24" spans="1:49" ht="36.75" hidden="1" customHeight="1" x14ac:dyDescent="0.2">
      <c r="A24" s="892" t="s">
        <v>1773</v>
      </c>
      <c r="B24" s="893" t="s">
        <v>407</v>
      </c>
      <c r="C24" s="894"/>
      <c r="D24" s="895"/>
      <c r="E24" s="895"/>
      <c r="F24" s="895"/>
      <c r="G24" s="894">
        <v>1197951235</v>
      </c>
      <c r="H24" s="894"/>
      <c r="I24" s="894">
        <f>G24-L24</f>
        <v>597951235</v>
      </c>
      <c r="J24" s="894"/>
      <c r="K24" s="894"/>
      <c r="L24" s="894">
        <v>600000000</v>
      </c>
      <c r="M24" s="894">
        <f>SUM(N24:R24)</f>
        <v>1166243000</v>
      </c>
      <c r="N24" s="894"/>
      <c r="O24" s="894">
        <f>1166243000-600000000</f>
        <v>566243000</v>
      </c>
      <c r="P24" s="894"/>
      <c r="Q24" s="894"/>
      <c r="R24" s="894">
        <v>600000000</v>
      </c>
      <c r="S24" s="894">
        <v>300000000</v>
      </c>
      <c r="T24" s="894"/>
      <c r="U24" s="894">
        <f>S24</f>
        <v>300000000</v>
      </c>
      <c r="V24" s="894"/>
      <c r="W24" s="894"/>
      <c r="X24" s="894"/>
      <c r="Y24" s="894"/>
      <c r="Z24" s="894">
        <f>SUM(AB24:AE24)</f>
        <v>1197951235</v>
      </c>
      <c r="AA24" s="894"/>
      <c r="AB24" s="894">
        <f>I24</f>
        <v>597951235</v>
      </c>
      <c r="AC24" s="894"/>
      <c r="AD24" s="894"/>
      <c r="AE24" s="894">
        <f>L24</f>
        <v>600000000</v>
      </c>
      <c r="AF24" s="894"/>
      <c r="AG24" s="894"/>
      <c r="AH24" s="894"/>
      <c r="AI24" s="894"/>
      <c r="AJ24" s="894"/>
      <c r="AK24" s="894"/>
      <c r="AL24" s="894">
        <v>274313245</v>
      </c>
      <c r="AM24" s="894">
        <v>274313245</v>
      </c>
      <c r="AN24" s="894">
        <v>274313245</v>
      </c>
      <c r="AO24" s="894">
        <v>0</v>
      </c>
      <c r="AP24" s="894">
        <v>0</v>
      </c>
      <c r="AQ24" s="894"/>
      <c r="AR24" s="894">
        <v>324313245</v>
      </c>
      <c r="AS24" s="894"/>
      <c r="AT24" s="894">
        <f>AR24</f>
        <v>324313245</v>
      </c>
      <c r="AU24" s="894"/>
      <c r="AV24" s="894"/>
      <c r="AW24" s="894"/>
    </row>
    <row r="25" spans="1:49" ht="37.5" hidden="1" customHeight="1" x14ac:dyDescent="0.2">
      <c r="A25" s="892" t="s">
        <v>1774</v>
      </c>
      <c r="B25" s="893" t="s">
        <v>2114</v>
      </c>
      <c r="C25" s="894"/>
      <c r="D25" s="895"/>
      <c r="E25" s="895"/>
      <c r="F25" s="895"/>
      <c r="G25" s="894">
        <v>1159510688</v>
      </c>
      <c r="H25" s="894"/>
      <c r="I25" s="894">
        <f>G25-L25</f>
        <v>559510688</v>
      </c>
      <c r="J25" s="894"/>
      <c r="K25" s="894"/>
      <c r="L25" s="894">
        <v>600000000</v>
      </c>
      <c r="M25" s="894">
        <f>SUM(N25:R25)</f>
        <v>1041025000</v>
      </c>
      <c r="N25" s="894"/>
      <c r="O25" s="894">
        <f>1041025000-600000000</f>
        <v>441025000</v>
      </c>
      <c r="P25" s="894"/>
      <c r="Q25" s="894"/>
      <c r="R25" s="894">
        <v>600000000</v>
      </c>
      <c r="S25" s="894">
        <v>0</v>
      </c>
      <c r="T25" s="894"/>
      <c r="U25" s="894"/>
      <c r="V25" s="894"/>
      <c r="W25" s="894"/>
      <c r="X25" s="894"/>
      <c r="Y25" s="894"/>
      <c r="Z25" s="894">
        <f>SUM(AB25:AE25)</f>
        <v>1159510688</v>
      </c>
      <c r="AA25" s="894"/>
      <c r="AB25" s="894">
        <f>I25</f>
        <v>559510688</v>
      </c>
      <c r="AC25" s="894"/>
      <c r="AD25" s="894"/>
      <c r="AE25" s="894">
        <f>L25</f>
        <v>600000000</v>
      </c>
      <c r="AF25" s="894"/>
      <c r="AG25" s="894"/>
      <c r="AH25" s="894"/>
      <c r="AI25" s="894"/>
      <c r="AJ25" s="894"/>
      <c r="AK25" s="894"/>
      <c r="AL25" s="894">
        <v>466024984</v>
      </c>
      <c r="AM25" s="894">
        <v>466024984</v>
      </c>
      <c r="AN25" s="894">
        <v>466024984</v>
      </c>
      <c r="AO25" s="894">
        <v>0</v>
      </c>
      <c r="AP25" s="894">
        <v>0</v>
      </c>
      <c r="AQ25" s="894"/>
      <c r="AR25" s="894">
        <v>466024984</v>
      </c>
      <c r="AS25" s="894"/>
      <c r="AT25" s="894">
        <f>AR25</f>
        <v>466024984</v>
      </c>
      <c r="AU25" s="894"/>
      <c r="AV25" s="894"/>
      <c r="AW25" s="894"/>
    </row>
    <row r="26" spans="1:49" s="887" customFormat="1" ht="21" hidden="1" customHeight="1" x14ac:dyDescent="0.2">
      <c r="A26" s="905" t="s">
        <v>1515</v>
      </c>
      <c r="B26" s="889" t="s">
        <v>2097</v>
      </c>
      <c r="C26" s="890"/>
      <c r="D26" s="906"/>
      <c r="E26" s="906"/>
      <c r="F26" s="906"/>
      <c r="G26" s="890">
        <f>G27</f>
        <v>8311213614</v>
      </c>
      <c r="H26" s="890">
        <f t="shared" ref="H26:R27" si="15">H27</f>
        <v>0</v>
      </c>
      <c r="I26" s="890">
        <f t="shared" si="15"/>
        <v>8311213614</v>
      </c>
      <c r="J26" s="890">
        <f t="shared" si="15"/>
        <v>0</v>
      </c>
      <c r="K26" s="890">
        <f t="shared" si="15"/>
        <v>0</v>
      </c>
      <c r="L26" s="890">
        <f t="shared" si="15"/>
        <v>0</v>
      </c>
      <c r="M26" s="890">
        <f t="shared" si="15"/>
        <v>0</v>
      </c>
      <c r="N26" s="890">
        <f t="shared" si="15"/>
        <v>0</v>
      </c>
      <c r="O26" s="890">
        <f t="shared" si="15"/>
        <v>0</v>
      </c>
      <c r="P26" s="890">
        <f t="shared" si="15"/>
        <v>0</v>
      </c>
      <c r="Q26" s="890">
        <f t="shared" si="15"/>
        <v>0</v>
      </c>
      <c r="R26" s="890">
        <f t="shared" si="15"/>
        <v>0</v>
      </c>
      <c r="S26" s="890">
        <v>800000000</v>
      </c>
      <c r="T26" s="890">
        <f>T27</f>
        <v>0</v>
      </c>
      <c r="U26" s="890">
        <f t="shared" ref="U26:AE27" si="16">U27</f>
        <v>800000000</v>
      </c>
      <c r="V26" s="890">
        <f t="shared" si="16"/>
        <v>0</v>
      </c>
      <c r="W26" s="890">
        <f t="shared" si="16"/>
        <v>0</v>
      </c>
      <c r="X26" s="890">
        <f t="shared" si="16"/>
        <v>0</v>
      </c>
      <c r="Y26" s="890">
        <f t="shared" si="16"/>
        <v>0</v>
      </c>
      <c r="Z26" s="890">
        <f t="shared" si="16"/>
        <v>0</v>
      </c>
      <c r="AA26" s="890">
        <f t="shared" si="16"/>
        <v>0</v>
      </c>
      <c r="AB26" s="890">
        <f t="shared" si="16"/>
        <v>0</v>
      </c>
      <c r="AC26" s="890">
        <f t="shared" si="16"/>
        <v>0</v>
      </c>
      <c r="AD26" s="890">
        <f t="shared" si="16"/>
        <v>0</v>
      </c>
      <c r="AE26" s="890">
        <f t="shared" si="16"/>
        <v>0</v>
      </c>
      <c r="AF26" s="890"/>
      <c r="AG26" s="890"/>
      <c r="AH26" s="890"/>
      <c r="AI26" s="890"/>
      <c r="AJ26" s="890"/>
      <c r="AK26" s="890"/>
      <c r="AL26" s="890">
        <v>700000000</v>
      </c>
      <c r="AM26" s="890">
        <v>700000000</v>
      </c>
      <c r="AN26" s="890">
        <v>700000000</v>
      </c>
      <c r="AO26" s="890">
        <v>0</v>
      </c>
      <c r="AP26" s="890">
        <v>0</v>
      </c>
      <c r="AQ26" s="890">
        <v>0</v>
      </c>
      <c r="AR26" s="890">
        <v>700000000</v>
      </c>
      <c r="AS26" s="890">
        <f>AS27</f>
        <v>0</v>
      </c>
      <c r="AT26" s="890">
        <f t="shared" ref="AT26:AW27" si="17">AT27</f>
        <v>700000000</v>
      </c>
      <c r="AU26" s="890">
        <f t="shared" si="17"/>
        <v>0</v>
      </c>
      <c r="AV26" s="890">
        <f t="shared" si="17"/>
        <v>0</v>
      </c>
      <c r="AW26" s="890">
        <f t="shared" si="17"/>
        <v>0</v>
      </c>
    </row>
    <row r="27" spans="1:49" s="887" customFormat="1" ht="25.5" hidden="1" customHeight="1" x14ac:dyDescent="0.2">
      <c r="A27" s="905"/>
      <c r="B27" s="889" t="s">
        <v>2099</v>
      </c>
      <c r="C27" s="890"/>
      <c r="D27" s="906"/>
      <c r="E27" s="906"/>
      <c r="F27" s="906"/>
      <c r="G27" s="890">
        <f>G28</f>
        <v>8311213614</v>
      </c>
      <c r="H27" s="890">
        <f t="shared" si="15"/>
        <v>0</v>
      </c>
      <c r="I27" s="890">
        <f t="shared" si="15"/>
        <v>8311213614</v>
      </c>
      <c r="J27" s="890">
        <f t="shared" si="15"/>
        <v>0</v>
      </c>
      <c r="K27" s="890">
        <f t="shared" si="15"/>
        <v>0</v>
      </c>
      <c r="L27" s="890">
        <f t="shared" si="15"/>
        <v>0</v>
      </c>
      <c r="M27" s="890">
        <f t="shared" si="15"/>
        <v>0</v>
      </c>
      <c r="N27" s="890">
        <f t="shared" si="15"/>
        <v>0</v>
      </c>
      <c r="O27" s="890">
        <f t="shared" si="15"/>
        <v>0</v>
      </c>
      <c r="P27" s="890">
        <f t="shared" si="15"/>
        <v>0</v>
      </c>
      <c r="Q27" s="890">
        <f t="shared" si="15"/>
        <v>0</v>
      </c>
      <c r="R27" s="890">
        <f t="shared" si="15"/>
        <v>0</v>
      </c>
      <c r="S27" s="890">
        <v>800000000</v>
      </c>
      <c r="T27" s="890">
        <f>T28</f>
        <v>0</v>
      </c>
      <c r="U27" s="890">
        <f t="shared" si="16"/>
        <v>800000000</v>
      </c>
      <c r="V27" s="890">
        <f t="shared" si="16"/>
        <v>0</v>
      </c>
      <c r="W27" s="890">
        <f t="shared" si="16"/>
        <v>0</v>
      </c>
      <c r="X27" s="890">
        <f t="shared" si="16"/>
        <v>0</v>
      </c>
      <c r="Y27" s="890">
        <f t="shared" si="16"/>
        <v>0</v>
      </c>
      <c r="Z27" s="890">
        <f t="shared" si="16"/>
        <v>0</v>
      </c>
      <c r="AA27" s="890">
        <f t="shared" si="16"/>
        <v>0</v>
      </c>
      <c r="AB27" s="890">
        <f t="shared" si="16"/>
        <v>0</v>
      </c>
      <c r="AC27" s="890">
        <f t="shared" si="16"/>
        <v>0</v>
      </c>
      <c r="AD27" s="890">
        <f t="shared" si="16"/>
        <v>0</v>
      </c>
      <c r="AE27" s="890">
        <f t="shared" si="16"/>
        <v>0</v>
      </c>
      <c r="AF27" s="890"/>
      <c r="AG27" s="890"/>
      <c r="AH27" s="890"/>
      <c r="AI27" s="890"/>
      <c r="AJ27" s="890"/>
      <c r="AK27" s="890"/>
      <c r="AL27" s="890">
        <v>700000000</v>
      </c>
      <c r="AM27" s="890">
        <v>700000000</v>
      </c>
      <c r="AN27" s="890">
        <v>700000000</v>
      </c>
      <c r="AO27" s="890">
        <v>0</v>
      </c>
      <c r="AP27" s="890">
        <v>0</v>
      </c>
      <c r="AQ27" s="890">
        <v>0</v>
      </c>
      <c r="AR27" s="890">
        <v>700000000</v>
      </c>
      <c r="AS27" s="890">
        <f>AS28</f>
        <v>0</v>
      </c>
      <c r="AT27" s="890">
        <f t="shared" si="17"/>
        <v>700000000</v>
      </c>
      <c r="AU27" s="890">
        <f t="shared" si="17"/>
        <v>0</v>
      </c>
      <c r="AV27" s="890">
        <f t="shared" si="17"/>
        <v>0</v>
      </c>
      <c r="AW27" s="890">
        <f t="shared" si="17"/>
        <v>0</v>
      </c>
    </row>
    <row r="28" spans="1:49" ht="23.25" hidden="1" customHeight="1" x14ac:dyDescent="0.2">
      <c r="A28" s="892" t="s">
        <v>1773</v>
      </c>
      <c r="B28" s="893" t="s">
        <v>2100</v>
      </c>
      <c r="C28" s="894"/>
      <c r="D28" s="895"/>
      <c r="E28" s="895"/>
      <c r="F28" s="895"/>
      <c r="G28" s="894">
        <v>8311213614</v>
      </c>
      <c r="H28" s="894"/>
      <c r="I28" s="894">
        <f>G28</f>
        <v>8311213614</v>
      </c>
      <c r="J28" s="894"/>
      <c r="K28" s="894"/>
      <c r="L28" s="894"/>
      <c r="M28" s="894"/>
      <c r="N28" s="894"/>
      <c r="O28" s="894"/>
      <c r="P28" s="894"/>
      <c r="Q28" s="894"/>
      <c r="R28" s="894"/>
      <c r="S28" s="894">
        <v>800000000</v>
      </c>
      <c r="T28" s="894"/>
      <c r="U28" s="894">
        <f>S28</f>
        <v>800000000</v>
      </c>
      <c r="V28" s="894"/>
      <c r="W28" s="894"/>
      <c r="X28" s="894"/>
      <c r="Y28" s="894"/>
      <c r="Z28" s="894"/>
      <c r="AA28" s="894"/>
      <c r="AB28" s="894"/>
      <c r="AC28" s="894"/>
      <c r="AD28" s="894"/>
      <c r="AE28" s="894"/>
      <c r="AF28" s="894"/>
      <c r="AG28" s="894"/>
      <c r="AH28" s="894"/>
      <c r="AI28" s="894"/>
      <c r="AJ28" s="894"/>
      <c r="AK28" s="894"/>
      <c r="AL28" s="894">
        <v>700000000</v>
      </c>
      <c r="AM28" s="894">
        <v>700000000</v>
      </c>
      <c r="AN28" s="894">
        <v>700000000</v>
      </c>
      <c r="AO28" s="894">
        <v>0</v>
      </c>
      <c r="AP28" s="894"/>
      <c r="AQ28" s="894">
        <v>0</v>
      </c>
      <c r="AR28" s="894">
        <v>700000000</v>
      </c>
      <c r="AS28" s="894"/>
      <c r="AT28" s="894">
        <f>AR28</f>
        <v>700000000</v>
      </c>
      <c r="AU28" s="894"/>
      <c r="AV28" s="894"/>
      <c r="AW28" s="894"/>
    </row>
    <row r="29" spans="1:49" ht="39" hidden="1" customHeight="1" x14ac:dyDescent="0.2">
      <c r="A29" s="882" t="s">
        <v>872</v>
      </c>
      <c r="B29" s="907" t="s">
        <v>2115</v>
      </c>
      <c r="C29" s="908"/>
      <c r="D29" s="909"/>
      <c r="E29" s="909"/>
      <c r="F29" s="909"/>
      <c r="G29" s="908">
        <f>G30</f>
        <v>4506684282</v>
      </c>
      <c r="H29" s="908">
        <f t="shared" ref="H29:R30" si="18">H30</f>
        <v>4506684282</v>
      </c>
      <c r="I29" s="908">
        <f t="shared" si="18"/>
        <v>0</v>
      </c>
      <c r="J29" s="908">
        <f t="shared" si="18"/>
        <v>0</v>
      </c>
      <c r="K29" s="908">
        <f t="shared" si="18"/>
        <v>0</v>
      </c>
      <c r="L29" s="908">
        <f t="shared" si="18"/>
        <v>0</v>
      </c>
      <c r="M29" s="908">
        <f t="shared" si="18"/>
        <v>155165600</v>
      </c>
      <c r="N29" s="908">
        <f t="shared" si="18"/>
        <v>155165600</v>
      </c>
      <c r="O29" s="908">
        <f t="shared" si="18"/>
        <v>0</v>
      </c>
      <c r="P29" s="908">
        <f t="shared" si="18"/>
        <v>0</v>
      </c>
      <c r="Q29" s="908">
        <f t="shared" si="18"/>
        <v>0</v>
      </c>
      <c r="R29" s="908">
        <f t="shared" si="18"/>
        <v>0</v>
      </c>
      <c r="S29" s="908">
        <v>0</v>
      </c>
      <c r="T29" s="908"/>
      <c r="U29" s="908"/>
      <c r="V29" s="908"/>
      <c r="W29" s="908"/>
      <c r="X29" s="908"/>
      <c r="Y29" s="908">
        <f t="shared" ref="Y29:AE30" si="19">Y30</f>
        <v>0</v>
      </c>
      <c r="Z29" s="908">
        <f t="shared" si="19"/>
        <v>4506684282</v>
      </c>
      <c r="AA29" s="908">
        <f t="shared" si="19"/>
        <v>4506684282</v>
      </c>
      <c r="AB29" s="908">
        <f t="shared" si="19"/>
        <v>0</v>
      </c>
      <c r="AC29" s="908">
        <f t="shared" si="19"/>
        <v>0</v>
      </c>
      <c r="AD29" s="908">
        <f t="shared" si="19"/>
        <v>0</v>
      </c>
      <c r="AE29" s="908">
        <f t="shared" si="19"/>
        <v>0</v>
      </c>
      <c r="AF29" s="908">
        <v>0</v>
      </c>
      <c r="AG29" s="908">
        <v>0</v>
      </c>
      <c r="AH29" s="908">
        <v>0</v>
      </c>
      <c r="AI29" s="908">
        <v>0</v>
      </c>
      <c r="AJ29" s="908">
        <v>0</v>
      </c>
      <c r="AK29" s="908">
        <v>0</v>
      </c>
      <c r="AL29" s="908">
        <v>3900000000</v>
      </c>
      <c r="AM29" s="908">
        <v>1727165600</v>
      </c>
      <c r="AN29" s="908">
        <v>155165600</v>
      </c>
      <c r="AO29" s="908">
        <v>1572000000</v>
      </c>
      <c r="AP29" s="908">
        <v>2172834400</v>
      </c>
      <c r="AQ29" s="908">
        <v>0</v>
      </c>
      <c r="AR29" s="908">
        <v>155165600</v>
      </c>
      <c r="AS29" s="908">
        <f>AS30</f>
        <v>155165600</v>
      </c>
      <c r="AT29" s="908">
        <f t="shared" ref="AT29:AW31" si="20">AT30</f>
        <v>0</v>
      </c>
      <c r="AU29" s="908">
        <f t="shared" si="20"/>
        <v>0</v>
      </c>
      <c r="AV29" s="908">
        <f t="shared" si="20"/>
        <v>0</v>
      </c>
      <c r="AW29" s="908">
        <f t="shared" si="20"/>
        <v>0</v>
      </c>
    </row>
    <row r="30" spans="1:49" s="887" customFormat="1" ht="20.25" hidden="1" customHeight="1" x14ac:dyDescent="0.2">
      <c r="A30" s="899" t="s">
        <v>887</v>
      </c>
      <c r="B30" s="900" t="s">
        <v>2095</v>
      </c>
      <c r="C30" s="901"/>
      <c r="D30" s="903"/>
      <c r="E30" s="903"/>
      <c r="F30" s="903"/>
      <c r="G30" s="904">
        <f>G31</f>
        <v>4506684282</v>
      </c>
      <c r="H30" s="904">
        <f t="shared" si="18"/>
        <v>4506684282</v>
      </c>
      <c r="I30" s="904">
        <f t="shared" si="18"/>
        <v>0</v>
      </c>
      <c r="J30" s="904">
        <f t="shared" si="18"/>
        <v>0</v>
      </c>
      <c r="K30" s="904">
        <f t="shared" si="18"/>
        <v>0</v>
      </c>
      <c r="L30" s="904">
        <f t="shared" si="18"/>
        <v>0</v>
      </c>
      <c r="M30" s="904">
        <f t="shared" si="18"/>
        <v>155165600</v>
      </c>
      <c r="N30" s="904">
        <f t="shared" si="18"/>
        <v>155165600</v>
      </c>
      <c r="O30" s="904">
        <f t="shared" si="18"/>
        <v>0</v>
      </c>
      <c r="P30" s="904">
        <f t="shared" si="18"/>
        <v>0</v>
      </c>
      <c r="Q30" s="904">
        <f t="shared" si="18"/>
        <v>0</v>
      </c>
      <c r="R30" s="904">
        <f t="shared" si="18"/>
        <v>0</v>
      </c>
      <c r="S30" s="904">
        <v>0</v>
      </c>
      <c r="T30" s="904"/>
      <c r="U30" s="904"/>
      <c r="V30" s="904"/>
      <c r="W30" s="904"/>
      <c r="X30" s="904"/>
      <c r="Y30" s="904">
        <f t="shared" si="19"/>
        <v>0</v>
      </c>
      <c r="Z30" s="904">
        <f t="shared" si="19"/>
        <v>4506684282</v>
      </c>
      <c r="AA30" s="904">
        <f t="shared" si="19"/>
        <v>4506684282</v>
      </c>
      <c r="AB30" s="904">
        <f t="shared" si="19"/>
        <v>0</v>
      </c>
      <c r="AC30" s="904">
        <f t="shared" si="19"/>
        <v>0</v>
      </c>
      <c r="AD30" s="904">
        <f t="shared" si="19"/>
        <v>0</v>
      </c>
      <c r="AE30" s="904">
        <f t="shared" si="19"/>
        <v>0</v>
      </c>
      <c r="AF30" s="904">
        <v>0</v>
      </c>
      <c r="AG30" s="904">
        <v>0</v>
      </c>
      <c r="AH30" s="904">
        <v>0</v>
      </c>
      <c r="AI30" s="904">
        <v>0</v>
      </c>
      <c r="AJ30" s="904">
        <v>0</v>
      </c>
      <c r="AK30" s="904">
        <v>0</v>
      </c>
      <c r="AL30" s="904">
        <v>3900000000</v>
      </c>
      <c r="AM30" s="904">
        <v>1727165600</v>
      </c>
      <c r="AN30" s="904">
        <v>155165600</v>
      </c>
      <c r="AO30" s="904">
        <v>1572000000</v>
      </c>
      <c r="AP30" s="904">
        <v>2172834400</v>
      </c>
      <c r="AQ30" s="904">
        <v>0</v>
      </c>
      <c r="AR30" s="904">
        <v>155165600</v>
      </c>
      <c r="AS30" s="904">
        <f>AS31</f>
        <v>155165600</v>
      </c>
      <c r="AT30" s="904">
        <f t="shared" si="20"/>
        <v>0</v>
      </c>
      <c r="AU30" s="904">
        <f t="shared" si="20"/>
        <v>0</v>
      </c>
      <c r="AV30" s="904">
        <f t="shared" si="20"/>
        <v>0</v>
      </c>
      <c r="AW30" s="904">
        <f t="shared" si="20"/>
        <v>0</v>
      </c>
    </row>
    <row r="31" spans="1:49" s="887" customFormat="1" ht="20.25" hidden="1" customHeight="1" x14ac:dyDescent="0.2">
      <c r="A31" s="899"/>
      <c r="B31" s="900" t="s">
        <v>2116</v>
      </c>
      <c r="C31" s="901"/>
      <c r="D31" s="903"/>
      <c r="E31" s="903"/>
      <c r="F31" s="903"/>
      <c r="G31" s="904">
        <f t="shared" ref="G31:AE31" si="21">SUM(G32:G32)</f>
        <v>4506684282</v>
      </c>
      <c r="H31" s="904">
        <f t="shared" si="21"/>
        <v>4506684282</v>
      </c>
      <c r="I31" s="904">
        <f t="shared" si="21"/>
        <v>0</v>
      </c>
      <c r="J31" s="904">
        <f t="shared" si="21"/>
        <v>0</v>
      </c>
      <c r="K31" s="904">
        <f t="shared" si="21"/>
        <v>0</v>
      </c>
      <c r="L31" s="904">
        <f t="shared" si="21"/>
        <v>0</v>
      </c>
      <c r="M31" s="904">
        <f t="shared" si="21"/>
        <v>155165600</v>
      </c>
      <c r="N31" s="904">
        <f t="shared" si="21"/>
        <v>155165600</v>
      </c>
      <c r="O31" s="904">
        <f t="shared" si="21"/>
        <v>0</v>
      </c>
      <c r="P31" s="904">
        <f t="shared" si="21"/>
        <v>0</v>
      </c>
      <c r="Q31" s="904">
        <f t="shared" si="21"/>
        <v>0</v>
      </c>
      <c r="R31" s="904">
        <f t="shared" si="21"/>
        <v>0</v>
      </c>
      <c r="S31" s="904">
        <v>0</v>
      </c>
      <c r="T31" s="904"/>
      <c r="U31" s="904"/>
      <c r="V31" s="904"/>
      <c r="W31" s="904"/>
      <c r="X31" s="904"/>
      <c r="Y31" s="904">
        <f t="shared" si="21"/>
        <v>0</v>
      </c>
      <c r="Z31" s="904">
        <f t="shared" si="21"/>
        <v>4506684282</v>
      </c>
      <c r="AA31" s="904">
        <f t="shared" si="21"/>
        <v>4506684282</v>
      </c>
      <c r="AB31" s="904">
        <f t="shared" si="21"/>
        <v>0</v>
      </c>
      <c r="AC31" s="904">
        <f t="shared" si="21"/>
        <v>0</v>
      </c>
      <c r="AD31" s="904">
        <f t="shared" si="21"/>
        <v>0</v>
      </c>
      <c r="AE31" s="904">
        <f t="shared" si="21"/>
        <v>0</v>
      </c>
      <c r="AF31" s="904">
        <v>0</v>
      </c>
      <c r="AG31" s="904">
        <v>0</v>
      </c>
      <c r="AH31" s="904">
        <v>0</v>
      </c>
      <c r="AI31" s="904">
        <v>0</v>
      </c>
      <c r="AJ31" s="904">
        <v>0</v>
      </c>
      <c r="AK31" s="904">
        <v>0</v>
      </c>
      <c r="AL31" s="904">
        <v>3900000000</v>
      </c>
      <c r="AM31" s="904">
        <v>1727165600</v>
      </c>
      <c r="AN31" s="904">
        <v>155165600</v>
      </c>
      <c r="AO31" s="904">
        <v>1572000000</v>
      </c>
      <c r="AP31" s="904">
        <v>2172834400</v>
      </c>
      <c r="AQ31" s="904">
        <v>0</v>
      </c>
      <c r="AR31" s="904">
        <v>155165600</v>
      </c>
      <c r="AS31" s="904">
        <f>AS32</f>
        <v>155165600</v>
      </c>
      <c r="AT31" s="904">
        <f t="shared" si="20"/>
        <v>0</v>
      </c>
      <c r="AU31" s="904">
        <f t="shared" si="20"/>
        <v>0</v>
      </c>
      <c r="AV31" s="904">
        <f t="shared" si="20"/>
        <v>0</v>
      </c>
      <c r="AW31" s="904">
        <f t="shared" si="20"/>
        <v>0</v>
      </c>
    </row>
    <row r="32" spans="1:49" ht="17.25" hidden="1" customHeight="1" x14ac:dyDescent="0.2">
      <c r="A32" s="892" t="s">
        <v>1773</v>
      </c>
      <c r="B32" s="893" t="s">
        <v>1753</v>
      </c>
      <c r="C32" s="894"/>
      <c r="D32" s="895"/>
      <c r="E32" s="895"/>
      <c r="F32" s="895"/>
      <c r="G32" s="894">
        <v>4506684282</v>
      </c>
      <c r="H32" s="894">
        <f>G32</f>
        <v>4506684282</v>
      </c>
      <c r="I32" s="894"/>
      <c r="J32" s="894"/>
      <c r="K32" s="894"/>
      <c r="L32" s="894"/>
      <c r="M32" s="894">
        <f>SUM(N32:R32)</f>
        <v>155165600</v>
      </c>
      <c r="N32" s="894">
        <v>155165600</v>
      </c>
      <c r="O32" s="894"/>
      <c r="P32" s="894"/>
      <c r="Q32" s="894"/>
      <c r="R32" s="894"/>
      <c r="S32" s="894">
        <v>0</v>
      </c>
      <c r="T32" s="894"/>
      <c r="U32" s="894"/>
      <c r="V32" s="894"/>
      <c r="W32" s="894"/>
      <c r="X32" s="894"/>
      <c r="Y32" s="894"/>
      <c r="Z32" s="894">
        <f>SUM(AA32:AE32)</f>
        <v>4506684282</v>
      </c>
      <c r="AA32" s="894">
        <f>H32</f>
        <v>4506684282</v>
      </c>
      <c r="AB32" s="894"/>
      <c r="AC32" s="894"/>
      <c r="AD32" s="894"/>
      <c r="AE32" s="894"/>
      <c r="AF32" s="894"/>
      <c r="AG32" s="894"/>
      <c r="AH32" s="894"/>
      <c r="AI32" s="894"/>
      <c r="AJ32" s="894"/>
      <c r="AK32" s="894"/>
      <c r="AL32" s="894">
        <v>3900000000</v>
      </c>
      <c r="AM32" s="894">
        <v>1727165600</v>
      </c>
      <c r="AN32" s="894">
        <v>155165600</v>
      </c>
      <c r="AO32" s="894">
        <v>1572000000</v>
      </c>
      <c r="AP32" s="894">
        <v>2172834400</v>
      </c>
      <c r="AQ32" s="894">
        <v>0</v>
      </c>
      <c r="AR32" s="894">
        <v>155165600</v>
      </c>
      <c r="AS32" s="894">
        <f>AR32</f>
        <v>155165600</v>
      </c>
      <c r="AT32" s="894"/>
      <c r="AU32" s="894"/>
      <c r="AV32" s="894"/>
      <c r="AW32" s="894"/>
    </row>
    <row r="33" spans="1:49" ht="28.5" hidden="1" customHeight="1" x14ac:dyDescent="0.2">
      <c r="A33" s="882" t="s">
        <v>873</v>
      </c>
      <c r="B33" s="882" t="s">
        <v>2117</v>
      </c>
      <c r="C33" s="908"/>
      <c r="D33" s="909"/>
      <c r="E33" s="909"/>
      <c r="F33" s="909"/>
      <c r="G33" s="908">
        <f>G34</f>
        <v>1645819366</v>
      </c>
      <c r="H33" s="908">
        <f t="shared" ref="H33:R35" si="22">H34</f>
        <v>0</v>
      </c>
      <c r="I33" s="908">
        <f t="shared" si="22"/>
        <v>0</v>
      </c>
      <c r="J33" s="908">
        <f t="shared" si="22"/>
        <v>1645819366</v>
      </c>
      <c r="K33" s="908">
        <f t="shared" si="22"/>
        <v>0</v>
      </c>
      <c r="L33" s="908">
        <f t="shared" si="22"/>
        <v>0</v>
      </c>
      <c r="M33" s="908">
        <f t="shared" si="22"/>
        <v>1316655200</v>
      </c>
      <c r="N33" s="908">
        <f t="shared" si="22"/>
        <v>1316655200</v>
      </c>
      <c r="O33" s="908">
        <f t="shared" si="22"/>
        <v>0</v>
      </c>
      <c r="P33" s="908">
        <f t="shared" si="22"/>
        <v>0</v>
      </c>
      <c r="Q33" s="908">
        <f t="shared" si="22"/>
        <v>0</v>
      </c>
      <c r="R33" s="908">
        <f t="shared" si="22"/>
        <v>0</v>
      </c>
      <c r="S33" s="908">
        <v>0</v>
      </c>
      <c r="T33" s="908"/>
      <c r="U33" s="908"/>
      <c r="V33" s="908"/>
      <c r="W33" s="908"/>
      <c r="X33" s="908"/>
      <c r="Y33" s="908">
        <f t="shared" ref="Y33:AE35" si="23">Y34</f>
        <v>0</v>
      </c>
      <c r="Z33" s="908">
        <f t="shared" si="23"/>
        <v>1645819366</v>
      </c>
      <c r="AA33" s="908">
        <f t="shared" si="23"/>
        <v>0</v>
      </c>
      <c r="AB33" s="908">
        <f t="shared" si="23"/>
        <v>0</v>
      </c>
      <c r="AC33" s="908">
        <f t="shared" si="23"/>
        <v>1645819366</v>
      </c>
      <c r="AD33" s="908">
        <f t="shared" si="23"/>
        <v>0</v>
      </c>
      <c r="AE33" s="908">
        <f t="shared" si="23"/>
        <v>0</v>
      </c>
      <c r="AF33" s="908">
        <v>0</v>
      </c>
      <c r="AG33" s="908">
        <v>0</v>
      </c>
      <c r="AH33" s="908">
        <v>0</v>
      </c>
      <c r="AI33" s="908">
        <v>0</v>
      </c>
      <c r="AJ33" s="908">
        <v>0</v>
      </c>
      <c r="AK33" s="908">
        <v>0</v>
      </c>
      <c r="AL33" s="908">
        <v>1000000000</v>
      </c>
      <c r="AM33" s="908">
        <v>1000000000</v>
      </c>
      <c r="AN33" s="908">
        <v>1000000000</v>
      </c>
      <c r="AO33" s="908">
        <v>0</v>
      </c>
      <c r="AP33" s="908">
        <v>0</v>
      </c>
      <c r="AQ33" s="908">
        <v>0</v>
      </c>
      <c r="AR33" s="908">
        <v>1000000000</v>
      </c>
      <c r="AS33" s="908">
        <f>AS34</f>
        <v>0</v>
      </c>
      <c r="AT33" s="908">
        <f t="shared" ref="AT33:AW35" si="24">AT34</f>
        <v>0</v>
      </c>
      <c r="AU33" s="908">
        <f t="shared" si="24"/>
        <v>1000000000</v>
      </c>
      <c r="AV33" s="908">
        <f t="shared" si="24"/>
        <v>0</v>
      </c>
      <c r="AW33" s="908">
        <f t="shared" si="24"/>
        <v>0</v>
      </c>
    </row>
    <row r="34" spans="1:49" s="887" customFormat="1" ht="20.25" hidden="1" customHeight="1" x14ac:dyDescent="0.2">
      <c r="A34" s="899" t="s">
        <v>887</v>
      </c>
      <c r="B34" s="900" t="s">
        <v>2095</v>
      </c>
      <c r="C34" s="901"/>
      <c r="D34" s="903"/>
      <c r="E34" s="903"/>
      <c r="F34" s="903"/>
      <c r="G34" s="904">
        <f>G35</f>
        <v>1645819366</v>
      </c>
      <c r="H34" s="904">
        <f t="shared" si="22"/>
        <v>0</v>
      </c>
      <c r="I34" s="904">
        <f t="shared" si="22"/>
        <v>0</v>
      </c>
      <c r="J34" s="904">
        <f t="shared" si="22"/>
        <v>1645819366</v>
      </c>
      <c r="K34" s="904">
        <f t="shared" si="22"/>
        <v>0</v>
      </c>
      <c r="L34" s="904">
        <f t="shared" si="22"/>
        <v>0</v>
      </c>
      <c r="M34" s="904">
        <f t="shared" si="22"/>
        <v>1316655200</v>
      </c>
      <c r="N34" s="904">
        <f t="shared" si="22"/>
        <v>1316655200</v>
      </c>
      <c r="O34" s="904">
        <f t="shared" si="22"/>
        <v>0</v>
      </c>
      <c r="P34" s="904">
        <f t="shared" si="22"/>
        <v>0</v>
      </c>
      <c r="Q34" s="904">
        <f t="shared" si="22"/>
        <v>0</v>
      </c>
      <c r="R34" s="904">
        <f t="shared" si="22"/>
        <v>0</v>
      </c>
      <c r="S34" s="904">
        <v>0</v>
      </c>
      <c r="T34" s="904"/>
      <c r="U34" s="904"/>
      <c r="V34" s="904"/>
      <c r="W34" s="904"/>
      <c r="X34" s="904"/>
      <c r="Y34" s="904">
        <f t="shared" si="23"/>
        <v>0</v>
      </c>
      <c r="Z34" s="904">
        <f t="shared" si="23"/>
        <v>1645819366</v>
      </c>
      <c r="AA34" s="904">
        <f t="shared" si="23"/>
        <v>0</v>
      </c>
      <c r="AB34" s="904">
        <f t="shared" si="23"/>
        <v>0</v>
      </c>
      <c r="AC34" s="904">
        <f t="shared" si="23"/>
        <v>1645819366</v>
      </c>
      <c r="AD34" s="904">
        <f t="shared" si="23"/>
        <v>0</v>
      </c>
      <c r="AE34" s="904">
        <f t="shared" si="23"/>
        <v>0</v>
      </c>
      <c r="AF34" s="904">
        <v>0</v>
      </c>
      <c r="AG34" s="904">
        <v>0</v>
      </c>
      <c r="AH34" s="904">
        <v>0</v>
      </c>
      <c r="AI34" s="904">
        <v>0</v>
      </c>
      <c r="AJ34" s="904">
        <v>0</v>
      </c>
      <c r="AK34" s="904">
        <v>0</v>
      </c>
      <c r="AL34" s="904">
        <v>1000000000</v>
      </c>
      <c r="AM34" s="904">
        <v>1000000000</v>
      </c>
      <c r="AN34" s="904">
        <v>1000000000</v>
      </c>
      <c r="AO34" s="904">
        <v>0</v>
      </c>
      <c r="AP34" s="904">
        <v>0</v>
      </c>
      <c r="AQ34" s="904">
        <v>0</v>
      </c>
      <c r="AR34" s="904">
        <v>1000000000</v>
      </c>
      <c r="AS34" s="904">
        <f>AS35</f>
        <v>0</v>
      </c>
      <c r="AT34" s="904">
        <f t="shared" si="24"/>
        <v>0</v>
      </c>
      <c r="AU34" s="904">
        <f t="shared" si="24"/>
        <v>1000000000</v>
      </c>
      <c r="AV34" s="904">
        <f t="shared" si="24"/>
        <v>0</v>
      </c>
      <c r="AW34" s="904">
        <f t="shared" si="24"/>
        <v>0</v>
      </c>
    </row>
    <row r="35" spans="1:49" s="887" customFormat="1" ht="24.75" hidden="1" customHeight="1" x14ac:dyDescent="0.2">
      <c r="A35" s="899"/>
      <c r="B35" s="900" t="s">
        <v>2118</v>
      </c>
      <c r="C35" s="901"/>
      <c r="D35" s="903"/>
      <c r="E35" s="903"/>
      <c r="F35" s="903"/>
      <c r="G35" s="904">
        <f>G36</f>
        <v>1645819366</v>
      </c>
      <c r="H35" s="904">
        <f t="shared" si="22"/>
        <v>0</v>
      </c>
      <c r="I35" s="904">
        <f t="shared" si="22"/>
        <v>0</v>
      </c>
      <c r="J35" s="904">
        <f t="shared" si="22"/>
        <v>1645819366</v>
      </c>
      <c r="K35" s="904">
        <f t="shared" si="22"/>
        <v>0</v>
      </c>
      <c r="L35" s="904">
        <f t="shared" si="22"/>
        <v>0</v>
      </c>
      <c r="M35" s="904">
        <f t="shared" si="22"/>
        <v>1316655200</v>
      </c>
      <c r="N35" s="904">
        <f t="shared" si="22"/>
        <v>1316655200</v>
      </c>
      <c r="O35" s="904">
        <f t="shared" si="22"/>
        <v>0</v>
      </c>
      <c r="P35" s="904">
        <f t="shared" si="22"/>
        <v>0</v>
      </c>
      <c r="Q35" s="904">
        <f t="shared" si="22"/>
        <v>0</v>
      </c>
      <c r="R35" s="904">
        <f t="shared" si="22"/>
        <v>0</v>
      </c>
      <c r="S35" s="904">
        <v>0</v>
      </c>
      <c r="T35" s="904"/>
      <c r="U35" s="904"/>
      <c r="V35" s="904"/>
      <c r="W35" s="904"/>
      <c r="X35" s="904"/>
      <c r="Y35" s="904">
        <f t="shared" si="23"/>
        <v>0</v>
      </c>
      <c r="Z35" s="904">
        <f t="shared" si="23"/>
        <v>1645819366</v>
      </c>
      <c r="AA35" s="904">
        <f t="shared" si="23"/>
        <v>0</v>
      </c>
      <c r="AB35" s="904">
        <f t="shared" si="23"/>
        <v>0</v>
      </c>
      <c r="AC35" s="904">
        <f t="shared" si="23"/>
        <v>1645819366</v>
      </c>
      <c r="AD35" s="904">
        <f t="shared" si="23"/>
        <v>0</v>
      </c>
      <c r="AE35" s="904">
        <f t="shared" si="23"/>
        <v>0</v>
      </c>
      <c r="AF35" s="904">
        <v>0</v>
      </c>
      <c r="AG35" s="904">
        <v>0</v>
      </c>
      <c r="AH35" s="904">
        <v>0</v>
      </c>
      <c r="AI35" s="904">
        <v>0</v>
      </c>
      <c r="AJ35" s="904">
        <v>0</v>
      </c>
      <c r="AK35" s="904">
        <v>0</v>
      </c>
      <c r="AL35" s="904">
        <v>1000000000</v>
      </c>
      <c r="AM35" s="904">
        <v>1000000000</v>
      </c>
      <c r="AN35" s="904">
        <v>1000000000</v>
      </c>
      <c r="AO35" s="904">
        <v>0</v>
      </c>
      <c r="AP35" s="904">
        <v>0</v>
      </c>
      <c r="AQ35" s="904">
        <v>0</v>
      </c>
      <c r="AR35" s="904">
        <v>1000000000</v>
      </c>
      <c r="AS35" s="904">
        <f>AS36</f>
        <v>0</v>
      </c>
      <c r="AT35" s="904">
        <f t="shared" si="24"/>
        <v>0</v>
      </c>
      <c r="AU35" s="904">
        <f t="shared" si="24"/>
        <v>1000000000</v>
      </c>
      <c r="AV35" s="904">
        <f t="shared" si="24"/>
        <v>0</v>
      </c>
      <c r="AW35" s="904">
        <f t="shared" si="24"/>
        <v>0</v>
      </c>
    </row>
    <row r="36" spans="1:49" ht="40.5" hidden="1" customHeight="1" x14ac:dyDescent="0.2">
      <c r="A36" s="892" t="s">
        <v>1773</v>
      </c>
      <c r="B36" s="893" t="s">
        <v>2119</v>
      </c>
      <c r="C36" s="894"/>
      <c r="D36" s="895"/>
      <c r="E36" s="895"/>
      <c r="F36" s="895"/>
      <c r="G36" s="894">
        <v>1645819366</v>
      </c>
      <c r="H36" s="894"/>
      <c r="I36" s="894"/>
      <c r="J36" s="894">
        <f>G36</f>
        <v>1645819366</v>
      </c>
      <c r="K36" s="894"/>
      <c r="L36" s="894"/>
      <c r="M36" s="894">
        <f>SUM(N36:R36)</f>
        <v>1316655200</v>
      </c>
      <c r="N36" s="894">
        <v>1316655200</v>
      </c>
      <c r="O36" s="894"/>
      <c r="P36" s="894"/>
      <c r="Q36" s="894"/>
      <c r="R36" s="894"/>
      <c r="S36" s="894">
        <v>0</v>
      </c>
      <c r="T36" s="894"/>
      <c r="U36" s="894"/>
      <c r="V36" s="894"/>
      <c r="W36" s="894"/>
      <c r="X36" s="894"/>
      <c r="Y36" s="894"/>
      <c r="Z36" s="894">
        <f>SUM(AA36:AE36)</f>
        <v>1645819366</v>
      </c>
      <c r="AA36" s="894"/>
      <c r="AB36" s="894"/>
      <c r="AC36" s="894">
        <f>J36</f>
        <v>1645819366</v>
      </c>
      <c r="AD36" s="894"/>
      <c r="AE36" s="894"/>
      <c r="AF36" s="894"/>
      <c r="AG36" s="894"/>
      <c r="AH36" s="894"/>
      <c r="AI36" s="894"/>
      <c r="AJ36" s="894"/>
      <c r="AK36" s="894"/>
      <c r="AL36" s="894">
        <v>1000000000</v>
      </c>
      <c r="AM36" s="894">
        <v>1000000000</v>
      </c>
      <c r="AN36" s="894">
        <v>1000000000</v>
      </c>
      <c r="AO36" s="894"/>
      <c r="AP36" s="894"/>
      <c r="AQ36" s="894">
        <v>0</v>
      </c>
      <c r="AR36" s="894">
        <v>1000000000</v>
      </c>
      <c r="AS36" s="894"/>
      <c r="AT36" s="894"/>
      <c r="AU36" s="894">
        <f>AR36</f>
        <v>1000000000</v>
      </c>
      <c r="AV36" s="894"/>
      <c r="AW36" s="894"/>
    </row>
    <row r="37" spans="1:49" ht="38.25" hidden="1" customHeight="1" x14ac:dyDescent="0.2">
      <c r="A37" s="882" t="s">
        <v>877</v>
      </c>
      <c r="B37" s="907" t="s">
        <v>2120</v>
      </c>
      <c r="C37" s="908"/>
      <c r="D37" s="909"/>
      <c r="E37" s="909"/>
      <c r="F37" s="909"/>
      <c r="G37" s="908">
        <f>G38</f>
        <v>7890251231</v>
      </c>
      <c r="H37" s="908">
        <f t="shared" ref="H37:R38" si="25">H38</f>
        <v>0</v>
      </c>
      <c r="I37" s="908">
        <f t="shared" si="25"/>
        <v>3398389620</v>
      </c>
      <c r="J37" s="908">
        <f t="shared" si="25"/>
        <v>0</v>
      </c>
      <c r="K37" s="908">
        <f t="shared" si="25"/>
        <v>0</v>
      </c>
      <c r="L37" s="908">
        <f t="shared" si="25"/>
        <v>4491861611</v>
      </c>
      <c r="M37" s="908">
        <f t="shared" si="25"/>
        <v>3522675800</v>
      </c>
      <c r="N37" s="908">
        <f t="shared" si="25"/>
        <v>0</v>
      </c>
      <c r="O37" s="908">
        <f t="shared" si="25"/>
        <v>0</v>
      </c>
      <c r="P37" s="908">
        <f t="shared" si="25"/>
        <v>0</v>
      </c>
      <c r="Q37" s="908">
        <f t="shared" si="25"/>
        <v>0</v>
      </c>
      <c r="R37" s="908">
        <f t="shared" si="25"/>
        <v>3522675800</v>
      </c>
      <c r="S37" s="908">
        <v>252345000</v>
      </c>
      <c r="T37" s="908">
        <f>T38</f>
        <v>0</v>
      </c>
      <c r="U37" s="908">
        <f t="shared" ref="U37:AE38" si="26">U38</f>
        <v>0</v>
      </c>
      <c r="V37" s="908">
        <f t="shared" si="26"/>
        <v>0</v>
      </c>
      <c r="W37" s="908">
        <f t="shared" si="26"/>
        <v>0</v>
      </c>
      <c r="X37" s="908">
        <f t="shared" si="26"/>
        <v>252345000</v>
      </c>
      <c r="Y37" s="908">
        <f t="shared" si="26"/>
        <v>0</v>
      </c>
      <c r="Z37" s="908">
        <f t="shared" si="26"/>
        <v>7890251231</v>
      </c>
      <c r="AA37" s="908">
        <f t="shared" si="26"/>
        <v>0</v>
      </c>
      <c r="AB37" s="908">
        <f t="shared" si="26"/>
        <v>3398389620</v>
      </c>
      <c r="AC37" s="908">
        <f t="shared" si="26"/>
        <v>0</v>
      </c>
      <c r="AD37" s="908">
        <f t="shared" si="26"/>
        <v>0</v>
      </c>
      <c r="AE37" s="908">
        <f t="shared" si="26"/>
        <v>4491861611</v>
      </c>
      <c r="AF37" s="908">
        <v>1247655000</v>
      </c>
      <c r="AG37" s="908">
        <v>1247655000</v>
      </c>
      <c r="AH37" s="908">
        <v>1247655000</v>
      </c>
      <c r="AI37" s="908">
        <v>0</v>
      </c>
      <c r="AJ37" s="908">
        <v>0</v>
      </c>
      <c r="AK37" s="908">
        <v>0</v>
      </c>
      <c r="AL37" s="908">
        <v>2000000000</v>
      </c>
      <c r="AM37" s="908">
        <v>2000000000</v>
      </c>
      <c r="AN37" s="908">
        <v>1003600000</v>
      </c>
      <c r="AO37" s="908">
        <v>996400000</v>
      </c>
      <c r="AP37" s="908">
        <v>0</v>
      </c>
      <c r="AQ37" s="908">
        <v>0</v>
      </c>
      <c r="AR37" s="908">
        <v>2251255000</v>
      </c>
      <c r="AS37" s="908">
        <f>AS39</f>
        <v>0</v>
      </c>
      <c r="AT37" s="908">
        <f>AT39</f>
        <v>0</v>
      </c>
      <c r="AU37" s="908">
        <f>AU39</f>
        <v>0</v>
      </c>
      <c r="AV37" s="908">
        <f>AV39</f>
        <v>0</v>
      </c>
      <c r="AW37" s="908">
        <f>AW39</f>
        <v>2251255000</v>
      </c>
    </row>
    <row r="38" spans="1:49" s="887" customFormat="1" ht="17.25" hidden="1" customHeight="1" x14ac:dyDescent="0.2">
      <c r="A38" s="910" t="s">
        <v>887</v>
      </c>
      <c r="B38" s="900" t="s">
        <v>2095</v>
      </c>
      <c r="C38" s="901"/>
      <c r="D38" s="903"/>
      <c r="E38" s="903"/>
      <c r="F38" s="903"/>
      <c r="G38" s="901">
        <f>G39</f>
        <v>7890251231</v>
      </c>
      <c r="H38" s="901">
        <f t="shared" si="25"/>
        <v>0</v>
      </c>
      <c r="I38" s="901">
        <f t="shared" si="25"/>
        <v>3398389620</v>
      </c>
      <c r="J38" s="901">
        <f t="shared" si="25"/>
        <v>0</v>
      </c>
      <c r="K38" s="901">
        <f t="shared" si="25"/>
        <v>0</v>
      </c>
      <c r="L38" s="901">
        <f t="shared" si="25"/>
        <v>4491861611</v>
      </c>
      <c r="M38" s="901">
        <f t="shared" si="25"/>
        <v>3522675800</v>
      </c>
      <c r="N38" s="901">
        <f t="shared" si="25"/>
        <v>0</v>
      </c>
      <c r="O38" s="901">
        <f t="shared" si="25"/>
        <v>0</v>
      </c>
      <c r="P38" s="901">
        <f t="shared" si="25"/>
        <v>0</v>
      </c>
      <c r="Q38" s="901">
        <f t="shared" si="25"/>
        <v>0</v>
      </c>
      <c r="R38" s="901">
        <f t="shared" si="25"/>
        <v>3522675800</v>
      </c>
      <c r="S38" s="901">
        <v>252345000</v>
      </c>
      <c r="T38" s="901">
        <f>T39</f>
        <v>0</v>
      </c>
      <c r="U38" s="901">
        <f t="shared" si="26"/>
        <v>0</v>
      </c>
      <c r="V38" s="901">
        <f t="shared" si="26"/>
        <v>0</v>
      </c>
      <c r="W38" s="901">
        <f t="shared" si="26"/>
        <v>0</v>
      </c>
      <c r="X38" s="901">
        <f t="shared" si="26"/>
        <v>252345000</v>
      </c>
      <c r="Y38" s="901">
        <f t="shared" si="26"/>
        <v>0</v>
      </c>
      <c r="Z38" s="901">
        <f t="shared" si="26"/>
        <v>7890251231</v>
      </c>
      <c r="AA38" s="901">
        <f t="shared" si="26"/>
        <v>0</v>
      </c>
      <c r="AB38" s="901">
        <f t="shared" si="26"/>
        <v>3398389620</v>
      </c>
      <c r="AC38" s="901">
        <f t="shared" si="26"/>
        <v>0</v>
      </c>
      <c r="AD38" s="901">
        <f t="shared" si="26"/>
        <v>0</v>
      </c>
      <c r="AE38" s="901">
        <f t="shared" si="26"/>
        <v>4491861611</v>
      </c>
      <c r="AF38" s="901">
        <v>1247655000</v>
      </c>
      <c r="AG38" s="901">
        <v>1247655000</v>
      </c>
      <c r="AH38" s="901">
        <v>1247655000</v>
      </c>
      <c r="AI38" s="901">
        <v>0</v>
      </c>
      <c r="AJ38" s="901">
        <v>0</v>
      </c>
      <c r="AK38" s="901">
        <v>0</v>
      </c>
      <c r="AL38" s="901">
        <v>2000000000</v>
      </c>
      <c r="AM38" s="901">
        <v>2000000000</v>
      </c>
      <c r="AN38" s="901">
        <v>1003600000</v>
      </c>
      <c r="AO38" s="901">
        <v>996400000</v>
      </c>
      <c r="AP38" s="901">
        <v>0</v>
      </c>
      <c r="AQ38" s="901">
        <v>0</v>
      </c>
      <c r="AR38" s="901">
        <v>2251255000</v>
      </c>
      <c r="AS38" s="901">
        <f>AS39</f>
        <v>0</v>
      </c>
      <c r="AT38" s="901">
        <f>AT39</f>
        <v>0</v>
      </c>
      <c r="AU38" s="901">
        <f>AU39</f>
        <v>0</v>
      </c>
      <c r="AV38" s="901">
        <f>AV39</f>
        <v>0</v>
      </c>
      <c r="AW38" s="901">
        <f>AW39</f>
        <v>2251255000</v>
      </c>
    </row>
    <row r="39" spans="1:49" ht="26.25" hidden="1" customHeight="1" x14ac:dyDescent="0.2">
      <c r="A39" s="892"/>
      <c r="B39" s="900" t="s">
        <v>2118</v>
      </c>
      <c r="C39" s="894"/>
      <c r="D39" s="895"/>
      <c r="E39" s="895"/>
      <c r="F39" s="895"/>
      <c r="G39" s="901">
        <f>SUM(G40:G41)</f>
        <v>7890251231</v>
      </c>
      <c r="H39" s="901">
        <f t="shared" ref="H39:R39" si="27">SUM(H40:H41)</f>
        <v>0</v>
      </c>
      <c r="I39" s="901">
        <f t="shared" si="27"/>
        <v>3398389620</v>
      </c>
      <c r="J39" s="901">
        <f t="shared" si="27"/>
        <v>0</v>
      </c>
      <c r="K39" s="901">
        <f t="shared" si="27"/>
        <v>0</v>
      </c>
      <c r="L39" s="901">
        <f t="shared" si="27"/>
        <v>4491861611</v>
      </c>
      <c r="M39" s="901">
        <f t="shared" si="27"/>
        <v>3522675800</v>
      </c>
      <c r="N39" s="901">
        <f t="shared" si="27"/>
        <v>0</v>
      </c>
      <c r="O39" s="901">
        <f t="shared" si="27"/>
        <v>0</v>
      </c>
      <c r="P39" s="901">
        <f t="shared" si="27"/>
        <v>0</v>
      </c>
      <c r="Q39" s="901">
        <f t="shared" si="27"/>
        <v>0</v>
      </c>
      <c r="R39" s="901">
        <f t="shared" si="27"/>
        <v>3522675800</v>
      </c>
      <c r="S39" s="901">
        <v>252345000</v>
      </c>
      <c r="T39" s="901">
        <f>SUM(T40:T41)</f>
        <v>0</v>
      </c>
      <c r="U39" s="901">
        <f t="shared" ref="U39:AE39" si="28">SUM(U40:U41)</f>
        <v>0</v>
      </c>
      <c r="V39" s="901">
        <f t="shared" si="28"/>
        <v>0</v>
      </c>
      <c r="W39" s="901">
        <f t="shared" si="28"/>
        <v>0</v>
      </c>
      <c r="X39" s="901">
        <f t="shared" si="28"/>
        <v>252345000</v>
      </c>
      <c r="Y39" s="901">
        <f t="shared" si="28"/>
        <v>0</v>
      </c>
      <c r="Z39" s="901">
        <f t="shared" si="28"/>
        <v>7890251231</v>
      </c>
      <c r="AA39" s="901">
        <f t="shared" si="28"/>
        <v>0</v>
      </c>
      <c r="AB39" s="901">
        <f t="shared" si="28"/>
        <v>3398389620</v>
      </c>
      <c r="AC39" s="901">
        <f t="shared" si="28"/>
        <v>0</v>
      </c>
      <c r="AD39" s="901">
        <f t="shared" si="28"/>
        <v>0</v>
      </c>
      <c r="AE39" s="901">
        <f t="shared" si="28"/>
        <v>4491861611</v>
      </c>
      <c r="AF39" s="901">
        <v>1247655000</v>
      </c>
      <c r="AG39" s="901">
        <v>1247655000</v>
      </c>
      <c r="AH39" s="901">
        <v>1247655000</v>
      </c>
      <c r="AI39" s="901">
        <v>0</v>
      </c>
      <c r="AJ39" s="901">
        <v>0</v>
      </c>
      <c r="AK39" s="901">
        <v>0</v>
      </c>
      <c r="AL39" s="901">
        <v>2000000000</v>
      </c>
      <c r="AM39" s="901">
        <v>2000000000</v>
      </c>
      <c r="AN39" s="901">
        <v>1003600000</v>
      </c>
      <c r="AO39" s="901">
        <v>996400000</v>
      </c>
      <c r="AP39" s="901">
        <v>0</v>
      </c>
      <c r="AQ39" s="901">
        <v>0</v>
      </c>
      <c r="AR39" s="901">
        <v>2251255000</v>
      </c>
      <c r="AS39" s="901">
        <f>SUM(AS40:AS41)</f>
        <v>0</v>
      </c>
      <c r="AT39" s="901">
        <f>SUM(AT40:AT41)</f>
        <v>0</v>
      </c>
      <c r="AU39" s="901">
        <f>SUM(AU40:AU41)</f>
        <v>0</v>
      </c>
      <c r="AV39" s="901">
        <f>SUM(AV40:AV41)</f>
        <v>0</v>
      </c>
      <c r="AW39" s="901">
        <f>SUM(AW40:AW41)</f>
        <v>2251255000</v>
      </c>
    </row>
    <row r="40" spans="1:49" ht="39" hidden="1" customHeight="1" x14ac:dyDescent="0.2">
      <c r="A40" s="892" t="s">
        <v>1773</v>
      </c>
      <c r="B40" s="893" t="s">
        <v>2121</v>
      </c>
      <c r="C40" s="894"/>
      <c r="D40" s="895"/>
      <c r="E40" s="895"/>
      <c r="F40" s="895"/>
      <c r="G40" s="894">
        <v>3491861611</v>
      </c>
      <c r="H40" s="894"/>
      <c r="I40" s="894"/>
      <c r="J40" s="894"/>
      <c r="K40" s="894"/>
      <c r="L40" s="894">
        <f>G40</f>
        <v>3491861611</v>
      </c>
      <c r="M40" s="894">
        <f>SUM(N40:R40)</f>
        <v>3142675800</v>
      </c>
      <c r="N40" s="894"/>
      <c r="O40" s="894"/>
      <c r="P40" s="894"/>
      <c r="Q40" s="894"/>
      <c r="R40" s="894">
        <v>3142675800</v>
      </c>
      <c r="S40" s="894">
        <v>252345000</v>
      </c>
      <c r="T40" s="894"/>
      <c r="U40" s="894"/>
      <c r="V40" s="894"/>
      <c r="W40" s="894"/>
      <c r="X40" s="894">
        <f>S40</f>
        <v>252345000</v>
      </c>
      <c r="Y40" s="894"/>
      <c r="Z40" s="894">
        <f>SUM(AA40:AE40)</f>
        <v>3491861611</v>
      </c>
      <c r="AA40" s="894"/>
      <c r="AB40" s="894"/>
      <c r="AC40" s="894"/>
      <c r="AD40" s="894"/>
      <c r="AE40" s="894">
        <f>L40</f>
        <v>3491861611</v>
      </c>
      <c r="AF40" s="894">
        <v>1247655000</v>
      </c>
      <c r="AG40" s="894">
        <v>1247655000</v>
      </c>
      <c r="AH40" s="894">
        <v>1247655000</v>
      </c>
      <c r="AI40" s="894"/>
      <c r="AJ40" s="894"/>
      <c r="AK40" s="894"/>
      <c r="AL40" s="894">
        <v>1000000000</v>
      </c>
      <c r="AM40" s="894">
        <v>1000000000</v>
      </c>
      <c r="AN40" s="894">
        <v>1000000000</v>
      </c>
      <c r="AO40" s="894"/>
      <c r="AP40" s="894"/>
      <c r="AQ40" s="894">
        <v>0</v>
      </c>
      <c r="AR40" s="894">
        <v>2247655000</v>
      </c>
      <c r="AS40" s="894"/>
      <c r="AT40" s="894"/>
      <c r="AU40" s="894"/>
      <c r="AV40" s="894"/>
      <c r="AW40" s="894">
        <f>AR40</f>
        <v>2247655000</v>
      </c>
    </row>
    <row r="41" spans="1:49" ht="39" hidden="1" customHeight="1" x14ac:dyDescent="0.2">
      <c r="A41" s="892" t="s">
        <v>1774</v>
      </c>
      <c r="B41" s="893" t="s">
        <v>2122</v>
      </c>
      <c r="C41" s="894"/>
      <c r="D41" s="895"/>
      <c r="E41" s="895"/>
      <c r="F41" s="895"/>
      <c r="G41" s="894">
        <v>4398389620</v>
      </c>
      <c r="H41" s="894"/>
      <c r="I41" s="894">
        <f>G41-L41</f>
        <v>3398389620</v>
      </c>
      <c r="J41" s="894"/>
      <c r="K41" s="894"/>
      <c r="L41" s="894">
        <v>1000000000</v>
      </c>
      <c r="M41" s="894">
        <f>SUM(N41:R41)</f>
        <v>380000000</v>
      </c>
      <c r="N41" s="894"/>
      <c r="O41" s="894"/>
      <c r="P41" s="894"/>
      <c r="Q41" s="894"/>
      <c r="R41" s="894">
        <v>380000000</v>
      </c>
      <c r="S41" s="894">
        <v>0</v>
      </c>
      <c r="T41" s="894"/>
      <c r="U41" s="894"/>
      <c r="V41" s="894"/>
      <c r="W41" s="894"/>
      <c r="X41" s="894"/>
      <c r="Y41" s="894"/>
      <c r="Z41" s="894">
        <f>SUM(AA41:AE41)</f>
        <v>4398389620</v>
      </c>
      <c r="AA41" s="894"/>
      <c r="AB41" s="894">
        <f>I41</f>
        <v>3398389620</v>
      </c>
      <c r="AC41" s="894"/>
      <c r="AD41" s="894"/>
      <c r="AE41" s="894">
        <f>L41</f>
        <v>1000000000</v>
      </c>
      <c r="AF41" s="894"/>
      <c r="AG41" s="894">
        <v>0</v>
      </c>
      <c r="AH41" s="894"/>
      <c r="AI41" s="894"/>
      <c r="AJ41" s="894"/>
      <c r="AK41" s="894"/>
      <c r="AL41" s="894">
        <v>1000000000</v>
      </c>
      <c r="AM41" s="894">
        <v>1000000000</v>
      </c>
      <c r="AN41" s="894">
        <v>3600000</v>
      </c>
      <c r="AO41" s="894">
        <v>996400000</v>
      </c>
      <c r="AP41" s="894"/>
      <c r="AQ41" s="894">
        <v>0</v>
      </c>
      <c r="AR41" s="894">
        <v>3600000</v>
      </c>
      <c r="AS41" s="894"/>
      <c r="AT41" s="894"/>
      <c r="AU41" s="894"/>
      <c r="AV41" s="894"/>
      <c r="AW41" s="894">
        <f>AR41</f>
        <v>3600000</v>
      </c>
    </row>
    <row r="42" spans="1:49" ht="28.5" hidden="1" customHeight="1" x14ac:dyDescent="0.2">
      <c r="A42" s="882" t="s">
        <v>909</v>
      </c>
      <c r="B42" s="907" t="s">
        <v>1259</v>
      </c>
      <c r="C42" s="908"/>
      <c r="D42" s="909"/>
      <c r="E42" s="909"/>
      <c r="F42" s="909"/>
      <c r="G42" s="908">
        <f>G43</f>
        <v>14973042986</v>
      </c>
      <c r="H42" s="908">
        <f t="shared" ref="H42:AC42" si="29">H43+H47</f>
        <v>0</v>
      </c>
      <c r="I42" s="908">
        <f t="shared" si="29"/>
        <v>0</v>
      </c>
      <c r="J42" s="908">
        <f t="shared" si="29"/>
        <v>0</v>
      </c>
      <c r="K42" s="908">
        <f t="shared" si="29"/>
        <v>25980132488</v>
      </c>
      <c r="L42" s="908">
        <f t="shared" si="29"/>
        <v>0</v>
      </c>
      <c r="M42" s="908">
        <f t="shared" si="29"/>
        <v>22991070000</v>
      </c>
      <c r="N42" s="908">
        <f t="shared" si="29"/>
        <v>0</v>
      </c>
      <c r="O42" s="908">
        <f t="shared" si="29"/>
        <v>0</v>
      </c>
      <c r="P42" s="908">
        <f t="shared" si="29"/>
        <v>0</v>
      </c>
      <c r="Q42" s="908">
        <f t="shared" si="29"/>
        <v>22991070000</v>
      </c>
      <c r="R42" s="908">
        <f t="shared" si="29"/>
        <v>0</v>
      </c>
      <c r="S42" s="908">
        <v>7009267000</v>
      </c>
      <c r="T42" s="908">
        <f t="shared" si="29"/>
        <v>0</v>
      </c>
      <c r="U42" s="908">
        <f t="shared" si="29"/>
        <v>0</v>
      </c>
      <c r="V42" s="908">
        <f t="shared" si="29"/>
        <v>0</v>
      </c>
      <c r="W42" s="908">
        <f t="shared" si="29"/>
        <v>7009267000</v>
      </c>
      <c r="X42" s="908">
        <f t="shared" si="29"/>
        <v>0</v>
      </c>
      <c r="Y42" s="908">
        <f>Y43</f>
        <v>22458000</v>
      </c>
      <c r="Z42" s="908">
        <f t="shared" si="29"/>
        <v>25980132488</v>
      </c>
      <c r="AA42" s="908">
        <f t="shared" si="29"/>
        <v>0</v>
      </c>
      <c r="AB42" s="908">
        <f t="shared" si="29"/>
        <v>0</v>
      </c>
      <c r="AC42" s="908">
        <f t="shared" si="29"/>
        <v>0</v>
      </c>
      <c r="AD42" s="908">
        <f>AD43+AD47</f>
        <v>25980132488</v>
      </c>
      <c r="AE42" s="908">
        <f>AE43+AE47</f>
        <v>0</v>
      </c>
      <c r="AF42" s="908">
        <v>0</v>
      </c>
      <c r="AG42" s="908">
        <v>0</v>
      </c>
      <c r="AH42" s="908">
        <v>0</v>
      </c>
      <c r="AI42" s="908">
        <v>0</v>
      </c>
      <c r="AJ42" s="908">
        <v>0</v>
      </c>
      <c r="AK42" s="908">
        <v>0</v>
      </c>
      <c r="AL42" s="908">
        <v>3370000000</v>
      </c>
      <c r="AM42" s="908">
        <v>3008457240</v>
      </c>
      <c r="AN42" s="908">
        <v>3008457240</v>
      </c>
      <c r="AO42" s="908">
        <v>0</v>
      </c>
      <c r="AP42" s="908">
        <v>360736000</v>
      </c>
      <c r="AQ42" s="908">
        <v>806760</v>
      </c>
      <c r="AR42" s="908">
        <v>3168457240</v>
      </c>
      <c r="AS42" s="908">
        <f>AS43+AS47</f>
        <v>0</v>
      </c>
      <c r="AT42" s="908">
        <f>AT43+AT47</f>
        <v>0</v>
      </c>
      <c r="AU42" s="908">
        <f>AU43+AU47</f>
        <v>0</v>
      </c>
      <c r="AV42" s="908">
        <f>AV43+AV47</f>
        <v>3168457240</v>
      </c>
      <c r="AW42" s="908">
        <f>AW43</f>
        <v>0</v>
      </c>
    </row>
    <row r="43" spans="1:49" s="887" customFormat="1" ht="18.75" hidden="1" customHeight="1" x14ac:dyDescent="0.2">
      <c r="A43" s="910" t="s">
        <v>887</v>
      </c>
      <c r="B43" s="900" t="s">
        <v>2107</v>
      </c>
      <c r="C43" s="901"/>
      <c r="D43" s="903"/>
      <c r="E43" s="903"/>
      <c r="F43" s="903"/>
      <c r="G43" s="901">
        <f>G44+G47</f>
        <v>14973042986</v>
      </c>
      <c r="H43" s="901">
        <f t="shared" ref="H43:R43" si="30">H44+H47</f>
        <v>0</v>
      </c>
      <c r="I43" s="901">
        <f t="shared" si="30"/>
        <v>0</v>
      </c>
      <c r="J43" s="901">
        <f t="shared" si="30"/>
        <v>0</v>
      </c>
      <c r="K43" s="901">
        <f t="shared" si="30"/>
        <v>14973042986</v>
      </c>
      <c r="L43" s="901">
        <f t="shared" si="30"/>
        <v>0</v>
      </c>
      <c r="M43" s="901">
        <f t="shared" si="30"/>
        <v>13323467000</v>
      </c>
      <c r="N43" s="901">
        <f t="shared" si="30"/>
        <v>0</v>
      </c>
      <c r="O43" s="901">
        <f t="shared" si="30"/>
        <v>0</v>
      </c>
      <c r="P43" s="901">
        <f t="shared" si="30"/>
        <v>0</v>
      </c>
      <c r="Q43" s="901">
        <f t="shared" si="30"/>
        <v>13323467000</v>
      </c>
      <c r="R43" s="901">
        <f t="shared" si="30"/>
        <v>0</v>
      </c>
      <c r="S43" s="901">
        <v>7009267000</v>
      </c>
      <c r="T43" s="901">
        <f>T44</f>
        <v>0</v>
      </c>
      <c r="U43" s="901">
        <f>U44</f>
        <v>0</v>
      </c>
      <c r="V43" s="901">
        <f>V44</f>
        <v>0</v>
      </c>
      <c r="W43" s="901">
        <f>W44</f>
        <v>2730000000</v>
      </c>
      <c r="X43" s="901">
        <f>X44</f>
        <v>0</v>
      </c>
      <c r="Y43" s="901">
        <f t="shared" ref="Y43:AE43" si="31">Y44+Y47</f>
        <v>22458000</v>
      </c>
      <c r="Z43" s="901">
        <f t="shared" si="31"/>
        <v>14973042986</v>
      </c>
      <c r="AA43" s="901">
        <f t="shared" si="31"/>
        <v>0</v>
      </c>
      <c r="AB43" s="901">
        <f t="shared" si="31"/>
        <v>0</v>
      </c>
      <c r="AC43" s="901">
        <f t="shared" si="31"/>
        <v>0</v>
      </c>
      <c r="AD43" s="901">
        <f t="shared" si="31"/>
        <v>14973042986</v>
      </c>
      <c r="AE43" s="901">
        <f t="shared" si="31"/>
        <v>0</v>
      </c>
      <c r="AF43" s="901">
        <v>0</v>
      </c>
      <c r="AG43" s="901">
        <v>0</v>
      </c>
      <c r="AH43" s="901">
        <v>0</v>
      </c>
      <c r="AI43" s="901">
        <v>0</v>
      </c>
      <c r="AJ43" s="901">
        <v>0</v>
      </c>
      <c r="AK43" s="901">
        <v>0</v>
      </c>
      <c r="AL43" s="901">
        <v>3370000000</v>
      </c>
      <c r="AM43" s="901">
        <v>3008457240</v>
      </c>
      <c r="AN43" s="901">
        <v>3008457240</v>
      </c>
      <c r="AO43" s="901">
        <v>0</v>
      </c>
      <c r="AP43" s="901">
        <v>360736000</v>
      </c>
      <c r="AQ43" s="901">
        <v>806760</v>
      </c>
      <c r="AR43" s="901">
        <v>3168457240</v>
      </c>
      <c r="AS43" s="901">
        <f>AS44</f>
        <v>0</v>
      </c>
      <c r="AT43" s="901">
        <f>AT44</f>
        <v>0</v>
      </c>
      <c r="AU43" s="901">
        <f>AU44</f>
        <v>0</v>
      </c>
      <c r="AV43" s="901">
        <f>AV44</f>
        <v>675057240</v>
      </c>
      <c r="AW43" s="901">
        <f>AW44</f>
        <v>0</v>
      </c>
    </row>
    <row r="44" spans="1:49" s="887" customFormat="1" ht="16.5" hidden="1" customHeight="1" x14ac:dyDescent="0.2">
      <c r="A44" s="910"/>
      <c r="B44" s="900" t="s">
        <v>2098</v>
      </c>
      <c r="C44" s="901"/>
      <c r="D44" s="903"/>
      <c r="E44" s="903"/>
      <c r="F44" s="903"/>
      <c r="G44" s="901">
        <f>SUM(G45:G46)</f>
        <v>3965953484</v>
      </c>
      <c r="H44" s="901">
        <f t="shared" ref="H44:R44" si="32">SUM(H45:H46)</f>
        <v>0</v>
      </c>
      <c r="I44" s="901">
        <f t="shared" si="32"/>
        <v>0</v>
      </c>
      <c r="J44" s="901">
        <f t="shared" si="32"/>
        <v>0</v>
      </c>
      <c r="K44" s="901">
        <f t="shared" si="32"/>
        <v>3965953484</v>
      </c>
      <c r="L44" s="901">
        <f t="shared" si="32"/>
        <v>0</v>
      </c>
      <c r="M44" s="901">
        <f t="shared" si="32"/>
        <v>3655864000</v>
      </c>
      <c r="N44" s="901">
        <f t="shared" si="32"/>
        <v>0</v>
      </c>
      <c r="O44" s="901">
        <f t="shared" si="32"/>
        <v>0</v>
      </c>
      <c r="P44" s="901">
        <f t="shared" si="32"/>
        <v>0</v>
      </c>
      <c r="Q44" s="901">
        <f t="shared" si="32"/>
        <v>3655864000</v>
      </c>
      <c r="R44" s="901">
        <f t="shared" si="32"/>
        <v>0</v>
      </c>
      <c r="S44" s="901">
        <v>2730000000</v>
      </c>
      <c r="T44" s="901">
        <f>SUM(T45:T46)</f>
        <v>0</v>
      </c>
      <c r="U44" s="901">
        <f t="shared" ref="U44:AE44" si="33">SUM(U45:U46)</f>
        <v>0</v>
      </c>
      <c r="V44" s="901">
        <f t="shared" si="33"/>
        <v>0</v>
      </c>
      <c r="W44" s="901">
        <f t="shared" si="33"/>
        <v>2730000000</v>
      </c>
      <c r="X44" s="901">
        <f t="shared" si="33"/>
        <v>0</v>
      </c>
      <c r="Y44" s="901">
        <f t="shared" si="33"/>
        <v>0</v>
      </c>
      <c r="Z44" s="901">
        <f>SUM(Z45:Z46)</f>
        <v>3965953484</v>
      </c>
      <c r="AA44" s="901">
        <f t="shared" si="33"/>
        <v>0</v>
      </c>
      <c r="AB44" s="901">
        <f t="shared" si="33"/>
        <v>0</v>
      </c>
      <c r="AC44" s="901">
        <f t="shared" si="33"/>
        <v>0</v>
      </c>
      <c r="AD44" s="901">
        <f t="shared" si="33"/>
        <v>3965953484</v>
      </c>
      <c r="AE44" s="901">
        <f t="shared" si="33"/>
        <v>0</v>
      </c>
      <c r="AF44" s="901">
        <v>0</v>
      </c>
      <c r="AG44" s="901">
        <v>0</v>
      </c>
      <c r="AH44" s="901">
        <v>0</v>
      </c>
      <c r="AI44" s="901">
        <v>0</v>
      </c>
      <c r="AJ44" s="901">
        <v>0</v>
      </c>
      <c r="AK44" s="901">
        <v>0</v>
      </c>
      <c r="AL44" s="901">
        <v>675864000</v>
      </c>
      <c r="AM44" s="901">
        <v>675057240</v>
      </c>
      <c r="AN44" s="901">
        <v>675057240</v>
      </c>
      <c r="AO44" s="901">
        <v>0</v>
      </c>
      <c r="AP44" s="901">
        <v>0</v>
      </c>
      <c r="AQ44" s="901">
        <v>806760</v>
      </c>
      <c r="AR44" s="901">
        <v>675057240</v>
      </c>
      <c r="AS44" s="901">
        <f>SUM(AS45:AS46)</f>
        <v>0</v>
      </c>
      <c r="AT44" s="901">
        <f>SUM(AT45:AT46)</f>
        <v>0</v>
      </c>
      <c r="AU44" s="901">
        <f>SUM(AU45:AU46)</f>
        <v>0</v>
      </c>
      <c r="AV44" s="901">
        <f>SUM(AV45:AV46)</f>
        <v>675057240</v>
      </c>
      <c r="AW44" s="901">
        <f>SUM(AW45:AW46)</f>
        <v>0</v>
      </c>
    </row>
    <row r="45" spans="1:49" ht="51.75" hidden="1" customHeight="1" x14ac:dyDescent="0.2">
      <c r="A45" s="892" t="s">
        <v>1773</v>
      </c>
      <c r="B45" s="893" t="s">
        <v>2123</v>
      </c>
      <c r="C45" s="894"/>
      <c r="D45" s="895"/>
      <c r="E45" s="895"/>
      <c r="F45" s="895"/>
      <c r="G45" s="894">
        <v>2963935407</v>
      </c>
      <c r="H45" s="894"/>
      <c r="I45" s="894"/>
      <c r="J45" s="894"/>
      <c r="K45" s="894">
        <f>G45</f>
        <v>2963935407</v>
      </c>
      <c r="L45" s="894"/>
      <c r="M45" s="894">
        <f>SUM(N45:R45)</f>
        <v>2784334000</v>
      </c>
      <c r="N45" s="894"/>
      <c r="O45" s="894"/>
      <c r="P45" s="894"/>
      <c r="Q45" s="894">
        <v>2784334000</v>
      </c>
      <c r="R45" s="894"/>
      <c r="S45" s="894">
        <v>2290000000</v>
      </c>
      <c r="T45" s="894"/>
      <c r="U45" s="894"/>
      <c r="V45" s="894"/>
      <c r="W45" s="894">
        <f>S45</f>
        <v>2290000000</v>
      </c>
      <c r="X45" s="894"/>
      <c r="Y45" s="894"/>
      <c r="Z45" s="894">
        <f>SUM(AA45:AE45)</f>
        <v>2963935407</v>
      </c>
      <c r="AA45" s="894"/>
      <c r="AB45" s="894"/>
      <c r="AC45" s="894"/>
      <c r="AD45" s="894">
        <f>K45</f>
        <v>2963935407</v>
      </c>
      <c r="AE45" s="894"/>
      <c r="AF45" s="894"/>
      <c r="AG45" s="894"/>
      <c r="AH45" s="894"/>
      <c r="AI45" s="894"/>
      <c r="AJ45" s="894"/>
      <c r="AK45" s="894"/>
      <c r="AL45" s="894">
        <v>244334000</v>
      </c>
      <c r="AM45" s="894">
        <v>243527240</v>
      </c>
      <c r="AN45" s="894">
        <v>243527240</v>
      </c>
      <c r="AO45" s="894">
        <v>0</v>
      </c>
      <c r="AP45" s="894"/>
      <c r="AQ45" s="894">
        <v>806760</v>
      </c>
      <c r="AR45" s="894">
        <v>243527240</v>
      </c>
      <c r="AS45" s="894"/>
      <c r="AT45" s="894"/>
      <c r="AU45" s="894"/>
      <c r="AV45" s="894">
        <f>AR45</f>
        <v>243527240</v>
      </c>
      <c r="AW45" s="894"/>
    </row>
    <row r="46" spans="1:49" ht="24" hidden="1" customHeight="1" x14ac:dyDescent="0.2">
      <c r="A46" s="892" t="s">
        <v>1774</v>
      </c>
      <c r="B46" s="893" t="s">
        <v>411</v>
      </c>
      <c r="C46" s="894"/>
      <c r="D46" s="895"/>
      <c r="E46" s="895"/>
      <c r="F46" s="895"/>
      <c r="G46" s="894">
        <v>1002018077</v>
      </c>
      <c r="H46" s="894"/>
      <c r="I46" s="894"/>
      <c r="J46" s="894"/>
      <c r="K46" s="894">
        <f>G46</f>
        <v>1002018077</v>
      </c>
      <c r="L46" s="894"/>
      <c r="M46" s="894">
        <f>SUM(N46:R46)</f>
        <v>871530000</v>
      </c>
      <c r="N46" s="894"/>
      <c r="O46" s="894"/>
      <c r="P46" s="894"/>
      <c r="Q46" s="894">
        <v>871530000</v>
      </c>
      <c r="R46" s="894"/>
      <c r="S46" s="894">
        <v>440000000</v>
      </c>
      <c r="T46" s="894"/>
      <c r="U46" s="894"/>
      <c r="V46" s="894"/>
      <c r="W46" s="894">
        <f>S46</f>
        <v>440000000</v>
      </c>
      <c r="X46" s="894"/>
      <c r="Y46" s="894"/>
      <c r="Z46" s="894">
        <f>SUM(AA46:AE46)</f>
        <v>1002018077</v>
      </c>
      <c r="AA46" s="894"/>
      <c r="AB46" s="894"/>
      <c r="AC46" s="894"/>
      <c r="AD46" s="894">
        <f>K46</f>
        <v>1002018077</v>
      </c>
      <c r="AE46" s="894"/>
      <c r="AF46" s="894"/>
      <c r="AG46" s="894"/>
      <c r="AH46" s="894"/>
      <c r="AI46" s="894"/>
      <c r="AJ46" s="894"/>
      <c r="AK46" s="894"/>
      <c r="AL46" s="894">
        <v>431530000</v>
      </c>
      <c r="AM46" s="894">
        <v>431530000</v>
      </c>
      <c r="AN46" s="894">
        <v>431530000</v>
      </c>
      <c r="AO46" s="894">
        <v>0</v>
      </c>
      <c r="AP46" s="894"/>
      <c r="AQ46" s="894">
        <v>0</v>
      </c>
      <c r="AR46" s="894">
        <v>431530000</v>
      </c>
      <c r="AS46" s="894"/>
      <c r="AT46" s="894"/>
      <c r="AU46" s="894"/>
      <c r="AV46" s="894">
        <f>AR46</f>
        <v>431530000</v>
      </c>
      <c r="AW46" s="894"/>
    </row>
    <row r="47" spans="1:49" s="887" customFormat="1" ht="27" hidden="1" customHeight="1" x14ac:dyDescent="0.2">
      <c r="A47" s="910"/>
      <c r="B47" s="900" t="s">
        <v>2099</v>
      </c>
      <c r="C47" s="901"/>
      <c r="D47" s="903"/>
      <c r="E47" s="903"/>
      <c r="F47" s="903"/>
      <c r="G47" s="901">
        <f>SUM(G48:G49)</f>
        <v>11007089502</v>
      </c>
      <c r="H47" s="901">
        <f t="shared" ref="H47:R47" si="34">SUM(H48:H49)</f>
        <v>0</v>
      </c>
      <c r="I47" s="901">
        <f t="shared" si="34"/>
        <v>0</v>
      </c>
      <c r="J47" s="901">
        <f t="shared" si="34"/>
        <v>0</v>
      </c>
      <c r="K47" s="901">
        <f t="shared" si="34"/>
        <v>11007089502</v>
      </c>
      <c r="L47" s="901">
        <f t="shared" si="34"/>
        <v>0</v>
      </c>
      <c r="M47" s="901">
        <f t="shared" si="34"/>
        <v>9667603000</v>
      </c>
      <c r="N47" s="901">
        <f t="shared" si="34"/>
        <v>0</v>
      </c>
      <c r="O47" s="901">
        <f t="shared" si="34"/>
        <v>0</v>
      </c>
      <c r="P47" s="901">
        <f t="shared" si="34"/>
        <v>0</v>
      </c>
      <c r="Q47" s="901">
        <f t="shared" si="34"/>
        <v>9667603000</v>
      </c>
      <c r="R47" s="901">
        <f t="shared" si="34"/>
        <v>0</v>
      </c>
      <c r="S47" s="901">
        <v>4279267000</v>
      </c>
      <c r="T47" s="901">
        <f t="shared" ref="T47:AE47" si="35">SUM(T48:T49)</f>
        <v>0</v>
      </c>
      <c r="U47" s="901">
        <f t="shared" si="35"/>
        <v>0</v>
      </c>
      <c r="V47" s="901">
        <f t="shared" si="35"/>
        <v>0</v>
      </c>
      <c r="W47" s="901">
        <f t="shared" si="35"/>
        <v>4279267000</v>
      </c>
      <c r="X47" s="901">
        <f t="shared" si="35"/>
        <v>0</v>
      </c>
      <c r="Y47" s="901">
        <f t="shared" si="35"/>
        <v>22458000</v>
      </c>
      <c r="Z47" s="901">
        <f t="shared" si="35"/>
        <v>11007089502</v>
      </c>
      <c r="AA47" s="901">
        <f t="shared" si="35"/>
        <v>0</v>
      </c>
      <c r="AB47" s="901">
        <f t="shared" si="35"/>
        <v>0</v>
      </c>
      <c r="AC47" s="901">
        <f t="shared" si="35"/>
        <v>0</v>
      </c>
      <c r="AD47" s="901">
        <f t="shared" si="35"/>
        <v>11007089502</v>
      </c>
      <c r="AE47" s="901">
        <f t="shared" si="35"/>
        <v>0</v>
      </c>
      <c r="AF47" s="901">
        <v>0</v>
      </c>
      <c r="AG47" s="901">
        <v>0</v>
      </c>
      <c r="AH47" s="901">
        <v>0</v>
      </c>
      <c r="AI47" s="901">
        <v>0</v>
      </c>
      <c r="AJ47" s="901">
        <v>0</v>
      </c>
      <c r="AK47" s="901">
        <v>0</v>
      </c>
      <c r="AL47" s="901">
        <v>2694136000</v>
      </c>
      <c r="AM47" s="901">
        <v>2333400000</v>
      </c>
      <c r="AN47" s="901">
        <v>2333400000</v>
      </c>
      <c r="AO47" s="901">
        <v>0</v>
      </c>
      <c r="AP47" s="901">
        <v>360736000</v>
      </c>
      <c r="AQ47" s="901">
        <v>0</v>
      </c>
      <c r="AR47" s="901">
        <v>2493400000</v>
      </c>
      <c r="AS47" s="901">
        <f>SUM(AS48:AS49)</f>
        <v>0</v>
      </c>
      <c r="AT47" s="901">
        <f>SUM(AT48:AT49)</f>
        <v>0</v>
      </c>
      <c r="AU47" s="901">
        <f>SUM(AU48:AU49)</f>
        <v>0</v>
      </c>
      <c r="AV47" s="901">
        <f>SUM(AV48:AV49)</f>
        <v>2493400000</v>
      </c>
      <c r="AW47" s="901">
        <f>SUM(AW48:AW49)</f>
        <v>0</v>
      </c>
    </row>
    <row r="48" spans="1:49" ht="27" hidden="1" customHeight="1" x14ac:dyDescent="0.2">
      <c r="A48" s="892" t="s">
        <v>1773</v>
      </c>
      <c r="B48" s="893" t="s">
        <v>409</v>
      </c>
      <c r="C48" s="894"/>
      <c r="D48" s="895"/>
      <c r="E48" s="895"/>
      <c r="F48" s="895"/>
      <c r="G48" s="894">
        <v>7952575712</v>
      </c>
      <c r="H48" s="894"/>
      <c r="I48" s="894"/>
      <c r="J48" s="894"/>
      <c r="K48" s="894">
        <f>G48</f>
        <v>7952575712</v>
      </c>
      <c r="L48" s="894"/>
      <c r="M48" s="894">
        <f>SUM(N48:R48)</f>
        <v>6759689000</v>
      </c>
      <c r="N48" s="894"/>
      <c r="O48" s="894"/>
      <c r="P48" s="894"/>
      <c r="Q48" s="894">
        <v>6759689000</v>
      </c>
      <c r="R48" s="894"/>
      <c r="S48" s="894">
        <v>3354927000</v>
      </c>
      <c r="T48" s="894"/>
      <c r="U48" s="894"/>
      <c r="V48" s="894"/>
      <c r="W48" s="894">
        <f>S48</f>
        <v>3354927000</v>
      </c>
      <c r="X48" s="894"/>
      <c r="Y48" s="894">
        <v>22458000</v>
      </c>
      <c r="Z48" s="894">
        <f>SUM(AA48:AE48)</f>
        <v>7952575712</v>
      </c>
      <c r="AA48" s="894"/>
      <c r="AB48" s="894"/>
      <c r="AC48" s="894"/>
      <c r="AD48" s="894">
        <f>K48</f>
        <v>7952575712</v>
      </c>
      <c r="AE48" s="894"/>
      <c r="AF48" s="894"/>
      <c r="AG48" s="894"/>
      <c r="AH48" s="894"/>
      <c r="AI48" s="894"/>
      <c r="AJ48" s="894"/>
      <c r="AK48" s="894"/>
      <c r="AL48" s="894">
        <v>2594136000</v>
      </c>
      <c r="AM48" s="894">
        <v>2233400000</v>
      </c>
      <c r="AN48" s="894">
        <v>2233400000</v>
      </c>
      <c r="AO48" s="894">
        <v>0</v>
      </c>
      <c r="AP48" s="894">
        <v>360736000</v>
      </c>
      <c r="AQ48" s="894">
        <v>0</v>
      </c>
      <c r="AR48" s="894">
        <v>2333400000</v>
      </c>
      <c r="AS48" s="894"/>
      <c r="AT48" s="894"/>
      <c r="AU48" s="894"/>
      <c r="AV48" s="894">
        <f>AR48</f>
        <v>2333400000</v>
      </c>
      <c r="AW48" s="894"/>
    </row>
    <row r="49" spans="1:49" ht="62.25" hidden="1" customHeight="1" x14ac:dyDescent="0.2">
      <c r="A49" s="892" t="s">
        <v>1774</v>
      </c>
      <c r="B49" s="893" t="s">
        <v>410</v>
      </c>
      <c r="C49" s="894"/>
      <c r="D49" s="895"/>
      <c r="E49" s="895"/>
      <c r="F49" s="895"/>
      <c r="G49" s="894">
        <v>3054513790</v>
      </c>
      <c r="H49" s="894"/>
      <c r="I49" s="894"/>
      <c r="J49" s="894"/>
      <c r="K49" s="894">
        <f>G49</f>
        <v>3054513790</v>
      </c>
      <c r="L49" s="894"/>
      <c r="M49" s="894">
        <f>SUM(N49:R49)</f>
        <v>2907914000</v>
      </c>
      <c r="N49" s="894"/>
      <c r="O49" s="894"/>
      <c r="P49" s="894"/>
      <c r="Q49" s="894">
        <v>2907914000</v>
      </c>
      <c r="R49" s="894"/>
      <c r="S49" s="894">
        <v>924340000</v>
      </c>
      <c r="T49" s="894"/>
      <c r="U49" s="894"/>
      <c r="V49" s="894"/>
      <c r="W49" s="894">
        <f>S49</f>
        <v>924340000</v>
      </c>
      <c r="X49" s="894"/>
      <c r="Y49" s="894"/>
      <c r="Z49" s="894">
        <f>SUM(AA49:AE49)</f>
        <v>3054513790</v>
      </c>
      <c r="AA49" s="894"/>
      <c r="AB49" s="894"/>
      <c r="AC49" s="894"/>
      <c r="AD49" s="894">
        <f>K49</f>
        <v>3054513790</v>
      </c>
      <c r="AE49" s="894"/>
      <c r="AF49" s="894"/>
      <c r="AG49" s="894"/>
      <c r="AH49" s="894"/>
      <c r="AI49" s="894"/>
      <c r="AJ49" s="894"/>
      <c r="AK49" s="894"/>
      <c r="AL49" s="894">
        <v>100000000</v>
      </c>
      <c r="AM49" s="894">
        <v>100000000</v>
      </c>
      <c r="AN49" s="894">
        <v>100000000</v>
      </c>
      <c r="AO49" s="894">
        <v>0</v>
      </c>
      <c r="AP49" s="894"/>
      <c r="AQ49" s="894">
        <v>0</v>
      </c>
      <c r="AR49" s="894">
        <v>160000000</v>
      </c>
      <c r="AS49" s="894"/>
      <c r="AT49" s="894"/>
      <c r="AU49" s="894"/>
      <c r="AV49" s="894">
        <f>AR49</f>
        <v>160000000</v>
      </c>
      <c r="AW49" s="894"/>
    </row>
    <row r="50" spans="1:49" s="887" customFormat="1" ht="56.25" hidden="1" customHeight="1" x14ac:dyDescent="0.2">
      <c r="A50" s="910" t="s">
        <v>2125</v>
      </c>
      <c r="B50" s="911" t="s">
        <v>2126</v>
      </c>
      <c r="C50" s="901"/>
      <c r="D50" s="903"/>
      <c r="E50" s="903"/>
      <c r="F50" s="903"/>
      <c r="G50" s="901">
        <f>G51</f>
        <v>882625607</v>
      </c>
      <c r="H50" s="901">
        <f t="shared" ref="H50:R53" si="36">H51</f>
        <v>0</v>
      </c>
      <c r="I50" s="901">
        <f t="shared" si="36"/>
        <v>882625607</v>
      </c>
      <c r="J50" s="901">
        <f t="shared" si="36"/>
        <v>0</v>
      </c>
      <c r="K50" s="901">
        <f t="shared" si="36"/>
        <v>0</v>
      </c>
      <c r="L50" s="901">
        <f t="shared" si="36"/>
        <v>0</v>
      </c>
      <c r="M50" s="901">
        <f t="shared" si="36"/>
        <v>0</v>
      </c>
      <c r="N50" s="901">
        <f t="shared" si="36"/>
        <v>0</v>
      </c>
      <c r="O50" s="901">
        <f t="shared" si="36"/>
        <v>812436643</v>
      </c>
      <c r="P50" s="901">
        <f t="shared" si="36"/>
        <v>0</v>
      </c>
      <c r="Q50" s="901">
        <f t="shared" si="36"/>
        <v>0</v>
      </c>
      <c r="R50" s="901">
        <f t="shared" si="36"/>
        <v>0</v>
      </c>
      <c r="S50" s="901">
        <v>812436643</v>
      </c>
      <c r="T50" s="901">
        <f>T51</f>
        <v>0</v>
      </c>
      <c r="U50" s="901">
        <f t="shared" ref="U50:AE53" si="37">U51</f>
        <v>812436643</v>
      </c>
      <c r="V50" s="901">
        <f t="shared" si="37"/>
        <v>0</v>
      </c>
      <c r="W50" s="901">
        <f t="shared" si="37"/>
        <v>0</v>
      </c>
      <c r="X50" s="901">
        <f t="shared" si="37"/>
        <v>0</v>
      </c>
      <c r="Y50" s="901">
        <f t="shared" si="37"/>
        <v>0</v>
      </c>
      <c r="Z50" s="901"/>
      <c r="AA50" s="901"/>
      <c r="AB50" s="901"/>
      <c r="AC50" s="901"/>
      <c r="AD50" s="901"/>
      <c r="AE50" s="901"/>
      <c r="AF50" s="901">
        <v>0</v>
      </c>
      <c r="AG50" s="901">
        <v>0</v>
      </c>
      <c r="AH50" s="901">
        <v>0</v>
      </c>
      <c r="AI50" s="901">
        <v>0</v>
      </c>
      <c r="AJ50" s="901">
        <v>0</v>
      </c>
      <c r="AK50" s="901">
        <v>0</v>
      </c>
      <c r="AL50" s="901">
        <v>0</v>
      </c>
      <c r="AM50" s="901">
        <v>0</v>
      </c>
      <c r="AN50" s="901">
        <v>0</v>
      </c>
      <c r="AO50" s="901">
        <v>0</v>
      </c>
      <c r="AP50" s="901">
        <v>0</v>
      </c>
      <c r="AQ50" s="901">
        <v>0</v>
      </c>
      <c r="AR50" s="901">
        <v>38000000</v>
      </c>
      <c r="AS50" s="901"/>
      <c r="AT50" s="901"/>
      <c r="AU50" s="901"/>
      <c r="AV50" s="901"/>
      <c r="AW50" s="901"/>
    </row>
    <row r="51" spans="1:49" s="887" customFormat="1" ht="27.75" hidden="1" customHeight="1" x14ac:dyDescent="0.2">
      <c r="A51" s="910" t="s">
        <v>849</v>
      </c>
      <c r="B51" s="911" t="s">
        <v>2127</v>
      </c>
      <c r="C51" s="901"/>
      <c r="D51" s="903"/>
      <c r="E51" s="903"/>
      <c r="F51" s="903"/>
      <c r="G51" s="901">
        <f>G52</f>
        <v>882625607</v>
      </c>
      <c r="H51" s="901">
        <f t="shared" si="36"/>
        <v>0</v>
      </c>
      <c r="I51" s="901">
        <f t="shared" si="36"/>
        <v>882625607</v>
      </c>
      <c r="J51" s="901">
        <f t="shared" si="36"/>
        <v>0</v>
      </c>
      <c r="K51" s="901">
        <f t="shared" si="36"/>
        <v>0</v>
      </c>
      <c r="L51" s="901">
        <f t="shared" si="36"/>
        <v>0</v>
      </c>
      <c r="M51" s="901">
        <f t="shared" si="36"/>
        <v>0</v>
      </c>
      <c r="N51" s="901">
        <f t="shared" si="36"/>
        <v>0</v>
      </c>
      <c r="O51" s="901">
        <f t="shared" si="36"/>
        <v>812436643</v>
      </c>
      <c r="P51" s="901">
        <f t="shared" si="36"/>
        <v>0</v>
      </c>
      <c r="Q51" s="901">
        <f t="shared" si="36"/>
        <v>0</v>
      </c>
      <c r="R51" s="901">
        <f t="shared" si="36"/>
        <v>0</v>
      </c>
      <c r="S51" s="901">
        <v>812436643</v>
      </c>
      <c r="T51" s="901">
        <f>T52</f>
        <v>0</v>
      </c>
      <c r="U51" s="901">
        <f t="shared" si="37"/>
        <v>812436643</v>
      </c>
      <c r="V51" s="901">
        <f t="shared" si="37"/>
        <v>0</v>
      </c>
      <c r="W51" s="901">
        <f t="shared" si="37"/>
        <v>0</v>
      </c>
      <c r="X51" s="901">
        <f t="shared" si="37"/>
        <v>0</v>
      </c>
      <c r="Y51" s="901">
        <f t="shared" si="37"/>
        <v>0</v>
      </c>
      <c r="Z51" s="901">
        <f t="shared" si="37"/>
        <v>882625607</v>
      </c>
      <c r="AA51" s="901">
        <f t="shared" si="37"/>
        <v>0</v>
      </c>
      <c r="AB51" s="901">
        <f t="shared" si="37"/>
        <v>882625607</v>
      </c>
      <c r="AC51" s="901">
        <f t="shared" si="37"/>
        <v>0</v>
      </c>
      <c r="AD51" s="901">
        <f t="shared" si="37"/>
        <v>0</v>
      </c>
      <c r="AE51" s="901">
        <f t="shared" si="37"/>
        <v>0</v>
      </c>
      <c r="AF51" s="901">
        <v>0</v>
      </c>
      <c r="AG51" s="901">
        <v>0</v>
      </c>
      <c r="AH51" s="901">
        <v>0</v>
      </c>
      <c r="AI51" s="901">
        <v>0</v>
      </c>
      <c r="AJ51" s="901">
        <v>0</v>
      </c>
      <c r="AK51" s="901">
        <v>0</v>
      </c>
      <c r="AL51" s="901">
        <v>0</v>
      </c>
      <c r="AM51" s="901">
        <v>0</v>
      </c>
      <c r="AN51" s="901">
        <v>0</v>
      </c>
      <c r="AO51" s="901">
        <v>0</v>
      </c>
      <c r="AP51" s="901">
        <v>0</v>
      </c>
      <c r="AQ51" s="901">
        <v>0</v>
      </c>
      <c r="AR51" s="901">
        <v>38000000</v>
      </c>
      <c r="AS51" s="901">
        <f>AS52</f>
        <v>0</v>
      </c>
      <c r="AT51" s="901">
        <f t="shared" ref="AT51:AW53" si="38">AT52</f>
        <v>38000000</v>
      </c>
      <c r="AU51" s="901">
        <f t="shared" si="38"/>
        <v>0</v>
      </c>
      <c r="AV51" s="901">
        <f t="shared" si="38"/>
        <v>0</v>
      </c>
      <c r="AW51" s="901">
        <f t="shared" si="38"/>
        <v>0</v>
      </c>
    </row>
    <row r="52" spans="1:49" s="887" customFormat="1" ht="18.75" hidden="1" customHeight="1" x14ac:dyDescent="0.2">
      <c r="A52" s="910" t="s">
        <v>887</v>
      </c>
      <c r="B52" s="911" t="s">
        <v>2128</v>
      </c>
      <c r="C52" s="901"/>
      <c r="D52" s="903"/>
      <c r="E52" s="903"/>
      <c r="F52" s="903"/>
      <c r="G52" s="901">
        <f>G53</f>
        <v>882625607</v>
      </c>
      <c r="H52" s="901">
        <f t="shared" si="36"/>
        <v>0</v>
      </c>
      <c r="I52" s="901">
        <f t="shared" si="36"/>
        <v>882625607</v>
      </c>
      <c r="J52" s="901">
        <f t="shared" si="36"/>
        <v>0</v>
      </c>
      <c r="K52" s="901">
        <f t="shared" si="36"/>
        <v>0</v>
      </c>
      <c r="L52" s="901">
        <f t="shared" si="36"/>
        <v>0</v>
      </c>
      <c r="M52" s="901">
        <f t="shared" si="36"/>
        <v>0</v>
      </c>
      <c r="N52" s="901">
        <f t="shared" si="36"/>
        <v>0</v>
      </c>
      <c r="O52" s="901">
        <f t="shared" si="36"/>
        <v>812436643</v>
      </c>
      <c r="P52" s="901">
        <f t="shared" si="36"/>
        <v>0</v>
      </c>
      <c r="Q52" s="901">
        <f t="shared" si="36"/>
        <v>0</v>
      </c>
      <c r="R52" s="901">
        <f t="shared" si="36"/>
        <v>0</v>
      </c>
      <c r="S52" s="901">
        <v>812436643</v>
      </c>
      <c r="T52" s="901">
        <f>T53</f>
        <v>0</v>
      </c>
      <c r="U52" s="901">
        <f t="shared" si="37"/>
        <v>812436643</v>
      </c>
      <c r="V52" s="901">
        <f t="shared" si="37"/>
        <v>0</v>
      </c>
      <c r="W52" s="901">
        <f t="shared" si="37"/>
        <v>0</v>
      </c>
      <c r="X52" s="901">
        <f t="shared" si="37"/>
        <v>0</v>
      </c>
      <c r="Y52" s="901">
        <f t="shared" si="37"/>
        <v>0</v>
      </c>
      <c r="Z52" s="901">
        <f t="shared" si="37"/>
        <v>882625607</v>
      </c>
      <c r="AA52" s="901">
        <f t="shared" si="37"/>
        <v>0</v>
      </c>
      <c r="AB52" s="901">
        <f t="shared" si="37"/>
        <v>882625607</v>
      </c>
      <c r="AC52" s="901">
        <f t="shared" si="37"/>
        <v>0</v>
      </c>
      <c r="AD52" s="901">
        <f t="shared" si="37"/>
        <v>0</v>
      </c>
      <c r="AE52" s="901">
        <f t="shared" si="37"/>
        <v>0</v>
      </c>
      <c r="AF52" s="901">
        <v>0</v>
      </c>
      <c r="AG52" s="901">
        <v>0</v>
      </c>
      <c r="AH52" s="901">
        <v>0</v>
      </c>
      <c r="AI52" s="901">
        <v>0</v>
      </c>
      <c r="AJ52" s="901">
        <v>0</v>
      </c>
      <c r="AK52" s="901">
        <v>0</v>
      </c>
      <c r="AL52" s="901">
        <v>0</v>
      </c>
      <c r="AM52" s="901">
        <v>0</v>
      </c>
      <c r="AN52" s="901">
        <v>0</v>
      </c>
      <c r="AO52" s="901">
        <v>0</v>
      </c>
      <c r="AP52" s="901">
        <v>0</v>
      </c>
      <c r="AQ52" s="901">
        <v>0</v>
      </c>
      <c r="AR52" s="901">
        <v>38000000</v>
      </c>
      <c r="AS52" s="901">
        <f>AS53</f>
        <v>0</v>
      </c>
      <c r="AT52" s="901">
        <f t="shared" si="38"/>
        <v>38000000</v>
      </c>
      <c r="AU52" s="901">
        <f t="shared" si="38"/>
        <v>0</v>
      </c>
      <c r="AV52" s="901">
        <f t="shared" si="38"/>
        <v>0</v>
      </c>
      <c r="AW52" s="901">
        <f t="shared" si="38"/>
        <v>0</v>
      </c>
    </row>
    <row r="53" spans="1:49" s="887" customFormat="1" ht="16.5" hidden="1" customHeight="1" x14ac:dyDescent="0.2">
      <c r="A53" s="910"/>
      <c r="B53" s="911" t="s">
        <v>2113</v>
      </c>
      <c r="C53" s="901"/>
      <c r="D53" s="903"/>
      <c r="E53" s="903"/>
      <c r="F53" s="903"/>
      <c r="G53" s="901">
        <f>G54</f>
        <v>882625607</v>
      </c>
      <c r="H53" s="901">
        <f t="shared" si="36"/>
        <v>0</v>
      </c>
      <c r="I53" s="901">
        <f t="shared" si="36"/>
        <v>882625607</v>
      </c>
      <c r="J53" s="901">
        <f t="shared" si="36"/>
        <v>0</v>
      </c>
      <c r="K53" s="901">
        <f t="shared" si="36"/>
        <v>0</v>
      </c>
      <c r="L53" s="901">
        <f t="shared" si="36"/>
        <v>0</v>
      </c>
      <c r="M53" s="901">
        <f t="shared" si="36"/>
        <v>0</v>
      </c>
      <c r="N53" s="901">
        <f t="shared" si="36"/>
        <v>0</v>
      </c>
      <c r="O53" s="901">
        <f t="shared" si="36"/>
        <v>812436643</v>
      </c>
      <c r="P53" s="901">
        <f t="shared" si="36"/>
        <v>0</v>
      </c>
      <c r="Q53" s="901">
        <f t="shared" si="36"/>
        <v>0</v>
      </c>
      <c r="R53" s="901">
        <f t="shared" si="36"/>
        <v>0</v>
      </c>
      <c r="S53" s="901">
        <v>812436643</v>
      </c>
      <c r="T53" s="901">
        <f>T54</f>
        <v>0</v>
      </c>
      <c r="U53" s="901">
        <f t="shared" si="37"/>
        <v>812436643</v>
      </c>
      <c r="V53" s="901">
        <f t="shared" si="37"/>
        <v>0</v>
      </c>
      <c r="W53" s="901">
        <f t="shared" si="37"/>
        <v>0</v>
      </c>
      <c r="X53" s="901">
        <f t="shared" si="37"/>
        <v>0</v>
      </c>
      <c r="Y53" s="901">
        <f>Y54</f>
        <v>0</v>
      </c>
      <c r="Z53" s="901">
        <f t="shared" si="37"/>
        <v>882625607</v>
      </c>
      <c r="AA53" s="901">
        <f t="shared" si="37"/>
        <v>0</v>
      </c>
      <c r="AB53" s="901">
        <f t="shared" si="37"/>
        <v>882625607</v>
      </c>
      <c r="AC53" s="901">
        <f t="shared" si="37"/>
        <v>0</v>
      </c>
      <c r="AD53" s="901">
        <f t="shared" si="37"/>
        <v>0</v>
      </c>
      <c r="AE53" s="901">
        <f t="shared" si="37"/>
        <v>0</v>
      </c>
      <c r="AF53" s="901">
        <v>0</v>
      </c>
      <c r="AG53" s="901">
        <v>0</v>
      </c>
      <c r="AH53" s="901">
        <v>0</v>
      </c>
      <c r="AI53" s="901">
        <v>0</v>
      </c>
      <c r="AJ53" s="901">
        <v>0</v>
      </c>
      <c r="AK53" s="901">
        <v>0</v>
      </c>
      <c r="AL53" s="901">
        <v>0</v>
      </c>
      <c r="AM53" s="901">
        <v>0</v>
      </c>
      <c r="AN53" s="901">
        <v>0</v>
      </c>
      <c r="AO53" s="901">
        <v>0</v>
      </c>
      <c r="AP53" s="901">
        <v>0</v>
      </c>
      <c r="AQ53" s="901">
        <v>0</v>
      </c>
      <c r="AR53" s="901">
        <v>38000000</v>
      </c>
      <c r="AS53" s="901">
        <f>AS54</f>
        <v>0</v>
      </c>
      <c r="AT53" s="901">
        <f t="shared" si="38"/>
        <v>38000000</v>
      </c>
      <c r="AU53" s="901">
        <f t="shared" si="38"/>
        <v>0</v>
      </c>
      <c r="AV53" s="901">
        <f t="shared" si="38"/>
        <v>0</v>
      </c>
      <c r="AW53" s="901">
        <f t="shared" si="38"/>
        <v>0</v>
      </c>
    </row>
    <row r="54" spans="1:49" ht="65.25" hidden="1" customHeight="1" x14ac:dyDescent="0.2">
      <c r="A54" s="892" t="s">
        <v>1773</v>
      </c>
      <c r="B54" s="893" t="s">
        <v>406</v>
      </c>
      <c r="C54" s="894"/>
      <c r="D54" s="895"/>
      <c r="E54" s="895"/>
      <c r="F54" s="895"/>
      <c r="G54" s="894">
        <v>882625607</v>
      </c>
      <c r="H54" s="894"/>
      <c r="I54" s="894">
        <f>G54</f>
        <v>882625607</v>
      </c>
      <c r="J54" s="894"/>
      <c r="K54" s="894"/>
      <c r="L54" s="894"/>
      <c r="M54" s="894"/>
      <c r="N54" s="894"/>
      <c r="O54" s="894">
        <v>812436643</v>
      </c>
      <c r="P54" s="894"/>
      <c r="Q54" s="894"/>
      <c r="R54" s="894"/>
      <c r="S54" s="894">
        <v>812436643</v>
      </c>
      <c r="T54" s="894"/>
      <c r="U54" s="894">
        <f>S54</f>
        <v>812436643</v>
      </c>
      <c r="V54" s="894"/>
      <c r="W54" s="894"/>
      <c r="X54" s="894"/>
      <c r="Y54" s="894">
        <v>0</v>
      </c>
      <c r="Z54" s="894">
        <f>SUM(AA54:AE54)</f>
        <v>882625607</v>
      </c>
      <c r="AA54" s="894"/>
      <c r="AB54" s="894">
        <f>I54</f>
        <v>882625607</v>
      </c>
      <c r="AC54" s="894"/>
      <c r="AD54" s="894"/>
      <c r="AE54" s="894"/>
      <c r="AF54" s="894"/>
      <c r="AG54" s="894"/>
      <c r="AH54" s="894"/>
      <c r="AI54" s="894"/>
      <c r="AJ54" s="894"/>
      <c r="AK54" s="894"/>
      <c r="AL54" s="894">
        <v>0</v>
      </c>
      <c r="AM54" s="894">
        <v>0</v>
      </c>
      <c r="AN54" s="894"/>
      <c r="AO54" s="894">
        <v>0</v>
      </c>
      <c r="AP54" s="894">
        <v>0</v>
      </c>
      <c r="AQ54" s="894"/>
      <c r="AR54" s="894">
        <v>38000000</v>
      </c>
      <c r="AS54" s="894"/>
      <c r="AT54" s="894">
        <f>AR54</f>
        <v>38000000</v>
      </c>
      <c r="AU54" s="894"/>
      <c r="AV54" s="894"/>
      <c r="AW54" s="894"/>
    </row>
    <row r="55" spans="1:49" s="887" customFormat="1" ht="20.25" hidden="1" customHeight="1" x14ac:dyDescent="0.2">
      <c r="A55" s="899" t="s">
        <v>887</v>
      </c>
      <c r="B55" s="900" t="s">
        <v>2095</v>
      </c>
      <c r="C55" s="901"/>
      <c r="D55" s="903"/>
      <c r="E55" s="903"/>
      <c r="F55" s="903"/>
      <c r="G55" s="904">
        <f>G56</f>
        <v>4506684282</v>
      </c>
      <c r="H55" s="904">
        <f t="shared" ref="H55:AD55" si="39">H56</f>
        <v>0</v>
      </c>
      <c r="I55" s="904">
        <f t="shared" si="39"/>
        <v>0</v>
      </c>
      <c r="J55" s="904">
        <f t="shared" si="39"/>
        <v>0</v>
      </c>
      <c r="K55" s="904">
        <f t="shared" si="39"/>
        <v>0</v>
      </c>
      <c r="L55" s="904">
        <f t="shared" si="39"/>
        <v>0</v>
      </c>
      <c r="M55" s="904">
        <f t="shared" si="39"/>
        <v>0</v>
      </c>
      <c r="N55" s="904">
        <f t="shared" si="39"/>
        <v>0</v>
      </c>
      <c r="O55" s="904">
        <f t="shared" si="39"/>
        <v>0</v>
      </c>
      <c r="P55" s="904">
        <f t="shared" si="39"/>
        <v>0</v>
      </c>
      <c r="Q55" s="904">
        <f t="shared" si="39"/>
        <v>0</v>
      </c>
      <c r="R55" s="904">
        <f t="shared" si="39"/>
        <v>3900000000</v>
      </c>
      <c r="S55" s="904">
        <f t="shared" si="39"/>
        <v>1727165600</v>
      </c>
      <c r="T55" s="904">
        <f t="shared" si="39"/>
        <v>155165600</v>
      </c>
      <c r="U55" s="904">
        <f t="shared" si="39"/>
        <v>1572000000</v>
      </c>
      <c r="V55" s="904">
        <f t="shared" si="39"/>
        <v>2172834400</v>
      </c>
      <c r="W55" s="904">
        <f t="shared" si="39"/>
        <v>0</v>
      </c>
      <c r="X55" s="904"/>
      <c r="Y55" s="904"/>
      <c r="Z55" s="904">
        <f t="shared" si="39"/>
        <v>155165600</v>
      </c>
      <c r="AA55" s="904"/>
      <c r="AB55" s="904"/>
      <c r="AC55" s="904">
        <f t="shared" si="39"/>
        <v>1572000000</v>
      </c>
      <c r="AD55" s="904">
        <f t="shared" si="39"/>
        <v>1727165600</v>
      </c>
      <c r="AE55" s="886"/>
    </row>
    <row r="56" spans="1:49" s="887" customFormat="1" ht="20.25" hidden="1" customHeight="1" x14ac:dyDescent="0.2">
      <c r="A56" s="899"/>
      <c r="B56" s="900" t="s">
        <v>2116</v>
      </c>
      <c r="C56" s="901"/>
      <c r="D56" s="903"/>
      <c r="E56" s="903"/>
      <c r="F56" s="903"/>
      <c r="G56" s="904">
        <f t="shared" ref="G56:AD56" si="40">SUM(G57:G57)</f>
        <v>4506684282</v>
      </c>
      <c r="H56" s="904">
        <f t="shared" si="40"/>
        <v>0</v>
      </c>
      <c r="I56" s="904">
        <f t="shared" si="40"/>
        <v>0</v>
      </c>
      <c r="J56" s="904">
        <f t="shared" si="40"/>
        <v>0</v>
      </c>
      <c r="K56" s="904">
        <f t="shared" si="40"/>
        <v>0</v>
      </c>
      <c r="L56" s="904">
        <f t="shared" si="40"/>
        <v>0</v>
      </c>
      <c r="M56" s="904">
        <f t="shared" si="40"/>
        <v>0</v>
      </c>
      <c r="N56" s="904">
        <f t="shared" si="40"/>
        <v>0</v>
      </c>
      <c r="O56" s="904">
        <f t="shared" si="40"/>
        <v>0</v>
      </c>
      <c r="P56" s="904">
        <f t="shared" si="40"/>
        <v>0</v>
      </c>
      <c r="Q56" s="904">
        <f t="shared" si="40"/>
        <v>0</v>
      </c>
      <c r="R56" s="904">
        <f t="shared" si="40"/>
        <v>3900000000</v>
      </c>
      <c r="S56" s="904">
        <f t="shared" si="40"/>
        <v>1727165600</v>
      </c>
      <c r="T56" s="904">
        <f t="shared" si="40"/>
        <v>155165600</v>
      </c>
      <c r="U56" s="904">
        <f t="shared" si="40"/>
        <v>1572000000</v>
      </c>
      <c r="V56" s="904">
        <f t="shared" si="40"/>
        <v>2172834400</v>
      </c>
      <c r="W56" s="904">
        <f t="shared" si="40"/>
        <v>0</v>
      </c>
      <c r="X56" s="904"/>
      <c r="Y56" s="904"/>
      <c r="Z56" s="904">
        <f t="shared" si="40"/>
        <v>155165600</v>
      </c>
      <c r="AA56" s="904"/>
      <c r="AB56" s="904"/>
      <c r="AC56" s="904">
        <f t="shared" si="40"/>
        <v>1572000000</v>
      </c>
      <c r="AD56" s="904">
        <f t="shared" si="40"/>
        <v>1727165600</v>
      </c>
      <c r="AE56" s="886"/>
    </row>
    <row r="57" spans="1:49" ht="17.25" hidden="1" customHeight="1" x14ac:dyDescent="0.2">
      <c r="A57" s="892" t="s">
        <v>1773</v>
      </c>
      <c r="B57" s="893" t="s">
        <v>1753</v>
      </c>
      <c r="C57" s="894"/>
      <c r="D57" s="895"/>
      <c r="E57" s="895"/>
      <c r="F57" s="895"/>
      <c r="G57" s="894">
        <v>4506684282</v>
      </c>
      <c r="H57" s="894">
        <v>0</v>
      </c>
      <c r="I57" s="894"/>
      <c r="J57" s="894"/>
      <c r="K57" s="894"/>
      <c r="L57" s="894"/>
      <c r="M57" s="894"/>
      <c r="N57" s="894"/>
      <c r="O57" s="894"/>
      <c r="P57" s="894"/>
      <c r="Q57" s="894"/>
      <c r="R57" s="894">
        <v>3900000000</v>
      </c>
      <c r="S57" s="894">
        <f>T57+U57</f>
        <v>1727165600</v>
      </c>
      <c r="T57" s="894">
        <v>155165600</v>
      </c>
      <c r="U57" s="894">
        <v>1572000000</v>
      </c>
      <c r="V57" s="894">
        <v>2172834400</v>
      </c>
      <c r="W57" s="894">
        <v>0</v>
      </c>
      <c r="X57" s="894"/>
      <c r="Y57" s="894"/>
      <c r="Z57" s="894">
        <f>K57+N57+T57</f>
        <v>155165600</v>
      </c>
      <c r="AA57" s="894"/>
      <c r="AB57" s="894"/>
      <c r="AC57" s="894">
        <f>I57-J57-K57+O57+U57</f>
        <v>1572000000</v>
      </c>
      <c r="AD57" s="894">
        <f>H57+M57+S57</f>
        <v>1727165600</v>
      </c>
    </row>
    <row r="58" spans="1:49" ht="28.5" hidden="1" customHeight="1" x14ac:dyDescent="0.2">
      <c r="A58" s="882" t="s">
        <v>873</v>
      </c>
      <c r="B58" s="882" t="s">
        <v>2117</v>
      </c>
      <c r="C58" s="908"/>
      <c r="D58" s="909"/>
      <c r="E58" s="909"/>
      <c r="F58" s="909"/>
      <c r="G58" s="908">
        <f>G59</f>
        <v>1645819366</v>
      </c>
      <c r="H58" s="908">
        <f t="shared" ref="H58:AD60" si="41">H59</f>
        <v>0</v>
      </c>
      <c r="I58" s="908">
        <f t="shared" si="41"/>
        <v>0</v>
      </c>
      <c r="J58" s="908">
        <f t="shared" si="41"/>
        <v>0</v>
      </c>
      <c r="K58" s="908">
        <f t="shared" si="41"/>
        <v>0</v>
      </c>
      <c r="L58" s="908">
        <f t="shared" si="41"/>
        <v>0</v>
      </c>
      <c r="M58" s="908">
        <f t="shared" si="41"/>
        <v>0</v>
      </c>
      <c r="N58" s="908">
        <f t="shared" si="41"/>
        <v>0</v>
      </c>
      <c r="O58" s="908">
        <f t="shared" si="41"/>
        <v>0</v>
      </c>
      <c r="P58" s="908">
        <f t="shared" si="41"/>
        <v>0</v>
      </c>
      <c r="Q58" s="908">
        <f t="shared" si="41"/>
        <v>0</v>
      </c>
      <c r="R58" s="908">
        <f t="shared" si="41"/>
        <v>1000000000</v>
      </c>
      <c r="S58" s="908">
        <f t="shared" si="41"/>
        <v>1000000000</v>
      </c>
      <c r="T58" s="908">
        <f t="shared" si="41"/>
        <v>1000000000</v>
      </c>
      <c r="U58" s="908">
        <f t="shared" si="41"/>
        <v>0</v>
      </c>
      <c r="V58" s="908">
        <f t="shared" si="41"/>
        <v>0</v>
      </c>
      <c r="W58" s="908">
        <f t="shared" si="41"/>
        <v>0</v>
      </c>
      <c r="X58" s="908"/>
      <c r="Y58" s="908"/>
      <c r="Z58" s="908">
        <f t="shared" si="41"/>
        <v>1000000000</v>
      </c>
      <c r="AA58" s="908"/>
      <c r="AB58" s="908"/>
      <c r="AC58" s="908">
        <f t="shared" si="41"/>
        <v>0</v>
      </c>
      <c r="AD58" s="908">
        <f t="shared" si="41"/>
        <v>1000000000</v>
      </c>
    </row>
    <row r="59" spans="1:49" s="887" customFormat="1" ht="20.25" hidden="1" customHeight="1" x14ac:dyDescent="0.2">
      <c r="A59" s="899" t="s">
        <v>887</v>
      </c>
      <c r="B59" s="900" t="s">
        <v>2095</v>
      </c>
      <c r="C59" s="901"/>
      <c r="D59" s="903"/>
      <c r="E59" s="903"/>
      <c r="F59" s="903"/>
      <c r="G59" s="904">
        <f>G60</f>
        <v>1645819366</v>
      </c>
      <c r="H59" s="904">
        <f t="shared" si="41"/>
        <v>0</v>
      </c>
      <c r="I59" s="904">
        <f t="shared" si="41"/>
        <v>0</v>
      </c>
      <c r="J59" s="904">
        <f t="shared" si="41"/>
        <v>0</v>
      </c>
      <c r="K59" s="904">
        <f t="shared" si="41"/>
        <v>0</v>
      </c>
      <c r="L59" s="904">
        <f t="shared" si="41"/>
        <v>0</v>
      </c>
      <c r="M59" s="904">
        <f t="shared" si="41"/>
        <v>0</v>
      </c>
      <c r="N59" s="904">
        <f t="shared" si="41"/>
        <v>0</v>
      </c>
      <c r="O59" s="904">
        <f t="shared" si="41"/>
        <v>0</v>
      </c>
      <c r="P59" s="904">
        <f t="shared" si="41"/>
        <v>0</v>
      </c>
      <c r="Q59" s="904">
        <f t="shared" si="41"/>
        <v>0</v>
      </c>
      <c r="R59" s="904">
        <f t="shared" si="41"/>
        <v>1000000000</v>
      </c>
      <c r="S59" s="904">
        <f t="shared" si="41"/>
        <v>1000000000</v>
      </c>
      <c r="T59" s="904">
        <f t="shared" si="41"/>
        <v>1000000000</v>
      </c>
      <c r="U59" s="904">
        <f t="shared" si="41"/>
        <v>0</v>
      </c>
      <c r="V59" s="904">
        <f t="shared" si="41"/>
        <v>0</v>
      </c>
      <c r="W59" s="904">
        <f t="shared" si="41"/>
        <v>0</v>
      </c>
      <c r="X59" s="904"/>
      <c r="Y59" s="904"/>
      <c r="Z59" s="904">
        <f t="shared" si="41"/>
        <v>1000000000</v>
      </c>
      <c r="AA59" s="904"/>
      <c r="AB59" s="904"/>
      <c r="AC59" s="904">
        <f t="shared" si="41"/>
        <v>0</v>
      </c>
      <c r="AD59" s="904">
        <f t="shared" si="41"/>
        <v>1000000000</v>
      </c>
      <c r="AE59" s="886"/>
    </row>
    <row r="60" spans="1:49" s="887" customFormat="1" ht="24.75" hidden="1" customHeight="1" x14ac:dyDescent="0.2">
      <c r="A60" s="899"/>
      <c r="B60" s="900" t="s">
        <v>2118</v>
      </c>
      <c r="C60" s="901"/>
      <c r="D60" s="903"/>
      <c r="E60" s="903"/>
      <c r="F60" s="903"/>
      <c r="G60" s="904">
        <f>G61</f>
        <v>1645819366</v>
      </c>
      <c r="H60" s="904">
        <f t="shared" si="41"/>
        <v>0</v>
      </c>
      <c r="I60" s="904">
        <f t="shared" si="41"/>
        <v>0</v>
      </c>
      <c r="J60" s="904">
        <f t="shared" si="41"/>
        <v>0</v>
      </c>
      <c r="K60" s="904">
        <f t="shared" si="41"/>
        <v>0</v>
      </c>
      <c r="L60" s="904">
        <f t="shared" si="41"/>
        <v>0</v>
      </c>
      <c r="M60" s="904">
        <f t="shared" si="41"/>
        <v>0</v>
      </c>
      <c r="N60" s="904">
        <f t="shared" si="41"/>
        <v>0</v>
      </c>
      <c r="O60" s="904">
        <f t="shared" si="41"/>
        <v>0</v>
      </c>
      <c r="P60" s="904">
        <f t="shared" si="41"/>
        <v>0</v>
      </c>
      <c r="Q60" s="904">
        <f t="shared" si="41"/>
        <v>0</v>
      </c>
      <c r="R60" s="904">
        <f t="shared" si="41"/>
        <v>1000000000</v>
      </c>
      <c r="S60" s="904">
        <f t="shared" si="41"/>
        <v>1000000000</v>
      </c>
      <c r="T60" s="904">
        <f t="shared" si="41"/>
        <v>1000000000</v>
      </c>
      <c r="U60" s="904">
        <f t="shared" si="41"/>
        <v>0</v>
      </c>
      <c r="V60" s="904">
        <f t="shared" si="41"/>
        <v>0</v>
      </c>
      <c r="W60" s="904">
        <f t="shared" si="41"/>
        <v>0</v>
      </c>
      <c r="X60" s="904"/>
      <c r="Y60" s="904"/>
      <c r="Z60" s="904">
        <f t="shared" si="41"/>
        <v>1000000000</v>
      </c>
      <c r="AA60" s="904"/>
      <c r="AB60" s="904"/>
      <c r="AC60" s="904">
        <f t="shared" si="41"/>
        <v>0</v>
      </c>
      <c r="AD60" s="904">
        <f t="shared" si="41"/>
        <v>1000000000</v>
      </c>
      <c r="AE60" s="886"/>
    </row>
    <row r="61" spans="1:49" ht="40.5" hidden="1" customHeight="1" x14ac:dyDescent="0.2">
      <c r="A61" s="892" t="s">
        <v>1773</v>
      </c>
      <c r="B61" s="893" t="s">
        <v>2119</v>
      </c>
      <c r="C61" s="894"/>
      <c r="D61" s="895"/>
      <c r="E61" s="895"/>
      <c r="F61" s="895"/>
      <c r="G61" s="894">
        <v>1645819366</v>
      </c>
      <c r="H61" s="894">
        <v>0</v>
      </c>
      <c r="I61" s="894"/>
      <c r="J61" s="894"/>
      <c r="K61" s="894"/>
      <c r="L61" s="894"/>
      <c r="M61" s="894"/>
      <c r="N61" s="894"/>
      <c r="O61" s="894"/>
      <c r="P61" s="894"/>
      <c r="Q61" s="894"/>
      <c r="R61" s="894">
        <v>1000000000</v>
      </c>
      <c r="S61" s="894">
        <f>T61+U61</f>
        <v>1000000000</v>
      </c>
      <c r="T61" s="894">
        <v>1000000000</v>
      </c>
      <c r="U61" s="894"/>
      <c r="V61" s="894"/>
      <c r="W61" s="894">
        <f>R61-S61-V61</f>
        <v>0</v>
      </c>
      <c r="X61" s="894"/>
      <c r="Y61" s="894"/>
      <c r="Z61" s="894">
        <f>K61+N61+T61</f>
        <v>1000000000</v>
      </c>
      <c r="AA61" s="894"/>
      <c r="AB61" s="894"/>
      <c r="AC61" s="894">
        <f>I61-J61-K61+O61+U61</f>
        <v>0</v>
      </c>
      <c r="AD61" s="894">
        <f>H61+M61+S61</f>
        <v>1000000000</v>
      </c>
    </row>
    <row r="62" spans="1:49" ht="38.25" hidden="1" customHeight="1" x14ac:dyDescent="0.2">
      <c r="A62" s="882" t="s">
        <v>877</v>
      </c>
      <c r="B62" s="907" t="s">
        <v>2120</v>
      </c>
      <c r="C62" s="908"/>
      <c r="D62" s="909"/>
      <c r="E62" s="909"/>
      <c r="F62" s="909"/>
      <c r="G62" s="908">
        <f>G63</f>
        <v>7890251231</v>
      </c>
      <c r="H62" s="908">
        <f t="shared" ref="H62:AD63" si="42">H63</f>
        <v>252345000</v>
      </c>
      <c r="I62" s="908">
        <f t="shared" si="42"/>
        <v>0</v>
      </c>
      <c r="J62" s="908">
        <f t="shared" si="42"/>
        <v>0</v>
      </c>
      <c r="K62" s="908">
        <f t="shared" si="42"/>
        <v>0</v>
      </c>
      <c r="L62" s="908">
        <f t="shared" si="42"/>
        <v>1247655000</v>
      </c>
      <c r="M62" s="908">
        <f t="shared" si="42"/>
        <v>1247655000</v>
      </c>
      <c r="N62" s="908">
        <f t="shared" si="42"/>
        <v>1247655000</v>
      </c>
      <c r="O62" s="908">
        <f t="shared" si="42"/>
        <v>0</v>
      </c>
      <c r="P62" s="908">
        <f t="shared" si="42"/>
        <v>0</v>
      </c>
      <c r="Q62" s="908">
        <f t="shared" si="42"/>
        <v>0</v>
      </c>
      <c r="R62" s="908">
        <f t="shared" si="42"/>
        <v>2000000000</v>
      </c>
      <c r="S62" s="908">
        <f t="shared" si="42"/>
        <v>2000000000</v>
      </c>
      <c r="T62" s="908">
        <f t="shared" si="42"/>
        <v>1003600000</v>
      </c>
      <c r="U62" s="908">
        <f t="shared" si="42"/>
        <v>996400000</v>
      </c>
      <c r="V62" s="908">
        <f t="shared" si="42"/>
        <v>0</v>
      </c>
      <c r="W62" s="908">
        <f t="shared" si="42"/>
        <v>0</v>
      </c>
      <c r="X62" s="908"/>
      <c r="Y62" s="908"/>
      <c r="Z62" s="908">
        <f t="shared" si="42"/>
        <v>2251255000</v>
      </c>
      <c r="AA62" s="908"/>
      <c r="AB62" s="908"/>
      <c r="AC62" s="908">
        <f t="shared" si="42"/>
        <v>996400000</v>
      </c>
      <c r="AD62" s="908">
        <f t="shared" si="42"/>
        <v>3500000000</v>
      </c>
    </row>
    <row r="63" spans="1:49" s="887" customFormat="1" ht="17.25" hidden="1" customHeight="1" x14ac:dyDescent="0.2">
      <c r="A63" s="910" t="s">
        <v>887</v>
      </c>
      <c r="B63" s="900" t="s">
        <v>2095</v>
      </c>
      <c r="C63" s="901"/>
      <c r="D63" s="903"/>
      <c r="E63" s="903"/>
      <c r="F63" s="903"/>
      <c r="G63" s="901">
        <f>G64</f>
        <v>7890251231</v>
      </c>
      <c r="H63" s="901">
        <f t="shared" si="42"/>
        <v>252345000</v>
      </c>
      <c r="I63" s="901">
        <f t="shared" si="42"/>
        <v>0</v>
      </c>
      <c r="J63" s="901">
        <f t="shared" si="42"/>
        <v>0</v>
      </c>
      <c r="K63" s="901">
        <f t="shared" si="42"/>
        <v>0</v>
      </c>
      <c r="L63" s="901">
        <f t="shared" si="42"/>
        <v>1247655000</v>
      </c>
      <c r="M63" s="901">
        <f t="shared" si="42"/>
        <v>1247655000</v>
      </c>
      <c r="N63" s="901">
        <f t="shared" si="42"/>
        <v>1247655000</v>
      </c>
      <c r="O63" s="901">
        <f t="shared" si="42"/>
        <v>0</v>
      </c>
      <c r="P63" s="901">
        <f t="shared" si="42"/>
        <v>0</v>
      </c>
      <c r="Q63" s="901">
        <f t="shared" si="42"/>
        <v>0</v>
      </c>
      <c r="R63" s="901">
        <f t="shared" si="42"/>
        <v>2000000000</v>
      </c>
      <c r="S63" s="901">
        <f t="shared" si="42"/>
        <v>2000000000</v>
      </c>
      <c r="T63" s="901">
        <f t="shared" si="42"/>
        <v>1003600000</v>
      </c>
      <c r="U63" s="901">
        <f t="shared" si="42"/>
        <v>996400000</v>
      </c>
      <c r="V63" s="901">
        <f t="shared" si="42"/>
        <v>0</v>
      </c>
      <c r="W63" s="901">
        <f t="shared" si="42"/>
        <v>0</v>
      </c>
      <c r="X63" s="901"/>
      <c r="Y63" s="901"/>
      <c r="Z63" s="901">
        <f t="shared" si="42"/>
        <v>2251255000</v>
      </c>
      <c r="AA63" s="901"/>
      <c r="AB63" s="901"/>
      <c r="AC63" s="901">
        <f t="shared" si="42"/>
        <v>996400000</v>
      </c>
      <c r="AD63" s="901">
        <f t="shared" si="42"/>
        <v>3500000000</v>
      </c>
      <c r="AE63" s="886"/>
    </row>
    <row r="64" spans="1:49" ht="26.25" hidden="1" customHeight="1" x14ac:dyDescent="0.2">
      <c r="A64" s="892"/>
      <c r="B64" s="900" t="s">
        <v>2118</v>
      </c>
      <c r="C64" s="894"/>
      <c r="D64" s="895"/>
      <c r="E64" s="895"/>
      <c r="F64" s="895"/>
      <c r="G64" s="901">
        <f>SUM(G65:G66)</f>
        <v>7890251231</v>
      </c>
      <c r="H64" s="901">
        <f t="shared" ref="H64:AD64" si="43">SUM(H65:H66)</f>
        <v>252345000</v>
      </c>
      <c r="I64" s="901">
        <f t="shared" si="43"/>
        <v>0</v>
      </c>
      <c r="J64" s="901">
        <f t="shared" si="43"/>
        <v>0</v>
      </c>
      <c r="K64" s="901">
        <f t="shared" si="43"/>
        <v>0</v>
      </c>
      <c r="L64" s="901">
        <f t="shared" si="43"/>
        <v>1247655000</v>
      </c>
      <c r="M64" s="901">
        <f t="shared" si="43"/>
        <v>1247655000</v>
      </c>
      <c r="N64" s="901">
        <f t="shared" si="43"/>
        <v>1247655000</v>
      </c>
      <c r="O64" s="901">
        <f t="shared" si="43"/>
        <v>0</v>
      </c>
      <c r="P64" s="901">
        <f t="shared" si="43"/>
        <v>0</v>
      </c>
      <c r="Q64" s="901">
        <f t="shared" si="43"/>
        <v>0</v>
      </c>
      <c r="R64" s="901">
        <f t="shared" si="43"/>
        <v>2000000000</v>
      </c>
      <c r="S64" s="901">
        <f t="shared" si="43"/>
        <v>2000000000</v>
      </c>
      <c r="T64" s="901">
        <f t="shared" si="43"/>
        <v>1003600000</v>
      </c>
      <c r="U64" s="901">
        <f t="shared" si="43"/>
        <v>996400000</v>
      </c>
      <c r="V64" s="901">
        <f t="shared" si="43"/>
        <v>0</v>
      </c>
      <c r="W64" s="901">
        <f t="shared" si="43"/>
        <v>0</v>
      </c>
      <c r="X64" s="901"/>
      <c r="Y64" s="901"/>
      <c r="Z64" s="901">
        <f t="shared" si="43"/>
        <v>2251255000</v>
      </c>
      <c r="AA64" s="901"/>
      <c r="AB64" s="901"/>
      <c r="AC64" s="901">
        <f t="shared" si="43"/>
        <v>996400000</v>
      </c>
      <c r="AD64" s="901">
        <f t="shared" si="43"/>
        <v>3500000000</v>
      </c>
    </row>
    <row r="65" spans="1:31" ht="39" hidden="1" customHeight="1" x14ac:dyDescent="0.2">
      <c r="A65" s="892" t="s">
        <v>1773</v>
      </c>
      <c r="B65" s="893" t="s">
        <v>2121</v>
      </c>
      <c r="C65" s="894"/>
      <c r="D65" s="895"/>
      <c r="E65" s="895"/>
      <c r="F65" s="895"/>
      <c r="G65" s="894">
        <v>3491861611</v>
      </c>
      <c r="H65" s="894">
        <v>252345000</v>
      </c>
      <c r="I65" s="894"/>
      <c r="J65" s="894"/>
      <c r="K65" s="894"/>
      <c r="L65" s="894">
        <v>1247655000</v>
      </c>
      <c r="M65" s="894">
        <f>N65+O65</f>
        <v>1247655000</v>
      </c>
      <c r="N65" s="894">
        <v>1247655000</v>
      </c>
      <c r="O65" s="894"/>
      <c r="P65" s="894"/>
      <c r="Q65" s="894"/>
      <c r="R65" s="894">
        <v>1000000000</v>
      </c>
      <c r="S65" s="894">
        <f>T65+U65</f>
        <v>1000000000</v>
      </c>
      <c r="T65" s="894">
        <v>1000000000</v>
      </c>
      <c r="U65" s="894"/>
      <c r="V65" s="894"/>
      <c r="W65" s="894">
        <f>R65-S65-V65</f>
        <v>0</v>
      </c>
      <c r="X65" s="894"/>
      <c r="Y65" s="894"/>
      <c r="Z65" s="894">
        <f>K65+N65+T65</f>
        <v>2247655000</v>
      </c>
      <c r="AA65" s="894"/>
      <c r="AB65" s="894"/>
      <c r="AC65" s="894">
        <f>I65-J65-K65+O65+U65</f>
        <v>0</v>
      </c>
      <c r="AD65" s="894">
        <f>H65+M65+S65</f>
        <v>2500000000</v>
      </c>
    </row>
    <row r="66" spans="1:31" ht="39" hidden="1" customHeight="1" x14ac:dyDescent="0.2">
      <c r="A66" s="892" t="s">
        <v>1774</v>
      </c>
      <c r="B66" s="893" t="s">
        <v>2122</v>
      </c>
      <c r="C66" s="894"/>
      <c r="D66" s="895"/>
      <c r="E66" s="895"/>
      <c r="F66" s="895"/>
      <c r="G66" s="894">
        <v>4398389620</v>
      </c>
      <c r="H66" s="894">
        <v>0</v>
      </c>
      <c r="I66" s="894"/>
      <c r="J66" s="894"/>
      <c r="K66" s="894"/>
      <c r="L66" s="894"/>
      <c r="M66" s="894">
        <f>N66+O66</f>
        <v>0</v>
      </c>
      <c r="N66" s="894"/>
      <c r="O66" s="894"/>
      <c r="P66" s="894"/>
      <c r="Q66" s="894"/>
      <c r="R66" s="894">
        <v>1000000000</v>
      </c>
      <c r="S66" s="894">
        <f>T66+U66</f>
        <v>1000000000</v>
      </c>
      <c r="T66" s="894">
        <v>3600000</v>
      </c>
      <c r="U66" s="894">
        <v>996400000</v>
      </c>
      <c r="V66" s="894"/>
      <c r="W66" s="894">
        <f>R66-S66-V66</f>
        <v>0</v>
      </c>
      <c r="X66" s="894"/>
      <c r="Y66" s="894"/>
      <c r="Z66" s="894">
        <f>K66+N66+T66</f>
        <v>3600000</v>
      </c>
      <c r="AA66" s="894"/>
      <c r="AB66" s="894"/>
      <c r="AC66" s="894">
        <f>I66-J66-K66+O66+U66</f>
        <v>996400000</v>
      </c>
      <c r="AD66" s="894">
        <f>H66+M66+S66</f>
        <v>1000000000</v>
      </c>
    </row>
    <row r="67" spans="1:31" ht="28.5" hidden="1" customHeight="1" x14ac:dyDescent="0.2">
      <c r="A67" s="882" t="s">
        <v>909</v>
      </c>
      <c r="B67" s="907" t="s">
        <v>1259</v>
      </c>
      <c r="C67" s="908"/>
      <c r="D67" s="909"/>
      <c r="E67" s="909"/>
      <c r="F67" s="909"/>
      <c r="G67" s="908">
        <f>G68</f>
        <v>14973042986</v>
      </c>
      <c r="H67" s="908">
        <f t="shared" ref="H67:AD67" si="44">H68</f>
        <v>7009267000</v>
      </c>
      <c r="I67" s="908">
        <f t="shared" si="44"/>
        <v>182458000</v>
      </c>
      <c r="J67" s="908">
        <f t="shared" si="44"/>
        <v>22458000</v>
      </c>
      <c r="K67" s="908">
        <f t="shared" si="44"/>
        <v>160000000</v>
      </c>
      <c r="L67" s="908">
        <f t="shared" si="44"/>
        <v>0</v>
      </c>
      <c r="M67" s="908">
        <f t="shared" si="44"/>
        <v>0</v>
      </c>
      <c r="N67" s="908">
        <f t="shared" si="44"/>
        <v>0</v>
      </c>
      <c r="O67" s="908">
        <f t="shared" si="44"/>
        <v>0</v>
      </c>
      <c r="P67" s="908">
        <f t="shared" si="44"/>
        <v>0</v>
      </c>
      <c r="Q67" s="908">
        <f t="shared" si="44"/>
        <v>0</v>
      </c>
      <c r="R67" s="908">
        <f t="shared" si="44"/>
        <v>3370000000</v>
      </c>
      <c r="S67" s="908">
        <f t="shared" si="44"/>
        <v>3008457240</v>
      </c>
      <c r="T67" s="908">
        <f t="shared" si="44"/>
        <v>3008457240</v>
      </c>
      <c r="U67" s="908">
        <f t="shared" si="44"/>
        <v>0</v>
      </c>
      <c r="V67" s="908">
        <f t="shared" si="44"/>
        <v>360736000</v>
      </c>
      <c r="W67" s="908">
        <f t="shared" si="44"/>
        <v>806760</v>
      </c>
      <c r="X67" s="908"/>
      <c r="Y67" s="908"/>
      <c r="Z67" s="908">
        <f t="shared" si="44"/>
        <v>3168457240</v>
      </c>
      <c r="AA67" s="908"/>
      <c r="AB67" s="908"/>
      <c r="AC67" s="908">
        <f t="shared" si="44"/>
        <v>0</v>
      </c>
      <c r="AD67" s="908">
        <f t="shared" si="44"/>
        <v>9990469132</v>
      </c>
    </row>
    <row r="68" spans="1:31" s="887" customFormat="1" ht="18.75" hidden="1" customHeight="1" x14ac:dyDescent="0.2">
      <c r="A68" s="910" t="s">
        <v>887</v>
      </c>
      <c r="B68" s="900" t="s">
        <v>2107</v>
      </c>
      <c r="C68" s="901"/>
      <c r="D68" s="903"/>
      <c r="E68" s="903"/>
      <c r="F68" s="903"/>
      <c r="G68" s="901">
        <f>G69+G72</f>
        <v>14973042986</v>
      </c>
      <c r="H68" s="901">
        <f t="shared" ref="H68:AD68" si="45">H69+H72</f>
        <v>7009267000</v>
      </c>
      <c r="I68" s="901">
        <f t="shared" si="45"/>
        <v>182458000</v>
      </c>
      <c r="J68" s="901">
        <f t="shared" si="45"/>
        <v>22458000</v>
      </c>
      <c r="K68" s="901">
        <f t="shared" si="45"/>
        <v>160000000</v>
      </c>
      <c r="L68" s="901">
        <f t="shared" si="45"/>
        <v>0</v>
      </c>
      <c r="M68" s="901">
        <f t="shared" si="45"/>
        <v>0</v>
      </c>
      <c r="N68" s="901">
        <f t="shared" si="45"/>
        <v>0</v>
      </c>
      <c r="O68" s="901">
        <f t="shared" si="45"/>
        <v>0</v>
      </c>
      <c r="P68" s="901">
        <f t="shared" si="45"/>
        <v>0</v>
      </c>
      <c r="Q68" s="901">
        <f t="shared" si="45"/>
        <v>0</v>
      </c>
      <c r="R68" s="901">
        <f t="shared" si="45"/>
        <v>3370000000</v>
      </c>
      <c r="S68" s="901">
        <f t="shared" si="45"/>
        <v>3008457240</v>
      </c>
      <c r="T68" s="901">
        <f t="shared" si="45"/>
        <v>3008457240</v>
      </c>
      <c r="U68" s="901">
        <f t="shared" si="45"/>
        <v>0</v>
      </c>
      <c r="V68" s="901">
        <f t="shared" si="45"/>
        <v>360736000</v>
      </c>
      <c r="W68" s="901">
        <f t="shared" si="45"/>
        <v>806760</v>
      </c>
      <c r="X68" s="901"/>
      <c r="Y68" s="901"/>
      <c r="Z68" s="901">
        <f t="shared" si="45"/>
        <v>3168457240</v>
      </c>
      <c r="AA68" s="901"/>
      <c r="AB68" s="901"/>
      <c r="AC68" s="901">
        <f t="shared" si="45"/>
        <v>0</v>
      </c>
      <c r="AD68" s="901">
        <f t="shared" si="45"/>
        <v>9990469132</v>
      </c>
      <c r="AE68" s="886"/>
    </row>
    <row r="69" spans="1:31" s="887" customFormat="1" ht="16.5" hidden="1" customHeight="1" x14ac:dyDescent="0.2">
      <c r="A69" s="910"/>
      <c r="B69" s="900" t="s">
        <v>2098</v>
      </c>
      <c r="C69" s="901"/>
      <c r="D69" s="903"/>
      <c r="E69" s="903"/>
      <c r="F69" s="903"/>
      <c r="G69" s="901">
        <f>SUM(G70:G71)</f>
        <v>3965953484</v>
      </c>
      <c r="H69" s="901">
        <f t="shared" ref="H69:AD69" si="46">SUM(H70:H71)</f>
        <v>2730000000</v>
      </c>
      <c r="I69" s="901">
        <f t="shared" si="46"/>
        <v>0</v>
      </c>
      <c r="J69" s="901">
        <f t="shared" si="46"/>
        <v>0</v>
      </c>
      <c r="K69" s="901">
        <f t="shared" si="46"/>
        <v>0</v>
      </c>
      <c r="L69" s="901">
        <f t="shared" si="46"/>
        <v>0</v>
      </c>
      <c r="M69" s="901">
        <f t="shared" si="46"/>
        <v>0</v>
      </c>
      <c r="N69" s="901">
        <f t="shared" si="46"/>
        <v>0</v>
      </c>
      <c r="O69" s="901">
        <f t="shared" si="46"/>
        <v>0</v>
      </c>
      <c r="P69" s="901">
        <f t="shared" si="46"/>
        <v>0</v>
      </c>
      <c r="Q69" s="901">
        <f t="shared" si="46"/>
        <v>0</v>
      </c>
      <c r="R69" s="901">
        <f t="shared" si="46"/>
        <v>675864000</v>
      </c>
      <c r="S69" s="901">
        <f t="shared" si="46"/>
        <v>675057240</v>
      </c>
      <c r="T69" s="901">
        <f t="shared" si="46"/>
        <v>675057240</v>
      </c>
      <c r="U69" s="901">
        <f t="shared" si="46"/>
        <v>0</v>
      </c>
      <c r="V69" s="901">
        <f t="shared" si="46"/>
        <v>0</v>
      </c>
      <c r="W69" s="901">
        <f t="shared" si="46"/>
        <v>806760</v>
      </c>
      <c r="X69" s="901"/>
      <c r="Y69" s="901"/>
      <c r="Z69" s="901">
        <f t="shared" si="46"/>
        <v>675057240</v>
      </c>
      <c r="AA69" s="901"/>
      <c r="AB69" s="901"/>
      <c r="AC69" s="901">
        <f t="shared" si="46"/>
        <v>0</v>
      </c>
      <c r="AD69" s="901">
        <f t="shared" si="46"/>
        <v>3405057240</v>
      </c>
      <c r="AE69" s="886"/>
    </row>
    <row r="70" spans="1:31" ht="51.75" hidden="1" customHeight="1" x14ac:dyDescent="0.2">
      <c r="A70" s="892" t="s">
        <v>1773</v>
      </c>
      <c r="B70" s="893" t="s">
        <v>2123</v>
      </c>
      <c r="C70" s="894"/>
      <c r="D70" s="895"/>
      <c r="E70" s="895"/>
      <c r="F70" s="895"/>
      <c r="G70" s="894">
        <v>2963935407</v>
      </c>
      <c r="H70" s="894">
        <v>2290000000</v>
      </c>
      <c r="I70" s="894"/>
      <c r="J70" s="894"/>
      <c r="K70" s="894"/>
      <c r="L70" s="894"/>
      <c r="M70" s="894"/>
      <c r="N70" s="894"/>
      <c r="O70" s="894"/>
      <c r="P70" s="894"/>
      <c r="Q70" s="894"/>
      <c r="R70" s="894">
        <v>244334000</v>
      </c>
      <c r="S70" s="894">
        <f>T70+U70</f>
        <v>243527240</v>
      </c>
      <c r="T70" s="894">
        <v>243527240</v>
      </c>
      <c r="U70" s="894">
        <v>0</v>
      </c>
      <c r="V70" s="894"/>
      <c r="W70" s="894">
        <f>R70-S70-V70</f>
        <v>806760</v>
      </c>
      <c r="X70" s="894"/>
      <c r="Y70" s="894"/>
      <c r="Z70" s="894">
        <f>K70+N70+T70</f>
        <v>243527240</v>
      </c>
      <c r="AA70" s="894"/>
      <c r="AB70" s="894"/>
      <c r="AC70" s="894">
        <f>I70-J70-K70+O70+U70</f>
        <v>0</v>
      </c>
      <c r="AD70" s="894">
        <f>H70+M70+S70</f>
        <v>2533527240</v>
      </c>
    </row>
    <row r="71" spans="1:31" ht="24" hidden="1" customHeight="1" x14ac:dyDescent="0.2">
      <c r="A71" s="892" t="s">
        <v>1774</v>
      </c>
      <c r="B71" s="893" t="s">
        <v>411</v>
      </c>
      <c r="C71" s="894"/>
      <c r="D71" s="895"/>
      <c r="E71" s="895"/>
      <c r="F71" s="895"/>
      <c r="G71" s="894">
        <v>1002018077</v>
      </c>
      <c r="H71" s="894">
        <f>140000000+300000000</f>
        <v>440000000</v>
      </c>
      <c r="I71" s="894"/>
      <c r="J71" s="894"/>
      <c r="K71" s="894"/>
      <c r="L71" s="894"/>
      <c r="M71" s="894"/>
      <c r="N71" s="894"/>
      <c r="O71" s="894"/>
      <c r="P71" s="894"/>
      <c r="Q71" s="894"/>
      <c r="R71" s="894">
        <v>431530000</v>
      </c>
      <c r="S71" s="894">
        <f>T71+U71</f>
        <v>431530000</v>
      </c>
      <c r="T71" s="894">
        <v>431530000</v>
      </c>
      <c r="U71" s="894">
        <v>0</v>
      </c>
      <c r="V71" s="894"/>
      <c r="W71" s="894">
        <f>R71-S71-V71</f>
        <v>0</v>
      </c>
      <c r="X71" s="894"/>
      <c r="Y71" s="894"/>
      <c r="Z71" s="894">
        <f>K71+N71+T71</f>
        <v>431530000</v>
      </c>
      <c r="AA71" s="894"/>
      <c r="AB71" s="894"/>
      <c r="AC71" s="894">
        <f>I71-J71-K71+O71+U71</f>
        <v>0</v>
      </c>
      <c r="AD71" s="894">
        <f>H71+M71+S71</f>
        <v>871530000</v>
      </c>
    </row>
    <row r="72" spans="1:31" s="887" customFormat="1" ht="27" hidden="1" customHeight="1" x14ac:dyDescent="0.2">
      <c r="A72" s="910"/>
      <c r="B72" s="900" t="s">
        <v>2099</v>
      </c>
      <c r="C72" s="901"/>
      <c r="D72" s="903"/>
      <c r="E72" s="903"/>
      <c r="F72" s="903"/>
      <c r="G72" s="901">
        <f>SUM(G73:G74)</f>
        <v>11007089502</v>
      </c>
      <c r="H72" s="901">
        <f t="shared" ref="H72:AD72" si="47">SUM(H73:H74)</f>
        <v>4279267000</v>
      </c>
      <c r="I72" s="901">
        <f t="shared" si="47"/>
        <v>182458000</v>
      </c>
      <c r="J72" s="901">
        <f t="shared" si="47"/>
        <v>22458000</v>
      </c>
      <c r="K72" s="901">
        <f t="shared" si="47"/>
        <v>160000000</v>
      </c>
      <c r="L72" s="901">
        <f t="shared" si="47"/>
        <v>0</v>
      </c>
      <c r="M72" s="901">
        <f t="shared" si="47"/>
        <v>0</v>
      </c>
      <c r="N72" s="901">
        <f t="shared" si="47"/>
        <v>0</v>
      </c>
      <c r="O72" s="901">
        <f t="shared" si="47"/>
        <v>0</v>
      </c>
      <c r="P72" s="901">
        <f t="shared" si="47"/>
        <v>0</v>
      </c>
      <c r="Q72" s="901">
        <f t="shared" si="47"/>
        <v>0</v>
      </c>
      <c r="R72" s="901">
        <f t="shared" si="47"/>
        <v>2694136000</v>
      </c>
      <c r="S72" s="901">
        <f t="shared" si="47"/>
        <v>2333400000</v>
      </c>
      <c r="T72" s="901">
        <f t="shared" si="47"/>
        <v>2333400000</v>
      </c>
      <c r="U72" s="901">
        <f t="shared" si="47"/>
        <v>0</v>
      </c>
      <c r="V72" s="901">
        <f t="shared" si="47"/>
        <v>360736000</v>
      </c>
      <c r="W72" s="901">
        <f t="shared" si="47"/>
        <v>0</v>
      </c>
      <c r="X72" s="901"/>
      <c r="Y72" s="901"/>
      <c r="Z72" s="901">
        <f t="shared" si="47"/>
        <v>2493400000</v>
      </c>
      <c r="AA72" s="901"/>
      <c r="AB72" s="901"/>
      <c r="AC72" s="901">
        <f t="shared" si="47"/>
        <v>0</v>
      </c>
      <c r="AD72" s="901">
        <f t="shared" si="47"/>
        <v>6585411892</v>
      </c>
      <c r="AE72" s="886"/>
    </row>
    <row r="73" spans="1:31" ht="27" hidden="1" customHeight="1" x14ac:dyDescent="0.2">
      <c r="A73" s="892" t="s">
        <v>1773</v>
      </c>
      <c r="B73" s="893" t="s">
        <v>409</v>
      </c>
      <c r="C73" s="894"/>
      <c r="D73" s="895"/>
      <c r="E73" s="895"/>
      <c r="F73" s="895"/>
      <c r="G73" s="894">
        <v>7952575712</v>
      </c>
      <c r="H73" s="894">
        <v>3354927000</v>
      </c>
      <c r="I73" s="894">
        <v>122458000</v>
      </c>
      <c r="J73" s="894">
        <v>22458000</v>
      </c>
      <c r="K73" s="894">
        <v>100000000</v>
      </c>
      <c r="L73" s="894"/>
      <c r="M73" s="894"/>
      <c r="N73" s="894"/>
      <c r="O73" s="894"/>
      <c r="P73" s="894"/>
      <c r="Q73" s="894"/>
      <c r="R73" s="894">
        <v>2594136000</v>
      </c>
      <c r="S73" s="894">
        <f>T73+U73</f>
        <v>2233400000</v>
      </c>
      <c r="T73" s="894">
        <v>2233400000</v>
      </c>
      <c r="U73" s="894">
        <v>0</v>
      </c>
      <c r="V73" s="894">
        <v>360736000</v>
      </c>
      <c r="W73" s="894">
        <f>R73-S73-V73</f>
        <v>0</v>
      </c>
      <c r="X73" s="894"/>
      <c r="Y73" s="894"/>
      <c r="Z73" s="894">
        <f>K73+N73+T73</f>
        <v>2333400000</v>
      </c>
      <c r="AA73" s="894"/>
      <c r="AB73" s="894"/>
      <c r="AC73" s="894">
        <f>I73-J73-K73+O73+U73</f>
        <v>0</v>
      </c>
      <c r="AD73" s="894">
        <f>H73+M73+S73-J73-8</f>
        <v>5565868992</v>
      </c>
      <c r="AE73" s="864" t="s">
        <v>2124</v>
      </c>
    </row>
    <row r="74" spans="1:31" ht="62.25" hidden="1" customHeight="1" x14ac:dyDescent="0.2">
      <c r="A74" s="892" t="s">
        <v>1774</v>
      </c>
      <c r="B74" s="893" t="s">
        <v>410</v>
      </c>
      <c r="C74" s="894"/>
      <c r="D74" s="895"/>
      <c r="E74" s="895"/>
      <c r="F74" s="895"/>
      <c r="G74" s="894">
        <v>3054513790</v>
      </c>
      <c r="H74" s="894">
        <v>924340000</v>
      </c>
      <c r="I74" s="894">
        <v>60000000</v>
      </c>
      <c r="J74" s="894"/>
      <c r="K74" s="894">
        <v>60000000</v>
      </c>
      <c r="L74" s="894"/>
      <c r="M74" s="894"/>
      <c r="N74" s="894"/>
      <c r="O74" s="894"/>
      <c r="P74" s="894"/>
      <c r="Q74" s="894"/>
      <c r="R74" s="894">
        <v>100000000</v>
      </c>
      <c r="S74" s="894">
        <f>T74+U74</f>
        <v>100000000</v>
      </c>
      <c r="T74" s="894">
        <v>100000000</v>
      </c>
      <c r="U74" s="894">
        <v>0</v>
      </c>
      <c r="V74" s="894"/>
      <c r="W74" s="894">
        <f>R74-S74-V74</f>
        <v>0</v>
      </c>
      <c r="X74" s="894"/>
      <c r="Y74" s="894"/>
      <c r="Z74" s="894">
        <f>K74+N74+T74</f>
        <v>160000000</v>
      </c>
      <c r="AA74" s="894"/>
      <c r="AB74" s="894"/>
      <c r="AC74" s="894">
        <f>I74-J74-K74+O74+U74</f>
        <v>0</v>
      </c>
      <c r="AD74" s="894">
        <f>H74+M74+S74-4797100</f>
        <v>1019542900</v>
      </c>
      <c r="AE74" s="864" t="s">
        <v>2104</v>
      </c>
    </row>
    <row r="75" spans="1:31" s="887" customFormat="1" ht="56.25" hidden="1" customHeight="1" x14ac:dyDescent="0.2">
      <c r="A75" s="910" t="s">
        <v>2125</v>
      </c>
      <c r="B75" s="911" t="s">
        <v>2126</v>
      </c>
      <c r="C75" s="901"/>
      <c r="D75" s="903"/>
      <c r="E75" s="903"/>
      <c r="F75" s="903"/>
      <c r="G75" s="901">
        <f>G76</f>
        <v>882625607</v>
      </c>
      <c r="H75" s="901">
        <f t="shared" ref="H75:AD78" si="48">H76</f>
        <v>812436643</v>
      </c>
      <c r="I75" s="901">
        <f t="shared" si="48"/>
        <v>38000000</v>
      </c>
      <c r="J75" s="901">
        <f t="shared" si="48"/>
        <v>0</v>
      </c>
      <c r="K75" s="901">
        <f t="shared" si="48"/>
        <v>38000000</v>
      </c>
      <c r="L75" s="901">
        <f t="shared" si="48"/>
        <v>0</v>
      </c>
      <c r="M75" s="901">
        <f t="shared" si="48"/>
        <v>0</v>
      </c>
      <c r="N75" s="901">
        <f t="shared" si="48"/>
        <v>0</v>
      </c>
      <c r="O75" s="901">
        <f t="shared" si="48"/>
        <v>0</v>
      </c>
      <c r="P75" s="901">
        <f t="shared" si="48"/>
        <v>0</v>
      </c>
      <c r="Q75" s="901">
        <f t="shared" si="48"/>
        <v>0</v>
      </c>
      <c r="R75" s="901">
        <f t="shared" si="48"/>
        <v>0</v>
      </c>
      <c r="S75" s="901">
        <f t="shared" si="48"/>
        <v>0</v>
      </c>
      <c r="T75" s="901">
        <f t="shared" si="48"/>
        <v>0</v>
      </c>
      <c r="U75" s="901">
        <f t="shared" si="48"/>
        <v>0</v>
      </c>
      <c r="V75" s="901">
        <f t="shared" si="48"/>
        <v>0</v>
      </c>
      <c r="W75" s="901">
        <f t="shared" si="48"/>
        <v>0</v>
      </c>
      <c r="X75" s="901"/>
      <c r="Y75" s="901"/>
      <c r="Z75" s="901">
        <f t="shared" si="48"/>
        <v>38000000</v>
      </c>
      <c r="AA75" s="901"/>
      <c r="AB75" s="901"/>
      <c r="AC75" s="901">
        <f t="shared" si="48"/>
        <v>0</v>
      </c>
      <c r="AD75" s="901">
        <f t="shared" si="48"/>
        <v>810363824</v>
      </c>
      <c r="AE75" s="886"/>
    </row>
    <row r="76" spans="1:31" s="887" customFormat="1" ht="27.75" hidden="1" customHeight="1" x14ac:dyDescent="0.2">
      <c r="A76" s="910" t="s">
        <v>849</v>
      </c>
      <c r="B76" s="911" t="s">
        <v>2127</v>
      </c>
      <c r="C76" s="901"/>
      <c r="D76" s="903"/>
      <c r="E76" s="903"/>
      <c r="F76" s="903"/>
      <c r="G76" s="901">
        <f>G77</f>
        <v>882625607</v>
      </c>
      <c r="H76" s="901">
        <f t="shared" si="48"/>
        <v>812436643</v>
      </c>
      <c r="I76" s="901">
        <f t="shared" si="48"/>
        <v>38000000</v>
      </c>
      <c r="J76" s="901">
        <f t="shared" si="48"/>
        <v>0</v>
      </c>
      <c r="K76" s="901">
        <f t="shared" si="48"/>
        <v>38000000</v>
      </c>
      <c r="L76" s="901">
        <f t="shared" si="48"/>
        <v>0</v>
      </c>
      <c r="M76" s="901">
        <f t="shared" si="48"/>
        <v>0</v>
      </c>
      <c r="N76" s="901">
        <f t="shared" si="48"/>
        <v>0</v>
      </c>
      <c r="O76" s="901">
        <f t="shared" si="48"/>
        <v>0</v>
      </c>
      <c r="P76" s="901">
        <f t="shared" si="48"/>
        <v>0</v>
      </c>
      <c r="Q76" s="901">
        <f t="shared" si="48"/>
        <v>0</v>
      </c>
      <c r="R76" s="901">
        <f t="shared" si="48"/>
        <v>0</v>
      </c>
      <c r="S76" s="901">
        <f t="shared" si="48"/>
        <v>0</v>
      </c>
      <c r="T76" s="901">
        <f t="shared" si="48"/>
        <v>0</v>
      </c>
      <c r="U76" s="901">
        <f t="shared" si="48"/>
        <v>0</v>
      </c>
      <c r="V76" s="901">
        <f t="shared" si="48"/>
        <v>0</v>
      </c>
      <c r="W76" s="901">
        <f t="shared" si="48"/>
        <v>0</v>
      </c>
      <c r="X76" s="901"/>
      <c r="Y76" s="901"/>
      <c r="Z76" s="901">
        <f t="shared" si="48"/>
        <v>38000000</v>
      </c>
      <c r="AA76" s="901"/>
      <c r="AB76" s="901"/>
      <c r="AC76" s="901">
        <f t="shared" si="48"/>
        <v>0</v>
      </c>
      <c r="AD76" s="901">
        <f t="shared" si="48"/>
        <v>810363824</v>
      </c>
      <c r="AE76" s="886"/>
    </row>
    <row r="77" spans="1:31" s="887" customFormat="1" ht="18.75" hidden="1" customHeight="1" x14ac:dyDescent="0.2">
      <c r="A77" s="910" t="s">
        <v>887</v>
      </c>
      <c r="B77" s="911" t="s">
        <v>2128</v>
      </c>
      <c r="C77" s="901"/>
      <c r="D77" s="903"/>
      <c r="E77" s="903"/>
      <c r="F77" s="903"/>
      <c r="G77" s="901">
        <f>G78</f>
        <v>882625607</v>
      </c>
      <c r="H77" s="901">
        <f t="shared" si="48"/>
        <v>812436643</v>
      </c>
      <c r="I77" s="901">
        <f t="shared" si="48"/>
        <v>38000000</v>
      </c>
      <c r="J77" s="901">
        <f t="shared" si="48"/>
        <v>0</v>
      </c>
      <c r="K77" s="901">
        <f t="shared" si="48"/>
        <v>38000000</v>
      </c>
      <c r="L77" s="901">
        <f t="shared" si="48"/>
        <v>0</v>
      </c>
      <c r="M77" s="901">
        <f t="shared" si="48"/>
        <v>0</v>
      </c>
      <c r="N77" s="901">
        <f t="shared" si="48"/>
        <v>0</v>
      </c>
      <c r="O77" s="901">
        <f t="shared" si="48"/>
        <v>0</v>
      </c>
      <c r="P77" s="901">
        <f t="shared" si="48"/>
        <v>0</v>
      </c>
      <c r="Q77" s="901">
        <f t="shared" si="48"/>
        <v>0</v>
      </c>
      <c r="R77" s="901">
        <f t="shared" si="48"/>
        <v>0</v>
      </c>
      <c r="S77" s="901">
        <f t="shared" si="48"/>
        <v>0</v>
      </c>
      <c r="T77" s="901">
        <f t="shared" si="48"/>
        <v>0</v>
      </c>
      <c r="U77" s="901">
        <f t="shared" si="48"/>
        <v>0</v>
      </c>
      <c r="V77" s="901">
        <f t="shared" si="48"/>
        <v>0</v>
      </c>
      <c r="W77" s="901">
        <f t="shared" si="48"/>
        <v>0</v>
      </c>
      <c r="X77" s="901"/>
      <c r="Y77" s="901"/>
      <c r="Z77" s="901">
        <f t="shared" si="48"/>
        <v>38000000</v>
      </c>
      <c r="AA77" s="901"/>
      <c r="AB77" s="901"/>
      <c r="AC77" s="901">
        <f t="shared" si="48"/>
        <v>0</v>
      </c>
      <c r="AD77" s="901">
        <f t="shared" si="48"/>
        <v>810363824</v>
      </c>
      <c r="AE77" s="886"/>
    </row>
    <row r="78" spans="1:31" s="887" customFormat="1" ht="16.5" hidden="1" customHeight="1" x14ac:dyDescent="0.2">
      <c r="A78" s="910"/>
      <c r="B78" s="911" t="s">
        <v>2113</v>
      </c>
      <c r="C78" s="901"/>
      <c r="D78" s="903"/>
      <c r="E78" s="903"/>
      <c r="F78" s="903"/>
      <c r="G78" s="901">
        <f>G79</f>
        <v>882625607</v>
      </c>
      <c r="H78" s="901">
        <f t="shared" si="48"/>
        <v>812436643</v>
      </c>
      <c r="I78" s="901">
        <f t="shared" si="48"/>
        <v>38000000</v>
      </c>
      <c r="J78" s="901">
        <f t="shared" si="48"/>
        <v>0</v>
      </c>
      <c r="K78" s="901">
        <f t="shared" si="48"/>
        <v>38000000</v>
      </c>
      <c r="L78" s="901">
        <f t="shared" si="48"/>
        <v>0</v>
      </c>
      <c r="M78" s="901">
        <f t="shared" si="48"/>
        <v>0</v>
      </c>
      <c r="N78" s="901">
        <f t="shared" si="48"/>
        <v>0</v>
      </c>
      <c r="O78" s="901">
        <f t="shared" si="48"/>
        <v>0</v>
      </c>
      <c r="P78" s="901">
        <f t="shared" si="48"/>
        <v>0</v>
      </c>
      <c r="Q78" s="901">
        <f t="shared" si="48"/>
        <v>0</v>
      </c>
      <c r="R78" s="901">
        <f t="shared" si="48"/>
        <v>0</v>
      </c>
      <c r="S78" s="901">
        <f t="shared" si="48"/>
        <v>0</v>
      </c>
      <c r="T78" s="901">
        <f t="shared" si="48"/>
        <v>0</v>
      </c>
      <c r="U78" s="901">
        <f t="shared" si="48"/>
        <v>0</v>
      </c>
      <c r="V78" s="901">
        <f t="shared" si="48"/>
        <v>0</v>
      </c>
      <c r="W78" s="901">
        <f t="shared" si="48"/>
        <v>0</v>
      </c>
      <c r="X78" s="901"/>
      <c r="Y78" s="901"/>
      <c r="Z78" s="901">
        <f t="shared" si="48"/>
        <v>38000000</v>
      </c>
      <c r="AA78" s="901"/>
      <c r="AB78" s="901"/>
      <c r="AC78" s="901">
        <f t="shared" si="48"/>
        <v>0</v>
      </c>
      <c r="AD78" s="901">
        <f t="shared" si="48"/>
        <v>810363824</v>
      </c>
      <c r="AE78" s="886"/>
    </row>
    <row r="79" spans="1:31" ht="65.25" hidden="1" customHeight="1" x14ac:dyDescent="0.2">
      <c r="A79" s="892" t="s">
        <v>1773</v>
      </c>
      <c r="B79" s="893" t="s">
        <v>406</v>
      </c>
      <c r="C79" s="894"/>
      <c r="D79" s="895"/>
      <c r="E79" s="895"/>
      <c r="F79" s="895"/>
      <c r="G79" s="894">
        <v>882625607</v>
      </c>
      <c r="H79" s="894">
        <f>530000000+282436643</f>
        <v>812436643</v>
      </c>
      <c r="I79" s="894">
        <v>38000000</v>
      </c>
      <c r="J79" s="894">
        <v>0</v>
      </c>
      <c r="K79" s="894">
        <v>38000000</v>
      </c>
      <c r="L79" s="894"/>
      <c r="M79" s="894"/>
      <c r="N79" s="894"/>
      <c r="O79" s="894"/>
      <c r="P79" s="894"/>
      <c r="Q79" s="894"/>
      <c r="R79" s="894">
        <v>0</v>
      </c>
      <c r="S79" s="894">
        <f>T79+U79</f>
        <v>0</v>
      </c>
      <c r="T79" s="894"/>
      <c r="U79" s="894">
        <v>0</v>
      </c>
      <c r="V79" s="894">
        <v>0</v>
      </c>
      <c r="W79" s="894"/>
      <c r="X79" s="894"/>
      <c r="Y79" s="894"/>
      <c r="Z79" s="894">
        <f>K79+N79+T79</f>
        <v>38000000</v>
      </c>
      <c r="AA79" s="894"/>
      <c r="AB79" s="894"/>
      <c r="AC79" s="894">
        <f>I79-J79-K79+O79+U79</f>
        <v>0</v>
      </c>
      <c r="AD79" s="894">
        <f>H79+M79+S79-J79-2072819</f>
        <v>810363824</v>
      </c>
    </row>
    <row r="80" spans="1:31" s="886" customFormat="1" hidden="1" x14ac:dyDescent="0.2">
      <c r="A80" s="886" t="s">
        <v>1317</v>
      </c>
      <c r="B80" s="886" t="s">
        <v>2129</v>
      </c>
      <c r="D80" s="912"/>
      <c r="E80" s="912"/>
      <c r="F80" s="912"/>
    </row>
  </sheetData>
  <mergeCells count="28">
    <mergeCell ref="A1:S1"/>
    <mergeCell ref="W1:AD1"/>
    <mergeCell ref="A2:AD2"/>
    <mergeCell ref="I5:I6"/>
    <mergeCell ref="W5:W6"/>
    <mergeCell ref="A4:A6"/>
    <mergeCell ref="B4:B6"/>
    <mergeCell ref="C4:C6"/>
    <mergeCell ref="D4:D6"/>
    <mergeCell ref="G4:G6"/>
    <mergeCell ref="H4:I4"/>
    <mergeCell ref="J4:J6"/>
    <mergeCell ref="E5:E6"/>
    <mergeCell ref="F5:F6"/>
    <mergeCell ref="AD4:AD6"/>
    <mergeCell ref="H5:H6"/>
    <mergeCell ref="Z4:Z6"/>
    <mergeCell ref="AC4:AC6"/>
    <mergeCell ref="S5:U5"/>
    <mergeCell ref="V5:V6"/>
    <mergeCell ref="K4:K6"/>
    <mergeCell ref="L4:Q4"/>
    <mergeCell ref="R4:W4"/>
    <mergeCell ref="L5:L6"/>
    <mergeCell ref="M5:O5"/>
    <mergeCell ref="P5:P6"/>
    <mergeCell ref="Q5:Q6"/>
    <mergeCell ref="R5:R6"/>
  </mergeCells>
  <phoneticPr fontId="70" type="noConversion"/>
  <pageMargins left="0.39370078740157499" right="0.23622047244094499" top="0.56000000000000005" bottom="0.4" header="0.31496062992126" footer="0.2"/>
  <pageSetup paperSize="9" scale="65" firstPageNumber="171" orientation="landscape" useFirstPageNumber="1" r:id="rId1"/>
  <headerFooter>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L25"/>
  <sheetViews>
    <sheetView workbookViewId="0">
      <selection activeCell="D15" sqref="D15:G15"/>
    </sheetView>
  </sheetViews>
  <sheetFormatPr defaultColWidth="9.140625" defaultRowHeight="15" x14ac:dyDescent="0.2"/>
  <cols>
    <col min="1" max="1" width="9.140625" style="52"/>
    <col min="2" max="2" width="29.7109375" style="52" customWidth="1"/>
    <col min="3" max="3" width="28.5703125" style="52" customWidth="1"/>
    <col min="4" max="4" width="9.140625" style="52"/>
    <col min="5" max="5" width="10.140625" style="52" customWidth="1"/>
    <col min="6" max="6" width="10.28515625" style="52" hidden="1" customWidth="1"/>
    <col min="7" max="7" width="15" style="52" hidden="1" customWidth="1"/>
    <col min="8" max="8" width="9.140625" style="52"/>
    <col min="9" max="9" width="12.28515625" style="52" customWidth="1"/>
    <col min="10" max="10" width="22.28515625" style="52" customWidth="1"/>
    <col min="11" max="11" width="9.140625" style="52"/>
    <col min="12" max="12" width="20.28515625" style="52" customWidth="1"/>
    <col min="13" max="16384" width="9.140625" style="52"/>
  </cols>
  <sheetData>
    <row r="1" spans="1:12" x14ac:dyDescent="0.2">
      <c r="A1" s="4392" t="s">
        <v>187</v>
      </c>
      <c r="B1" s="4392"/>
      <c r="C1" s="4391"/>
      <c r="D1" s="4391"/>
      <c r="E1" s="4391"/>
      <c r="F1" s="4391"/>
      <c r="G1" s="4391"/>
      <c r="H1" s="4391"/>
      <c r="I1" s="4391"/>
      <c r="J1" s="4388"/>
      <c r="K1" s="4388"/>
      <c r="L1" s="4388"/>
    </row>
    <row r="2" spans="1:12" x14ac:dyDescent="0.2">
      <c r="A2" s="4392" t="s">
        <v>186</v>
      </c>
      <c r="B2" s="4392"/>
      <c r="C2" s="4391"/>
      <c r="D2" s="4391"/>
      <c r="E2" s="4391"/>
      <c r="F2" s="4391"/>
      <c r="G2" s="4391"/>
      <c r="H2" s="4391"/>
      <c r="I2" s="4391"/>
      <c r="J2" s="4388"/>
      <c r="K2" s="4388"/>
      <c r="L2" s="4388"/>
    </row>
    <row r="3" spans="1:12" x14ac:dyDescent="0.2">
      <c r="A3" s="4392" t="s">
        <v>185</v>
      </c>
      <c r="B3" s="4392"/>
      <c r="C3" s="4391"/>
      <c r="D3" s="4391"/>
      <c r="E3" s="4391"/>
      <c r="F3" s="4391"/>
      <c r="G3" s="4391"/>
      <c r="H3" s="4391"/>
      <c r="I3" s="4391"/>
      <c r="J3" s="4388"/>
      <c r="K3" s="4388"/>
      <c r="L3" s="4388"/>
    </row>
    <row r="4" spans="1:12" ht="23.25" customHeight="1" x14ac:dyDescent="0.25">
      <c r="A4" s="4390" t="s">
        <v>184</v>
      </c>
      <c r="B4" s="4390"/>
      <c r="C4" s="4390"/>
      <c r="D4" s="4390"/>
      <c r="E4" s="4390"/>
      <c r="F4" s="4390"/>
      <c r="G4" s="4390"/>
      <c r="H4" s="4390"/>
      <c r="I4" s="4390"/>
      <c r="J4" s="4390"/>
      <c r="K4" s="4390"/>
      <c r="L4" s="4390"/>
    </row>
    <row r="5" spans="1:12" ht="22.5" customHeight="1" x14ac:dyDescent="0.25">
      <c r="A5" s="4390" t="s">
        <v>183</v>
      </c>
      <c r="B5" s="4390"/>
      <c r="C5" s="4390"/>
      <c r="D5" s="4390"/>
      <c r="E5" s="4390"/>
      <c r="F5" s="4390"/>
      <c r="G5" s="4390"/>
      <c r="H5" s="4390"/>
      <c r="I5" s="4390"/>
      <c r="J5" s="4390"/>
      <c r="K5" s="4390"/>
      <c r="L5" s="4390"/>
    </row>
    <row r="6" spans="1:12" ht="24" customHeight="1" x14ac:dyDescent="0.25">
      <c r="A6" s="4390" t="s">
        <v>182</v>
      </c>
      <c r="B6" s="4390"/>
      <c r="C6" s="4390"/>
      <c r="D6" s="4390"/>
      <c r="E6" s="4390"/>
      <c r="F6" s="4390"/>
      <c r="G6" s="4390"/>
      <c r="H6" s="4390"/>
      <c r="I6" s="4390"/>
      <c r="J6" s="4390"/>
      <c r="K6" s="4390"/>
      <c r="L6" s="4390"/>
    </row>
    <row r="7" spans="1:12" ht="18.75" x14ac:dyDescent="0.3">
      <c r="A7" s="4389"/>
      <c r="B7" s="4389"/>
      <c r="C7" s="4389"/>
      <c r="D7" s="4389"/>
      <c r="E7" s="4389"/>
      <c r="F7" s="4389"/>
      <c r="G7" s="4389"/>
      <c r="H7" s="4389"/>
      <c r="I7" s="4389"/>
      <c r="J7" s="4389"/>
      <c r="K7" s="4389"/>
      <c r="L7" s="4389"/>
    </row>
    <row r="8" spans="1:12" x14ac:dyDescent="0.2">
      <c r="A8" s="65"/>
      <c r="B8" s="65"/>
      <c r="C8" s="65"/>
      <c r="D8" s="65"/>
      <c r="E8" s="65"/>
      <c r="F8" s="65"/>
      <c r="G8" s="65"/>
      <c r="H8" s="65"/>
      <c r="I8" s="65"/>
      <c r="J8" s="65"/>
      <c r="K8" s="65" t="s">
        <v>1461</v>
      </c>
      <c r="L8" s="65"/>
    </row>
    <row r="9" spans="1:12" x14ac:dyDescent="0.2">
      <c r="A9" s="4393" t="s">
        <v>844</v>
      </c>
      <c r="B9" s="4393" t="s">
        <v>845</v>
      </c>
      <c r="C9" s="4393"/>
      <c r="D9" s="4393" t="s">
        <v>1460</v>
      </c>
      <c r="E9" s="4393"/>
      <c r="F9" s="4393"/>
      <c r="G9" s="4393"/>
      <c r="H9" s="4393" t="s">
        <v>1459</v>
      </c>
      <c r="I9" s="4393"/>
      <c r="J9" s="4393" t="s">
        <v>1458</v>
      </c>
      <c r="K9" s="4393" t="s">
        <v>1457</v>
      </c>
      <c r="L9" s="4393"/>
    </row>
    <row r="10" spans="1:12" x14ac:dyDescent="0.2">
      <c r="A10" s="4393"/>
      <c r="B10" s="4393"/>
      <c r="C10" s="4393"/>
      <c r="D10" s="4393"/>
      <c r="E10" s="4393"/>
      <c r="F10" s="4393"/>
      <c r="G10" s="4393"/>
      <c r="H10" s="4393"/>
      <c r="I10" s="4393"/>
      <c r="J10" s="4393"/>
      <c r="K10" s="4393"/>
      <c r="L10" s="4393"/>
    </row>
    <row r="11" spans="1:12" x14ac:dyDescent="0.2">
      <c r="A11" s="4393"/>
      <c r="B11" s="4393"/>
      <c r="C11" s="4393"/>
      <c r="D11" s="4393"/>
      <c r="E11" s="4393"/>
      <c r="F11" s="4393"/>
      <c r="G11" s="4393"/>
      <c r="H11" s="4393"/>
      <c r="I11" s="4393"/>
      <c r="J11" s="4393"/>
      <c r="K11" s="4393"/>
      <c r="L11" s="4393"/>
    </row>
    <row r="12" spans="1:12" x14ac:dyDescent="0.2">
      <c r="A12" s="4393"/>
      <c r="B12" s="4393"/>
      <c r="C12" s="4393"/>
      <c r="D12" s="4393"/>
      <c r="E12" s="4393"/>
      <c r="F12" s="4393"/>
      <c r="G12" s="4393"/>
      <c r="H12" s="4393"/>
      <c r="I12" s="4393"/>
      <c r="J12" s="4393"/>
      <c r="K12" s="4393"/>
      <c r="L12" s="4393"/>
    </row>
    <row r="13" spans="1:12" x14ac:dyDescent="0.2">
      <c r="A13" s="64" t="s">
        <v>847</v>
      </c>
      <c r="B13" s="4400" t="s">
        <v>848</v>
      </c>
      <c r="C13" s="4400"/>
      <c r="D13" s="4401">
        <v>1</v>
      </c>
      <c r="E13" s="4401"/>
      <c r="F13" s="4401"/>
      <c r="G13" s="4401"/>
      <c r="H13" s="4400">
        <v>2</v>
      </c>
      <c r="I13" s="4400"/>
      <c r="J13" s="63">
        <v>3</v>
      </c>
      <c r="K13" s="4401">
        <v>4</v>
      </c>
      <c r="L13" s="4401"/>
    </row>
    <row r="14" spans="1:12" ht="24.95" customHeight="1" x14ac:dyDescent="0.2">
      <c r="A14" s="62">
        <v>1</v>
      </c>
      <c r="B14" s="4397" t="s">
        <v>1456</v>
      </c>
      <c r="C14" s="4397"/>
      <c r="D14" s="4398" t="s">
        <v>1451</v>
      </c>
      <c r="E14" s="4398"/>
      <c r="F14" s="4398"/>
      <c r="G14" s="4398"/>
      <c r="H14" s="4399"/>
      <c r="I14" s="4399"/>
      <c r="J14" s="61"/>
      <c r="K14" s="4398"/>
      <c r="L14" s="4398"/>
    </row>
    <row r="15" spans="1:12" ht="24.95" customHeight="1" x14ac:dyDescent="0.25">
      <c r="A15" s="60" t="s">
        <v>887</v>
      </c>
      <c r="B15" s="4394" t="s">
        <v>1455</v>
      </c>
      <c r="C15" s="4394"/>
      <c r="D15" s="4395"/>
      <c r="E15" s="4395"/>
      <c r="F15" s="4395"/>
      <c r="G15" s="4395"/>
      <c r="H15" s="4396"/>
      <c r="I15" s="4396"/>
      <c r="J15" s="58"/>
      <c r="K15" s="4395"/>
      <c r="L15" s="4395"/>
    </row>
    <row r="16" spans="1:12" ht="24.95" customHeight="1" x14ac:dyDescent="0.25">
      <c r="A16" s="60" t="s">
        <v>888</v>
      </c>
      <c r="B16" s="4394" t="s">
        <v>1454</v>
      </c>
      <c r="C16" s="4394"/>
      <c r="D16" s="4395"/>
      <c r="E16" s="4395"/>
      <c r="F16" s="4395"/>
      <c r="G16" s="4395"/>
      <c r="H16" s="4396"/>
      <c r="I16" s="4396"/>
      <c r="J16" s="58"/>
      <c r="K16" s="4395"/>
      <c r="L16" s="4395"/>
    </row>
    <row r="17" spans="1:12" ht="22.5" customHeight="1" x14ac:dyDescent="0.25">
      <c r="A17" s="59" t="s">
        <v>891</v>
      </c>
      <c r="B17" s="4405" t="s">
        <v>1453</v>
      </c>
      <c r="C17" s="4405"/>
      <c r="D17" s="4406"/>
      <c r="E17" s="4406"/>
      <c r="F17" s="4406"/>
      <c r="G17" s="4406"/>
      <c r="H17" s="4407"/>
      <c r="I17" s="4407"/>
      <c r="J17" s="58"/>
      <c r="K17" s="4395"/>
      <c r="L17" s="4395"/>
    </row>
    <row r="18" spans="1:12" ht="33.75" customHeight="1" x14ac:dyDescent="0.25">
      <c r="A18" s="59">
        <v>2</v>
      </c>
      <c r="B18" s="4404" t="s">
        <v>1452</v>
      </c>
      <c r="C18" s="4404"/>
      <c r="D18" s="4406" t="s">
        <v>1451</v>
      </c>
      <c r="E18" s="4406"/>
      <c r="F18" s="4406"/>
      <c r="G18" s="4406"/>
      <c r="H18" s="4407"/>
      <c r="I18" s="4407"/>
      <c r="J18" s="58"/>
      <c r="K18" s="4395"/>
      <c r="L18" s="4395"/>
    </row>
    <row r="19" spans="1:12" ht="24.95" customHeight="1" x14ac:dyDescent="0.25">
      <c r="A19" s="57" t="s">
        <v>1450</v>
      </c>
      <c r="B19" s="4411" t="s">
        <v>912</v>
      </c>
      <c r="C19" s="4411"/>
      <c r="D19" s="4402"/>
      <c r="E19" s="4402"/>
      <c r="F19" s="4402"/>
      <c r="G19" s="4402"/>
      <c r="H19" s="4403"/>
      <c r="I19" s="4403"/>
      <c r="J19" s="56"/>
      <c r="K19" s="4408"/>
      <c r="L19" s="4408"/>
    </row>
    <row r="20" spans="1:12" x14ac:dyDescent="0.2">
      <c r="A20" s="4392" t="s">
        <v>905</v>
      </c>
      <c r="B20" s="4392"/>
      <c r="C20" s="4392"/>
      <c r="D20" s="4392"/>
      <c r="E20" s="4392"/>
      <c r="F20" s="4392"/>
      <c r="G20" s="4392"/>
      <c r="H20" s="4392"/>
      <c r="I20" s="4392"/>
      <c r="J20" s="4392"/>
      <c r="K20" s="55"/>
      <c r="L20" s="55"/>
    </row>
    <row r="21" spans="1:12" x14ac:dyDescent="0.2">
      <c r="A21" s="4410" t="s">
        <v>1449</v>
      </c>
      <c r="B21" s="4410"/>
      <c r="C21" s="4410"/>
      <c r="D21" s="4410"/>
      <c r="E21" s="4410"/>
      <c r="F21" s="4410"/>
      <c r="G21" s="4410"/>
      <c r="H21" s="4410"/>
      <c r="I21" s="4410"/>
      <c r="J21" s="4410"/>
      <c r="K21" s="4410"/>
      <c r="L21" s="4410"/>
    </row>
    <row r="22" spans="1:12" x14ac:dyDescent="0.2">
      <c r="A22" s="4410" t="s">
        <v>1448</v>
      </c>
      <c r="B22" s="4410"/>
      <c r="C22" s="4410"/>
      <c r="D22" s="4410"/>
      <c r="E22" s="4410"/>
      <c r="F22" s="4410"/>
      <c r="G22" s="4410"/>
      <c r="H22" s="4410"/>
      <c r="I22" s="4410"/>
      <c r="J22" s="4410"/>
      <c r="K22" s="4410"/>
      <c r="L22" s="4410"/>
    </row>
    <row r="23" spans="1:12" ht="15.75" x14ac:dyDescent="0.25">
      <c r="A23" s="55"/>
      <c r="B23" s="54"/>
      <c r="C23" s="4391"/>
      <c r="D23" s="4391"/>
      <c r="E23" s="4391"/>
      <c r="F23" s="4391"/>
      <c r="G23" s="53"/>
      <c r="H23" s="4409" t="s">
        <v>1447</v>
      </c>
      <c r="I23" s="4409"/>
      <c r="J23" s="4409"/>
      <c r="K23" s="4409"/>
      <c r="L23" s="4409"/>
    </row>
    <row r="24" spans="1:12" ht="15.75" x14ac:dyDescent="0.25">
      <c r="A24" s="4390" t="s">
        <v>1446</v>
      </c>
      <c r="B24" s="4390"/>
      <c r="C24" s="4390"/>
      <c r="D24" s="4390"/>
      <c r="E24" s="4390"/>
      <c r="F24" s="4390"/>
      <c r="G24" s="4390"/>
      <c r="H24" s="4390" t="s">
        <v>1445</v>
      </c>
      <c r="I24" s="4390"/>
      <c r="J24" s="4390"/>
      <c r="K24" s="4390"/>
      <c r="L24" s="4390"/>
    </row>
    <row r="25" spans="1:12" ht="15.75" x14ac:dyDescent="0.25">
      <c r="A25" s="4409" t="s">
        <v>1444</v>
      </c>
      <c r="B25" s="4409"/>
      <c r="C25" s="4409"/>
      <c r="D25" s="4409"/>
      <c r="E25" s="4409"/>
      <c r="F25" s="4409"/>
      <c r="G25" s="4409"/>
      <c r="H25" s="4409" t="s">
        <v>1443</v>
      </c>
      <c r="I25" s="4409"/>
      <c r="J25" s="4409"/>
      <c r="K25" s="4409"/>
      <c r="L25" s="4409"/>
    </row>
  </sheetData>
  <mergeCells count="56">
    <mergeCell ref="A20:J20"/>
    <mergeCell ref="K19:L19"/>
    <mergeCell ref="A25:G25"/>
    <mergeCell ref="H25:L25"/>
    <mergeCell ref="B9:C12"/>
    <mergeCell ref="A22:L22"/>
    <mergeCell ref="C23:D23"/>
    <mergeCell ref="E23:F23"/>
    <mergeCell ref="H23:L23"/>
    <mergeCell ref="A24:G24"/>
    <mergeCell ref="H24:L24"/>
    <mergeCell ref="B19:C19"/>
    <mergeCell ref="A21:L21"/>
    <mergeCell ref="D18:G18"/>
    <mergeCell ref="H18:I18"/>
    <mergeCell ref="K18:L18"/>
    <mergeCell ref="D19:G19"/>
    <mergeCell ref="H19:I19"/>
    <mergeCell ref="K17:L17"/>
    <mergeCell ref="B18:C18"/>
    <mergeCell ref="K16:L16"/>
    <mergeCell ref="B17:C17"/>
    <mergeCell ref="D17:G17"/>
    <mergeCell ref="H17:I17"/>
    <mergeCell ref="B16:C16"/>
    <mergeCell ref="D16:G16"/>
    <mergeCell ref="H16:I16"/>
    <mergeCell ref="K15:L15"/>
    <mergeCell ref="J9:J12"/>
    <mergeCell ref="K9:L12"/>
    <mergeCell ref="B14:C14"/>
    <mergeCell ref="D14:G14"/>
    <mergeCell ref="H14:I14"/>
    <mergeCell ref="K14:L14"/>
    <mergeCell ref="B13:C13"/>
    <mergeCell ref="D13:G13"/>
    <mergeCell ref="H13:I13"/>
    <mergeCell ref="K13:L13"/>
    <mergeCell ref="A9:A12"/>
    <mergeCell ref="D9:G12"/>
    <mergeCell ref="I1:I3"/>
    <mergeCell ref="H9:I12"/>
    <mergeCell ref="B15:C15"/>
    <mergeCell ref="D15:G15"/>
    <mergeCell ref="H15:I15"/>
    <mergeCell ref="J1:L3"/>
    <mergeCell ref="A7:L7"/>
    <mergeCell ref="A5:L5"/>
    <mergeCell ref="A6:L6"/>
    <mergeCell ref="A4:L4"/>
    <mergeCell ref="E1:E3"/>
    <mergeCell ref="F1:H3"/>
    <mergeCell ref="A1:B1"/>
    <mergeCell ref="A2:B2"/>
    <mergeCell ref="A3:B3"/>
    <mergeCell ref="C1:D3"/>
  </mergeCells>
  <phoneticPr fontId="70" type="noConversion"/>
  <pageMargins left="0.74803149606299202" right="0.24" top="0.98425196850393704" bottom="0.98425196850393704" header="0.511811023622047" footer="0.511811023622047"/>
  <pageSetup paperSize="9" scale="85" firstPageNumber="174" orientation="landscape" useFirstPageNumber="1" r:id="rId1"/>
  <headerFooter alignWithMargins="0">
    <oddHeader>&amp;RBiểu số 5.18</oddHead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P30"/>
  <sheetViews>
    <sheetView zoomScale="70" zoomScaleNormal="70" workbookViewId="0">
      <selection activeCell="J19" sqref="J19:K19"/>
    </sheetView>
  </sheetViews>
  <sheetFormatPr defaultColWidth="9.140625" defaultRowHeight="15" x14ac:dyDescent="0.2"/>
  <cols>
    <col min="1" max="1" width="6.28515625" style="52" customWidth="1"/>
    <col min="2" max="2" width="9.140625" style="52"/>
    <col min="3" max="3" width="37.5703125" style="52" customWidth="1"/>
    <col min="4" max="4" width="12.28515625" style="52" customWidth="1"/>
    <col min="5" max="5" width="12.140625" style="52" customWidth="1"/>
    <col min="6" max="6" width="10.28515625" style="52" customWidth="1"/>
    <col min="7" max="8" width="10.28515625" style="52" hidden="1" customWidth="1"/>
    <col min="9" max="9" width="12.42578125" style="52" customWidth="1"/>
    <col min="10" max="10" width="9.140625" style="52"/>
    <col min="11" max="11" width="4.5703125" style="52" customWidth="1"/>
    <col min="12" max="12" width="13.5703125" style="52" customWidth="1"/>
    <col min="13" max="13" width="14.140625" style="52" customWidth="1"/>
    <col min="14" max="14" width="15" style="52" customWidth="1"/>
    <col min="15" max="15" width="15.28515625" style="52" customWidth="1"/>
    <col min="16" max="16" width="14" style="52" customWidth="1"/>
    <col min="17" max="16384" width="9.140625" style="52"/>
  </cols>
  <sheetData>
    <row r="1" spans="1:16" x14ac:dyDescent="0.2">
      <c r="A1" s="4392" t="s">
        <v>188</v>
      </c>
      <c r="B1" s="4392"/>
      <c r="C1" s="4392"/>
      <c r="D1" s="4392"/>
      <c r="E1" s="4392"/>
      <c r="F1" s="4392"/>
      <c r="G1" s="4391"/>
      <c r="H1" s="4391"/>
      <c r="I1" s="4391"/>
      <c r="J1" s="4391"/>
      <c r="K1" s="4388"/>
      <c r="L1" s="4388"/>
      <c r="M1" s="4388"/>
      <c r="N1" s="4388"/>
      <c r="O1" s="4388"/>
      <c r="P1" s="4388"/>
    </row>
    <row r="2" spans="1:16" x14ac:dyDescent="0.2">
      <c r="A2" s="4392" t="s">
        <v>189</v>
      </c>
      <c r="B2" s="4392"/>
      <c r="C2" s="4392"/>
      <c r="D2" s="4392"/>
      <c r="E2" s="4392"/>
      <c r="F2" s="4392"/>
      <c r="G2" s="4391"/>
      <c r="H2" s="4391"/>
      <c r="I2" s="4391"/>
      <c r="J2" s="4391"/>
      <c r="K2" s="4388"/>
      <c r="L2" s="4388"/>
      <c r="M2" s="4388"/>
      <c r="N2" s="4388"/>
      <c r="O2" s="4388"/>
      <c r="P2" s="4388"/>
    </row>
    <row r="3" spans="1:16" x14ac:dyDescent="0.2">
      <c r="A3" s="4392" t="s">
        <v>190</v>
      </c>
      <c r="B3" s="4392"/>
      <c r="C3" s="4392"/>
      <c r="D3" s="4392"/>
      <c r="E3" s="4392"/>
      <c r="F3" s="4392"/>
      <c r="G3" s="4391"/>
      <c r="H3" s="4391"/>
      <c r="I3" s="4391"/>
      <c r="J3" s="4391"/>
      <c r="K3" s="4388"/>
      <c r="L3" s="4388"/>
      <c r="M3" s="4388"/>
      <c r="N3" s="4388"/>
      <c r="O3" s="4388"/>
      <c r="P3" s="4388"/>
    </row>
    <row r="4" spans="1:16" x14ac:dyDescent="0.2">
      <c r="A4" s="4426" t="s">
        <v>643</v>
      </c>
      <c r="B4" s="4426"/>
      <c r="C4" s="4426"/>
      <c r="D4" s="4426"/>
      <c r="E4" s="4426"/>
      <c r="F4" s="4426"/>
      <c r="G4" s="4426"/>
      <c r="H4" s="4426"/>
      <c r="I4" s="4426"/>
      <c r="J4" s="4426"/>
      <c r="K4" s="4426"/>
      <c r="L4" s="4426"/>
      <c r="M4" s="4426"/>
      <c r="N4" s="4426"/>
      <c r="O4" s="4426"/>
      <c r="P4" s="4426"/>
    </row>
    <row r="5" spans="1:16" x14ac:dyDescent="0.2">
      <c r="A5" s="4426" t="s">
        <v>191</v>
      </c>
      <c r="B5" s="4426"/>
      <c r="C5" s="4426"/>
      <c r="D5" s="4426"/>
      <c r="E5" s="4426"/>
      <c r="F5" s="4426"/>
      <c r="G5" s="4426"/>
      <c r="H5" s="4426"/>
      <c r="I5" s="4426"/>
      <c r="J5" s="4426"/>
      <c r="K5" s="4426"/>
      <c r="L5" s="4426"/>
      <c r="M5" s="4426"/>
      <c r="N5" s="4426"/>
      <c r="O5" s="4426"/>
      <c r="P5" s="4426"/>
    </row>
    <row r="6" spans="1:16" ht="18.75" x14ac:dyDescent="0.3">
      <c r="A6" s="4389"/>
      <c r="B6" s="4389"/>
      <c r="C6" s="4389"/>
      <c r="D6" s="4389"/>
      <c r="E6" s="4389"/>
      <c r="F6" s="4389"/>
      <c r="G6" s="4389"/>
      <c r="H6" s="4389"/>
      <c r="I6" s="4389"/>
      <c r="J6" s="4389"/>
      <c r="K6" s="4389"/>
      <c r="L6" s="4389"/>
      <c r="M6" s="4389"/>
      <c r="N6" s="4389"/>
      <c r="O6" s="4389"/>
      <c r="P6" s="4389"/>
    </row>
    <row r="7" spans="1:16" ht="15.75" x14ac:dyDescent="0.25">
      <c r="A7" s="4427" t="s">
        <v>192</v>
      </c>
      <c r="B7" s="4427"/>
      <c r="C7" s="4427"/>
      <c r="D7" s="4427"/>
      <c r="E7" s="4427"/>
      <c r="F7" s="4427"/>
      <c r="G7" s="4427"/>
      <c r="H7" s="4427"/>
      <c r="I7" s="4427"/>
      <c r="J7" s="4427"/>
      <c r="K7" s="4427"/>
      <c r="L7" s="4427"/>
      <c r="M7" s="4427"/>
      <c r="N7" s="4427"/>
      <c r="O7" s="4427"/>
      <c r="P7" s="4427"/>
    </row>
    <row r="8" spans="1:16" x14ac:dyDescent="0.2">
      <c r="A8" s="4428" t="s">
        <v>844</v>
      </c>
      <c r="B8" s="4425" t="s">
        <v>193</v>
      </c>
      <c r="C8" s="4425"/>
      <c r="D8" s="4425" t="s">
        <v>194</v>
      </c>
      <c r="E8" s="4425" t="s">
        <v>1459</v>
      </c>
      <c r="F8" s="4425" t="s">
        <v>195</v>
      </c>
      <c r="G8" s="4425"/>
      <c r="H8" s="4425"/>
      <c r="I8" s="4425"/>
      <c r="J8" s="4425"/>
      <c r="K8" s="4425"/>
      <c r="L8" s="4425"/>
      <c r="M8" s="4425" t="s">
        <v>196</v>
      </c>
      <c r="N8" s="4425" t="s">
        <v>197</v>
      </c>
      <c r="O8" s="4425"/>
      <c r="P8" s="4425"/>
    </row>
    <row r="9" spans="1:16" ht="10.5" customHeight="1" x14ac:dyDescent="0.2">
      <c r="A9" s="4428"/>
      <c r="B9" s="4425"/>
      <c r="C9" s="4425"/>
      <c r="D9" s="4425"/>
      <c r="E9" s="4425"/>
      <c r="F9" s="4425"/>
      <c r="G9" s="4425"/>
      <c r="H9" s="4425"/>
      <c r="I9" s="4425"/>
      <c r="J9" s="4425"/>
      <c r="K9" s="4425"/>
      <c r="L9" s="4425"/>
      <c r="M9" s="4425"/>
      <c r="N9" s="4425"/>
      <c r="O9" s="4425"/>
      <c r="P9" s="4425"/>
    </row>
    <row r="10" spans="1:16" ht="4.5" hidden="1" customHeight="1" thickBot="1" x14ac:dyDescent="0.25">
      <c r="A10" s="4428"/>
      <c r="B10" s="4425"/>
      <c r="C10" s="4425"/>
      <c r="D10" s="4425"/>
      <c r="E10" s="4425"/>
      <c r="F10" s="4425"/>
      <c r="G10" s="4425"/>
      <c r="H10" s="4425"/>
      <c r="I10" s="4425"/>
      <c r="J10" s="4425"/>
      <c r="K10" s="4425"/>
      <c r="L10" s="4425"/>
      <c r="M10" s="4425"/>
      <c r="N10" s="4425"/>
      <c r="O10" s="4425"/>
      <c r="P10" s="4425"/>
    </row>
    <row r="11" spans="1:16" hidden="1" x14ac:dyDescent="0.2">
      <c r="A11" s="4428"/>
      <c r="B11" s="4425"/>
      <c r="C11" s="4425"/>
      <c r="D11" s="4425"/>
      <c r="E11" s="4425"/>
      <c r="F11" s="4425"/>
      <c r="G11" s="4425"/>
      <c r="H11" s="4425"/>
      <c r="I11" s="4425"/>
      <c r="J11" s="4425"/>
      <c r="K11" s="4425"/>
      <c r="L11" s="4425"/>
      <c r="M11" s="4425"/>
      <c r="N11" s="4425"/>
      <c r="O11" s="4425"/>
      <c r="P11" s="4425"/>
    </row>
    <row r="12" spans="1:16" ht="41.25" x14ac:dyDescent="0.2">
      <c r="A12" s="4428"/>
      <c r="B12" s="4425"/>
      <c r="C12" s="4425"/>
      <c r="D12" s="4425"/>
      <c r="E12" s="4425"/>
      <c r="F12" s="4425" t="s">
        <v>868</v>
      </c>
      <c r="G12" s="4425"/>
      <c r="H12" s="4425"/>
      <c r="I12" s="66" t="s">
        <v>198</v>
      </c>
      <c r="J12" s="4425" t="s">
        <v>199</v>
      </c>
      <c r="K12" s="4425"/>
      <c r="L12" s="66" t="s">
        <v>200</v>
      </c>
      <c r="M12" s="4425"/>
      <c r="N12" s="66" t="s">
        <v>201</v>
      </c>
      <c r="O12" s="66" t="s">
        <v>202</v>
      </c>
      <c r="P12" s="66" t="s">
        <v>203</v>
      </c>
    </row>
    <row r="13" spans="1:16" x14ac:dyDescent="0.2">
      <c r="A13" s="67">
        <v>1</v>
      </c>
      <c r="B13" s="4424">
        <v>2</v>
      </c>
      <c r="C13" s="4424"/>
      <c r="D13" s="67">
        <v>3</v>
      </c>
      <c r="E13" s="67">
        <v>4</v>
      </c>
      <c r="F13" s="4424" t="s">
        <v>204</v>
      </c>
      <c r="G13" s="4424"/>
      <c r="H13" s="4424"/>
      <c r="I13" s="67">
        <v>6</v>
      </c>
      <c r="J13" s="4424">
        <v>7</v>
      </c>
      <c r="K13" s="4424"/>
      <c r="L13" s="67">
        <v>8</v>
      </c>
      <c r="M13" s="67">
        <v>9</v>
      </c>
      <c r="N13" s="67" t="s">
        <v>205</v>
      </c>
      <c r="O13" s="67">
        <v>11</v>
      </c>
      <c r="P13" s="67"/>
    </row>
    <row r="14" spans="1:16" ht="27.95" customHeight="1" x14ac:dyDescent="0.2">
      <c r="A14" s="68">
        <v>1</v>
      </c>
      <c r="B14" s="4422" t="s">
        <v>206</v>
      </c>
      <c r="C14" s="4422"/>
      <c r="D14" s="69"/>
      <c r="E14" s="61"/>
      <c r="F14" s="4398"/>
      <c r="G14" s="4398"/>
      <c r="H14" s="4398"/>
      <c r="I14" s="30"/>
      <c r="J14" s="4423"/>
      <c r="K14" s="4423"/>
      <c r="L14" s="30"/>
      <c r="M14" s="61"/>
      <c r="N14" s="30"/>
      <c r="O14" s="30"/>
      <c r="P14" s="30"/>
    </row>
    <row r="15" spans="1:16" ht="27.95" customHeight="1" x14ac:dyDescent="0.2">
      <c r="A15" s="60" t="s">
        <v>887</v>
      </c>
      <c r="B15" s="4419" t="s">
        <v>1455</v>
      </c>
      <c r="C15" s="4419"/>
      <c r="D15" s="58"/>
      <c r="E15" s="58"/>
      <c r="F15" s="4395"/>
      <c r="G15" s="4395"/>
      <c r="H15" s="4395"/>
      <c r="I15" s="70"/>
      <c r="J15" s="4396"/>
      <c r="K15" s="4396"/>
      <c r="L15" s="70"/>
      <c r="M15" s="58"/>
      <c r="N15" s="70"/>
      <c r="O15" s="70"/>
      <c r="P15" s="70"/>
    </row>
    <row r="16" spans="1:16" ht="27.95" customHeight="1" x14ac:dyDescent="0.2">
      <c r="A16" s="60" t="s">
        <v>888</v>
      </c>
      <c r="B16" s="4419" t="s">
        <v>1454</v>
      </c>
      <c r="C16" s="4419"/>
      <c r="D16" s="58"/>
      <c r="E16" s="58"/>
      <c r="F16" s="4395"/>
      <c r="G16" s="4395"/>
      <c r="H16" s="4395"/>
      <c r="I16" s="70"/>
      <c r="J16" s="4396"/>
      <c r="K16" s="4396"/>
      <c r="L16" s="70"/>
      <c r="M16" s="58"/>
      <c r="N16" s="70"/>
      <c r="O16" s="70"/>
      <c r="P16" s="70"/>
    </row>
    <row r="17" spans="1:16" ht="21.75" customHeight="1" x14ac:dyDescent="0.2">
      <c r="A17" s="59" t="s">
        <v>891</v>
      </c>
      <c r="B17" s="4405" t="s">
        <v>1453</v>
      </c>
      <c r="C17" s="4405"/>
      <c r="D17" s="58"/>
      <c r="E17" s="58"/>
      <c r="F17" s="4395"/>
      <c r="G17" s="4395"/>
      <c r="H17" s="4395"/>
      <c r="I17" s="31"/>
      <c r="J17" s="4416"/>
      <c r="K17" s="4416"/>
      <c r="L17" s="31"/>
      <c r="M17" s="58"/>
      <c r="N17" s="31"/>
      <c r="O17" s="31"/>
      <c r="P17" s="31"/>
    </row>
    <row r="18" spans="1:16" ht="33.75" customHeight="1" x14ac:dyDescent="0.2">
      <c r="A18" s="59">
        <v>2</v>
      </c>
      <c r="B18" s="4414" t="s">
        <v>207</v>
      </c>
      <c r="C18" s="4415"/>
      <c r="D18" s="58"/>
      <c r="E18" s="58"/>
      <c r="F18" s="4395"/>
      <c r="G18" s="4395"/>
      <c r="H18" s="4395"/>
      <c r="I18" s="31"/>
      <c r="J18" s="4416"/>
      <c r="K18" s="4416"/>
      <c r="L18" s="31"/>
      <c r="M18" s="58"/>
      <c r="N18" s="31"/>
      <c r="O18" s="31"/>
      <c r="P18" s="31"/>
    </row>
    <row r="19" spans="1:16" ht="27.95" customHeight="1" x14ac:dyDescent="0.2">
      <c r="A19" s="71">
        <v>3</v>
      </c>
      <c r="B19" s="4417" t="s">
        <v>208</v>
      </c>
      <c r="C19" s="4417"/>
      <c r="D19" s="72"/>
      <c r="E19" s="72"/>
      <c r="F19" s="4418"/>
      <c r="G19" s="4418"/>
      <c r="H19" s="4418"/>
      <c r="I19" s="31"/>
      <c r="J19" s="4416"/>
      <c r="K19" s="4416"/>
      <c r="L19" s="31"/>
      <c r="M19" s="72"/>
      <c r="N19" s="31"/>
      <c r="O19" s="31"/>
      <c r="P19" s="31"/>
    </row>
    <row r="20" spans="1:16" ht="27.95" customHeight="1" x14ac:dyDescent="0.2">
      <c r="A20" s="60">
        <v>1</v>
      </c>
      <c r="B20" s="4419" t="s">
        <v>342</v>
      </c>
      <c r="C20" s="4419"/>
      <c r="D20" s="72"/>
      <c r="E20" s="72"/>
      <c r="F20" s="4418"/>
      <c r="G20" s="4418"/>
      <c r="H20" s="4418"/>
      <c r="I20" s="31"/>
      <c r="J20" s="4416"/>
      <c r="K20" s="4416"/>
      <c r="L20" s="31"/>
      <c r="M20" s="72"/>
      <c r="N20" s="31"/>
      <c r="O20" s="31"/>
      <c r="P20" s="31"/>
    </row>
    <row r="21" spans="1:16" ht="27.95" customHeight="1" x14ac:dyDescent="0.2">
      <c r="A21" s="57">
        <v>2</v>
      </c>
      <c r="B21" s="4421" t="s">
        <v>209</v>
      </c>
      <c r="C21" s="4421"/>
      <c r="D21" s="56"/>
      <c r="E21" s="56"/>
      <c r="F21" s="4402"/>
      <c r="G21" s="4402"/>
      <c r="H21" s="4402"/>
      <c r="I21" s="73"/>
      <c r="J21" s="4403"/>
      <c r="K21" s="4403"/>
      <c r="L21" s="73"/>
      <c r="M21" s="56"/>
      <c r="N21" s="73"/>
      <c r="O21" s="73"/>
      <c r="P21" s="73"/>
    </row>
    <row r="22" spans="1:16" x14ac:dyDescent="0.2">
      <c r="A22" s="4392" t="s">
        <v>210</v>
      </c>
      <c r="B22" s="4392"/>
      <c r="C22" s="4392"/>
      <c r="D22" s="4392"/>
      <c r="E22" s="4392"/>
      <c r="F22" s="4392"/>
      <c r="G22" s="4392"/>
      <c r="H22" s="4392"/>
      <c r="I22" s="4392"/>
      <c r="J22" s="4392"/>
      <c r="K22" s="4392"/>
      <c r="L22" s="4392"/>
      <c r="M22" s="4420"/>
      <c r="N22" s="4420"/>
      <c r="O22" s="4420"/>
      <c r="P22" s="4420"/>
    </row>
    <row r="23" spans="1:16" x14ac:dyDescent="0.2">
      <c r="A23" s="4410" t="s">
        <v>211</v>
      </c>
      <c r="B23" s="4410"/>
      <c r="C23" s="4410"/>
      <c r="D23" s="4410"/>
      <c r="E23" s="4410"/>
      <c r="F23" s="4410"/>
      <c r="G23" s="4410"/>
      <c r="H23" s="4410"/>
      <c r="I23" s="4410"/>
      <c r="J23" s="4410"/>
      <c r="K23" s="4410"/>
      <c r="L23" s="4410"/>
      <c r="M23" s="4410"/>
      <c r="N23" s="4410"/>
      <c r="O23" s="4410"/>
      <c r="P23" s="4410"/>
    </row>
    <row r="24" spans="1:16" x14ac:dyDescent="0.2">
      <c r="A24" s="4410" t="s">
        <v>212</v>
      </c>
      <c r="B24" s="4410"/>
      <c r="C24" s="4410"/>
      <c r="D24" s="4410"/>
      <c r="E24" s="4410"/>
      <c r="F24" s="4410"/>
      <c r="G24" s="4410"/>
      <c r="H24" s="4410"/>
      <c r="I24" s="4410"/>
      <c r="J24" s="4410"/>
      <c r="K24" s="4410"/>
      <c r="L24" s="4410"/>
      <c r="M24" s="4410"/>
      <c r="N24" s="4410"/>
      <c r="O24" s="4410"/>
      <c r="P24" s="4410"/>
    </row>
    <row r="25" spans="1:16" x14ac:dyDescent="0.2">
      <c r="A25" s="4410" t="s">
        <v>213</v>
      </c>
      <c r="B25" s="4410"/>
      <c r="C25" s="4410"/>
      <c r="D25" s="4410"/>
      <c r="E25" s="4410"/>
      <c r="F25" s="4410"/>
      <c r="G25" s="4410"/>
      <c r="H25" s="4410"/>
      <c r="I25" s="4410"/>
      <c r="J25" s="4410"/>
      <c r="K25" s="4410"/>
      <c r="L25" s="4410"/>
      <c r="M25" s="4410"/>
      <c r="N25" s="4410"/>
      <c r="O25" s="4410"/>
      <c r="P25" s="4410"/>
    </row>
    <row r="26" spans="1:16" x14ac:dyDescent="0.2">
      <c r="A26" s="4410" t="s">
        <v>215</v>
      </c>
      <c r="B26" s="4410"/>
      <c r="C26" s="4410"/>
      <c r="D26" s="4410"/>
      <c r="E26" s="4410"/>
      <c r="F26" s="4410"/>
      <c r="G26" s="4410"/>
      <c r="H26" s="4410"/>
      <c r="I26" s="4410"/>
      <c r="J26" s="4410"/>
      <c r="K26" s="4410"/>
      <c r="L26" s="4410"/>
      <c r="M26" s="4410"/>
      <c r="N26" s="4410"/>
      <c r="O26" s="4410"/>
      <c r="P26" s="4410"/>
    </row>
    <row r="27" spans="1:16" x14ac:dyDescent="0.2">
      <c r="A27" s="4410" t="s">
        <v>1501</v>
      </c>
      <c r="B27" s="4410"/>
      <c r="C27" s="4410"/>
      <c r="D27" s="4410"/>
      <c r="E27" s="4410"/>
      <c r="F27" s="4410"/>
      <c r="G27" s="4410"/>
      <c r="H27" s="4410"/>
      <c r="I27" s="4410"/>
      <c r="J27" s="4410"/>
      <c r="K27" s="4410"/>
      <c r="L27" s="4410"/>
      <c r="M27" s="4410"/>
      <c r="N27" s="4410"/>
      <c r="O27" s="4410"/>
      <c r="P27" s="4410"/>
    </row>
    <row r="28" spans="1:16" ht="15.75" x14ac:dyDescent="0.25">
      <c r="A28" s="55"/>
      <c r="B28" s="54"/>
      <c r="C28" s="4391"/>
      <c r="D28" s="4391"/>
      <c r="E28" s="4391"/>
      <c r="F28" s="4391"/>
      <c r="G28" s="53"/>
      <c r="H28" s="4409" t="s">
        <v>1502</v>
      </c>
      <c r="I28" s="4409"/>
      <c r="J28" s="4409"/>
      <c r="K28" s="4409"/>
      <c r="L28" s="4409"/>
      <c r="M28" s="4409"/>
      <c r="N28" s="4409"/>
      <c r="O28" s="4409"/>
      <c r="P28" s="4409"/>
    </row>
    <row r="29" spans="1:16" ht="15.75" x14ac:dyDescent="0.25">
      <c r="A29" s="4413" t="s">
        <v>1503</v>
      </c>
      <c r="B29" s="4413"/>
      <c r="C29" s="4413"/>
      <c r="D29" s="4413"/>
      <c r="E29" s="4413"/>
      <c r="F29" s="4413"/>
      <c r="G29" s="4413"/>
      <c r="H29" s="4390" t="s">
        <v>1445</v>
      </c>
      <c r="I29" s="4390"/>
      <c r="J29" s="4390"/>
      <c r="K29" s="4390"/>
      <c r="L29" s="4390"/>
      <c r="M29" s="4390"/>
      <c r="N29" s="4390"/>
      <c r="O29" s="4390"/>
      <c r="P29" s="4390"/>
    </row>
    <row r="30" spans="1:16" ht="15.75" x14ac:dyDescent="0.25">
      <c r="A30" s="4412" t="s">
        <v>1504</v>
      </c>
      <c r="B30" s="4412"/>
      <c r="C30" s="4412"/>
      <c r="D30" s="4412"/>
      <c r="E30" s="4412"/>
      <c r="F30" s="4412"/>
      <c r="G30" s="4412"/>
      <c r="H30" s="4409" t="s">
        <v>867</v>
      </c>
      <c r="I30" s="4409"/>
      <c r="J30" s="4409"/>
      <c r="K30" s="4409"/>
      <c r="L30" s="4409"/>
      <c r="M30" s="4409"/>
      <c r="N30" s="4409"/>
      <c r="O30" s="4409"/>
      <c r="P30" s="4409"/>
    </row>
  </sheetData>
  <mergeCells count="59">
    <mergeCell ref="A1:F1"/>
    <mergeCell ref="G1:G3"/>
    <mergeCell ref="H1:J3"/>
    <mergeCell ref="K1:P3"/>
    <mergeCell ref="A2:F2"/>
    <mergeCell ref="A3:F3"/>
    <mergeCell ref="M8:M12"/>
    <mergeCell ref="A4:P4"/>
    <mergeCell ref="A5:P5"/>
    <mergeCell ref="A6:P6"/>
    <mergeCell ref="A7:P7"/>
    <mergeCell ref="A8:A12"/>
    <mergeCell ref="B8:C12"/>
    <mergeCell ref="D8:D12"/>
    <mergeCell ref="E8:E12"/>
    <mergeCell ref="N8:P11"/>
    <mergeCell ref="B13:C13"/>
    <mergeCell ref="F13:H13"/>
    <mergeCell ref="J13:K13"/>
    <mergeCell ref="F8:L11"/>
    <mergeCell ref="F12:H12"/>
    <mergeCell ref="J12:K12"/>
    <mergeCell ref="B14:C14"/>
    <mergeCell ref="F14:H14"/>
    <mergeCell ref="J14:K14"/>
    <mergeCell ref="B15:C15"/>
    <mergeCell ref="F15:H15"/>
    <mergeCell ref="J15:K15"/>
    <mergeCell ref="A24:P24"/>
    <mergeCell ref="B16:C16"/>
    <mergeCell ref="F16:H16"/>
    <mergeCell ref="J16:K16"/>
    <mergeCell ref="B17:C17"/>
    <mergeCell ref="F17:H17"/>
    <mergeCell ref="J17:K17"/>
    <mergeCell ref="A22:L22"/>
    <mergeCell ref="M22:P22"/>
    <mergeCell ref="A23:P23"/>
    <mergeCell ref="B20:C20"/>
    <mergeCell ref="F20:H20"/>
    <mergeCell ref="J20:K20"/>
    <mergeCell ref="B21:C21"/>
    <mergeCell ref="F21:H21"/>
    <mergeCell ref="J21:K21"/>
    <mergeCell ref="B18:C18"/>
    <mergeCell ref="F18:H18"/>
    <mergeCell ref="J18:K18"/>
    <mergeCell ref="B19:C19"/>
    <mergeCell ref="F19:H19"/>
    <mergeCell ref="J19:K19"/>
    <mergeCell ref="A30:G30"/>
    <mergeCell ref="H30:P30"/>
    <mergeCell ref="A25:P25"/>
    <mergeCell ref="C28:F28"/>
    <mergeCell ref="H28:P28"/>
    <mergeCell ref="A27:P27"/>
    <mergeCell ref="A26:P26"/>
    <mergeCell ref="A29:G29"/>
    <mergeCell ref="H29:P29"/>
  </mergeCells>
  <phoneticPr fontId="70" type="noConversion"/>
  <pageMargins left="0.76" right="0.24" top="0.98425196850393704" bottom="0.98425196850393704" header="0.511811023622047" footer="0.511811023622047"/>
  <pageSetup paperSize="9" scale="70" firstPageNumber="175" orientation="landscape" useFirstPageNumber="1" r:id="rId1"/>
  <headerFooter alignWithMargins="0">
    <oddHeader>&amp;RBiểu số 5.19</oddHead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AP52"/>
  <sheetViews>
    <sheetView zoomScale="80" zoomScaleNormal="80" zoomScaleSheetLayoutView="100" zoomScalePageLayoutView="55" workbookViewId="0">
      <selection activeCell="G11" sqref="G11"/>
    </sheetView>
  </sheetViews>
  <sheetFormatPr defaultColWidth="9" defaultRowHeight="15.75" x14ac:dyDescent="0.25"/>
  <cols>
    <col min="1" max="1" width="5.7109375" style="589" customWidth="1"/>
    <col min="2" max="2" width="30.85546875" style="589" customWidth="1"/>
    <col min="3" max="3" width="8.7109375" style="589" customWidth="1"/>
    <col min="4" max="4" width="12.7109375" style="589" customWidth="1"/>
    <col min="5" max="7" width="13" style="2387" customWidth="1"/>
    <col min="8" max="8" width="10.42578125" style="2387" customWidth="1"/>
    <col min="9" max="9" width="11.42578125" style="2387" hidden="1" customWidth="1"/>
    <col min="10" max="10" width="1.42578125" style="2387" hidden="1" customWidth="1"/>
    <col min="11" max="11" width="10.42578125" style="2387" hidden="1" customWidth="1"/>
    <col min="12" max="14" width="13.7109375" style="2387" customWidth="1"/>
    <col min="15" max="15" width="12" style="2387" hidden="1" customWidth="1"/>
    <col min="16" max="16" width="11.42578125" style="2387" hidden="1" customWidth="1"/>
    <col min="17" max="17" width="2.5703125" style="2387" hidden="1" customWidth="1"/>
    <col min="18" max="18" width="13.42578125" style="2387" customWidth="1"/>
    <col min="19" max="20" width="13.5703125" style="2387" customWidth="1"/>
    <col min="21" max="21" width="12" style="2387" hidden="1" customWidth="1"/>
    <col min="22" max="22" width="11.42578125" style="2387" hidden="1" customWidth="1"/>
    <col min="23" max="23" width="7.42578125" style="2387" hidden="1" customWidth="1"/>
    <col min="24" max="24" width="12.5703125" style="2387" customWidth="1"/>
    <col min="25" max="27" width="12.7109375" style="2387" customWidth="1"/>
    <col min="28" max="30" width="12.5703125" style="2387" customWidth="1"/>
    <col min="31" max="31" width="12" style="2387" hidden="1" customWidth="1"/>
    <col min="32" max="32" width="1.140625" style="2387" hidden="1" customWidth="1"/>
    <col min="33" max="33" width="10.28515625" style="3370" hidden="1" customWidth="1"/>
    <col min="34" max="36" width="12.140625" style="2387" customWidth="1"/>
    <col min="37" max="37" width="12" style="2387" hidden="1" customWidth="1"/>
    <col min="38" max="38" width="11.42578125" style="2387" hidden="1" customWidth="1"/>
    <col min="39" max="39" width="8.85546875" style="2387" hidden="1" customWidth="1"/>
    <col min="40" max="40" width="16" style="589" bestFit="1" customWidth="1"/>
    <col min="41" max="41" width="19" style="589" customWidth="1"/>
    <col min="42" max="42" width="24.42578125" style="589" customWidth="1"/>
    <col min="43" max="16384" width="9" style="589"/>
  </cols>
  <sheetData>
    <row r="1" spans="1:42" s="591" customFormat="1" ht="43.5" customHeight="1" x14ac:dyDescent="0.25">
      <c r="A1" s="4443" t="str">
        <f>'B58'!A1:D1</f>
        <v>UBND XÃ PHONG QUANG</v>
      </c>
      <c r="B1" s="4443"/>
      <c r="C1" s="3121"/>
      <c r="D1" s="3121"/>
      <c r="E1" s="4432"/>
      <c r="F1" s="4432"/>
      <c r="G1" s="3122"/>
      <c r="H1" s="3123"/>
      <c r="I1" s="3123"/>
      <c r="J1" s="3123"/>
      <c r="K1" s="3123"/>
      <c r="L1" s="3123"/>
      <c r="M1" s="3123"/>
      <c r="N1" s="3123"/>
      <c r="O1" s="3123"/>
      <c r="P1" s="3123"/>
      <c r="Q1" s="3123"/>
      <c r="R1" s="3123"/>
      <c r="S1" s="3123"/>
      <c r="T1" s="3123"/>
      <c r="U1" s="3123"/>
      <c r="V1" s="3123"/>
      <c r="W1" s="3123"/>
      <c r="X1" s="3350"/>
      <c r="Y1" s="3124"/>
      <c r="Z1" s="3124"/>
      <c r="AA1" s="3122"/>
      <c r="AB1" s="3350"/>
      <c r="AC1" s="3124"/>
      <c r="AD1" s="3122"/>
      <c r="AE1" s="3122"/>
      <c r="AF1" s="3122"/>
      <c r="AG1" s="3156"/>
      <c r="AH1" s="4432" t="s">
        <v>4917</v>
      </c>
      <c r="AI1" s="4433"/>
      <c r="AJ1" s="4433"/>
      <c r="AK1" s="4433"/>
      <c r="AL1" s="4433"/>
      <c r="AM1" s="3123"/>
      <c r="AN1" s="3351"/>
    </row>
    <row r="2" spans="1:42" ht="16.5" customHeight="1" x14ac:dyDescent="0.25">
      <c r="A2" s="4431" t="s">
        <v>3644</v>
      </c>
      <c r="B2" s="4431"/>
      <c r="C2" s="4431"/>
      <c r="D2" s="4431"/>
      <c r="E2" s="4431"/>
      <c r="F2" s="4431"/>
      <c r="G2" s="4431"/>
      <c r="H2" s="4431"/>
      <c r="I2" s="4431"/>
      <c r="J2" s="4431"/>
      <c r="K2" s="4431"/>
      <c r="L2" s="4431"/>
      <c r="M2" s="4431"/>
      <c r="N2" s="4431"/>
      <c r="O2" s="4431"/>
      <c r="P2" s="4431"/>
      <c r="Q2" s="4431"/>
      <c r="R2" s="4431"/>
      <c r="S2" s="4431"/>
      <c r="T2" s="4431"/>
      <c r="U2" s="4431"/>
      <c r="V2" s="4431"/>
      <c r="W2" s="4431"/>
      <c r="X2" s="4431"/>
      <c r="Y2" s="4431"/>
      <c r="Z2" s="4431"/>
      <c r="AA2" s="4431"/>
      <c r="AB2" s="4431"/>
      <c r="AC2" s="4431"/>
      <c r="AD2" s="4431"/>
      <c r="AE2" s="4431"/>
      <c r="AF2" s="4431"/>
      <c r="AG2" s="4431"/>
      <c r="AH2" s="4431"/>
      <c r="AI2" s="4431"/>
      <c r="AJ2" s="4431"/>
      <c r="AK2" s="4431"/>
      <c r="AL2" s="4431"/>
      <c r="AM2" s="4431"/>
      <c r="AN2" s="3352"/>
    </row>
    <row r="3" spans="1:42" ht="16.5" customHeight="1" x14ac:dyDescent="0.25">
      <c r="A3" s="4431" t="s">
        <v>4912</v>
      </c>
      <c r="B3" s="4431"/>
      <c r="C3" s="4431"/>
      <c r="D3" s="4431"/>
      <c r="E3" s="4431"/>
      <c r="F3" s="4431"/>
      <c r="G3" s="4431"/>
      <c r="H3" s="4431"/>
      <c r="I3" s="4431"/>
      <c r="J3" s="4431"/>
      <c r="K3" s="4431"/>
      <c r="L3" s="4431"/>
      <c r="M3" s="4431"/>
      <c r="N3" s="4431"/>
      <c r="O3" s="4431"/>
      <c r="P3" s="4431"/>
      <c r="Q3" s="4431"/>
      <c r="R3" s="4431"/>
      <c r="S3" s="4431"/>
      <c r="T3" s="4431"/>
      <c r="U3" s="4431"/>
      <c r="V3" s="4431"/>
      <c r="W3" s="4431"/>
      <c r="X3" s="4431"/>
      <c r="Y3" s="4431"/>
      <c r="Z3" s="4431"/>
      <c r="AA3" s="4431"/>
      <c r="AB3" s="4431"/>
      <c r="AC3" s="4431"/>
      <c r="AD3" s="4431"/>
      <c r="AE3" s="4431"/>
      <c r="AF3" s="4431"/>
      <c r="AG3" s="4431"/>
      <c r="AH3" s="4431"/>
      <c r="AI3" s="4431"/>
      <c r="AJ3" s="4431"/>
      <c r="AK3" s="3512"/>
      <c r="AL3" s="3512"/>
      <c r="AM3" s="3512"/>
      <c r="AN3" s="3352"/>
    </row>
    <row r="4" spans="1:42" ht="16.5" customHeight="1" x14ac:dyDescent="0.25">
      <c r="A4" s="4434" t="str">
        <f>'B58'!A4:Z4</f>
        <v>(Kèm theo Quyết định số         /QĐ-UBND ngày      tháng 4 năm 2026 của UBND xã Phong Quang)</v>
      </c>
      <c r="B4" s="4434"/>
      <c r="C4" s="4434"/>
      <c r="D4" s="4434"/>
      <c r="E4" s="4434"/>
      <c r="F4" s="4434"/>
      <c r="G4" s="4434"/>
      <c r="H4" s="4434"/>
      <c r="I4" s="4434"/>
      <c r="J4" s="4434"/>
      <c r="K4" s="4434"/>
      <c r="L4" s="4434"/>
      <c r="M4" s="4434"/>
      <c r="N4" s="4434"/>
      <c r="O4" s="4434"/>
      <c r="P4" s="4434"/>
      <c r="Q4" s="4434"/>
      <c r="R4" s="4434"/>
      <c r="S4" s="4434"/>
      <c r="T4" s="4434"/>
      <c r="U4" s="4434"/>
      <c r="V4" s="4434"/>
      <c r="W4" s="4434"/>
      <c r="X4" s="4434"/>
      <c r="Y4" s="4434"/>
      <c r="Z4" s="4434"/>
      <c r="AA4" s="4434"/>
      <c r="AB4" s="4434"/>
      <c r="AC4" s="4434"/>
      <c r="AD4" s="4434"/>
      <c r="AE4" s="4434"/>
      <c r="AF4" s="4434"/>
      <c r="AG4" s="4434"/>
      <c r="AH4" s="4434"/>
      <c r="AI4" s="4434"/>
      <c r="AJ4" s="4434"/>
      <c r="AK4" s="4434"/>
      <c r="AL4" s="4434"/>
      <c r="AM4" s="4434"/>
      <c r="AN4" s="3352"/>
      <c r="AO4" s="718"/>
    </row>
    <row r="5" spans="1:42" ht="16.5" customHeight="1" x14ac:dyDescent="0.25">
      <c r="A5" s="3121"/>
      <c r="B5" s="3125"/>
      <c r="C5" s="3125"/>
      <c r="D5" s="3125"/>
      <c r="E5" s="3125"/>
      <c r="F5" s="3125"/>
      <c r="G5" s="3125"/>
      <c r="H5" s="3123"/>
      <c r="I5" s="3890"/>
      <c r="J5" s="3890"/>
      <c r="K5" s="3890"/>
      <c r="L5" s="3890"/>
      <c r="M5" s="3890"/>
      <c r="N5" s="3890"/>
      <c r="O5" s="3890"/>
      <c r="P5" s="3890"/>
      <c r="Q5" s="3890"/>
      <c r="R5" s="3123"/>
      <c r="S5" s="3123"/>
      <c r="T5" s="3123"/>
      <c r="U5" s="3123"/>
      <c r="V5" s="3123"/>
      <c r="W5" s="3123"/>
      <c r="X5" s="3353"/>
      <c r="Y5" s="3124"/>
      <c r="Z5" s="3124"/>
      <c r="AA5" s="3122"/>
      <c r="AB5" s="3353"/>
      <c r="AC5" s="3124"/>
      <c r="AD5" s="3122"/>
      <c r="AE5" s="3122"/>
      <c r="AF5" s="3122"/>
      <c r="AG5" s="3156"/>
      <c r="AH5" s="3891"/>
      <c r="AI5" s="4435" t="s">
        <v>3586</v>
      </c>
      <c r="AJ5" s="4435"/>
      <c r="AK5" s="4435"/>
      <c r="AL5" s="4435"/>
      <c r="AM5" s="4436"/>
      <c r="AN5" s="3352"/>
      <c r="AO5" s="2387"/>
    </row>
    <row r="6" spans="1:42" s="1176" customFormat="1" ht="25.5" customHeight="1" x14ac:dyDescent="0.25">
      <c r="A6" s="4444" t="s">
        <v>844</v>
      </c>
      <c r="B6" s="4444" t="s">
        <v>845</v>
      </c>
      <c r="C6" s="4444" t="s">
        <v>2917</v>
      </c>
      <c r="D6" s="4444" t="s">
        <v>3288</v>
      </c>
      <c r="E6" s="4444"/>
      <c r="F6" s="4444"/>
      <c r="G6" s="4444"/>
      <c r="H6" s="4444"/>
      <c r="I6" s="4444"/>
      <c r="J6" s="4444"/>
      <c r="K6" s="4444"/>
      <c r="L6" s="4429" t="s">
        <v>3645</v>
      </c>
      <c r="M6" s="4429"/>
      <c r="N6" s="4429"/>
      <c r="O6" s="4429"/>
      <c r="P6" s="4429"/>
      <c r="Q6" s="4429"/>
      <c r="R6" s="4429" t="s">
        <v>3723</v>
      </c>
      <c r="S6" s="4429"/>
      <c r="T6" s="4429"/>
      <c r="U6" s="4429"/>
      <c r="V6" s="4429"/>
      <c r="W6" s="4429"/>
      <c r="X6" s="4437" t="s">
        <v>4910</v>
      </c>
      <c r="Y6" s="4438"/>
      <c r="Z6" s="4438"/>
      <c r="AA6" s="4439"/>
      <c r="AB6" s="4430" t="s">
        <v>3646</v>
      </c>
      <c r="AC6" s="4430"/>
      <c r="AD6" s="4430"/>
      <c r="AE6" s="4430"/>
      <c r="AF6" s="4430"/>
      <c r="AG6" s="4430"/>
      <c r="AH6" s="4437" t="s">
        <v>3577</v>
      </c>
      <c r="AI6" s="4438"/>
      <c r="AJ6" s="4439"/>
      <c r="AK6" s="3920"/>
      <c r="AL6" s="3920"/>
      <c r="AM6" s="3921"/>
      <c r="AN6" s="3126"/>
      <c r="AO6" s="3127"/>
    </row>
    <row r="7" spans="1:42" s="562" customFormat="1" ht="24.75" customHeight="1" x14ac:dyDescent="0.2">
      <c r="A7" s="4444"/>
      <c r="B7" s="4444"/>
      <c r="C7" s="4444"/>
      <c r="D7" s="4444" t="s">
        <v>3289</v>
      </c>
      <c r="E7" s="4430" t="s">
        <v>3290</v>
      </c>
      <c r="F7" s="4429" t="s">
        <v>3291</v>
      </c>
      <c r="G7" s="4429"/>
      <c r="H7" s="4429"/>
      <c r="I7" s="4429"/>
      <c r="J7" s="4429"/>
      <c r="K7" s="4429"/>
      <c r="L7" s="4429"/>
      <c r="M7" s="4429"/>
      <c r="N7" s="4429"/>
      <c r="O7" s="4429"/>
      <c r="P7" s="4429"/>
      <c r="Q7" s="4429"/>
      <c r="R7" s="4429"/>
      <c r="S7" s="4429"/>
      <c r="T7" s="4429"/>
      <c r="U7" s="4429"/>
      <c r="V7" s="4429"/>
      <c r="W7" s="4429"/>
      <c r="X7" s="4440"/>
      <c r="Y7" s="4441"/>
      <c r="Z7" s="4441"/>
      <c r="AA7" s="4442"/>
      <c r="AB7" s="4430"/>
      <c r="AC7" s="4430"/>
      <c r="AD7" s="4430"/>
      <c r="AE7" s="4430"/>
      <c r="AF7" s="4430"/>
      <c r="AG7" s="4430"/>
      <c r="AH7" s="4440"/>
      <c r="AI7" s="4441"/>
      <c r="AJ7" s="4442"/>
      <c r="AK7" s="3922"/>
      <c r="AL7" s="3922"/>
      <c r="AM7" s="3923"/>
      <c r="AN7" s="3128"/>
      <c r="AO7" s="564"/>
    </row>
    <row r="8" spans="1:42" s="562" customFormat="1" ht="30" customHeight="1" x14ac:dyDescent="0.2">
      <c r="A8" s="4444"/>
      <c r="B8" s="4444"/>
      <c r="C8" s="4444"/>
      <c r="D8" s="4444"/>
      <c r="E8" s="4430"/>
      <c r="F8" s="4430" t="s">
        <v>3292</v>
      </c>
      <c r="G8" s="4429" t="s">
        <v>340</v>
      </c>
      <c r="H8" s="4429"/>
      <c r="I8" s="4429"/>
      <c r="J8" s="4429"/>
      <c r="K8" s="4429"/>
      <c r="L8" s="4429" t="s">
        <v>868</v>
      </c>
      <c r="M8" s="4429" t="s">
        <v>340</v>
      </c>
      <c r="N8" s="4429"/>
      <c r="O8" s="4429"/>
      <c r="P8" s="4429"/>
      <c r="Q8" s="4429"/>
      <c r="R8" s="4429" t="s">
        <v>868</v>
      </c>
      <c r="S8" s="4429" t="s">
        <v>340</v>
      </c>
      <c r="T8" s="4429"/>
      <c r="U8" s="4429"/>
      <c r="V8" s="4429"/>
      <c r="W8" s="4429"/>
      <c r="X8" s="4430" t="s">
        <v>868</v>
      </c>
      <c r="Y8" s="3514"/>
      <c r="Z8" s="4446" t="s">
        <v>3297</v>
      </c>
      <c r="AA8" s="4447"/>
      <c r="AB8" s="4430" t="s">
        <v>868</v>
      </c>
      <c r="AC8" s="4430" t="s">
        <v>340</v>
      </c>
      <c r="AD8" s="4430"/>
      <c r="AE8" s="4430"/>
      <c r="AF8" s="4430"/>
      <c r="AG8" s="4430"/>
      <c r="AH8" s="4430" t="s">
        <v>868</v>
      </c>
      <c r="AI8" s="4446" t="s">
        <v>340</v>
      </c>
      <c r="AJ8" s="4447"/>
      <c r="AK8" s="3924"/>
      <c r="AL8" s="3924"/>
      <c r="AM8" s="3925"/>
      <c r="AN8" s="3128"/>
      <c r="AO8" s="3129"/>
      <c r="AP8" s="564"/>
    </row>
    <row r="9" spans="1:42" s="562" customFormat="1" ht="32.25" customHeight="1" x14ac:dyDescent="0.2">
      <c r="A9" s="4444"/>
      <c r="B9" s="4444"/>
      <c r="C9" s="4444"/>
      <c r="D9" s="4444"/>
      <c r="E9" s="4430"/>
      <c r="F9" s="4430"/>
      <c r="G9" s="3515" t="s">
        <v>3293</v>
      </c>
      <c r="H9" s="3514" t="s">
        <v>916</v>
      </c>
      <c r="I9" s="3514" t="s">
        <v>3294</v>
      </c>
      <c r="J9" s="3514" t="s">
        <v>3295</v>
      </c>
      <c r="K9" s="3514" t="s">
        <v>3296</v>
      </c>
      <c r="L9" s="4429"/>
      <c r="M9" s="3514" t="s">
        <v>3292</v>
      </c>
      <c r="N9" s="3514" t="s">
        <v>3297</v>
      </c>
      <c r="O9" s="3514" t="s">
        <v>916</v>
      </c>
      <c r="P9" s="3514" t="s">
        <v>3294</v>
      </c>
      <c r="Q9" s="3514" t="s">
        <v>3295</v>
      </c>
      <c r="R9" s="4429"/>
      <c r="S9" s="3514" t="s">
        <v>3292</v>
      </c>
      <c r="T9" s="3514" t="s">
        <v>3297</v>
      </c>
      <c r="U9" s="3514" t="s">
        <v>916</v>
      </c>
      <c r="V9" s="3514" t="s">
        <v>3294</v>
      </c>
      <c r="W9" s="3514" t="s">
        <v>3296</v>
      </c>
      <c r="X9" s="4430"/>
      <c r="Y9" s="3515" t="s">
        <v>3292</v>
      </c>
      <c r="Z9" s="3515" t="s">
        <v>705</v>
      </c>
      <c r="AA9" s="3515" t="s">
        <v>704</v>
      </c>
      <c r="AB9" s="4430"/>
      <c r="AC9" s="3515" t="s">
        <v>3292</v>
      </c>
      <c r="AD9" s="3515" t="s">
        <v>3297</v>
      </c>
      <c r="AE9" s="3515" t="s">
        <v>916</v>
      </c>
      <c r="AF9" s="3515" t="s">
        <v>3294</v>
      </c>
      <c r="AG9" s="3157" t="s">
        <v>3296</v>
      </c>
      <c r="AH9" s="4430"/>
      <c r="AI9" s="3515" t="s">
        <v>3292</v>
      </c>
      <c r="AJ9" s="3515" t="s">
        <v>3293</v>
      </c>
      <c r="AK9" s="3514" t="s">
        <v>916</v>
      </c>
      <c r="AL9" s="3514" t="s">
        <v>3294</v>
      </c>
      <c r="AM9" s="3514" t="s">
        <v>3296</v>
      </c>
      <c r="AN9" s="3128"/>
      <c r="AO9" s="3130"/>
      <c r="AP9" s="3129"/>
    </row>
    <row r="10" spans="1:42" s="546" customFormat="1" ht="22.5" customHeight="1" x14ac:dyDescent="0.25">
      <c r="A10" s="3131">
        <v>1</v>
      </c>
      <c r="B10" s="3131">
        <v>2</v>
      </c>
      <c r="C10" s="3131">
        <v>3</v>
      </c>
      <c r="D10" s="3131">
        <v>4</v>
      </c>
      <c r="E10" s="3131">
        <v>5</v>
      </c>
      <c r="F10" s="3131">
        <v>6</v>
      </c>
      <c r="G10" s="3131">
        <v>7</v>
      </c>
      <c r="H10" s="3131">
        <v>8</v>
      </c>
      <c r="I10" s="3131">
        <v>9</v>
      </c>
      <c r="J10" s="3131">
        <v>10</v>
      </c>
      <c r="K10" s="3131">
        <v>11</v>
      </c>
      <c r="L10" s="3131">
        <v>12</v>
      </c>
      <c r="M10" s="3131">
        <v>13</v>
      </c>
      <c r="N10" s="3131">
        <v>14</v>
      </c>
      <c r="O10" s="3131">
        <v>15</v>
      </c>
      <c r="P10" s="3131">
        <v>16</v>
      </c>
      <c r="Q10" s="3131">
        <v>17</v>
      </c>
      <c r="R10" s="3131">
        <v>18</v>
      </c>
      <c r="S10" s="3131">
        <v>19</v>
      </c>
      <c r="T10" s="3131">
        <v>20</v>
      </c>
      <c r="U10" s="3131">
        <v>21</v>
      </c>
      <c r="V10" s="3131">
        <v>22</v>
      </c>
      <c r="W10" s="3131">
        <v>23</v>
      </c>
      <c r="X10" s="3131">
        <v>24</v>
      </c>
      <c r="Y10" s="3131">
        <v>25</v>
      </c>
      <c r="Z10" s="3131"/>
      <c r="AA10" s="3131">
        <v>26</v>
      </c>
      <c r="AB10" s="3131">
        <v>24</v>
      </c>
      <c r="AC10" s="3131">
        <v>25</v>
      </c>
      <c r="AD10" s="3131">
        <v>26</v>
      </c>
      <c r="AE10" s="3131">
        <v>27</v>
      </c>
      <c r="AF10" s="3131">
        <v>28</v>
      </c>
      <c r="AG10" s="3158">
        <v>29</v>
      </c>
      <c r="AH10" s="3131">
        <v>30</v>
      </c>
      <c r="AI10" s="3131">
        <v>31</v>
      </c>
      <c r="AJ10" s="3131">
        <v>32</v>
      </c>
      <c r="AK10" s="3131">
        <v>33</v>
      </c>
      <c r="AL10" s="3131">
        <v>34</v>
      </c>
      <c r="AM10" s="3131">
        <v>33</v>
      </c>
      <c r="AN10" s="3132"/>
    </row>
    <row r="11" spans="1:42" s="546" customFormat="1" ht="20.25" customHeight="1" x14ac:dyDescent="0.25">
      <c r="A11" s="3513"/>
      <c r="B11" s="3513" t="s">
        <v>3298</v>
      </c>
      <c r="C11" s="3892"/>
      <c r="D11" s="3893"/>
      <c r="E11" s="3317">
        <f>E12</f>
        <v>100002070.359</v>
      </c>
      <c r="F11" s="3317">
        <f t="shared" ref="F11:AM11" si="0">F12</f>
        <v>11496667</v>
      </c>
      <c r="G11" s="3317">
        <f t="shared" si="0"/>
        <v>98505402.443999991</v>
      </c>
      <c r="H11" s="3317">
        <f t="shared" si="0"/>
        <v>0</v>
      </c>
      <c r="I11" s="3317">
        <f t="shared" si="0"/>
        <v>0</v>
      </c>
      <c r="J11" s="3317">
        <f t="shared" si="0"/>
        <v>0</v>
      </c>
      <c r="K11" s="3317">
        <f t="shared" si="0"/>
        <v>0</v>
      </c>
      <c r="L11" s="3317">
        <f t="shared" si="0"/>
        <v>71334096.775999993</v>
      </c>
      <c r="M11" s="3317">
        <f t="shared" si="0"/>
        <v>1092944.2439999999</v>
      </c>
      <c r="N11" s="3317">
        <f t="shared" si="0"/>
        <v>70241152.532000005</v>
      </c>
      <c r="O11" s="3317">
        <f t="shared" si="0"/>
        <v>0</v>
      </c>
      <c r="P11" s="3317">
        <f t="shared" si="0"/>
        <v>0</v>
      </c>
      <c r="Q11" s="3317">
        <f t="shared" si="0"/>
        <v>0</v>
      </c>
      <c r="R11" s="3317">
        <f t="shared" si="0"/>
        <v>71908640.988000005</v>
      </c>
      <c r="S11" s="3317">
        <f t="shared" si="0"/>
        <v>1259744.6000000001</v>
      </c>
      <c r="T11" s="3317">
        <f t="shared" si="0"/>
        <v>70648896.387999997</v>
      </c>
      <c r="U11" s="3317">
        <f t="shared" si="0"/>
        <v>0</v>
      </c>
      <c r="V11" s="3317">
        <f t="shared" si="0"/>
        <v>0</v>
      </c>
      <c r="W11" s="3317">
        <f t="shared" si="0"/>
        <v>0</v>
      </c>
      <c r="X11" s="3317">
        <f t="shared" si="0"/>
        <v>4476305.8029999994</v>
      </c>
      <c r="Y11" s="3317">
        <f t="shared" si="0"/>
        <v>13677.6</v>
      </c>
      <c r="Z11" s="3317">
        <f t="shared" si="0"/>
        <v>1242837.568</v>
      </c>
      <c r="AA11" s="3317">
        <f t="shared" si="0"/>
        <v>3219790.6349999998</v>
      </c>
      <c r="AB11" s="3317">
        <f t="shared" si="0"/>
        <v>4037700</v>
      </c>
      <c r="AC11" s="3317">
        <f t="shared" si="0"/>
        <v>1003400</v>
      </c>
      <c r="AD11" s="3317">
        <f t="shared" si="0"/>
        <v>3034300</v>
      </c>
      <c r="AE11" s="3317">
        <f t="shared" si="0"/>
        <v>0</v>
      </c>
      <c r="AF11" s="3317">
        <f t="shared" si="0"/>
        <v>0</v>
      </c>
      <c r="AG11" s="3317">
        <f t="shared" si="0"/>
        <v>0</v>
      </c>
      <c r="AH11" s="3317">
        <f>AH12</f>
        <v>6407461.5819999995</v>
      </c>
      <c r="AI11" s="3317">
        <f t="shared" si="0"/>
        <v>1298670.861</v>
      </c>
      <c r="AJ11" s="3317">
        <f t="shared" si="0"/>
        <v>5108790.7209999999</v>
      </c>
      <c r="AK11" s="3316">
        <f t="shared" si="0"/>
        <v>0</v>
      </c>
      <c r="AL11" s="3316">
        <f t="shared" si="0"/>
        <v>0</v>
      </c>
      <c r="AM11" s="3316">
        <f t="shared" si="0"/>
        <v>0</v>
      </c>
      <c r="AN11" s="3133"/>
      <c r="AO11" s="3134"/>
    </row>
    <row r="12" spans="1:42" s="546" customFormat="1" ht="23.25" customHeight="1" x14ac:dyDescent="0.25">
      <c r="A12" s="3135" t="s">
        <v>847</v>
      </c>
      <c r="B12" s="3894" t="s">
        <v>3323</v>
      </c>
      <c r="C12" s="3892"/>
      <c r="D12" s="3895"/>
      <c r="E12" s="3319">
        <f>E13+E14+E15+E29</f>
        <v>100002070.359</v>
      </c>
      <c r="F12" s="3319">
        <f t="shared" ref="F12:AM12" si="1">F13+F14+F15+F29</f>
        <v>11496667</v>
      </c>
      <c r="G12" s="3319">
        <f t="shared" si="1"/>
        <v>98505402.443999991</v>
      </c>
      <c r="H12" s="3319">
        <f t="shared" si="1"/>
        <v>0</v>
      </c>
      <c r="I12" s="3319">
        <f t="shared" si="1"/>
        <v>0</v>
      </c>
      <c r="J12" s="3319">
        <f t="shared" si="1"/>
        <v>0</v>
      </c>
      <c r="K12" s="3319">
        <f t="shared" si="1"/>
        <v>0</v>
      </c>
      <c r="L12" s="3319">
        <f t="shared" si="1"/>
        <v>71334096.775999993</v>
      </c>
      <c r="M12" s="3319">
        <f t="shared" si="1"/>
        <v>1092944.2439999999</v>
      </c>
      <c r="N12" s="3319">
        <f t="shared" si="1"/>
        <v>70241152.532000005</v>
      </c>
      <c r="O12" s="3319">
        <f t="shared" si="1"/>
        <v>0</v>
      </c>
      <c r="P12" s="3319">
        <f t="shared" si="1"/>
        <v>0</v>
      </c>
      <c r="Q12" s="3319">
        <f t="shared" si="1"/>
        <v>0</v>
      </c>
      <c r="R12" s="3319">
        <f t="shared" si="1"/>
        <v>71908640.988000005</v>
      </c>
      <c r="S12" s="3319">
        <f t="shared" si="1"/>
        <v>1259744.6000000001</v>
      </c>
      <c r="T12" s="3319">
        <f t="shared" si="1"/>
        <v>70648896.387999997</v>
      </c>
      <c r="U12" s="3319">
        <f t="shared" si="1"/>
        <v>0</v>
      </c>
      <c r="V12" s="3319">
        <f t="shared" si="1"/>
        <v>0</v>
      </c>
      <c r="W12" s="3319">
        <f t="shared" si="1"/>
        <v>0</v>
      </c>
      <c r="X12" s="3319">
        <f t="shared" si="1"/>
        <v>4476305.8029999994</v>
      </c>
      <c r="Y12" s="3319">
        <f t="shared" si="1"/>
        <v>13677.6</v>
      </c>
      <c r="Z12" s="3319">
        <f t="shared" si="1"/>
        <v>1242837.568</v>
      </c>
      <c r="AA12" s="3319">
        <f t="shared" si="1"/>
        <v>3219790.6349999998</v>
      </c>
      <c r="AB12" s="3319">
        <f t="shared" si="1"/>
        <v>4037700</v>
      </c>
      <c r="AC12" s="3319">
        <f t="shared" si="1"/>
        <v>1003400</v>
      </c>
      <c r="AD12" s="3319">
        <f t="shared" si="1"/>
        <v>3034300</v>
      </c>
      <c r="AE12" s="3319">
        <f t="shared" si="1"/>
        <v>0</v>
      </c>
      <c r="AF12" s="3319">
        <f t="shared" si="1"/>
        <v>0</v>
      </c>
      <c r="AG12" s="3319">
        <f t="shared" si="1"/>
        <v>0</v>
      </c>
      <c r="AH12" s="3319">
        <f t="shared" si="1"/>
        <v>6407461.5819999995</v>
      </c>
      <c r="AI12" s="3319">
        <f t="shared" si="1"/>
        <v>1298670.861</v>
      </c>
      <c r="AJ12" s="3319">
        <f t="shared" si="1"/>
        <v>5108790.7209999999</v>
      </c>
      <c r="AK12" s="3318">
        <f t="shared" si="1"/>
        <v>0</v>
      </c>
      <c r="AL12" s="3318">
        <f t="shared" si="1"/>
        <v>0</v>
      </c>
      <c r="AM12" s="3318">
        <f t="shared" si="1"/>
        <v>0</v>
      </c>
      <c r="AN12" s="3136"/>
      <c r="AO12" s="3136"/>
      <c r="AP12" s="719"/>
    </row>
    <row r="13" spans="1:42" s="546" customFormat="1" ht="23.25" customHeight="1" x14ac:dyDescent="0.25">
      <c r="A13" s="3513" t="s">
        <v>849</v>
      </c>
      <c r="B13" s="3137" t="s">
        <v>3299</v>
      </c>
      <c r="C13" s="3138"/>
      <c r="D13" s="3896"/>
      <c r="E13" s="3321"/>
      <c r="F13" s="3321"/>
      <c r="G13" s="3321"/>
      <c r="H13" s="3321"/>
      <c r="I13" s="3321"/>
      <c r="J13" s="3321"/>
      <c r="K13" s="3321"/>
      <c r="L13" s="3321"/>
      <c r="M13" s="3321"/>
      <c r="N13" s="3321"/>
      <c r="O13" s="3321"/>
      <c r="P13" s="3321"/>
      <c r="Q13" s="3321"/>
      <c r="R13" s="3321"/>
      <c r="S13" s="3321"/>
      <c r="T13" s="3321"/>
      <c r="U13" s="3321"/>
      <c r="V13" s="3321"/>
      <c r="W13" s="3321"/>
      <c r="X13" s="3321"/>
      <c r="Y13" s="3321"/>
      <c r="Z13" s="3321"/>
      <c r="AA13" s="3321"/>
      <c r="AB13" s="3321"/>
      <c r="AC13" s="3321"/>
      <c r="AD13" s="3321"/>
      <c r="AE13" s="3321"/>
      <c r="AF13" s="3321"/>
      <c r="AG13" s="3321"/>
      <c r="AH13" s="3321"/>
      <c r="AI13" s="3321"/>
      <c r="AJ13" s="3321"/>
      <c r="AK13" s="3068"/>
      <c r="AL13" s="3068"/>
      <c r="AM13" s="3068"/>
      <c r="AN13" s="3139"/>
      <c r="AO13" s="3134"/>
      <c r="AP13" s="719"/>
    </row>
    <row r="14" spans="1:42" s="3144" customFormat="1" ht="31.5" customHeight="1" x14ac:dyDescent="0.25">
      <c r="A14" s="3493" t="s">
        <v>866</v>
      </c>
      <c r="B14" s="3141" t="s">
        <v>3552</v>
      </c>
      <c r="C14" s="3142"/>
      <c r="D14" s="3897"/>
      <c r="E14" s="3321"/>
      <c r="F14" s="3321"/>
      <c r="G14" s="3321"/>
      <c r="H14" s="3321"/>
      <c r="I14" s="3321"/>
      <c r="J14" s="3321"/>
      <c r="K14" s="3321"/>
      <c r="L14" s="3321"/>
      <c r="M14" s="3321"/>
      <c r="N14" s="3321"/>
      <c r="O14" s="3321"/>
      <c r="P14" s="3321"/>
      <c r="Q14" s="3321"/>
      <c r="R14" s="3321"/>
      <c r="S14" s="3321"/>
      <c r="T14" s="3321"/>
      <c r="U14" s="3321"/>
      <c r="V14" s="3321"/>
      <c r="W14" s="3321"/>
      <c r="X14" s="3321"/>
      <c r="Y14" s="3321"/>
      <c r="Z14" s="3321"/>
      <c r="AA14" s="3321"/>
      <c r="AB14" s="3321"/>
      <c r="AC14" s="3321"/>
      <c r="AD14" s="3321"/>
      <c r="AE14" s="3321"/>
      <c r="AF14" s="3321"/>
      <c r="AG14" s="3321"/>
      <c r="AH14" s="3321"/>
      <c r="AI14" s="3321"/>
      <c r="AJ14" s="3321"/>
      <c r="AK14" s="3068"/>
      <c r="AL14" s="3068"/>
      <c r="AM14" s="3068"/>
      <c r="AN14" s="3143"/>
    </row>
    <row r="15" spans="1:42" s="546" customFormat="1" ht="33" customHeight="1" x14ac:dyDescent="0.25">
      <c r="A15" s="3513" t="s">
        <v>872</v>
      </c>
      <c r="B15" s="3140" t="s">
        <v>3300</v>
      </c>
      <c r="C15" s="3138"/>
      <c r="D15" s="3896"/>
      <c r="E15" s="3321">
        <f>E16+E18+E24</f>
        <v>79002070.358999997</v>
      </c>
      <c r="F15" s="3321">
        <f t="shared" ref="F15:AM15" si="2">F16+F18+F24</f>
        <v>996667</v>
      </c>
      <c r="G15" s="3321">
        <f t="shared" si="2"/>
        <v>78005402.443999991</v>
      </c>
      <c r="H15" s="3321">
        <f t="shared" si="2"/>
        <v>0</v>
      </c>
      <c r="I15" s="3321">
        <f t="shared" si="2"/>
        <v>0</v>
      </c>
      <c r="J15" s="3321">
        <f t="shared" si="2"/>
        <v>0</v>
      </c>
      <c r="K15" s="3321">
        <f t="shared" si="2"/>
        <v>0</v>
      </c>
      <c r="L15" s="3321">
        <f t="shared" si="2"/>
        <v>52008208.241999999</v>
      </c>
      <c r="M15" s="3321">
        <f t="shared" si="2"/>
        <v>693604.93699999992</v>
      </c>
      <c r="N15" s="3321">
        <f t="shared" si="2"/>
        <v>51314603.305</v>
      </c>
      <c r="O15" s="3321">
        <f t="shared" si="2"/>
        <v>0</v>
      </c>
      <c r="P15" s="3321">
        <f t="shared" si="2"/>
        <v>0</v>
      </c>
      <c r="Q15" s="3321">
        <f t="shared" si="2"/>
        <v>0</v>
      </c>
      <c r="R15" s="3321">
        <f t="shared" si="2"/>
        <v>52438640.987999998</v>
      </c>
      <c r="S15" s="3321">
        <f t="shared" si="2"/>
        <v>759744.6</v>
      </c>
      <c r="T15" s="3321">
        <f t="shared" si="2"/>
        <v>51678896.387999997</v>
      </c>
      <c r="U15" s="3321">
        <f t="shared" si="2"/>
        <v>0</v>
      </c>
      <c r="V15" s="3321">
        <f t="shared" si="2"/>
        <v>0</v>
      </c>
      <c r="W15" s="3321">
        <f t="shared" si="2"/>
        <v>0</v>
      </c>
      <c r="X15" s="3321">
        <f t="shared" si="2"/>
        <v>1054071.2170000002</v>
      </c>
      <c r="Y15" s="3321">
        <f t="shared" si="2"/>
        <v>13677.6</v>
      </c>
      <c r="Z15" s="3321">
        <f t="shared" si="2"/>
        <v>457726.61700000003</v>
      </c>
      <c r="AA15" s="3321">
        <f t="shared" si="2"/>
        <v>582667</v>
      </c>
      <c r="AB15" s="3321">
        <f t="shared" si="2"/>
        <v>2007700</v>
      </c>
      <c r="AC15" s="3321">
        <f t="shared" si="2"/>
        <v>203400</v>
      </c>
      <c r="AD15" s="3321">
        <f t="shared" si="2"/>
        <v>1804300</v>
      </c>
      <c r="AE15" s="3321">
        <f t="shared" si="2"/>
        <v>0</v>
      </c>
      <c r="AF15" s="3321">
        <f t="shared" si="2"/>
        <v>0</v>
      </c>
      <c r="AG15" s="3321">
        <f t="shared" si="2"/>
        <v>0</v>
      </c>
      <c r="AH15" s="3321">
        <f>AH16+AH18+AH24</f>
        <v>2629338.0039999997</v>
      </c>
      <c r="AI15" s="3321">
        <f t="shared" si="2"/>
        <v>899331.554</v>
      </c>
      <c r="AJ15" s="3321">
        <f t="shared" si="2"/>
        <v>1730006.45</v>
      </c>
      <c r="AK15" s="3320">
        <f t="shared" si="2"/>
        <v>0</v>
      </c>
      <c r="AL15" s="3320">
        <f t="shared" si="2"/>
        <v>0</v>
      </c>
      <c r="AM15" s="3320">
        <f t="shared" si="2"/>
        <v>0</v>
      </c>
      <c r="AN15" s="549"/>
    </row>
    <row r="16" spans="1:42" s="3145" customFormat="1" ht="18" customHeight="1" x14ac:dyDescent="0.25">
      <c r="A16" s="3898"/>
      <c r="B16" s="3335" t="s">
        <v>3517</v>
      </c>
      <c r="C16" s="3899"/>
      <c r="D16" s="3900"/>
      <c r="E16" s="3901">
        <f>E17</f>
        <v>366996.91499999998</v>
      </c>
      <c r="F16" s="3901">
        <f t="shared" ref="F16:AL16" si="3">F17</f>
        <v>0</v>
      </c>
      <c r="G16" s="3901">
        <f t="shared" si="3"/>
        <v>366996</v>
      </c>
      <c r="H16" s="3901">
        <f t="shared" si="3"/>
        <v>0</v>
      </c>
      <c r="I16" s="3901">
        <f t="shared" si="3"/>
        <v>0</v>
      </c>
      <c r="J16" s="3901">
        <f t="shared" si="3"/>
        <v>0</v>
      </c>
      <c r="K16" s="3901">
        <f t="shared" si="3"/>
        <v>0</v>
      </c>
      <c r="L16" s="3901">
        <f t="shared" si="3"/>
        <v>268618.8</v>
      </c>
      <c r="M16" s="3901">
        <f t="shared" si="3"/>
        <v>0</v>
      </c>
      <c r="N16" s="3901">
        <f t="shared" si="3"/>
        <v>268618.8</v>
      </c>
      <c r="O16" s="3901">
        <f t="shared" si="3"/>
        <v>0</v>
      </c>
      <c r="P16" s="3901">
        <f t="shared" si="3"/>
        <v>0</v>
      </c>
      <c r="Q16" s="3901">
        <f t="shared" si="3"/>
        <v>0</v>
      </c>
      <c r="R16" s="3901">
        <f t="shared" si="3"/>
        <v>272200</v>
      </c>
      <c r="S16" s="3901">
        <f t="shared" si="3"/>
        <v>0</v>
      </c>
      <c r="T16" s="3901">
        <f t="shared" si="3"/>
        <v>272200</v>
      </c>
      <c r="U16" s="3901">
        <f t="shared" si="3"/>
        <v>0</v>
      </c>
      <c r="V16" s="3901">
        <f t="shared" si="3"/>
        <v>0</v>
      </c>
      <c r="W16" s="3901">
        <f t="shared" si="3"/>
        <v>0</v>
      </c>
      <c r="X16" s="3901">
        <f t="shared" si="3"/>
        <v>14000</v>
      </c>
      <c r="Y16" s="3901">
        <f t="shared" si="3"/>
        <v>0</v>
      </c>
      <c r="Z16" s="3901"/>
      <c r="AA16" s="3901">
        <f t="shared" si="3"/>
        <v>14000</v>
      </c>
      <c r="AB16" s="3901">
        <f t="shared" si="3"/>
        <v>51200</v>
      </c>
      <c r="AC16" s="3901">
        <f t="shared" si="3"/>
        <v>0</v>
      </c>
      <c r="AD16" s="3901">
        <f t="shared" si="3"/>
        <v>51200</v>
      </c>
      <c r="AE16" s="3901">
        <f t="shared" si="3"/>
        <v>0</v>
      </c>
      <c r="AF16" s="3901">
        <f t="shared" si="3"/>
        <v>0</v>
      </c>
      <c r="AG16" s="3901">
        <f t="shared" si="3"/>
        <v>0</v>
      </c>
      <c r="AH16" s="3901">
        <f t="shared" si="3"/>
        <v>61618.8</v>
      </c>
      <c r="AI16" s="3901">
        <f t="shared" si="3"/>
        <v>0</v>
      </c>
      <c r="AJ16" s="3901">
        <f t="shared" si="3"/>
        <v>61618.8</v>
      </c>
      <c r="AK16" s="3902">
        <f t="shared" si="3"/>
        <v>0</v>
      </c>
      <c r="AL16" s="3902">
        <f t="shared" si="3"/>
        <v>0</v>
      </c>
      <c r="AM16" s="3903">
        <f>SUM(AM17:AM23)</f>
        <v>0</v>
      </c>
    </row>
    <row r="17" spans="1:41" s="1162" customFormat="1" ht="42.75" customHeight="1" x14ac:dyDescent="0.25">
      <c r="A17" s="3904"/>
      <c r="B17" s="3349" t="s">
        <v>3618</v>
      </c>
      <c r="C17" s="3905"/>
      <c r="D17" s="3906"/>
      <c r="E17" s="3907">
        <v>366996.91499999998</v>
      </c>
      <c r="F17" s="3907"/>
      <c r="G17" s="3907">
        <v>366996</v>
      </c>
      <c r="H17" s="3907"/>
      <c r="I17" s="3907"/>
      <c r="J17" s="3907"/>
      <c r="K17" s="3907"/>
      <c r="L17" s="3907">
        <f>M17+N17</f>
        <v>268618.8</v>
      </c>
      <c r="M17" s="3907"/>
      <c r="N17" s="3907">
        <v>268618.8</v>
      </c>
      <c r="O17" s="3907"/>
      <c r="P17" s="3907"/>
      <c r="Q17" s="3907"/>
      <c r="R17" s="3907">
        <f>S17+T17</f>
        <v>272200</v>
      </c>
      <c r="S17" s="3907"/>
      <c r="T17" s="3907">
        <f>207000+14000+51200</f>
        <v>272200</v>
      </c>
      <c r="U17" s="3907"/>
      <c r="V17" s="3907"/>
      <c r="W17" s="3907"/>
      <c r="X17" s="3908">
        <f>Y17+Z17+AA17</f>
        <v>14000</v>
      </c>
      <c r="Y17" s="3909"/>
      <c r="Z17" s="3909"/>
      <c r="AA17" s="3907">
        <v>14000</v>
      </c>
      <c r="AB17" s="3908">
        <f>AC17+AD17+AG17</f>
        <v>51200</v>
      </c>
      <c r="AC17" s="3909"/>
      <c r="AD17" s="3907">
        <f>51200</f>
        <v>51200</v>
      </c>
      <c r="AE17" s="3907"/>
      <c r="AF17" s="3907"/>
      <c r="AG17" s="3907"/>
      <c r="AH17" s="3908">
        <f>AI17+AJ17+AM17</f>
        <v>61618.8</v>
      </c>
      <c r="AI17" s="3909"/>
      <c r="AJ17" s="3907">
        <v>61618.8</v>
      </c>
      <c r="AK17" s="3910"/>
      <c r="AL17" s="3910"/>
      <c r="AM17" s="3910"/>
    </row>
    <row r="18" spans="1:41" s="3145" customFormat="1" ht="26.25" customHeight="1" x14ac:dyDescent="0.25">
      <c r="A18" s="3331"/>
      <c r="B18" s="3332" t="s">
        <v>3538</v>
      </c>
      <c r="C18" s="3333"/>
      <c r="D18" s="3911"/>
      <c r="E18" s="3348">
        <f>SUM(E19:E23)</f>
        <v>2953162.6290000002</v>
      </c>
      <c r="F18" s="3348">
        <f t="shared" ref="F18:AM18" si="4">SUM(F19:F23)</f>
        <v>704000</v>
      </c>
      <c r="G18" s="3348">
        <f t="shared" si="4"/>
        <v>2249162.6290000002</v>
      </c>
      <c r="H18" s="3348">
        <f t="shared" si="4"/>
        <v>0</v>
      </c>
      <c r="I18" s="3348">
        <f t="shared" si="4"/>
        <v>0</v>
      </c>
      <c r="J18" s="3348">
        <f t="shared" si="4"/>
        <v>0</v>
      </c>
      <c r="K18" s="3348">
        <f t="shared" si="4"/>
        <v>0</v>
      </c>
      <c r="L18" s="3348">
        <f t="shared" si="4"/>
        <v>1867419.2529999998</v>
      </c>
      <c r="M18" s="3348">
        <f t="shared" si="4"/>
        <v>429616</v>
      </c>
      <c r="N18" s="3348">
        <f t="shared" si="4"/>
        <v>1437803.253</v>
      </c>
      <c r="O18" s="3348">
        <f t="shared" si="4"/>
        <v>0</v>
      </c>
      <c r="P18" s="3348">
        <f t="shared" si="4"/>
        <v>0</v>
      </c>
      <c r="Q18" s="3348">
        <f t="shared" si="4"/>
        <v>0</v>
      </c>
      <c r="R18" s="3348">
        <f t="shared" si="4"/>
        <v>2206477.6</v>
      </c>
      <c r="S18" s="3348">
        <f t="shared" si="4"/>
        <v>467077.6</v>
      </c>
      <c r="T18" s="3348">
        <f t="shared" si="4"/>
        <v>1739400</v>
      </c>
      <c r="U18" s="3348">
        <f t="shared" si="4"/>
        <v>0</v>
      </c>
      <c r="V18" s="3348">
        <f t="shared" si="4"/>
        <v>0</v>
      </c>
      <c r="W18" s="3348">
        <f t="shared" si="4"/>
        <v>0</v>
      </c>
      <c r="X18" s="3348">
        <f t="shared" si="4"/>
        <v>13677.6</v>
      </c>
      <c r="Y18" s="3348">
        <f t="shared" si="4"/>
        <v>13677.6</v>
      </c>
      <c r="Z18" s="3348"/>
      <c r="AA18" s="3348">
        <f t="shared" si="4"/>
        <v>0</v>
      </c>
      <c r="AB18" s="3348">
        <f t="shared" si="4"/>
        <v>1942800</v>
      </c>
      <c r="AC18" s="3348">
        <f t="shared" si="4"/>
        <v>203400</v>
      </c>
      <c r="AD18" s="3348">
        <f t="shared" si="4"/>
        <v>1739400</v>
      </c>
      <c r="AE18" s="3348">
        <f t="shared" si="4"/>
        <v>0</v>
      </c>
      <c r="AF18" s="3348">
        <f t="shared" si="4"/>
        <v>0</v>
      </c>
      <c r="AG18" s="3348">
        <f t="shared" si="4"/>
        <v>0</v>
      </c>
      <c r="AH18" s="3348">
        <f>SUM(AH19:AH23)</f>
        <v>1615418.7859999998</v>
      </c>
      <c r="AI18" s="3348">
        <f t="shared" si="4"/>
        <v>177616</v>
      </c>
      <c r="AJ18" s="3348">
        <f t="shared" si="4"/>
        <v>1437802.7859999998</v>
      </c>
      <c r="AK18" s="3347">
        <f t="shared" si="4"/>
        <v>0</v>
      </c>
      <c r="AL18" s="3347">
        <f t="shared" si="4"/>
        <v>0</v>
      </c>
      <c r="AM18" s="3347">
        <f t="shared" si="4"/>
        <v>0</v>
      </c>
    </row>
    <row r="19" spans="1:41" s="1162" customFormat="1" ht="45" customHeight="1" x14ac:dyDescent="0.25">
      <c r="A19" s="3904"/>
      <c r="B19" s="3349" t="s">
        <v>3619</v>
      </c>
      <c r="C19" s="3905"/>
      <c r="D19" s="3906"/>
      <c r="E19" s="3907">
        <v>346000</v>
      </c>
      <c r="F19" s="3907">
        <v>346000</v>
      </c>
      <c r="G19" s="3907"/>
      <c r="H19" s="3907"/>
      <c r="I19" s="3907"/>
      <c r="J19" s="3907"/>
      <c r="K19" s="3907"/>
      <c r="L19" s="3907">
        <f>M19+N19</f>
        <v>74080</v>
      </c>
      <c r="M19" s="3907">
        <v>74080</v>
      </c>
      <c r="N19" s="3907"/>
      <c r="O19" s="3907"/>
      <c r="P19" s="3907"/>
      <c r="Q19" s="3907"/>
      <c r="R19" s="3907">
        <f>S19+T19</f>
        <v>109277.6</v>
      </c>
      <c r="S19" s="3907">
        <f>95600+13677.6</f>
        <v>109277.6</v>
      </c>
      <c r="T19" s="3907"/>
      <c r="U19" s="3907"/>
      <c r="V19" s="3907"/>
      <c r="W19" s="3907"/>
      <c r="X19" s="3908">
        <f t="shared" ref="X19:X20" si="5">Y19+AA19+AD19</f>
        <v>13677.6</v>
      </c>
      <c r="Y19" s="3909">
        <v>13677.6</v>
      </c>
      <c r="Z19" s="3909"/>
      <c r="AA19" s="3907"/>
      <c r="AB19" s="3908">
        <f t="shared" ref="AB19:AB23" si="6">AC19+AD19+AG19</f>
        <v>95600</v>
      </c>
      <c r="AC19" s="3909">
        <f>95600</f>
        <v>95600</v>
      </c>
      <c r="AD19" s="3907"/>
      <c r="AE19" s="3907"/>
      <c r="AF19" s="3907"/>
      <c r="AG19" s="3907"/>
      <c r="AH19" s="3908">
        <f t="shared" ref="AH19:AH23" si="7">AI19+AJ19+AM19</f>
        <v>74080</v>
      </c>
      <c r="AI19" s="3907">
        <v>74080</v>
      </c>
      <c r="AJ19" s="3907"/>
      <c r="AK19" s="3910"/>
      <c r="AL19" s="3910"/>
      <c r="AM19" s="3910"/>
    </row>
    <row r="20" spans="1:41" s="1162" customFormat="1" ht="45" customHeight="1" x14ac:dyDescent="0.25">
      <c r="A20" s="3904"/>
      <c r="B20" s="3349" t="s">
        <v>3620</v>
      </c>
      <c r="C20" s="3905"/>
      <c r="D20" s="3906"/>
      <c r="E20" s="3907">
        <v>358000</v>
      </c>
      <c r="F20" s="3907">
        <v>358000</v>
      </c>
      <c r="G20" s="3907"/>
      <c r="H20" s="3907"/>
      <c r="I20" s="3907"/>
      <c r="J20" s="3907"/>
      <c r="K20" s="3907"/>
      <c r="L20" s="3907">
        <f>M20+N20</f>
        <v>355536</v>
      </c>
      <c r="M20" s="3907">
        <v>355536</v>
      </c>
      <c r="N20" s="3907"/>
      <c r="O20" s="3907"/>
      <c r="P20" s="3907"/>
      <c r="Q20" s="3907"/>
      <c r="R20" s="3907">
        <f t="shared" ref="R20:R21" si="8">S20+T20</f>
        <v>357800</v>
      </c>
      <c r="S20" s="3907">
        <f>250000+107800</f>
        <v>357800</v>
      </c>
      <c r="T20" s="3907"/>
      <c r="U20" s="3907"/>
      <c r="V20" s="3907"/>
      <c r="W20" s="3907"/>
      <c r="X20" s="3908">
        <f t="shared" si="5"/>
        <v>0</v>
      </c>
      <c r="Y20" s="3909"/>
      <c r="Z20" s="3909"/>
      <c r="AA20" s="3907"/>
      <c r="AB20" s="3908">
        <f t="shared" si="6"/>
        <v>107800</v>
      </c>
      <c r="AC20" s="3909">
        <v>107800</v>
      </c>
      <c r="AD20" s="3907"/>
      <c r="AE20" s="3907"/>
      <c r="AF20" s="3907"/>
      <c r="AG20" s="3907"/>
      <c r="AH20" s="3908">
        <f t="shared" si="7"/>
        <v>103536</v>
      </c>
      <c r="AI20" s="3907">
        <v>103536</v>
      </c>
      <c r="AJ20" s="3907"/>
      <c r="AK20" s="3910"/>
      <c r="AL20" s="3910"/>
      <c r="AM20" s="3910"/>
    </row>
    <row r="21" spans="1:41" s="1162" customFormat="1" ht="36" customHeight="1" x14ac:dyDescent="0.25">
      <c r="A21" s="3904"/>
      <c r="B21" s="3349" t="s">
        <v>3622</v>
      </c>
      <c r="C21" s="3905"/>
      <c r="D21" s="3906"/>
      <c r="E21" s="3907">
        <v>911219.05500000005</v>
      </c>
      <c r="F21" s="3907"/>
      <c r="G21" s="3907">
        <f>E21</f>
        <v>911219.05500000005</v>
      </c>
      <c r="H21" s="3907"/>
      <c r="I21" s="3907"/>
      <c r="J21" s="3907"/>
      <c r="K21" s="3907"/>
      <c r="L21" s="3907">
        <f>M21+N21</f>
        <v>623866.78599999996</v>
      </c>
      <c r="M21" s="3907"/>
      <c r="N21" s="3907">
        <v>623866.78599999996</v>
      </c>
      <c r="O21" s="3907"/>
      <c r="P21" s="3907"/>
      <c r="Q21" s="3907"/>
      <c r="R21" s="3907">
        <f t="shared" si="8"/>
        <v>913500</v>
      </c>
      <c r="S21" s="3907"/>
      <c r="T21" s="3907">
        <v>913500</v>
      </c>
      <c r="U21" s="3907"/>
      <c r="V21" s="3907"/>
      <c r="W21" s="3907"/>
      <c r="X21" s="3908"/>
      <c r="Y21" s="3909"/>
      <c r="Z21" s="3909"/>
      <c r="AA21" s="3907"/>
      <c r="AB21" s="3908">
        <f t="shared" si="6"/>
        <v>913500</v>
      </c>
      <c r="AC21" s="3909"/>
      <c r="AD21" s="3907">
        <v>913500</v>
      </c>
      <c r="AE21" s="3907"/>
      <c r="AF21" s="3907"/>
      <c r="AG21" s="3907"/>
      <c r="AH21" s="3908">
        <f t="shared" si="7"/>
        <v>623866.78599999996</v>
      </c>
      <c r="AI21" s="3907"/>
      <c r="AJ21" s="3907">
        <v>623866.78599999996</v>
      </c>
      <c r="AK21" s="3910"/>
      <c r="AL21" s="3910"/>
      <c r="AM21" s="3910"/>
    </row>
    <row r="22" spans="1:41" s="1162" customFormat="1" ht="67.5" customHeight="1" x14ac:dyDescent="0.25">
      <c r="A22" s="3904"/>
      <c r="B22" s="3349" t="s">
        <v>3623</v>
      </c>
      <c r="C22" s="3905"/>
      <c r="D22" s="3906"/>
      <c r="E22" s="3907">
        <v>648000</v>
      </c>
      <c r="F22" s="3907"/>
      <c r="G22" s="3907">
        <v>648000</v>
      </c>
      <c r="H22" s="3907"/>
      <c r="I22" s="3907"/>
      <c r="J22" s="3907"/>
      <c r="K22" s="3907"/>
      <c r="L22" s="3907">
        <f t="shared" ref="L22:L23" si="9">M22+N22</f>
        <v>308000</v>
      </c>
      <c r="M22" s="3907"/>
      <c r="N22" s="3907">
        <v>308000</v>
      </c>
      <c r="O22" s="3907"/>
      <c r="P22" s="3907"/>
      <c r="Q22" s="3907"/>
      <c r="R22" s="3907">
        <f>S22+T22</f>
        <v>308000</v>
      </c>
      <c r="S22" s="3907"/>
      <c r="T22" s="3907">
        <v>308000</v>
      </c>
      <c r="U22" s="3907"/>
      <c r="V22" s="3907"/>
      <c r="W22" s="3907"/>
      <c r="X22" s="3908"/>
      <c r="Y22" s="3909"/>
      <c r="Z22" s="3909"/>
      <c r="AA22" s="3907"/>
      <c r="AB22" s="3908">
        <f t="shared" si="6"/>
        <v>308000</v>
      </c>
      <c r="AC22" s="3909"/>
      <c r="AD22" s="3907">
        <v>308000</v>
      </c>
      <c r="AE22" s="3907"/>
      <c r="AF22" s="3907"/>
      <c r="AG22" s="3907"/>
      <c r="AH22" s="3908">
        <f t="shared" si="7"/>
        <v>308000</v>
      </c>
      <c r="AI22" s="3907"/>
      <c r="AJ22" s="3907">
        <v>308000</v>
      </c>
      <c r="AK22" s="3910"/>
      <c r="AL22" s="3910"/>
      <c r="AM22" s="3910"/>
    </row>
    <row r="23" spans="1:41" s="1162" customFormat="1" ht="48" customHeight="1" x14ac:dyDescent="0.25">
      <c r="A23" s="3904"/>
      <c r="B23" s="3349" t="s">
        <v>3624</v>
      </c>
      <c r="C23" s="3905"/>
      <c r="D23" s="3906"/>
      <c r="E23" s="3907">
        <v>689943.57400000002</v>
      </c>
      <c r="F23" s="3907"/>
      <c r="G23" s="3907">
        <v>689943.57400000002</v>
      </c>
      <c r="H23" s="3907"/>
      <c r="I23" s="3907"/>
      <c r="J23" s="3907"/>
      <c r="K23" s="3907"/>
      <c r="L23" s="3907">
        <f t="shared" si="9"/>
        <v>505936.467</v>
      </c>
      <c r="M23" s="3907"/>
      <c r="N23" s="3907">
        <v>505936.467</v>
      </c>
      <c r="O23" s="3907"/>
      <c r="P23" s="3907"/>
      <c r="Q23" s="3907"/>
      <c r="R23" s="3907">
        <f>S23+T23</f>
        <v>517900</v>
      </c>
      <c r="S23" s="3907"/>
      <c r="T23" s="3907">
        <v>517900</v>
      </c>
      <c r="U23" s="3907"/>
      <c r="V23" s="3907"/>
      <c r="W23" s="3907"/>
      <c r="X23" s="3908"/>
      <c r="Y23" s="3909"/>
      <c r="Z23" s="3909"/>
      <c r="AA23" s="3907"/>
      <c r="AB23" s="3908">
        <f t="shared" si="6"/>
        <v>517900</v>
      </c>
      <c r="AC23" s="3909"/>
      <c r="AD23" s="3907">
        <v>517900</v>
      </c>
      <c r="AE23" s="3907"/>
      <c r="AF23" s="3907"/>
      <c r="AG23" s="3907"/>
      <c r="AH23" s="3908">
        <f t="shared" si="7"/>
        <v>505936</v>
      </c>
      <c r="AI23" s="3907"/>
      <c r="AJ23" s="3907">
        <v>505936</v>
      </c>
      <c r="AK23" s="3910"/>
      <c r="AL23" s="3910"/>
      <c r="AM23" s="3910"/>
    </row>
    <row r="24" spans="1:41" s="3145" customFormat="1" ht="22.5" customHeight="1" x14ac:dyDescent="0.25">
      <c r="A24" s="3331"/>
      <c r="B24" s="3332" t="s">
        <v>3724</v>
      </c>
      <c r="C24" s="3333"/>
      <c r="D24" s="3911"/>
      <c r="E24" s="3348">
        <f>SUM(E25:E28)</f>
        <v>75681910.814999998</v>
      </c>
      <c r="F24" s="3348">
        <f t="shared" ref="F24:AL24" si="10">SUM(F25:F28)</f>
        <v>292667</v>
      </c>
      <c r="G24" s="3348">
        <f t="shared" si="10"/>
        <v>75389243.814999998</v>
      </c>
      <c r="H24" s="3348">
        <f t="shared" si="10"/>
        <v>0</v>
      </c>
      <c r="I24" s="3348">
        <f t="shared" si="10"/>
        <v>0</v>
      </c>
      <c r="J24" s="3348">
        <f t="shared" si="10"/>
        <v>0</v>
      </c>
      <c r="K24" s="3348">
        <f t="shared" si="10"/>
        <v>0</v>
      </c>
      <c r="L24" s="3348">
        <f t="shared" si="10"/>
        <v>49872170.188999996</v>
      </c>
      <c r="M24" s="3348">
        <f t="shared" si="10"/>
        <v>263988.93699999998</v>
      </c>
      <c r="N24" s="3348">
        <f t="shared" si="10"/>
        <v>49608181.251999997</v>
      </c>
      <c r="O24" s="3348">
        <f t="shared" si="10"/>
        <v>0</v>
      </c>
      <c r="P24" s="3348">
        <f t="shared" si="10"/>
        <v>0</v>
      </c>
      <c r="Q24" s="3348">
        <f t="shared" si="10"/>
        <v>0</v>
      </c>
      <c r="R24" s="3348">
        <f t="shared" si="10"/>
        <v>49959963.387999997</v>
      </c>
      <c r="S24" s="3348">
        <f t="shared" si="10"/>
        <v>292667</v>
      </c>
      <c r="T24" s="3348">
        <f t="shared" si="10"/>
        <v>49667296.387999997</v>
      </c>
      <c r="U24" s="3348">
        <f t="shared" si="10"/>
        <v>0</v>
      </c>
      <c r="V24" s="3348">
        <f t="shared" si="10"/>
        <v>0</v>
      </c>
      <c r="W24" s="3348">
        <f t="shared" si="10"/>
        <v>0</v>
      </c>
      <c r="X24" s="3348">
        <f t="shared" si="10"/>
        <v>1026393.6170000001</v>
      </c>
      <c r="Y24" s="3348">
        <f t="shared" si="10"/>
        <v>0</v>
      </c>
      <c r="Z24" s="3348">
        <f t="shared" si="10"/>
        <v>457726.61700000003</v>
      </c>
      <c r="AA24" s="3348">
        <f t="shared" si="10"/>
        <v>568667</v>
      </c>
      <c r="AB24" s="3348">
        <f t="shared" si="10"/>
        <v>13700</v>
      </c>
      <c r="AC24" s="3348">
        <f t="shared" si="10"/>
        <v>0</v>
      </c>
      <c r="AD24" s="3348">
        <f t="shared" si="10"/>
        <v>13700</v>
      </c>
      <c r="AE24" s="3348">
        <f t="shared" si="10"/>
        <v>0</v>
      </c>
      <c r="AF24" s="3348">
        <f t="shared" si="10"/>
        <v>0</v>
      </c>
      <c r="AG24" s="3348">
        <f t="shared" si="10"/>
        <v>0</v>
      </c>
      <c r="AH24" s="3348">
        <f t="shared" si="10"/>
        <v>952300.41800000006</v>
      </c>
      <c r="AI24" s="3919">
        <f t="shared" si="10"/>
        <v>721715.554</v>
      </c>
      <c r="AJ24" s="3348">
        <f>SUM(AJ25:AJ28)</f>
        <v>230584.864</v>
      </c>
      <c r="AK24" s="3912">
        <f t="shared" si="10"/>
        <v>0</v>
      </c>
      <c r="AL24" s="3912">
        <f t="shared" si="10"/>
        <v>0</v>
      </c>
      <c r="AM24" s="3912"/>
    </row>
    <row r="25" spans="1:41" s="1162" customFormat="1" ht="59.25" customHeight="1" x14ac:dyDescent="0.25">
      <c r="A25" s="3904"/>
      <c r="B25" s="3349" t="s">
        <v>3612</v>
      </c>
      <c r="C25" s="3905"/>
      <c r="D25" s="3906"/>
      <c r="E25" s="3908">
        <v>74964000</v>
      </c>
      <c r="F25" s="3907"/>
      <c r="G25" s="3908">
        <v>74964000</v>
      </c>
      <c r="H25" s="3907"/>
      <c r="I25" s="3907"/>
      <c r="J25" s="3907"/>
      <c r="K25" s="3907"/>
      <c r="L25" s="3907">
        <f>M25+N25</f>
        <v>49293596.387999997</v>
      </c>
      <c r="M25" s="3907"/>
      <c r="N25" s="3907">
        <v>49293596.387999997</v>
      </c>
      <c r="O25" s="3907"/>
      <c r="P25" s="3907"/>
      <c r="Q25" s="3907"/>
      <c r="R25" s="3907">
        <f>S25+T25</f>
        <v>49293596.387999997</v>
      </c>
      <c r="S25" s="3907"/>
      <c r="T25" s="3907">
        <f>N25</f>
        <v>49293596.387999997</v>
      </c>
      <c r="U25" s="3907"/>
      <c r="V25" s="3907"/>
      <c r="W25" s="3907"/>
      <c r="X25" s="3908">
        <f>Y25+Z25+AA25</f>
        <v>457726.61700000003</v>
      </c>
      <c r="Y25" s="3909"/>
      <c r="Z25" s="3909">
        <v>457726.61700000003</v>
      </c>
      <c r="AA25" s="3907"/>
      <c r="AB25" s="3908"/>
      <c r="AC25" s="3909"/>
      <c r="AD25" s="3907"/>
      <c r="AE25" s="3907"/>
      <c r="AF25" s="3907"/>
      <c r="AG25" s="3907"/>
      <c r="AH25" s="3908">
        <f>AI25+AJ25</f>
        <v>457726.61700000003</v>
      </c>
      <c r="AI25" s="3918">
        <v>457726.61700000003</v>
      </c>
      <c r="AJ25" s="3907"/>
      <c r="AK25" s="3910"/>
      <c r="AL25" s="3910"/>
      <c r="AM25" s="3910"/>
    </row>
    <row r="26" spans="1:41" s="1162" customFormat="1" ht="59.25" customHeight="1" x14ac:dyDescent="0.25">
      <c r="A26" s="3904"/>
      <c r="B26" s="3349" t="s">
        <v>3616</v>
      </c>
      <c r="C26" s="3905"/>
      <c r="D26" s="3906"/>
      <c r="E26" s="3907">
        <v>250000</v>
      </c>
      <c r="F26" s="3907"/>
      <c r="G26" s="3907">
        <v>250000</v>
      </c>
      <c r="H26" s="3907"/>
      <c r="I26" s="3907"/>
      <c r="J26" s="3907"/>
      <c r="K26" s="3907"/>
      <c r="L26" s="3907">
        <f>M26+N26</f>
        <v>190884.864</v>
      </c>
      <c r="M26" s="3907"/>
      <c r="N26" s="3907">
        <v>190884.864</v>
      </c>
      <c r="O26" s="3907"/>
      <c r="P26" s="3907"/>
      <c r="Q26" s="3907"/>
      <c r="R26" s="3907">
        <f>S26+T26</f>
        <v>250000</v>
      </c>
      <c r="S26" s="3907"/>
      <c r="T26" s="3907">
        <v>250000</v>
      </c>
      <c r="U26" s="3907"/>
      <c r="V26" s="3907"/>
      <c r="W26" s="3907"/>
      <c r="X26" s="3908">
        <f t="shared" ref="X26:X27" si="11">Y26+Z26+AA26</f>
        <v>250000</v>
      </c>
      <c r="Y26" s="3909"/>
      <c r="Z26" s="3909"/>
      <c r="AA26" s="3907">
        <v>250000</v>
      </c>
      <c r="AB26" s="3908"/>
      <c r="AC26" s="3909"/>
      <c r="AD26" s="3907"/>
      <c r="AE26" s="3907"/>
      <c r="AF26" s="3907"/>
      <c r="AG26" s="3907"/>
      <c r="AH26" s="3908">
        <f>AI26+AJ26</f>
        <v>190884.864</v>
      </c>
      <c r="AI26" s="3909"/>
      <c r="AJ26" s="3918">
        <v>190884.864</v>
      </c>
      <c r="AK26" s="3910"/>
      <c r="AL26" s="3910"/>
      <c r="AM26" s="3910"/>
    </row>
    <row r="27" spans="1:41" s="1162" customFormat="1" ht="57" customHeight="1" x14ac:dyDescent="0.25">
      <c r="A27" s="3904"/>
      <c r="B27" s="3349" t="s">
        <v>3621</v>
      </c>
      <c r="C27" s="3905"/>
      <c r="D27" s="3906"/>
      <c r="E27" s="3907">
        <v>292667</v>
      </c>
      <c r="F27" s="3907">
        <v>292667</v>
      </c>
      <c r="G27" s="3907"/>
      <c r="H27" s="3907"/>
      <c r="I27" s="3907"/>
      <c r="J27" s="3907"/>
      <c r="K27" s="3907"/>
      <c r="L27" s="3907">
        <f>M27+N27</f>
        <v>263988.93699999998</v>
      </c>
      <c r="M27" s="3907">
        <v>263988.93699999998</v>
      </c>
      <c r="N27" s="3907"/>
      <c r="O27" s="3907"/>
      <c r="P27" s="3907"/>
      <c r="Q27" s="3907"/>
      <c r="R27" s="3907">
        <f>S27+T27</f>
        <v>292667</v>
      </c>
      <c r="S27" s="3907">
        <v>292667</v>
      </c>
      <c r="T27" s="3907"/>
      <c r="U27" s="3907"/>
      <c r="V27" s="3907"/>
      <c r="W27" s="3907"/>
      <c r="X27" s="3908">
        <f t="shared" si="11"/>
        <v>292667</v>
      </c>
      <c r="Y27" s="3909"/>
      <c r="Z27" s="3909"/>
      <c r="AA27" s="3907">
        <v>292667</v>
      </c>
      <c r="AB27" s="3908"/>
      <c r="AC27" s="3909"/>
      <c r="AD27" s="3907"/>
      <c r="AE27" s="3907"/>
      <c r="AF27" s="3907"/>
      <c r="AG27" s="3907"/>
      <c r="AH27" s="3908">
        <f>AI27+AJ27</f>
        <v>263988.93699999998</v>
      </c>
      <c r="AI27" s="3918">
        <v>263988.93699999998</v>
      </c>
      <c r="AJ27" s="3907"/>
      <c r="AK27" s="3910"/>
      <c r="AL27" s="3910"/>
      <c r="AM27" s="3910"/>
    </row>
    <row r="28" spans="1:41" s="1162" customFormat="1" ht="57" customHeight="1" x14ac:dyDescent="0.25">
      <c r="A28" s="3338"/>
      <c r="B28" s="3349" t="s">
        <v>3617</v>
      </c>
      <c r="C28" s="3339"/>
      <c r="D28" s="3913"/>
      <c r="E28" s="3341">
        <v>175243.815</v>
      </c>
      <c r="F28" s="3341"/>
      <c r="G28" s="3341">
        <v>175243.815</v>
      </c>
      <c r="H28" s="3341"/>
      <c r="I28" s="3341"/>
      <c r="J28" s="3341"/>
      <c r="K28" s="3341"/>
      <c r="L28" s="3907">
        <f>M28+N28</f>
        <v>123700</v>
      </c>
      <c r="M28" s="3344"/>
      <c r="N28" s="3344">
        <v>123700</v>
      </c>
      <c r="O28" s="3340"/>
      <c r="P28" s="3340"/>
      <c r="Q28" s="3340"/>
      <c r="R28" s="3907">
        <f>S28+T28</f>
        <v>123700</v>
      </c>
      <c r="S28" s="3340"/>
      <c r="T28" s="3341">
        <f>84000+26000+13700</f>
        <v>123700</v>
      </c>
      <c r="U28" s="3341"/>
      <c r="V28" s="3341"/>
      <c r="W28" s="3341"/>
      <c r="X28" s="3345">
        <f>Y28+AA28</f>
        <v>26000</v>
      </c>
      <c r="Y28" s="3346"/>
      <c r="Z28" s="3346"/>
      <c r="AA28" s="3341">
        <v>26000</v>
      </c>
      <c r="AB28" s="3345">
        <f>AC28+AD28</f>
        <v>13700</v>
      </c>
      <c r="AC28" s="3346"/>
      <c r="AD28" s="3341">
        <v>13700</v>
      </c>
      <c r="AE28" s="3340"/>
      <c r="AF28" s="3340"/>
      <c r="AG28" s="3342"/>
      <c r="AH28" s="3908">
        <f>AI28+AJ28</f>
        <v>39700</v>
      </c>
      <c r="AI28" s="3340"/>
      <c r="AJ28" s="3344">
        <v>39700</v>
      </c>
      <c r="AK28" s="3343"/>
      <c r="AL28" s="3343"/>
      <c r="AM28" s="3343"/>
    </row>
    <row r="29" spans="1:41" s="546" customFormat="1" ht="31.5" customHeight="1" x14ac:dyDescent="0.25">
      <c r="A29" s="3513" t="s">
        <v>873</v>
      </c>
      <c r="B29" s="3140" t="s">
        <v>3315</v>
      </c>
      <c r="C29" s="3138"/>
      <c r="D29" s="3896"/>
      <c r="E29" s="3914">
        <f>SUM(E30:E32)</f>
        <v>21000000</v>
      </c>
      <c r="F29" s="3914">
        <f t="shared" ref="F29:AM29" si="12">SUM(F30:F32)</f>
        <v>10500000</v>
      </c>
      <c r="G29" s="3914">
        <f t="shared" si="12"/>
        <v>20500000</v>
      </c>
      <c r="H29" s="3914">
        <f t="shared" si="12"/>
        <v>0</v>
      </c>
      <c r="I29" s="3914">
        <f t="shared" si="12"/>
        <v>0</v>
      </c>
      <c r="J29" s="3914">
        <f t="shared" si="12"/>
        <v>0</v>
      </c>
      <c r="K29" s="3914">
        <f t="shared" si="12"/>
        <v>0</v>
      </c>
      <c r="L29" s="3914">
        <f t="shared" si="12"/>
        <v>19325888.534000002</v>
      </c>
      <c r="M29" s="3914">
        <f t="shared" si="12"/>
        <v>399339.30699999997</v>
      </c>
      <c r="N29" s="3914">
        <f t="shared" si="12"/>
        <v>18926549.226999998</v>
      </c>
      <c r="O29" s="3914">
        <f t="shared" si="12"/>
        <v>0</v>
      </c>
      <c r="P29" s="3914">
        <f t="shared" si="12"/>
        <v>0</v>
      </c>
      <c r="Q29" s="3914">
        <f t="shared" si="12"/>
        <v>0</v>
      </c>
      <c r="R29" s="3914">
        <f t="shared" si="12"/>
        <v>19470000</v>
      </c>
      <c r="S29" s="3914">
        <f t="shared" si="12"/>
        <v>500000</v>
      </c>
      <c r="T29" s="3914">
        <f t="shared" si="12"/>
        <v>18970000</v>
      </c>
      <c r="U29" s="3914">
        <f t="shared" si="12"/>
        <v>0</v>
      </c>
      <c r="V29" s="3914">
        <f t="shared" si="12"/>
        <v>0</v>
      </c>
      <c r="W29" s="3914">
        <f t="shared" si="12"/>
        <v>0</v>
      </c>
      <c r="X29" s="3914">
        <f t="shared" si="12"/>
        <v>3422234.5859999997</v>
      </c>
      <c r="Y29" s="3914">
        <f t="shared" si="12"/>
        <v>0</v>
      </c>
      <c r="Z29" s="3914">
        <f t="shared" si="12"/>
        <v>785110.951</v>
      </c>
      <c r="AA29" s="3914">
        <f t="shared" si="12"/>
        <v>2637123.6349999998</v>
      </c>
      <c r="AB29" s="3914">
        <f t="shared" si="12"/>
        <v>2030000</v>
      </c>
      <c r="AC29" s="3914">
        <f t="shared" si="12"/>
        <v>800000</v>
      </c>
      <c r="AD29" s="3914">
        <f t="shared" si="12"/>
        <v>1230000</v>
      </c>
      <c r="AE29" s="3914">
        <f t="shared" si="12"/>
        <v>0</v>
      </c>
      <c r="AF29" s="3914">
        <f t="shared" si="12"/>
        <v>0</v>
      </c>
      <c r="AG29" s="3914">
        <f t="shared" si="12"/>
        <v>0</v>
      </c>
      <c r="AH29" s="3914">
        <f t="shared" si="12"/>
        <v>3778123.5779999997</v>
      </c>
      <c r="AI29" s="3914">
        <f t="shared" si="12"/>
        <v>399339.30699999997</v>
      </c>
      <c r="AJ29" s="3914">
        <f t="shared" si="12"/>
        <v>3378784.2709999997</v>
      </c>
      <c r="AK29" s="3336">
        <f t="shared" si="12"/>
        <v>0</v>
      </c>
      <c r="AL29" s="3336">
        <f t="shared" si="12"/>
        <v>0</v>
      </c>
      <c r="AM29" s="3336">
        <f t="shared" si="12"/>
        <v>0</v>
      </c>
      <c r="AN29" s="549"/>
      <c r="AO29" s="546">
        <v>488.40353399999998</v>
      </c>
    </row>
    <row r="30" spans="1:41" s="546" customFormat="1" ht="68.25" customHeight="1" x14ac:dyDescent="0.25">
      <c r="A30" s="3513"/>
      <c r="B30" s="3330" t="s">
        <v>3613</v>
      </c>
      <c r="C30" s="3138"/>
      <c r="D30" s="3896"/>
      <c r="E30" s="3889">
        <v>10000000</v>
      </c>
      <c r="F30" s="3889">
        <f>G30+H30+K30</f>
        <v>10000000</v>
      </c>
      <c r="G30" s="3889">
        <v>10000000</v>
      </c>
      <c r="H30" s="3889"/>
      <c r="I30" s="3915"/>
      <c r="J30" s="3915"/>
      <c r="K30" s="3915"/>
      <c r="L30" s="3888">
        <f>M30+N30</f>
        <v>9107824.8859999999</v>
      </c>
      <c r="M30" s="3888"/>
      <c r="N30" s="3888">
        <v>9107824.8859999999</v>
      </c>
      <c r="O30" s="3320"/>
      <c r="P30" s="3320"/>
      <c r="Q30" s="3320"/>
      <c r="R30" s="3889">
        <f>S30+T30</f>
        <v>8770000</v>
      </c>
      <c r="S30" s="3889"/>
      <c r="T30" s="3889">
        <f>7943517.863+826482.137</f>
        <v>8770000</v>
      </c>
      <c r="U30" s="3889"/>
      <c r="V30" s="3889"/>
      <c r="W30" s="3889"/>
      <c r="X30" s="3889">
        <f>Y30+AA30</f>
        <v>826482.13699999999</v>
      </c>
      <c r="Y30" s="3916"/>
      <c r="Z30" s="3916"/>
      <c r="AA30" s="3916">
        <v>826482.13699999999</v>
      </c>
      <c r="AB30" s="3916">
        <f>AC30+AD30+AG30</f>
        <v>1230000</v>
      </c>
      <c r="AC30" s="3916"/>
      <c r="AD30" s="3916">
        <v>1230000</v>
      </c>
      <c r="AE30" s="3916"/>
      <c r="AF30" s="3916"/>
      <c r="AG30" s="3916"/>
      <c r="AH30" s="3916">
        <f>AI30+AJ30+AM30</f>
        <v>1164306</v>
      </c>
      <c r="AI30" s="3916"/>
      <c r="AJ30" s="3916">
        <v>1164306</v>
      </c>
      <c r="AK30" s="3337"/>
      <c r="AL30" s="3337"/>
      <c r="AM30" s="3337"/>
      <c r="AN30" s="549"/>
    </row>
    <row r="31" spans="1:41" s="546" customFormat="1" ht="68.25" customHeight="1" x14ac:dyDescent="0.25">
      <c r="A31" s="3513"/>
      <c r="B31" s="3330" t="s">
        <v>3614</v>
      </c>
      <c r="C31" s="3138"/>
      <c r="D31" s="3896"/>
      <c r="E31" s="3889">
        <v>6000000</v>
      </c>
      <c r="F31" s="3889">
        <v>500000</v>
      </c>
      <c r="G31" s="3889">
        <f>6000000-500000</f>
        <v>5500000</v>
      </c>
      <c r="H31" s="3889"/>
      <c r="I31" s="3915"/>
      <c r="J31" s="3915"/>
      <c r="K31" s="3915"/>
      <c r="L31" s="3888">
        <f>M31+N31</f>
        <v>5595215.0429999996</v>
      </c>
      <c r="M31" s="3888">
        <v>399339.30699999997</v>
      </c>
      <c r="N31" s="3888">
        <v>5195875.7359999996</v>
      </c>
      <c r="O31" s="3320"/>
      <c r="P31" s="3320"/>
      <c r="Q31" s="3320"/>
      <c r="R31" s="3889">
        <f>S31+T31</f>
        <v>6000000</v>
      </c>
      <c r="S31" s="3889">
        <v>500000</v>
      </c>
      <c r="T31" s="3889">
        <f>4695827.348+804172.652</f>
        <v>5500000</v>
      </c>
      <c r="U31" s="3889"/>
      <c r="V31" s="3889"/>
      <c r="W31" s="3889"/>
      <c r="X31" s="3889">
        <f>Y31+Z31+AA31</f>
        <v>1056972.5349999999</v>
      </c>
      <c r="Y31" s="3916"/>
      <c r="Z31" s="3916">
        <v>252799.883</v>
      </c>
      <c r="AA31" s="3916">
        <v>804172.652</v>
      </c>
      <c r="AB31" s="3916">
        <f>AC31+AD31</f>
        <v>500000</v>
      </c>
      <c r="AC31" s="3916">
        <v>500000</v>
      </c>
      <c r="AD31" s="3916"/>
      <c r="AE31" s="3916"/>
      <c r="AF31" s="3916"/>
      <c r="AG31" s="3916"/>
      <c r="AH31" s="3888">
        <f>AI31+AJ31</f>
        <v>1152187.578</v>
      </c>
      <c r="AI31" s="3888">
        <v>399339.30699999997</v>
      </c>
      <c r="AJ31" s="3888">
        <v>752848.27099999995</v>
      </c>
      <c r="AK31" s="3068"/>
      <c r="AL31" s="3068"/>
      <c r="AM31" s="3068"/>
      <c r="AN31" s="549"/>
    </row>
    <row r="32" spans="1:41" s="1176" customFormat="1" ht="78.75" customHeight="1" x14ac:dyDescent="0.25">
      <c r="A32" s="3513"/>
      <c r="B32" s="3149" t="s">
        <v>3615</v>
      </c>
      <c r="C32" s="3146"/>
      <c r="D32" s="3917"/>
      <c r="E32" s="3888">
        <v>5000000</v>
      </c>
      <c r="F32" s="3888"/>
      <c r="G32" s="3888">
        <v>5000000</v>
      </c>
      <c r="H32" s="3888"/>
      <c r="I32" s="3888"/>
      <c r="J32" s="3888"/>
      <c r="K32" s="3888"/>
      <c r="L32" s="3888">
        <f>M32+N32</f>
        <v>4622848.6050000004</v>
      </c>
      <c r="M32" s="3888"/>
      <c r="N32" s="3888">
        <v>4622848.6050000004</v>
      </c>
      <c r="O32" s="3888"/>
      <c r="P32" s="3888"/>
      <c r="Q32" s="3888"/>
      <c r="R32" s="3889">
        <f>S32+T32</f>
        <v>4700000</v>
      </c>
      <c r="S32" s="3889"/>
      <c r="T32" s="3889">
        <f>3693531.154+1006468.846</f>
        <v>4700000</v>
      </c>
      <c r="U32" s="3889"/>
      <c r="V32" s="3889"/>
      <c r="W32" s="3889"/>
      <c r="X32" s="3889">
        <f>Y32+Z32+AA32</f>
        <v>1538779.9139999999</v>
      </c>
      <c r="Y32" s="3888"/>
      <c r="Z32" s="3888">
        <v>532311.06799999997</v>
      </c>
      <c r="AA32" s="3888">
        <v>1006468.846</v>
      </c>
      <c r="AB32" s="3888">
        <f>AC32+AD32</f>
        <v>300000</v>
      </c>
      <c r="AC32" s="3888">
        <v>300000</v>
      </c>
      <c r="AD32" s="3888"/>
      <c r="AE32" s="3888">
        <f t="shared" ref="AE32:AM32" si="13">AE33</f>
        <v>0</v>
      </c>
      <c r="AF32" s="3888">
        <f t="shared" si="13"/>
        <v>0</v>
      </c>
      <c r="AG32" s="3888">
        <f t="shared" si="13"/>
        <v>0</v>
      </c>
      <c r="AH32" s="3888">
        <f>AI32+AJ32</f>
        <v>1461630</v>
      </c>
      <c r="AI32" s="3888">
        <f t="shared" si="13"/>
        <v>0</v>
      </c>
      <c r="AJ32" s="3888">
        <v>1461630</v>
      </c>
      <c r="AK32" s="3068">
        <f t="shared" si="13"/>
        <v>0</v>
      </c>
      <c r="AL32" s="3068">
        <f t="shared" si="13"/>
        <v>0</v>
      </c>
      <c r="AM32" s="3068">
        <f t="shared" si="13"/>
        <v>0</v>
      </c>
      <c r="AN32" s="3150"/>
    </row>
    <row r="33" spans="1:40" s="731" customFormat="1" ht="30.75" customHeight="1" x14ac:dyDescent="0.25">
      <c r="A33" s="3513"/>
      <c r="B33" s="3149"/>
      <c r="C33" s="3146"/>
      <c r="D33" s="3151"/>
      <c r="E33" s="3147"/>
      <c r="F33" s="3147"/>
      <c r="G33" s="3147"/>
      <c r="H33" s="3160"/>
      <c r="I33" s="3147"/>
      <c r="J33" s="3147"/>
      <c r="K33" s="3147"/>
      <c r="L33" s="3147"/>
      <c r="M33" s="3147"/>
      <c r="N33" s="3152"/>
      <c r="O33" s="3147"/>
      <c r="P33" s="3147"/>
      <c r="Q33" s="3147"/>
      <c r="R33" s="3147"/>
      <c r="S33" s="3147"/>
      <c r="T33" s="3152"/>
      <c r="U33" s="3147"/>
      <c r="V33" s="3147"/>
      <c r="W33" s="3147"/>
      <c r="X33" s="3147"/>
      <c r="Y33" s="3147"/>
      <c r="Z33" s="3147"/>
      <c r="AA33" s="3152"/>
      <c r="AB33" s="3147"/>
      <c r="AC33" s="3147"/>
      <c r="AD33" s="3152"/>
      <c r="AE33" s="3147"/>
      <c r="AF33" s="3147"/>
      <c r="AG33" s="3159"/>
      <c r="AH33" s="3147"/>
      <c r="AI33" s="3152"/>
      <c r="AJ33" s="3152"/>
      <c r="AK33" s="3147"/>
      <c r="AL33" s="3147"/>
      <c r="AM33" s="3147"/>
      <c r="AN33" s="3148"/>
    </row>
    <row r="34" spans="1:40" s="591" customFormat="1" ht="29.25" customHeight="1" x14ac:dyDescent="0.25">
      <c r="A34" s="3354"/>
      <c r="B34" s="3354"/>
      <c r="C34" s="3153"/>
      <c r="D34" s="3121"/>
      <c r="E34" s="3355"/>
      <c r="F34" s="3355"/>
      <c r="G34" s="3355"/>
      <c r="H34" s="3355"/>
      <c r="I34" s="3355"/>
      <c r="J34" s="3355"/>
      <c r="K34" s="3355"/>
      <c r="L34" s="3355"/>
      <c r="M34" s="3355"/>
      <c r="N34" s="3355"/>
      <c r="O34" s="3355"/>
      <c r="P34" s="3355"/>
      <c r="Q34" s="3355"/>
      <c r="R34" s="3355"/>
      <c r="S34" s="3355"/>
      <c r="T34" s="3355"/>
      <c r="U34" s="3355"/>
      <c r="V34" s="3355"/>
      <c r="W34" s="3355"/>
      <c r="X34" s="3154"/>
      <c r="Y34" s="3155"/>
      <c r="Z34" s="3155"/>
      <c r="AA34" s="3355"/>
      <c r="AB34" s="3154"/>
      <c r="AC34" s="3155"/>
      <c r="AD34" s="3355"/>
      <c r="AE34" s="3355"/>
      <c r="AF34" s="4448"/>
      <c r="AG34" s="4448"/>
      <c r="AH34" s="4448"/>
      <c r="AI34" s="4448"/>
      <c r="AJ34" s="4448"/>
      <c r="AK34" s="3355"/>
      <c r="AL34" s="3355"/>
      <c r="AM34" s="3355"/>
      <c r="AN34" s="3350"/>
    </row>
    <row r="35" spans="1:40" s="591" customFormat="1" ht="29.25" hidden="1" customHeight="1" x14ac:dyDescent="0.25">
      <c r="A35" s="3354"/>
      <c r="B35" s="3354"/>
      <c r="C35" s="3153"/>
      <c r="D35" s="3121"/>
      <c r="E35" s="3355"/>
      <c r="F35" s="3355"/>
      <c r="G35" s="3355"/>
      <c r="H35" s="3355"/>
      <c r="I35" s="3355"/>
      <c r="J35" s="3355"/>
      <c r="K35" s="3355"/>
      <c r="L35" s="3355"/>
      <c r="M35" s="3355"/>
      <c r="N35" s="3355"/>
      <c r="O35" s="3355"/>
      <c r="P35" s="3355"/>
      <c r="Q35" s="3355"/>
      <c r="R35" s="3355"/>
      <c r="S35" s="3355"/>
      <c r="T35" s="3355"/>
      <c r="U35" s="3355"/>
      <c r="V35" s="3355"/>
      <c r="W35" s="3355"/>
      <c r="X35" s="3355"/>
      <c r="Y35" s="3355"/>
      <c r="Z35" s="3355"/>
      <c r="AA35" s="3355"/>
      <c r="AB35" s="4449"/>
      <c r="AC35" s="4449"/>
      <c r="AD35" s="4449"/>
      <c r="AE35" s="4449"/>
      <c r="AF35" s="4449"/>
      <c r="AG35" s="4449"/>
      <c r="AH35" s="4449"/>
      <c r="AI35" s="4449"/>
      <c r="AJ35" s="4449"/>
      <c r="AK35" s="3355"/>
      <c r="AL35" s="3355"/>
      <c r="AM35" s="3355"/>
      <c r="AN35" s="3350"/>
    </row>
    <row r="36" spans="1:40" s="591" customFormat="1" ht="29.25" hidden="1" customHeight="1" x14ac:dyDescent="0.3">
      <c r="A36" s="3356"/>
      <c r="B36" s="3357"/>
      <c r="C36" s="4431"/>
      <c r="D36" s="4431"/>
      <c r="E36" s="4431"/>
      <c r="F36" s="4431"/>
      <c r="G36" s="4431"/>
      <c r="H36" s="4431"/>
      <c r="I36" s="4431"/>
      <c r="J36" s="3358"/>
      <c r="K36" s="1378"/>
      <c r="L36" s="1378"/>
      <c r="M36" s="1378"/>
      <c r="N36" s="1378"/>
      <c r="O36" s="3358"/>
      <c r="P36" s="3358"/>
      <c r="Q36" s="3358"/>
      <c r="R36" s="1378"/>
      <c r="S36" s="1378"/>
      <c r="T36" s="1378"/>
      <c r="U36" s="1378"/>
      <c r="V36" s="3358"/>
      <c r="W36" s="3358"/>
      <c r="X36" s="3358"/>
      <c r="Y36" s="3358"/>
      <c r="Z36" s="3358"/>
      <c r="AA36" s="3358"/>
      <c r="AB36" s="4450"/>
      <c r="AC36" s="4450"/>
      <c r="AD36" s="4450"/>
      <c r="AE36" s="4450"/>
      <c r="AF36" s="4450"/>
      <c r="AG36" s="4450"/>
      <c r="AH36" s="4450"/>
      <c r="AI36" s="4450"/>
      <c r="AJ36" s="4450"/>
      <c r="AK36" s="4450"/>
      <c r="AL36" s="3358"/>
      <c r="AM36" s="3358"/>
      <c r="AN36" s="3350"/>
    </row>
    <row r="37" spans="1:40" s="591" customFormat="1" ht="29.25" hidden="1" customHeight="1" x14ac:dyDescent="0.3">
      <c r="A37" s="3356"/>
      <c r="B37" s="3356"/>
      <c r="C37" s="4431"/>
      <c r="D37" s="4431"/>
      <c r="E37" s="4431"/>
      <c r="F37" s="4431"/>
      <c r="G37" s="4431"/>
      <c r="H37" s="4431"/>
      <c r="I37" s="4431"/>
      <c r="J37" s="3358"/>
      <c r="K37" s="1378"/>
      <c r="L37" s="1378"/>
      <c r="M37" s="1378"/>
      <c r="N37" s="1378"/>
      <c r="O37" s="3358"/>
      <c r="P37" s="3358"/>
      <c r="Q37" s="3358"/>
      <c r="R37" s="1378"/>
      <c r="S37" s="1378"/>
      <c r="T37" s="1378"/>
      <c r="U37" s="1378"/>
      <c r="V37" s="3358"/>
      <c r="W37" s="3358"/>
      <c r="X37" s="3358"/>
      <c r="Y37" s="3358"/>
      <c r="Z37" s="3358"/>
      <c r="AA37" s="3358"/>
      <c r="AB37" s="4450"/>
      <c r="AC37" s="4450"/>
      <c r="AD37" s="4450"/>
      <c r="AE37" s="4450"/>
      <c r="AF37" s="4450"/>
      <c r="AG37" s="4450"/>
      <c r="AH37" s="4450"/>
      <c r="AI37" s="4450"/>
      <c r="AJ37" s="4450"/>
      <c r="AK37" s="4450"/>
      <c r="AL37" s="3358"/>
      <c r="AM37" s="3358"/>
      <c r="AN37" s="3350"/>
    </row>
    <row r="38" spans="1:40" s="3367" customFormat="1" ht="30.75" hidden="1" customHeight="1" x14ac:dyDescent="0.3">
      <c r="A38" s="475"/>
      <c r="B38" s="475"/>
      <c r="C38" s="3359"/>
      <c r="D38" s="3359"/>
      <c r="E38" s="3360"/>
      <c r="F38" s="3361"/>
      <c r="G38" s="3362"/>
      <c r="H38" s="3362"/>
      <c r="I38" s="3362"/>
      <c r="J38" s="3360"/>
      <c r="K38" s="475"/>
      <c r="L38" s="475"/>
      <c r="M38" s="475"/>
      <c r="N38" s="475"/>
      <c r="O38" s="3360"/>
      <c r="P38" s="3360"/>
      <c r="Q38" s="3360"/>
      <c r="R38" s="475"/>
      <c r="S38" s="475"/>
      <c r="T38" s="475"/>
      <c r="U38" s="475"/>
      <c r="V38" s="3360"/>
      <c r="W38" s="3360"/>
      <c r="X38" s="3363"/>
      <c r="Y38" s="3364"/>
      <c r="Z38" s="3364"/>
      <c r="AA38" s="3360"/>
      <c r="AB38" s="3363"/>
      <c r="AC38" s="3364"/>
      <c r="AD38" s="3360"/>
      <c r="AE38" s="3360"/>
      <c r="AF38" s="3358"/>
      <c r="AG38" s="3365"/>
      <c r="AH38" s="3358"/>
      <c r="AI38" s="3358"/>
      <c r="AJ38" s="3358"/>
      <c r="AK38" s="475"/>
      <c r="AL38" s="475"/>
      <c r="AM38" s="475"/>
      <c r="AN38" s="3366"/>
    </row>
    <row r="39" spans="1:40" s="1378" customFormat="1" ht="24" hidden="1" customHeight="1" x14ac:dyDescent="0.3">
      <c r="A39" s="475"/>
      <c r="B39" s="475"/>
      <c r="C39" s="3359"/>
      <c r="D39" s="3359"/>
      <c r="E39" s="3360"/>
      <c r="F39" s="3361"/>
      <c r="G39" s="3362"/>
      <c r="H39" s="3362"/>
      <c r="I39" s="3362"/>
      <c r="J39" s="3360"/>
      <c r="K39" s="475"/>
      <c r="L39" s="475"/>
      <c r="M39" s="475"/>
      <c r="N39" s="475"/>
      <c r="O39" s="3360"/>
      <c r="P39" s="3360"/>
      <c r="Q39" s="3360"/>
      <c r="R39" s="475"/>
      <c r="S39" s="475"/>
      <c r="T39" s="475"/>
      <c r="U39" s="475"/>
      <c r="V39" s="3360"/>
      <c r="W39" s="3360"/>
      <c r="X39" s="3363"/>
      <c r="Y39" s="3364"/>
      <c r="Z39" s="3364"/>
      <c r="AA39" s="3360"/>
      <c r="AB39" s="3363"/>
      <c r="AC39" s="3364"/>
      <c r="AD39" s="3360"/>
      <c r="AE39" s="3360"/>
      <c r="AF39" s="3358"/>
      <c r="AG39" s="3365"/>
      <c r="AH39" s="3358"/>
      <c r="AI39" s="3358"/>
      <c r="AJ39" s="3358"/>
      <c r="AK39" s="475"/>
      <c r="AL39" s="475"/>
      <c r="AM39" s="475"/>
    </row>
    <row r="40" spans="1:40" s="475" customFormat="1" ht="18.75" hidden="1" customHeight="1" x14ac:dyDescent="0.3">
      <c r="C40" s="3359"/>
      <c r="D40" s="3359"/>
      <c r="E40" s="3360"/>
      <c r="F40" s="3361"/>
      <c r="G40" s="3362"/>
      <c r="H40" s="3362"/>
      <c r="I40" s="3362"/>
      <c r="J40" s="3360"/>
      <c r="O40" s="3360"/>
      <c r="P40" s="3360"/>
      <c r="Q40" s="3360"/>
      <c r="V40" s="3360"/>
      <c r="W40" s="3360"/>
      <c r="X40" s="3360"/>
      <c r="Y40" s="3364"/>
      <c r="Z40" s="3364"/>
      <c r="AA40" s="3360"/>
      <c r="AB40" s="3360"/>
      <c r="AC40" s="3364"/>
      <c r="AD40" s="3360"/>
      <c r="AE40" s="3360"/>
      <c r="AF40" s="3358"/>
      <c r="AG40" s="3365"/>
      <c r="AH40" s="3358"/>
      <c r="AI40" s="3358"/>
      <c r="AJ40" s="3358"/>
    </row>
    <row r="41" spans="1:40" s="475" customFormat="1" ht="18.75" hidden="1" customHeight="1" x14ac:dyDescent="0.3">
      <c r="C41" s="3359"/>
      <c r="D41" s="3359"/>
      <c r="E41" s="3360"/>
      <c r="F41" s="3361"/>
      <c r="G41" s="3362"/>
      <c r="H41" s="3362"/>
      <c r="I41" s="3362"/>
      <c r="J41" s="3360"/>
      <c r="O41" s="3360"/>
      <c r="P41" s="3360"/>
      <c r="Q41" s="3360"/>
      <c r="V41" s="3360"/>
      <c r="W41" s="3360"/>
      <c r="X41" s="3360"/>
      <c r="Y41" s="3364"/>
      <c r="Z41" s="3364"/>
      <c r="AA41" s="3360"/>
      <c r="AB41" s="3360"/>
      <c r="AC41" s="3364"/>
      <c r="AD41" s="3360"/>
      <c r="AE41" s="3360"/>
      <c r="AF41" s="3358"/>
      <c r="AG41" s="3365"/>
      <c r="AH41" s="3358"/>
      <c r="AI41" s="3358"/>
      <c r="AJ41" s="3358"/>
    </row>
    <row r="42" spans="1:40" s="475" customFormat="1" ht="18.75" hidden="1" customHeight="1" x14ac:dyDescent="0.3">
      <c r="A42" s="1378"/>
      <c r="B42" s="1378"/>
      <c r="C42" s="4431"/>
      <c r="D42" s="4431"/>
      <c r="E42" s="4431"/>
      <c r="F42" s="4431"/>
      <c r="G42" s="4431"/>
      <c r="H42" s="4431"/>
      <c r="I42" s="3368"/>
      <c r="J42" s="3358"/>
      <c r="K42" s="1378"/>
      <c r="L42" s="1378"/>
      <c r="M42" s="1378"/>
      <c r="N42" s="1378"/>
      <c r="O42" s="3358"/>
      <c r="P42" s="3358"/>
      <c r="Q42" s="3358"/>
      <c r="R42" s="1378"/>
      <c r="S42" s="1378"/>
      <c r="T42" s="1378"/>
      <c r="U42" s="1378"/>
      <c r="V42" s="3358"/>
      <c r="W42" s="3358"/>
      <c r="X42" s="3358"/>
      <c r="Y42" s="3358"/>
      <c r="Z42" s="3358"/>
      <c r="AA42" s="3358"/>
      <c r="AB42" s="4445"/>
      <c r="AC42" s="4445"/>
      <c r="AD42" s="4445"/>
      <c r="AE42" s="4445"/>
      <c r="AF42" s="4445"/>
      <c r="AG42" s="4445"/>
      <c r="AH42" s="4445"/>
      <c r="AI42" s="4445"/>
      <c r="AJ42" s="4445"/>
      <c r="AK42" s="4445"/>
      <c r="AL42" s="1378"/>
      <c r="AM42" s="1378"/>
    </row>
    <row r="43" spans="1:40" s="475" customFormat="1" ht="18.75" x14ac:dyDescent="0.3">
      <c r="C43" s="3359"/>
      <c r="D43" s="3359"/>
      <c r="E43" s="3360"/>
      <c r="F43" s="4451"/>
      <c r="G43" s="4451"/>
      <c r="H43" s="4451"/>
      <c r="I43" s="4451"/>
      <c r="J43" s="3360"/>
      <c r="O43" s="3360"/>
      <c r="P43" s="3360"/>
      <c r="Q43" s="3360"/>
      <c r="V43" s="3360"/>
      <c r="W43" s="3360"/>
      <c r="X43" s="3360"/>
      <c r="Y43" s="3364"/>
      <c r="Z43" s="3364"/>
      <c r="AA43" s="3360"/>
      <c r="AB43" s="3360"/>
      <c r="AC43" s="3364"/>
      <c r="AD43" s="3360"/>
      <c r="AE43" s="3360"/>
      <c r="AF43" s="4445"/>
      <c r="AG43" s="4445"/>
      <c r="AH43" s="4445"/>
      <c r="AI43" s="4445"/>
      <c r="AJ43" s="4445"/>
    </row>
    <row r="44" spans="1:40" s="475" customFormat="1" ht="18.75" x14ac:dyDescent="0.3">
      <c r="A44" s="589"/>
      <c r="B44" s="589"/>
      <c r="C44" s="3121"/>
      <c r="D44" s="3121"/>
      <c r="E44" s="3353"/>
      <c r="F44" s="3353"/>
      <c r="G44" s="3353"/>
      <c r="H44" s="3353"/>
      <c r="I44" s="3353"/>
      <c r="J44" s="3353"/>
      <c r="K44" s="3353"/>
      <c r="L44" s="3353"/>
      <c r="M44" s="3353"/>
      <c r="N44" s="3353"/>
      <c r="O44" s="3353"/>
      <c r="P44" s="3353"/>
      <c r="Q44" s="3353"/>
      <c r="R44" s="3353"/>
      <c r="S44" s="3353"/>
      <c r="T44" s="3353"/>
      <c r="U44" s="3353"/>
      <c r="V44" s="3353"/>
      <c r="W44" s="3353"/>
      <c r="X44" s="3353"/>
      <c r="Y44" s="3122"/>
      <c r="Z44" s="3122"/>
      <c r="AA44" s="3353"/>
      <c r="AB44" s="3353"/>
      <c r="AC44" s="3122"/>
      <c r="AD44" s="3353"/>
      <c r="AE44" s="3353"/>
      <c r="AF44" s="3353"/>
      <c r="AG44" s="3369"/>
      <c r="AH44" s="3353"/>
      <c r="AI44" s="3353"/>
      <c r="AJ44" s="3353"/>
      <c r="AK44" s="589"/>
      <c r="AL44" s="589"/>
      <c r="AM44" s="589"/>
    </row>
    <row r="45" spans="1:40" s="475" customFormat="1" ht="18.75" x14ac:dyDescent="0.3">
      <c r="A45" s="589"/>
      <c r="B45" s="589"/>
      <c r="C45" s="3121"/>
      <c r="D45" s="3121"/>
      <c r="E45" s="3353"/>
      <c r="F45" s="3353"/>
      <c r="G45" s="3353"/>
      <c r="H45" s="3353"/>
      <c r="I45" s="3353"/>
      <c r="J45" s="3353"/>
      <c r="K45" s="3353"/>
      <c r="L45" s="3353"/>
      <c r="M45" s="3353"/>
      <c r="N45" s="3353"/>
      <c r="O45" s="3353"/>
      <c r="P45" s="3353"/>
      <c r="Q45" s="3353"/>
      <c r="R45" s="3353"/>
      <c r="S45" s="3353"/>
      <c r="T45" s="3353"/>
      <c r="U45" s="3353"/>
      <c r="V45" s="3353"/>
      <c r="W45" s="3353"/>
      <c r="X45" s="3353"/>
      <c r="Y45" s="3122"/>
      <c r="Z45" s="3122"/>
      <c r="AA45" s="3353"/>
      <c r="AB45" s="3353"/>
      <c r="AC45" s="3122"/>
      <c r="AD45" s="3353"/>
      <c r="AE45" s="3353"/>
      <c r="AF45" s="3353"/>
      <c r="AG45" s="3369"/>
      <c r="AH45" s="3353"/>
      <c r="AI45" s="3353"/>
      <c r="AJ45" s="3353"/>
      <c r="AK45" s="589"/>
      <c r="AL45" s="589"/>
      <c r="AM45" s="589"/>
    </row>
    <row r="46" spans="1:40" s="475" customFormat="1" ht="18.75" x14ac:dyDescent="0.3">
      <c r="A46" s="589"/>
      <c r="B46" s="589"/>
      <c r="C46" s="3121"/>
      <c r="D46" s="3121"/>
      <c r="E46" s="3353"/>
      <c r="F46" s="3353"/>
      <c r="G46" s="3353"/>
      <c r="H46" s="3353"/>
      <c r="I46" s="3353"/>
      <c r="J46" s="3353"/>
      <c r="K46" s="3353"/>
      <c r="L46" s="3353"/>
      <c r="M46" s="3353"/>
      <c r="N46" s="3353"/>
      <c r="O46" s="3353"/>
      <c r="P46" s="3353"/>
      <c r="Q46" s="3353"/>
      <c r="R46" s="3353"/>
      <c r="S46" s="3353"/>
      <c r="T46" s="3353"/>
      <c r="U46" s="3353"/>
      <c r="V46" s="3353"/>
      <c r="W46" s="3353"/>
      <c r="X46" s="3353"/>
      <c r="Y46" s="3122"/>
      <c r="Z46" s="3122"/>
      <c r="AA46" s="3353"/>
      <c r="AB46" s="3353"/>
      <c r="AC46" s="3122"/>
      <c r="AD46" s="3353"/>
      <c r="AE46" s="3353"/>
      <c r="AF46" s="3353"/>
      <c r="AG46" s="3369"/>
      <c r="AH46" s="3353"/>
      <c r="AI46" s="3353"/>
      <c r="AJ46" s="3353"/>
      <c r="AK46" s="589"/>
      <c r="AL46" s="589"/>
      <c r="AM46" s="589"/>
    </row>
    <row r="47" spans="1:40" s="1378" customFormat="1" ht="24" customHeight="1" x14ac:dyDescent="0.3">
      <c r="A47" s="589"/>
      <c r="B47" s="589"/>
      <c r="C47" s="3121"/>
      <c r="D47" s="3121"/>
      <c r="E47" s="3353"/>
      <c r="F47" s="3353"/>
      <c r="G47" s="3353"/>
      <c r="H47" s="3353"/>
      <c r="I47" s="3353"/>
      <c r="J47" s="3353"/>
      <c r="K47" s="3353"/>
      <c r="L47" s="3353"/>
      <c r="M47" s="3353"/>
      <c r="N47" s="3353"/>
      <c r="O47" s="3353"/>
      <c r="P47" s="3353"/>
      <c r="Q47" s="3353"/>
      <c r="R47" s="3353"/>
      <c r="S47" s="3353"/>
      <c r="T47" s="3353"/>
      <c r="U47" s="3353"/>
      <c r="V47" s="3353"/>
      <c r="W47" s="3353"/>
      <c r="X47" s="3353"/>
      <c r="Y47" s="3122"/>
      <c r="Z47" s="3122"/>
      <c r="AA47" s="3353"/>
      <c r="AB47" s="3353"/>
      <c r="AC47" s="3122"/>
      <c r="AD47" s="3353"/>
      <c r="AE47" s="3353"/>
      <c r="AF47" s="3353"/>
      <c r="AG47" s="3369"/>
      <c r="AH47" s="3353"/>
      <c r="AI47" s="3353"/>
      <c r="AJ47" s="3353"/>
      <c r="AK47" s="589"/>
      <c r="AL47" s="589"/>
      <c r="AM47" s="589"/>
    </row>
    <row r="48" spans="1:40" s="475" customFormat="1" ht="18.75" x14ac:dyDescent="0.3">
      <c r="A48" s="589"/>
      <c r="B48" s="589"/>
      <c r="C48" s="3121"/>
      <c r="D48" s="3121"/>
      <c r="E48" s="3353"/>
      <c r="F48" s="3353"/>
      <c r="G48" s="3353"/>
      <c r="H48" s="3353"/>
      <c r="I48" s="3353"/>
      <c r="J48" s="3353"/>
      <c r="K48" s="3353"/>
      <c r="L48" s="3353"/>
      <c r="M48" s="3353"/>
      <c r="N48" s="3353"/>
      <c r="O48" s="3353"/>
      <c r="P48" s="3353"/>
      <c r="Q48" s="3353"/>
      <c r="R48" s="3353"/>
      <c r="S48" s="3353"/>
      <c r="T48" s="3353"/>
      <c r="U48" s="3353"/>
      <c r="V48" s="3353"/>
      <c r="W48" s="3353"/>
      <c r="X48" s="3353"/>
      <c r="Y48" s="3122"/>
      <c r="Z48" s="3122"/>
      <c r="AA48" s="3353"/>
      <c r="AB48" s="3353"/>
      <c r="AC48" s="3122"/>
      <c r="AD48" s="3353"/>
      <c r="AE48" s="3353"/>
      <c r="AF48" s="3353"/>
      <c r="AG48" s="3369"/>
      <c r="AH48" s="3353"/>
      <c r="AI48" s="3353"/>
      <c r="AJ48" s="3353"/>
      <c r="AK48" s="589"/>
      <c r="AL48" s="589"/>
      <c r="AM48" s="589"/>
    </row>
    <row r="49" spans="3:39" x14ac:dyDescent="0.25">
      <c r="C49" s="3121"/>
      <c r="D49" s="3121"/>
      <c r="E49" s="3353"/>
      <c r="F49" s="3353"/>
      <c r="G49" s="3353"/>
      <c r="H49" s="3353"/>
      <c r="I49" s="3353"/>
      <c r="J49" s="3353"/>
      <c r="K49" s="3353"/>
      <c r="L49" s="3353"/>
      <c r="M49" s="3353"/>
      <c r="N49" s="3353"/>
      <c r="O49" s="3353"/>
      <c r="P49" s="3353"/>
      <c r="Q49" s="3353"/>
      <c r="R49" s="3353"/>
      <c r="S49" s="3353"/>
      <c r="T49" s="3353"/>
      <c r="U49" s="3353"/>
      <c r="V49" s="3353"/>
      <c r="W49" s="3353"/>
      <c r="X49" s="3353"/>
      <c r="Y49" s="3122"/>
      <c r="Z49" s="3122"/>
      <c r="AA49" s="3353"/>
      <c r="AB49" s="3353"/>
      <c r="AC49" s="3122"/>
      <c r="AD49" s="3353"/>
      <c r="AE49" s="3353"/>
      <c r="AF49" s="3353"/>
      <c r="AG49" s="3369"/>
      <c r="AH49" s="3353"/>
      <c r="AI49" s="3353"/>
      <c r="AJ49" s="3353"/>
      <c r="AK49" s="589"/>
      <c r="AL49" s="589"/>
      <c r="AM49" s="589"/>
    </row>
    <row r="50" spans="3:39" x14ac:dyDescent="0.25">
      <c r="C50" s="3121"/>
      <c r="D50" s="3121"/>
      <c r="E50" s="3353"/>
      <c r="F50" s="3353"/>
      <c r="G50" s="3353"/>
      <c r="H50" s="3353"/>
      <c r="I50" s="3353"/>
      <c r="J50" s="3353"/>
      <c r="K50" s="3353"/>
      <c r="L50" s="3353"/>
      <c r="M50" s="3353"/>
      <c r="N50" s="3353"/>
      <c r="O50" s="3353"/>
      <c r="P50" s="3353"/>
      <c r="Q50" s="3353"/>
      <c r="R50" s="3353"/>
      <c r="S50" s="3353"/>
      <c r="T50" s="3353"/>
      <c r="U50" s="3353"/>
      <c r="V50" s="3353"/>
      <c r="W50" s="3353"/>
      <c r="X50" s="3353"/>
      <c r="Y50" s="3122"/>
      <c r="Z50" s="3122"/>
      <c r="AA50" s="3353"/>
      <c r="AB50" s="3353"/>
      <c r="AC50" s="3122"/>
      <c r="AD50" s="3353"/>
      <c r="AE50" s="3353"/>
      <c r="AF50" s="3353"/>
      <c r="AG50" s="3369"/>
      <c r="AH50" s="3353"/>
      <c r="AI50" s="3353"/>
      <c r="AJ50" s="3353"/>
      <c r="AK50" s="589"/>
      <c r="AL50" s="589"/>
      <c r="AM50" s="589"/>
    </row>
    <row r="51" spans="3:39" x14ac:dyDescent="0.25">
      <c r="C51" s="3121"/>
      <c r="D51" s="3121"/>
      <c r="E51" s="3353"/>
      <c r="F51" s="3353"/>
      <c r="G51" s="3353"/>
      <c r="H51" s="3353"/>
      <c r="I51" s="3353"/>
      <c r="J51" s="3353"/>
      <c r="K51" s="3353"/>
      <c r="L51" s="3353"/>
      <c r="M51" s="3353"/>
      <c r="N51" s="3353"/>
      <c r="O51" s="3353"/>
      <c r="P51" s="3353"/>
      <c r="Q51" s="3353"/>
      <c r="R51" s="3353"/>
      <c r="S51" s="3353"/>
      <c r="T51" s="3353"/>
      <c r="U51" s="3353"/>
      <c r="V51" s="3353"/>
      <c r="W51" s="3353"/>
      <c r="X51" s="3353"/>
      <c r="Y51" s="3122"/>
      <c r="Z51" s="3122"/>
      <c r="AA51" s="3353"/>
      <c r="AB51" s="3353"/>
      <c r="AC51" s="3122"/>
      <c r="AD51" s="3353"/>
      <c r="AE51" s="3353"/>
      <c r="AF51" s="3353"/>
      <c r="AG51" s="3369"/>
      <c r="AH51" s="3353"/>
      <c r="AI51" s="3353"/>
      <c r="AJ51" s="3353"/>
      <c r="AK51" s="589"/>
      <c r="AL51" s="589"/>
      <c r="AM51" s="589"/>
    </row>
    <row r="52" spans="3:39" x14ac:dyDescent="0.25">
      <c r="C52" s="3121"/>
      <c r="D52" s="3121"/>
      <c r="E52" s="3353"/>
      <c r="F52" s="3353"/>
      <c r="G52" s="3353"/>
      <c r="H52" s="3353"/>
      <c r="I52" s="3353"/>
      <c r="J52" s="3353"/>
      <c r="K52" s="3353"/>
      <c r="L52" s="3353"/>
      <c r="M52" s="3353"/>
      <c r="N52" s="3353"/>
      <c r="O52" s="3353"/>
      <c r="P52" s="3353"/>
      <c r="Q52" s="3353"/>
      <c r="R52" s="3353"/>
      <c r="S52" s="3353"/>
      <c r="T52" s="3353"/>
      <c r="U52" s="3353"/>
      <c r="V52" s="3353"/>
      <c r="W52" s="3353"/>
      <c r="X52" s="3353"/>
      <c r="Y52" s="3122"/>
      <c r="Z52" s="3122"/>
      <c r="AA52" s="589"/>
      <c r="AB52" s="3353"/>
      <c r="AC52" s="3122"/>
      <c r="AD52" s="589"/>
      <c r="AE52" s="589"/>
      <c r="AF52" s="589"/>
      <c r="AH52" s="589"/>
      <c r="AI52" s="589"/>
      <c r="AJ52" s="589"/>
      <c r="AK52" s="589"/>
      <c r="AL52" s="589"/>
      <c r="AM52" s="589"/>
    </row>
  </sheetData>
  <mergeCells count="41">
    <mergeCell ref="AF43:AJ43"/>
    <mergeCell ref="AH6:AJ7"/>
    <mergeCell ref="AI8:AJ8"/>
    <mergeCell ref="A3:AJ3"/>
    <mergeCell ref="AF34:AJ34"/>
    <mergeCell ref="AB35:AJ35"/>
    <mergeCell ref="AB36:AK36"/>
    <mergeCell ref="AB37:AK37"/>
    <mergeCell ref="AB42:AK42"/>
    <mergeCell ref="Z8:AA8"/>
    <mergeCell ref="AB8:AB9"/>
    <mergeCell ref="AC8:AG8"/>
    <mergeCell ref="AH8:AH9"/>
    <mergeCell ref="C42:H42"/>
    <mergeCell ref="F43:I43"/>
    <mergeCell ref="F7:K7"/>
    <mergeCell ref="AH1:AL1"/>
    <mergeCell ref="A2:AM2"/>
    <mergeCell ref="A4:AM4"/>
    <mergeCell ref="AI5:AM5"/>
    <mergeCell ref="X6:AA7"/>
    <mergeCell ref="AB6:AG7"/>
    <mergeCell ref="E1:F1"/>
    <mergeCell ref="A1:B1"/>
    <mergeCell ref="A6:A9"/>
    <mergeCell ref="B6:B9"/>
    <mergeCell ref="C6:C9"/>
    <mergeCell ref="D6:K6"/>
    <mergeCell ref="L6:Q7"/>
    <mergeCell ref="R6:W7"/>
    <mergeCell ref="D7:D9"/>
    <mergeCell ref="E7:E9"/>
    <mergeCell ref="S8:W8"/>
    <mergeCell ref="X8:X9"/>
    <mergeCell ref="C36:I36"/>
    <mergeCell ref="C37:I37"/>
    <mergeCell ref="F8:F9"/>
    <mergeCell ref="G8:K8"/>
    <mergeCell ref="L8:L9"/>
    <mergeCell ref="M8:Q8"/>
    <mergeCell ref="R8:R9"/>
  </mergeCells>
  <pageMargins left="0.39" right="0.16" top="0.46" bottom="0.33" header="0.31496062992126" footer="0.196850393700787"/>
  <pageSetup paperSize="9" scale="41" orientation="landscape" useFirstPageNumber="1" r:id="rId1"/>
  <headerFooter>
    <oddFooter>&amp;C&amp;P</oddFooter>
  </headerFooter>
  <colBreaks count="1" manualBreakCount="1">
    <brk id="35"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K35"/>
  <sheetViews>
    <sheetView showWhiteSpace="0" topLeftCell="A10" zoomScaleNormal="100" zoomScaleSheetLayoutView="100" zoomScalePageLayoutView="85" workbookViewId="0">
      <selection activeCell="B24" sqref="B24"/>
    </sheetView>
  </sheetViews>
  <sheetFormatPr defaultRowHeight="15" x14ac:dyDescent="0.25"/>
  <cols>
    <col min="1" max="1" width="1.7109375" style="3509" customWidth="1"/>
    <col min="2" max="2" width="39.28515625" style="3509" customWidth="1"/>
    <col min="3" max="3" width="14" style="3509" customWidth="1"/>
    <col min="4" max="4" width="13.140625" style="3509" hidden="1" customWidth="1"/>
    <col min="5" max="5" width="14.42578125" style="3509" customWidth="1"/>
    <col min="6" max="6" width="39.28515625" style="3509" customWidth="1"/>
    <col min="7" max="7" width="13.5703125" style="3509" customWidth="1"/>
    <col min="8" max="8" width="13.5703125" style="3509" hidden="1" customWidth="1"/>
    <col min="9" max="9" width="13.5703125" style="3509" customWidth="1"/>
    <col min="10" max="10" width="18.5703125" style="3509" customWidth="1"/>
    <col min="11" max="11" width="1.42578125" style="3509" customWidth="1"/>
    <col min="12" max="16384" width="9.140625" style="3509"/>
  </cols>
  <sheetData>
    <row r="1" spans="1:11" ht="18.75" customHeight="1" x14ac:dyDescent="0.25">
      <c r="B1" s="3926" t="s">
        <v>4774</v>
      </c>
      <c r="C1" s="3859"/>
      <c r="D1" s="3859"/>
      <c r="E1" s="3859"/>
      <c r="F1" s="3859"/>
      <c r="G1" s="4452" t="s">
        <v>4909</v>
      </c>
      <c r="H1" s="4452"/>
      <c r="I1" s="4452"/>
      <c r="J1" s="4452"/>
      <c r="K1" s="4289"/>
    </row>
    <row r="2" spans="1:11" ht="18" customHeight="1" x14ac:dyDescent="0.25">
      <c r="B2" s="4453" t="s">
        <v>3570</v>
      </c>
      <c r="C2" s="4294"/>
      <c r="D2" s="4294"/>
      <c r="E2" s="4294"/>
      <c r="F2" s="4294"/>
      <c r="G2" s="4294"/>
      <c r="H2" s="4294"/>
      <c r="I2" s="4294"/>
    </row>
    <row r="3" spans="1:11" ht="18" customHeight="1" x14ac:dyDescent="0.25">
      <c r="A3" s="4287" t="s">
        <v>4912</v>
      </c>
      <c r="B3" s="4287"/>
      <c r="C3" s="4287"/>
      <c r="D3" s="4287"/>
      <c r="E3" s="4287"/>
      <c r="F3" s="4287"/>
      <c r="G3" s="4287"/>
      <c r="H3" s="4287"/>
      <c r="I3" s="4287"/>
    </row>
    <row r="4" spans="1:11" ht="18" customHeight="1" x14ac:dyDescent="0.25">
      <c r="A4" s="4456" t="str">
        <f>'B62'!A4:AI4</f>
        <v>(Kèm theo Quyết định số         /QĐ-UBND ngày      tháng 4 năm 2026 của UBND xã Phong Quang)</v>
      </c>
      <c r="B4" s="4456"/>
      <c r="C4" s="4456"/>
      <c r="D4" s="4456"/>
      <c r="E4" s="4456"/>
      <c r="F4" s="4456"/>
      <c r="G4" s="4456"/>
      <c r="H4" s="4456"/>
      <c r="I4" s="4456"/>
    </row>
    <row r="5" spans="1:11" ht="18" customHeight="1" x14ac:dyDescent="0.25">
      <c r="B5" s="4262" t="s">
        <v>4816</v>
      </c>
      <c r="C5" s="4289"/>
      <c r="D5" s="4289"/>
      <c r="E5" s="4289"/>
      <c r="F5" s="4289"/>
      <c r="G5" s="4289"/>
      <c r="H5" s="4289"/>
      <c r="I5" s="4289"/>
    </row>
    <row r="6" spans="1:11" ht="1.5" customHeight="1" x14ac:dyDescent="0.25"/>
    <row r="7" spans="1:11" ht="25.5" x14ac:dyDescent="0.25">
      <c r="B7" s="3501" t="s">
        <v>1480</v>
      </c>
      <c r="C7" s="3501" t="s">
        <v>868</v>
      </c>
      <c r="D7" s="3501" t="s">
        <v>1481</v>
      </c>
      <c r="E7" s="3501" t="s">
        <v>1482</v>
      </c>
      <c r="F7" s="3501" t="s">
        <v>1483</v>
      </c>
      <c r="G7" s="3501" t="s">
        <v>868</v>
      </c>
      <c r="H7" s="3501" t="s">
        <v>4884</v>
      </c>
      <c r="I7" s="3501" t="s">
        <v>1484</v>
      </c>
    </row>
    <row r="8" spans="1:11" ht="17.25" customHeight="1" x14ac:dyDescent="0.25">
      <c r="B8" s="3878" t="s">
        <v>1773</v>
      </c>
      <c r="C8" s="3879" t="s">
        <v>1774</v>
      </c>
      <c r="D8" s="3879" t="s">
        <v>1776</v>
      </c>
      <c r="E8" s="3879" t="s">
        <v>1782</v>
      </c>
      <c r="F8" s="3879" t="s">
        <v>1783</v>
      </c>
      <c r="G8" s="3879" t="s">
        <v>3660</v>
      </c>
      <c r="H8" s="3879" t="s">
        <v>1784</v>
      </c>
      <c r="I8" s="3879" t="s">
        <v>1521</v>
      </c>
    </row>
    <row r="9" spans="1:11" ht="17.25" customHeight="1" x14ac:dyDescent="0.25">
      <c r="B9" s="3880" t="s">
        <v>4885</v>
      </c>
      <c r="C9" s="3881">
        <v>111378163</v>
      </c>
      <c r="D9" s="3881">
        <v>0</v>
      </c>
      <c r="E9" s="3881">
        <v>111378163</v>
      </c>
      <c r="F9" s="3882" t="s">
        <v>4886</v>
      </c>
      <c r="G9" s="3881">
        <v>110429012</v>
      </c>
      <c r="H9" s="3881">
        <v>0</v>
      </c>
      <c r="I9" s="3881">
        <v>110429012</v>
      </c>
    </row>
    <row r="10" spans="1:11" ht="17.25" customHeight="1" x14ac:dyDescent="0.25">
      <c r="B10" s="3880" t="s">
        <v>4887</v>
      </c>
      <c r="C10" s="3881">
        <v>111378163</v>
      </c>
      <c r="D10" s="3881">
        <v>0</v>
      </c>
      <c r="E10" s="3881">
        <v>111378163</v>
      </c>
      <c r="F10" s="3882" t="s">
        <v>2168</v>
      </c>
      <c r="G10" s="3881">
        <v>110429012</v>
      </c>
      <c r="H10" s="3881">
        <v>0</v>
      </c>
      <c r="I10" s="3881">
        <v>110429012</v>
      </c>
      <c r="J10" s="3824"/>
    </row>
    <row r="11" spans="1:11" ht="17.25" customHeight="1" x14ac:dyDescent="0.25">
      <c r="B11" s="3883" t="s">
        <v>2164</v>
      </c>
      <c r="C11" s="3884">
        <v>0</v>
      </c>
      <c r="D11" s="3884">
        <v>0</v>
      </c>
      <c r="E11" s="3884">
        <v>0</v>
      </c>
      <c r="F11" s="3885" t="s">
        <v>2169</v>
      </c>
      <c r="G11" s="3886">
        <v>6407462</v>
      </c>
      <c r="H11" s="3886">
        <v>0</v>
      </c>
      <c r="I11" s="3886">
        <v>6407462</v>
      </c>
      <c r="J11" s="3824"/>
    </row>
    <row r="12" spans="1:11" ht="17.25" customHeight="1" x14ac:dyDescent="0.25">
      <c r="B12" s="3883" t="s">
        <v>2163</v>
      </c>
      <c r="C12" s="3884">
        <v>0</v>
      </c>
      <c r="D12" s="3884">
        <v>0</v>
      </c>
      <c r="E12" s="3884">
        <v>0</v>
      </c>
      <c r="F12" s="3885" t="s">
        <v>2170</v>
      </c>
      <c r="G12" s="3886">
        <v>0</v>
      </c>
      <c r="H12" s="3886">
        <v>0</v>
      </c>
      <c r="I12" s="3886">
        <v>0</v>
      </c>
    </row>
    <row r="13" spans="1:11" ht="17.25" customHeight="1" x14ac:dyDescent="0.25">
      <c r="B13" s="3887" t="s">
        <v>2165</v>
      </c>
      <c r="C13" s="3886">
        <v>0</v>
      </c>
      <c r="D13" s="3886">
        <v>0</v>
      </c>
      <c r="E13" s="3886">
        <v>0</v>
      </c>
      <c r="F13" s="3885" t="s">
        <v>4888</v>
      </c>
      <c r="G13" s="3886">
        <v>86227321</v>
      </c>
      <c r="H13" s="3886">
        <v>0</v>
      </c>
      <c r="I13" s="3886">
        <v>86227321</v>
      </c>
    </row>
    <row r="14" spans="1:11" ht="17.25" customHeight="1" x14ac:dyDescent="0.25">
      <c r="B14" s="3887" t="s">
        <v>4889</v>
      </c>
      <c r="C14" s="3886">
        <v>1154897</v>
      </c>
      <c r="D14" s="3886">
        <v>0</v>
      </c>
      <c r="E14" s="3886">
        <v>1154897</v>
      </c>
      <c r="F14" s="3885" t="s">
        <v>4890</v>
      </c>
      <c r="G14" s="3886">
        <v>0</v>
      </c>
      <c r="H14" s="3886">
        <v>0</v>
      </c>
      <c r="I14" s="3886">
        <v>0</v>
      </c>
    </row>
    <row r="15" spans="1:11" ht="17.25" customHeight="1" x14ac:dyDescent="0.25">
      <c r="B15" s="3887" t="s">
        <v>2166</v>
      </c>
      <c r="C15" s="3886">
        <v>3984497</v>
      </c>
      <c r="D15" s="3886">
        <v>0</v>
      </c>
      <c r="E15" s="3886">
        <v>3984497</v>
      </c>
      <c r="F15" s="3882" t="s">
        <v>4891</v>
      </c>
      <c r="G15" s="3881">
        <v>0</v>
      </c>
      <c r="H15" s="3881">
        <v>0</v>
      </c>
      <c r="I15" s="3881">
        <v>0</v>
      </c>
    </row>
    <row r="16" spans="1:11" ht="17.25" customHeight="1" x14ac:dyDescent="0.25">
      <c r="B16" s="3887" t="s">
        <v>4892</v>
      </c>
      <c r="C16" s="3886">
        <v>0</v>
      </c>
      <c r="D16" s="3886">
        <v>0</v>
      </c>
      <c r="E16" s="3886">
        <v>0</v>
      </c>
      <c r="F16" s="3885" t="s">
        <v>4893</v>
      </c>
      <c r="G16" s="3886">
        <v>0</v>
      </c>
      <c r="H16" s="3886">
        <v>0</v>
      </c>
      <c r="I16" s="3886">
        <v>0</v>
      </c>
    </row>
    <row r="17" spans="2:10" ht="17.25" customHeight="1" x14ac:dyDescent="0.25">
      <c r="B17" s="3887" t="s">
        <v>2167</v>
      </c>
      <c r="C17" s="3886">
        <v>106238769</v>
      </c>
      <c r="D17" s="3886">
        <v>0</v>
      </c>
      <c r="E17" s="3886">
        <v>106238769</v>
      </c>
      <c r="F17" s="3885" t="s">
        <v>4894</v>
      </c>
      <c r="G17" s="3886">
        <v>0</v>
      </c>
      <c r="H17" s="3886">
        <v>0</v>
      </c>
      <c r="I17" s="3886">
        <v>0</v>
      </c>
    </row>
    <row r="18" spans="2:10" ht="17.25" customHeight="1" x14ac:dyDescent="0.25">
      <c r="B18" s="3883" t="s">
        <v>4895</v>
      </c>
      <c r="C18" s="3884">
        <v>57862000</v>
      </c>
      <c r="D18" s="3884">
        <v>0</v>
      </c>
      <c r="E18" s="3884">
        <v>57862000</v>
      </c>
      <c r="F18" s="3885" t="s">
        <v>4896</v>
      </c>
      <c r="G18" s="3886">
        <v>0</v>
      </c>
      <c r="H18" s="3886">
        <v>0</v>
      </c>
      <c r="I18" s="3886">
        <v>0</v>
      </c>
    </row>
    <row r="19" spans="2:10" ht="17.25" customHeight="1" x14ac:dyDescent="0.25">
      <c r="B19" s="3883" t="s">
        <v>4897</v>
      </c>
      <c r="C19" s="3884">
        <v>48376769</v>
      </c>
      <c r="D19" s="3884">
        <v>0</v>
      </c>
      <c r="E19" s="3884">
        <v>48376769</v>
      </c>
      <c r="F19" s="3885" t="s">
        <v>4898</v>
      </c>
      <c r="G19" s="3886">
        <v>0</v>
      </c>
      <c r="H19" s="3886">
        <v>0</v>
      </c>
      <c r="I19" s="3886">
        <v>0</v>
      </c>
    </row>
    <row r="20" spans="2:10" ht="17.25" customHeight="1" x14ac:dyDescent="0.25">
      <c r="B20" s="3887"/>
      <c r="C20" s="3886">
        <v>0</v>
      </c>
      <c r="D20" s="3886">
        <v>0</v>
      </c>
      <c r="E20" s="3886">
        <v>0</v>
      </c>
      <c r="F20" s="3885" t="s">
        <v>4899</v>
      </c>
      <c r="G20" s="3886">
        <v>16709788</v>
      </c>
      <c r="H20" s="3886">
        <v>0</v>
      </c>
      <c r="I20" s="3886">
        <v>16709788</v>
      </c>
      <c r="J20" s="3824"/>
    </row>
    <row r="21" spans="2:10" ht="17.25" customHeight="1" x14ac:dyDescent="0.25">
      <c r="B21" s="3883"/>
      <c r="C21" s="3884"/>
      <c r="D21" s="3884"/>
      <c r="E21" s="3884"/>
      <c r="F21" s="3885" t="s">
        <v>4900</v>
      </c>
      <c r="G21" s="3886">
        <v>1084441</v>
      </c>
      <c r="H21" s="3886"/>
      <c r="I21" s="3886">
        <v>1084441</v>
      </c>
    </row>
    <row r="22" spans="2:10" ht="47.25" customHeight="1" x14ac:dyDescent="0.25">
      <c r="B22" s="3887"/>
      <c r="C22" s="3886">
        <v>0</v>
      </c>
      <c r="D22" s="3886">
        <v>0</v>
      </c>
      <c r="E22" s="3886">
        <v>0</v>
      </c>
      <c r="F22" s="3885" t="s">
        <v>4901</v>
      </c>
      <c r="G22" s="3886">
        <v>0</v>
      </c>
      <c r="H22" s="3886">
        <v>0</v>
      </c>
      <c r="I22" s="3886">
        <v>0</v>
      </c>
    </row>
    <row r="23" spans="2:10" ht="28.5" x14ac:dyDescent="0.25">
      <c r="B23" s="3880" t="s">
        <v>4902</v>
      </c>
      <c r="C23" s="3881">
        <f>C9-G9</f>
        <v>949151</v>
      </c>
      <c r="D23" s="3881">
        <v>0</v>
      </c>
      <c r="E23" s="3881">
        <f>E9-I9</f>
        <v>949151</v>
      </c>
      <c r="F23" s="3885"/>
      <c r="G23" s="3886">
        <v>0</v>
      </c>
      <c r="H23" s="3886">
        <v>0</v>
      </c>
      <c r="I23" s="3886">
        <v>0</v>
      </c>
    </row>
    <row r="24" spans="2:10" x14ac:dyDescent="0.25">
      <c r="B24" s="3880" t="s">
        <v>4903</v>
      </c>
      <c r="C24" s="3881"/>
      <c r="D24" s="3881"/>
      <c r="E24" s="3881"/>
      <c r="F24" s="3885"/>
      <c r="G24" s="3886">
        <v>0</v>
      </c>
      <c r="H24" s="3886">
        <v>0</v>
      </c>
      <c r="I24" s="3886">
        <v>0</v>
      </c>
    </row>
    <row r="25" spans="2:10" x14ac:dyDescent="0.25">
      <c r="B25" s="3880" t="s">
        <v>4904</v>
      </c>
      <c r="C25" s="3881">
        <v>0</v>
      </c>
      <c r="D25" s="3881">
        <v>0</v>
      </c>
      <c r="E25" s="3881">
        <v>0</v>
      </c>
      <c r="F25" s="3882" t="s">
        <v>4905</v>
      </c>
      <c r="G25" s="3881">
        <v>0</v>
      </c>
      <c r="H25" s="3881">
        <v>0</v>
      </c>
      <c r="I25" s="3881">
        <v>0</v>
      </c>
    </row>
    <row r="26" spans="2:10" ht="9" customHeight="1" x14ac:dyDescent="0.25"/>
    <row r="27" spans="2:10" ht="35.25" hidden="1" customHeight="1" x14ac:dyDescent="0.25">
      <c r="B27" s="4454" t="s">
        <v>4906</v>
      </c>
      <c r="C27" s="4454"/>
      <c r="D27" s="4454"/>
      <c r="E27" s="4454" t="s">
        <v>4907</v>
      </c>
      <c r="F27" s="4454"/>
      <c r="G27" s="4454" t="s">
        <v>4908</v>
      </c>
      <c r="H27" s="4454"/>
      <c r="I27" s="4454"/>
      <c r="J27" s="3859"/>
    </row>
    <row r="28" spans="2:10" ht="13.5" hidden="1" customHeight="1" x14ac:dyDescent="0.25">
      <c r="E28" s="4457" t="s">
        <v>807</v>
      </c>
      <c r="F28" s="4457"/>
      <c r="G28" s="4457" t="s">
        <v>639</v>
      </c>
      <c r="H28" s="4457"/>
      <c r="I28" s="4457"/>
    </row>
    <row r="29" spans="2:10" ht="13.5" hidden="1" customHeight="1" x14ac:dyDescent="0.25">
      <c r="E29" s="3510"/>
      <c r="F29" s="3510"/>
      <c r="G29" s="3510"/>
      <c r="H29" s="3510"/>
      <c r="I29" s="3510"/>
    </row>
    <row r="30" spans="2:10" ht="13.5" hidden="1" customHeight="1" x14ac:dyDescent="0.25">
      <c r="E30" s="3510"/>
      <c r="F30" s="3510"/>
      <c r="G30" s="3510"/>
      <c r="H30" s="3510"/>
      <c r="I30" s="3510"/>
    </row>
    <row r="31" spans="2:10" hidden="1" x14ac:dyDescent="0.25"/>
    <row r="32" spans="2:10" hidden="1" x14ac:dyDescent="0.25"/>
    <row r="33" spans="5:9" hidden="1" x14ac:dyDescent="0.25"/>
    <row r="34" spans="5:9" ht="16.5" hidden="1" x14ac:dyDescent="0.25">
      <c r="E34" s="4455" t="s">
        <v>3574</v>
      </c>
      <c r="F34" s="4455"/>
      <c r="G34" s="4455" t="s">
        <v>3572</v>
      </c>
      <c r="H34" s="4455"/>
      <c r="I34" s="4455"/>
    </row>
    <row r="35" spans="5:9" hidden="1" x14ac:dyDescent="0.25"/>
  </sheetData>
  <mergeCells count="13">
    <mergeCell ref="E34:F34"/>
    <mergeCell ref="G34:I34"/>
    <mergeCell ref="A4:I4"/>
    <mergeCell ref="A3:I3"/>
    <mergeCell ref="G1:I1"/>
    <mergeCell ref="E28:F28"/>
    <mergeCell ref="G28:I28"/>
    <mergeCell ref="J1:K1"/>
    <mergeCell ref="B2:I2"/>
    <mergeCell ref="B5:I5"/>
    <mergeCell ref="B27:D27"/>
    <mergeCell ref="E27:F27"/>
    <mergeCell ref="G27:I27"/>
  </mergeCells>
  <phoneticPr fontId="70" type="noConversion"/>
  <pageMargins left="0.52" right="0.23622047244094499" top="0.36" bottom="0.511811023622047" header="0.196850393700787" footer="0.31496062992126"/>
  <pageSetup paperSize="9" firstPageNumber="176" orientation="landscape" useFirstPageNumber="1" r:id="rId1"/>
  <headerFooter>
    <oddHeader xml:space="preserve">&amp;RBiểu số 5.20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sheetPr>
  <dimension ref="A1:M155"/>
  <sheetViews>
    <sheetView tabSelected="1" view="pageBreakPreview" zoomScaleNormal="100" zoomScaleSheetLayoutView="100" zoomScalePageLayoutView="85" workbookViewId="0">
      <selection activeCell="H12" sqref="H12"/>
    </sheetView>
  </sheetViews>
  <sheetFormatPr defaultRowHeight="15" x14ac:dyDescent="0.25"/>
  <cols>
    <col min="1" max="1" width="1.42578125" style="3509" customWidth="1"/>
    <col min="2" max="2" width="6.140625" style="3509" customWidth="1"/>
    <col min="3" max="3" width="44.7109375" style="3509" customWidth="1"/>
    <col min="4" max="4" width="0" style="3509" hidden="1" customWidth="1"/>
    <col min="5" max="6" width="12.5703125" style="3509" customWidth="1"/>
    <col min="7" max="7" width="11.85546875" style="3509" customWidth="1"/>
    <col min="8" max="8" width="12.5703125" style="3509" customWidth="1"/>
    <col min="9" max="9" width="12.140625" style="3509" customWidth="1"/>
    <col min="10" max="11" width="12.5703125" style="3509" customWidth="1"/>
    <col min="12" max="13" width="8.7109375" style="3509" customWidth="1"/>
    <col min="14" max="14" width="9.140625" style="3509" customWidth="1"/>
    <col min="15" max="15" width="1.85546875" style="3509" customWidth="1"/>
    <col min="16" max="16384" width="9.140625" style="3509"/>
  </cols>
  <sheetData>
    <row r="1" spans="1:13" ht="18.75" customHeight="1" x14ac:dyDescent="0.25">
      <c r="B1" s="4458" t="s">
        <v>4774</v>
      </c>
      <c r="C1" s="4289"/>
      <c r="D1" s="4289"/>
      <c r="E1" s="4289"/>
      <c r="F1" s="4289"/>
      <c r="G1" s="4289"/>
      <c r="J1" s="4452"/>
      <c r="K1" s="4289"/>
      <c r="L1" s="4452" t="s">
        <v>4916</v>
      </c>
      <c r="M1" s="4289"/>
    </row>
    <row r="2" spans="1:13" ht="27.75" customHeight="1" x14ac:dyDescent="0.25">
      <c r="B2" s="4453" t="s">
        <v>4815</v>
      </c>
      <c r="C2" s="4294"/>
      <c r="D2" s="4294"/>
      <c r="E2" s="4294"/>
      <c r="F2" s="4294"/>
      <c r="G2" s="4294"/>
      <c r="H2" s="4294"/>
      <c r="I2" s="4294"/>
      <c r="J2" s="4294"/>
      <c r="K2" s="4294"/>
      <c r="L2" s="4294"/>
      <c r="M2" s="4294"/>
    </row>
    <row r="3" spans="1:13" ht="19.5" customHeight="1" x14ac:dyDescent="0.25">
      <c r="A3" s="4462" t="s">
        <v>4912</v>
      </c>
      <c r="B3" s="4462"/>
      <c r="C3" s="4462"/>
      <c r="D3" s="4462"/>
      <c r="E3" s="4462"/>
      <c r="F3" s="4462"/>
      <c r="G3" s="4462"/>
      <c r="H3" s="4462"/>
      <c r="I3" s="4462"/>
      <c r="J3" s="4462"/>
      <c r="K3" s="4462"/>
      <c r="L3" s="4462"/>
      <c r="M3" s="4462"/>
    </row>
    <row r="4" spans="1:13" ht="19.5" customHeight="1" x14ac:dyDescent="0.25">
      <c r="A4" s="4456" t="str">
        <f>'B62'!A4:AI4</f>
        <v>(Kèm theo Quyết định số         /QĐ-UBND ngày      tháng 4 năm 2026 của UBND xã Phong Quang)</v>
      </c>
      <c r="B4" s="4456"/>
      <c r="C4" s="4456"/>
      <c r="D4" s="4456"/>
      <c r="E4" s="4456"/>
      <c r="F4" s="4456"/>
      <c r="G4" s="4456"/>
      <c r="H4" s="4456"/>
      <c r="I4" s="4456"/>
      <c r="J4" s="4456"/>
      <c r="K4" s="4456"/>
      <c r="L4" s="4456"/>
      <c r="M4" s="4456"/>
    </row>
    <row r="5" spans="1:13" ht="18" customHeight="1" x14ac:dyDescent="0.25">
      <c r="B5" s="4262" t="s">
        <v>4816</v>
      </c>
      <c r="C5" s="4289"/>
      <c r="D5" s="4289"/>
      <c r="E5" s="4289"/>
      <c r="F5" s="4289"/>
      <c r="G5" s="4289"/>
      <c r="H5" s="4289"/>
      <c r="I5" s="4289"/>
      <c r="J5" s="4289"/>
      <c r="K5" s="4289"/>
      <c r="L5" s="4289"/>
      <c r="M5" s="4289"/>
    </row>
    <row r="6" spans="1:13" ht="6.4" customHeight="1" x14ac:dyDescent="0.25"/>
    <row r="7" spans="1:13" ht="25.5" customHeight="1" x14ac:dyDescent="0.25">
      <c r="B7" s="4274" t="s">
        <v>844</v>
      </c>
      <c r="C7" s="4274" t="s">
        <v>4817</v>
      </c>
      <c r="D7" s="3526"/>
      <c r="E7" s="4247" t="s">
        <v>3564</v>
      </c>
      <c r="F7" s="4461"/>
      <c r="G7" s="3501" t="s">
        <v>1815</v>
      </c>
      <c r="H7" s="4247" t="s">
        <v>1488</v>
      </c>
      <c r="I7" s="4464"/>
      <c r="J7" s="4464"/>
      <c r="K7" s="4461"/>
      <c r="L7" s="4247" t="s">
        <v>4818</v>
      </c>
      <c r="M7" s="4461"/>
    </row>
    <row r="8" spans="1:13" ht="28.5" customHeight="1" x14ac:dyDescent="0.25">
      <c r="B8" s="4271"/>
      <c r="C8" s="4271"/>
      <c r="D8" s="3526"/>
      <c r="E8" s="4459" t="s">
        <v>4819</v>
      </c>
      <c r="F8" s="4459" t="s">
        <v>4820</v>
      </c>
      <c r="G8" s="4459" t="s">
        <v>1487</v>
      </c>
      <c r="H8" s="4459" t="s">
        <v>1491</v>
      </c>
      <c r="I8" s="4459" t="s">
        <v>36</v>
      </c>
      <c r="J8" s="4247" t="s">
        <v>4821</v>
      </c>
      <c r="K8" s="4461"/>
      <c r="L8" s="4274" t="s">
        <v>4819</v>
      </c>
      <c r="M8" s="4274" t="s">
        <v>4820</v>
      </c>
    </row>
    <row r="9" spans="1:13" ht="36.75" customHeight="1" x14ac:dyDescent="0.25">
      <c r="B9" s="4285" t="s">
        <v>1815</v>
      </c>
      <c r="C9" s="4285"/>
      <c r="D9" s="3526"/>
      <c r="E9" s="4460"/>
      <c r="F9" s="4460"/>
      <c r="G9" s="4460"/>
      <c r="H9" s="4460"/>
      <c r="I9" s="4460"/>
      <c r="J9" s="3868" t="s">
        <v>4822</v>
      </c>
      <c r="K9" s="3868" t="s">
        <v>4823</v>
      </c>
      <c r="L9" s="4285"/>
      <c r="M9" s="4285"/>
    </row>
    <row r="10" spans="1:13" s="3526" customFormat="1" ht="21" customHeight="1" x14ac:dyDescent="0.25">
      <c r="B10" s="3869" t="s">
        <v>847</v>
      </c>
      <c r="C10" s="3869" t="s">
        <v>848</v>
      </c>
      <c r="E10" s="3832" t="s">
        <v>1773</v>
      </c>
      <c r="F10" s="3832" t="s">
        <v>1774</v>
      </c>
      <c r="G10" s="3832" t="s">
        <v>747</v>
      </c>
      <c r="H10" s="3832" t="s">
        <v>509</v>
      </c>
      <c r="I10" s="3832" t="s">
        <v>4824</v>
      </c>
      <c r="J10" s="3832" t="s">
        <v>1783</v>
      </c>
      <c r="K10" s="3832" t="s">
        <v>3660</v>
      </c>
      <c r="L10" s="3832" t="s">
        <v>464</v>
      </c>
      <c r="M10" s="3832" t="s">
        <v>465</v>
      </c>
    </row>
    <row r="11" spans="1:13" s="3526" customFormat="1" ht="21" customHeight="1" x14ac:dyDescent="0.25">
      <c r="B11" s="3527"/>
      <c r="C11" s="3870" t="s">
        <v>4825</v>
      </c>
      <c r="E11" s="3871">
        <f>E12+E128+E135+E142+E143</f>
        <v>228740769</v>
      </c>
      <c r="F11" s="3871">
        <f t="shared" ref="F11:G11" si="0">F12+F128+F135+F142+F143</f>
        <v>228740769</v>
      </c>
      <c r="G11" s="3871">
        <f t="shared" si="0"/>
        <v>119885738</v>
      </c>
      <c r="H11" s="3871">
        <v>32530</v>
      </c>
      <c r="I11" s="3871">
        <v>119853209</v>
      </c>
      <c r="J11" s="3871">
        <v>8475045</v>
      </c>
      <c r="K11" s="3871">
        <v>111378163</v>
      </c>
      <c r="L11" s="3872">
        <f>G11/E11</f>
        <v>0.52411180798294854</v>
      </c>
      <c r="M11" s="3872">
        <f>G11/F11</f>
        <v>0.52411180798294854</v>
      </c>
    </row>
    <row r="12" spans="1:13" s="3526" customFormat="1" ht="21" customHeight="1" x14ac:dyDescent="0.25">
      <c r="B12" s="3527" t="s">
        <v>847</v>
      </c>
      <c r="C12" s="3870" t="s">
        <v>4826</v>
      </c>
      <c r="E12" s="3871">
        <v>122502000</v>
      </c>
      <c r="F12" s="3871">
        <v>122502000</v>
      </c>
      <c r="G12" s="3871">
        <v>8507575</v>
      </c>
      <c r="H12" s="3871">
        <v>32530</v>
      </c>
      <c r="I12" s="3871">
        <v>8475045</v>
      </c>
      <c r="J12" s="3871">
        <v>8475045</v>
      </c>
      <c r="K12" s="3871">
        <v>0</v>
      </c>
      <c r="L12" s="3872">
        <f t="shared" ref="L12:L61" si="1">G12/E12</f>
        <v>6.9448457984359432E-2</v>
      </c>
      <c r="M12" s="3872">
        <f t="shared" ref="M12:M61" si="2">G12/F12</f>
        <v>6.9448457984359432E-2</v>
      </c>
    </row>
    <row r="13" spans="1:13" s="3526" customFormat="1" ht="24.75" customHeight="1" x14ac:dyDescent="0.25">
      <c r="B13" s="3527" t="s">
        <v>1773</v>
      </c>
      <c r="C13" s="3870" t="s">
        <v>852</v>
      </c>
      <c r="E13" s="3871">
        <v>50000</v>
      </c>
      <c r="F13" s="3871">
        <v>50000</v>
      </c>
      <c r="G13" s="3871">
        <v>0</v>
      </c>
      <c r="H13" s="3871">
        <v>0</v>
      </c>
      <c r="I13" s="3871">
        <v>0</v>
      </c>
      <c r="J13" s="3871">
        <v>0</v>
      </c>
      <c r="K13" s="3871">
        <v>0</v>
      </c>
      <c r="L13" s="3872">
        <f t="shared" si="1"/>
        <v>0</v>
      </c>
      <c r="M13" s="3872">
        <f t="shared" si="2"/>
        <v>0</v>
      </c>
    </row>
    <row r="14" spans="1:13" s="3526" customFormat="1" hidden="1" x14ac:dyDescent="0.25">
      <c r="B14" s="3873"/>
      <c r="C14" s="3278" t="s">
        <v>4827</v>
      </c>
      <c r="E14" s="3282">
        <v>0</v>
      </c>
      <c r="F14" s="3282">
        <v>0</v>
      </c>
      <c r="G14" s="3282">
        <v>0</v>
      </c>
      <c r="H14" s="3282">
        <v>0</v>
      </c>
      <c r="I14" s="3282">
        <v>0</v>
      </c>
      <c r="J14" s="3282">
        <v>0</v>
      </c>
      <c r="K14" s="3282">
        <v>0</v>
      </c>
      <c r="L14" s="3872"/>
      <c r="M14" s="3872"/>
    </row>
    <row r="15" spans="1:13" s="3526" customFormat="1" hidden="1" x14ac:dyDescent="0.25">
      <c r="B15" s="3874"/>
      <c r="C15" s="3875" t="s">
        <v>4828</v>
      </c>
      <c r="E15" s="3287">
        <v>0</v>
      </c>
      <c r="F15" s="3287">
        <v>0</v>
      </c>
      <c r="G15" s="3287">
        <v>0</v>
      </c>
      <c r="H15" s="3287">
        <v>0</v>
      </c>
      <c r="I15" s="3287">
        <v>0</v>
      </c>
      <c r="J15" s="3287">
        <v>0</v>
      </c>
      <c r="K15" s="3287">
        <v>0</v>
      </c>
      <c r="L15" s="3872"/>
      <c r="M15" s="3872"/>
    </row>
    <row r="16" spans="1:13" s="3526" customFormat="1" hidden="1" x14ac:dyDescent="0.25">
      <c r="B16" s="3873"/>
      <c r="C16" s="3278" t="s">
        <v>858</v>
      </c>
      <c r="E16" s="3282">
        <v>0</v>
      </c>
      <c r="F16" s="3282">
        <v>0</v>
      </c>
      <c r="G16" s="3282">
        <v>0</v>
      </c>
      <c r="H16" s="3282">
        <v>0</v>
      </c>
      <c r="I16" s="3282">
        <v>0</v>
      </c>
      <c r="J16" s="3282">
        <v>0</v>
      </c>
      <c r="K16" s="3282">
        <v>0</v>
      </c>
      <c r="L16" s="3872"/>
      <c r="M16" s="3872"/>
    </row>
    <row r="17" spans="2:13" s="3526" customFormat="1" ht="22.5" hidden="1" x14ac:dyDescent="0.25">
      <c r="B17" s="3874"/>
      <c r="C17" s="3875" t="s">
        <v>928</v>
      </c>
      <c r="E17" s="3287">
        <v>0</v>
      </c>
      <c r="F17" s="3287">
        <v>0</v>
      </c>
      <c r="G17" s="3287">
        <v>0</v>
      </c>
      <c r="H17" s="3287">
        <v>0</v>
      </c>
      <c r="I17" s="3287">
        <v>0</v>
      </c>
      <c r="J17" s="3287">
        <v>0</v>
      </c>
      <c r="K17" s="3287">
        <v>0</v>
      </c>
      <c r="L17" s="3872"/>
      <c r="M17" s="3872"/>
    </row>
    <row r="18" spans="2:13" s="3526" customFormat="1" hidden="1" x14ac:dyDescent="0.25">
      <c r="B18" s="3873"/>
      <c r="C18" s="3278" t="s">
        <v>854</v>
      </c>
      <c r="E18" s="3282">
        <v>0</v>
      </c>
      <c r="F18" s="3282">
        <v>0</v>
      </c>
      <c r="G18" s="3282">
        <v>0</v>
      </c>
      <c r="H18" s="3282">
        <v>0</v>
      </c>
      <c r="I18" s="3282">
        <v>0</v>
      </c>
      <c r="J18" s="3282">
        <v>0</v>
      </c>
      <c r="K18" s="3282">
        <v>0</v>
      </c>
      <c r="L18" s="3872"/>
      <c r="M18" s="3872"/>
    </row>
    <row r="19" spans="2:13" s="3526" customFormat="1" ht="24" customHeight="1" x14ac:dyDescent="0.25">
      <c r="B19" s="3874"/>
      <c r="C19" s="3875" t="s">
        <v>4828</v>
      </c>
      <c r="E19" s="3287">
        <v>0</v>
      </c>
      <c r="F19" s="3287">
        <v>0</v>
      </c>
      <c r="G19" s="3287">
        <v>0</v>
      </c>
      <c r="H19" s="3287">
        <v>0</v>
      </c>
      <c r="I19" s="3287">
        <v>0</v>
      </c>
      <c r="J19" s="3287">
        <v>0</v>
      </c>
      <c r="K19" s="3287">
        <v>0</v>
      </c>
      <c r="L19" s="3872"/>
      <c r="M19" s="3872"/>
    </row>
    <row r="20" spans="2:13" s="3526" customFormat="1" ht="24" hidden="1" customHeight="1" x14ac:dyDescent="0.25">
      <c r="B20" s="3873"/>
      <c r="C20" s="3278" t="s">
        <v>855</v>
      </c>
      <c r="E20" s="3282">
        <v>0</v>
      </c>
      <c r="F20" s="3282">
        <v>0</v>
      </c>
      <c r="G20" s="3282">
        <v>0</v>
      </c>
      <c r="H20" s="3282">
        <v>0</v>
      </c>
      <c r="I20" s="3282">
        <v>0</v>
      </c>
      <c r="J20" s="3282">
        <v>0</v>
      </c>
      <c r="K20" s="3282">
        <v>0</v>
      </c>
      <c r="L20" s="3872"/>
      <c r="M20" s="3872"/>
    </row>
    <row r="21" spans="2:13" s="3526" customFormat="1" ht="24" customHeight="1" x14ac:dyDescent="0.25">
      <c r="B21" s="3874"/>
      <c r="C21" s="3875" t="s">
        <v>856</v>
      </c>
      <c r="E21" s="3287">
        <v>0</v>
      </c>
      <c r="F21" s="3287">
        <v>0</v>
      </c>
      <c r="G21" s="3287">
        <v>0</v>
      </c>
      <c r="H21" s="3287">
        <v>0</v>
      </c>
      <c r="I21" s="3287">
        <v>0</v>
      </c>
      <c r="J21" s="3287">
        <v>0</v>
      </c>
      <c r="K21" s="3287">
        <v>0</v>
      </c>
      <c r="L21" s="3872"/>
      <c r="M21" s="3872"/>
    </row>
    <row r="22" spans="2:13" s="3526" customFormat="1" ht="24" customHeight="1" x14ac:dyDescent="0.25">
      <c r="B22" s="3873"/>
      <c r="C22" s="3278" t="s">
        <v>4829</v>
      </c>
      <c r="E22" s="3282">
        <v>0</v>
      </c>
      <c r="F22" s="3282">
        <v>0</v>
      </c>
      <c r="G22" s="3282">
        <v>0</v>
      </c>
      <c r="H22" s="3282">
        <v>0</v>
      </c>
      <c r="I22" s="3282">
        <v>0</v>
      </c>
      <c r="J22" s="3282">
        <v>0</v>
      </c>
      <c r="K22" s="3282">
        <v>0</v>
      </c>
      <c r="L22" s="3872"/>
      <c r="M22" s="3872"/>
    </row>
    <row r="23" spans="2:13" s="3526" customFormat="1" ht="24" customHeight="1" x14ac:dyDescent="0.25">
      <c r="B23" s="3527" t="s">
        <v>1774</v>
      </c>
      <c r="C23" s="3870" t="s">
        <v>4830</v>
      </c>
      <c r="E23" s="3871">
        <v>35000</v>
      </c>
      <c r="F23" s="3871">
        <v>35000</v>
      </c>
      <c r="G23" s="3871">
        <v>35076</v>
      </c>
      <c r="H23" s="3871">
        <v>0</v>
      </c>
      <c r="I23" s="3871">
        <v>35076</v>
      </c>
      <c r="J23" s="3871">
        <v>35076</v>
      </c>
      <c r="K23" s="3871">
        <v>0</v>
      </c>
      <c r="L23" s="3872">
        <f t="shared" si="1"/>
        <v>1.0021714285714285</v>
      </c>
      <c r="M23" s="3872">
        <f t="shared" si="2"/>
        <v>1.0021714285714285</v>
      </c>
    </row>
    <row r="24" spans="2:13" s="3526" customFormat="1" ht="24" hidden="1" customHeight="1" x14ac:dyDescent="0.25">
      <c r="B24" s="3873"/>
      <c r="C24" s="3278" t="s">
        <v>853</v>
      </c>
      <c r="E24" s="3282">
        <v>0</v>
      </c>
      <c r="F24" s="3282">
        <v>0</v>
      </c>
      <c r="G24" s="3282">
        <v>35076</v>
      </c>
      <c r="H24" s="3282">
        <v>0</v>
      </c>
      <c r="I24" s="3282">
        <v>35076</v>
      </c>
      <c r="J24" s="3282">
        <v>35076</v>
      </c>
      <c r="K24" s="3282">
        <v>0</v>
      </c>
      <c r="L24" s="3872"/>
      <c r="M24" s="3872"/>
    </row>
    <row r="25" spans="2:13" s="3526" customFormat="1" ht="24" hidden="1" customHeight="1" x14ac:dyDescent="0.25">
      <c r="B25" s="3873"/>
      <c r="C25" s="3278" t="s">
        <v>854</v>
      </c>
      <c r="E25" s="3282">
        <v>0</v>
      </c>
      <c r="F25" s="3282">
        <v>0</v>
      </c>
      <c r="G25" s="3282">
        <v>0</v>
      </c>
      <c r="H25" s="3282">
        <v>0</v>
      </c>
      <c r="I25" s="3282">
        <v>0</v>
      </c>
      <c r="J25" s="3282">
        <v>0</v>
      </c>
      <c r="K25" s="3282">
        <v>0</v>
      </c>
      <c r="L25" s="3872"/>
      <c r="M25" s="3872"/>
    </row>
    <row r="26" spans="2:13" s="3526" customFormat="1" ht="36.75" customHeight="1" x14ac:dyDescent="0.25">
      <c r="B26" s="3874"/>
      <c r="C26" s="3875" t="s">
        <v>4828</v>
      </c>
      <c r="E26" s="3287">
        <v>0</v>
      </c>
      <c r="F26" s="3287">
        <v>0</v>
      </c>
      <c r="G26" s="3287">
        <v>0</v>
      </c>
      <c r="H26" s="3287">
        <v>0</v>
      </c>
      <c r="I26" s="3287">
        <v>0</v>
      </c>
      <c r="J26" s="3287">
        <v>0</v>
      </c>
      <c r="K26" s="3287">
        <v>0</v>
      </c>
      <c r="L26" s="3872"/>
      <c r="M26" s="3872"/>
    </row>
    <row r="27" spans="2:13" s="3526" customFormat="1" ht="36.75" customHeight="1" x14ac:dyDescent="0.25">
      <c r="B27" s="3873"/>
      <c r="C27" s="3278" t="s">
        <v>858</v>
      </c>
      <c r="E27" s="3282">
        <v>0</v>
      </c>
      <c r="F27" s="3282">
        <v>0</v>
      </c>
      <c r="G27" s="3282">
        <v>0</v>
      </c>
      <c r="H27" s="3282">
        <v>0</v>
      </c>
      <c r="I27" s="3282">
        <v>0</v>
      </c>
      <c r="J27" s="3282">
        <v>0</v>
      </c>
      <c r="K27" s="3282">
        <v>0</v>
      </c>
      <c r="L27" s="3872"/>
      <c r="M27" s="3872"/>
    </row>
    <row r="28" spans="2:13" s="3526" customFormat="1" ht="22.5" hidden="1" customHeight="1" x14ac:dyDescent="0.25">
      <c r="B28" s="3874"/>
      <c r="C28" s="3875" t="s">
        <v>928</v>
      </c>
      <c r="E28" s="3287">
        <v>0</v>
      </c>
      <c r="F28" s="3287">
        <v>0</v>
      </c>
      <c r="G28" s="3287">
        <v>0</v>
      </c>
      <c r="H28" s="3287">
        <v>0</v>
      </c>
      <c r="I28" s="3287">
        <v>0</v>
      </c>
      <c r="J28" s="3287">
        <v>0</v>
      </c>
      <c r="K28" s="3287">
        <v>0</v>
      </c>
      <c r="L28" s="3872"/>
      <c r="M28" s="3872"/>
    </row>
    <row r="29" spans="2:13" s="3526" customFormat="1" ht="36.75" hidden="1" customHeight="1" x14ac:dyDescent="0.25">
      <c r="B29" s="3873"/>
      <c r="C29" s="3278" t="s">
        <v>855</v>
      </c>
      <c r="E29" s="3282">
        <v>0</v>
      </c>
      <c r="F29" s="3282">
        <v>0</v>
      </c>
      <c r="G29" s="3282">
        <v>0</v>
      </c>
      <c r="H29" s="3282">
        <v>0</v>
      </c>
      <c r="I29" s="3282">
        <v>0</v>
      </c>
      <c r="J29" s="3282">
        <v>0</v>
      </c>
      <c r="K29" s="3282">
        <v>0</v>
      </c>
      <c r="L29" s="3872"/>
      <c r="M29" s="3872"/>
    </row>
    <row r="30" spans="2:13" s="3526" customFormat="1" ht="36.75" hidden="1" customHeight="1" x14ac:dyDescent="0.25">
      <c r="B30" s="3527" t="s">
        <v>1776</v>
      </c>
      <c r="C30" s="3870" t="s">
        <v>1472</v>
      </c>
      <c r="E30" s="3871">
        <v>0</v>
      </c>
      <c r="F30" s="3871">
        <v>0</v>
      </c>
      <c r="G30" s="3871">
        <v>0</v>
      </c>
      <c r="H30" s="3871">
        <v>0</v>
      </c>
      <c r="I30" s="3871">
        <v>0</v>
      </c>
      <c r="J30" s="3871">
        <v>0</v>
      </c>
      <c r="K30" s="3871">
        <v>0</v>
      </c>
      <c r="L30" s="3872"/>
      <c r="M30" s="3872"/>
    </row>
    <row r="31" spans="2:13" s="3526" customFormat="1" ht="36.75" hidden="1" customHeight="1" x14ac:dyDescent="0.25">
      <c r="B31" s="3873" t="s">
        <v>174</v>
      </c>
      <c r="C31" s="3278" t="s">
        <v>4831</v>
      </c>
      <c r="E31" s="3282">
        <v>0</v>
      </c>
      <c r="F31" s="3282">
        <v>0</v>
      </c>
      <c r="G31" s="3282">
        <v>0</v>
      </c>
      <c r="H31" s="3282">
        <v>0</v>
      </c>
      <c r="I31" s="3282">
        <v>0</v>
      </c>
      <c r="J31" s="3282">
        <v>0</v>
      </c>
      <c r="K31" s="3282">
        <v>0</v>
      </c>
      <c r="L31" s="3872"/>
      <c r="M31" s="3872"/>
    </row>
    <row r="32" spans="2:13" s="3526" customFormat="1" ht="36.75" hidden="1" customHeight="1" x14ac:dyDescent="0.25">
      <c r="B32" s="3873" t="s">
        <v>796</v>
      </c>
      <c r="C32" s="3278" t="s">
        <v>4832</v>
      </c>
      <c r="E32" s="3282">
        <v>0</v>
      </c>
      <c r="F32" s="3282">
        <v>0</v>
      </c>
      <c r="G32" s="3282">
        <v>0</v>
      </c>
      <c r="H32" s="3282">
        <v>0</v>
      </c>
      <c r="I32" s="3282">
        <v>0</v>
      </c>
      <c r="J32" s="3282">
        <v>0</v>
      </c>
      <c r="K32" s="3282">
        <v>0</v>
      </c>
      <c r="L32" s="3872"/>
      <c r="M32" s="3872"/>
    </row>
    <row r="33" spans="2:13" s="3526" customFormat="1" ht="36.75" hidden="1" customHeight="1" x14ac:dyDescent="0.25">
      <c r="B33" s="3873"/>
      <c r="C33" s="3278" t="s">
        <v>853</v>
      </c>
      <c r="E33" s="3282">
        <v>0</v>
      </c>
      <c r="F33" s="3282">
        <v>0</v>
      </c>
      <c r="G33" s="3282">
        <v>0</v>
      </c>
      <c r="H33" s="3282">
        <v>0</v>
      </c>
      <c r="I33" s="3282">
        <v>0</v>
      </c>
      <c r="J33" s="3282">
        <v>0</v>
      </c>
      <c r="K33" s="3282">
        <v>0</v>
      </c>
      <c r="L33" s="3872"/>
      <c r="M33" s="3872"/>
    </row>
    <row r="34" spans="2:13" s="3526" customFormat="1" ht="51.75" hidden="1" customHeight="1" x14ac:dyDescent="0.25">
      <c r="B34" s="3874"/>
      <c r="C34" s="3875" t="s">
        <v>857</v>
      </c>
      <c r="E34" s="3287">
        <v>0</v>
      </c>
      <c r="F34" s="3287">
        <v>0</v>
      </c>
      <c r="G34" s="3287">
        <v>0</v>
      </c>
      <c r="H34" s="3287">
        <v>0</v>
      </c>
      <c r="I34" s="3287">
        <v>0</v>
      </c>
      <c r="J34" s="3287">
        <v>0</v>
      </c>
      <c r="K34" s="3287">
        <v>0</v>
      </c>
      <c r="L34" s="3872"/>
      <c r="M34" s="3872"/>
    </row>
    <row r="35" spans="2:13" s="3526" customFormat="1" ht="36.75" customHeight="1" x14ac:dyDescent="0.25">
      <c r="B35" s="3873"/>
      <c r="C35" s="3278" t="s">
        <v>858</v>
      </c>
      <c r="E35" s="3282">
        <v>0</v>
      </c>
      <c r="F35" s="3282">
        <v>0</v>
      </c>
      <c r="G35" s="3282">
        <v>0</v>
      </c>
      <c r="H35" s="3282">
        <v>0</v>
      </c>
      <c r="I35" s="3282">
        <v>0</v>
      </c>
      <c r="J35" s="3282">
        <v>0</v>
      </c>
      <c r="K35" s="3282">
        <v>0</v>
      </c>
      <c r="L35" s="3872"/>
      <c r="M35" s="3872"/>
    </row>
    <row r="36" spans="2:13" s="3526" customFormat="1" ht="36.75" customHeight="1" x14ac:dyDescent="0.25">
      <c r="B36" s="3874"/>
      <c r="C36" s="3875" t="s">
        <v>734</v>
      </c>
      <c r="E36" s="3287">
        <v>0</v>
      </c>
      <c r="F36" s="3287">
        <v>0</v>
      </c>
      <c r="G36" s="3287">
        <v>0</v>
      </c>
      <c r="H36" s="3287">
        <v>0</v>
      </c>
      <c r="I36" s="3287">
        <v>0</v>
      </c>
      <c r="J36" s="3287">
        <v>0</v>
      </c>
      <c r="K36" s="3287">
        <v>0</v>
      </c>
      <c r="L36" s="3872"/>
      <c r="M36" s="3872"/>
    </row>
    <row r="37" spans="2:13" s="3526" customFormat="1" ht="25.5" hidden="1" customHeight="1" x14ac:dyDescent="0.25">
      <c r="B37" s="3873"/>
      <c r="C37" s="3278" t="s">
        <v>854</v>
      </c>
      <c r="E37" s="3282">
        <v>0</v>
      </c>
      <c r="F37" s="3282">
        <v>0</v>
      </c>
      <c r="G37" s="3282">
        <v>0</v>
      </c>
      <c r="H37" s="3282">
        <v>0</v>
      </c>
      <c r="I37" s="3282">
        <v>0</v>
      </c>
      <c r="J37" s="3282">
        <v>0</v>
      </c>
      <c r="K37" s="3282">
        <v>0</v>
      </c>
      <c r="L37" s="3872"/>
      <c r="M37" s="3872"/>
    </row>
    <row r="38" spans="2:13" s="3526" customFormat="1" ht="36.75" hidden="1" customHeight="1" x14ac:dyDescent="0.25">
      <c r="B38" s="3874"/>
      <c r="C38" s="3875" t="s">
        <v>4833</v>
      </c>
      <c r="E38" s="3287">
        <v>0</v>
      </c>
      <c r="F38" s="3287">
        <v>0</v>
      </c>
      <c r="G38" s="3287">
        <v>0</v>
      </c>
      <c r="H38" s="3287">
        <v>0</v>
      </c>
      <c r="I38" s="3287">
        <v>0</v>
      </c>
      <c r="J38" s="3287">
        <v>0</v>
      </c>
      <c r="K38" s="3287">
        <v>0</v>
      </c>
      <c r="L38" s="3872"/>
      <c r="M38" s="3872"/>
    </row>
    <row r="39" spans="2:13" s="3526" customFormat="1" ht="36.75" customHeight="1" x14ac:dyDescent="0.25">
      <c r="B39" s="3874"/>
      <c r="C39" s="3875" t="s">
        <v>4834</v>
      </c>
      <c r="E39" s="3287">
        <v>0</v>
      </c>
      <c r="F39" s="3287">
        <v>0</v>
      </c>
      <c r="G39" s="3287">
        <v>0</v>
      </c>
      <c r="H39" s="3287">
        <v>0</v>
      </c>
      <c r="I39" s="3287">
        <v>0</v>
      </c>
      <c r="J39" s="3287">
        <v>0</v>
      </c>
      <c r="K39" s="3287">
        <v>0</v>
      </c>
      <c r="L39" s="3872"/>
      <c r="M39" s="3872"/>
    </row>
    <row r="40" spans="2:13" s="3526" customFormat="1" ht="24" customHeight="1" x14ac:dyDescent="0.25">
      <c r="B40" s="3873"/>
      <c r="C40" s="3278" t="s">
        <v>855</v>
      </c>
      <c r="E40" s="3282">
        <v>0</v>
      </c>
      <c r="F40" s="3282">
        <v>0</v>
      </c>
      <c r="G40" s="3282">
        <v>0</v>
      </c>
      <c r="H40" s="3282">
        <v>0</v>
      </c>
      <c r="I40" s="3282">
        <v>0</v>
      </c>
      <c r="J40" s="3282">
        <v>0</v>
      </c>
      <c r="K40" s="3282">
        <v>0</v>
      </c>
      <c r="L40" s="3872"/>
      <c r="M40" s="3872"/>
    </row>
    <row r="41" spans="2:13" s="3526" customFormat="1" ht="24" customHeight="1" x14ac:dyDescent="0.25">
      <c r="B41" s="3874"/>
      <c r="C41" s="3875" t="s">
        <v>856</v>
      </c>
      <c r="E41" s="3287">
        <v>0</v>
      </c>
      <c r="F41" s="3287">
        <v>0</v>
      </c>
      <c r="G41" s="3287">
        <v>0</v>
      </c>
      <c r="H41" s="3287">
        <v>0</v>
      </c>
      <c r="I41" s="3287">
        <v>0</v>
      </c>
      <c r="J41" s="3287">
        <v>0</v>
      </c>
      <c r="K41" s="3287">
        <v>0</v>
      </c>
      <c r="L41" s="3872"/>
      <c r="M41" s="3872"/>
    </row>
    <row r="42" spans="2:13" s="3526" customFormat="1" ht="24" customHeight="1" x14ac:dyDescent="0.25">
      <c r="B42" s="3527" t="s">
        <v>509</v>
      </c>
      <c r="C42" s="3870" t="s">
        <v>859</v>
      </c>
      <c r="E42" s="3871">
        <v>3551000</v>
      </c>
      <c r="F42" s="3871">
        <v>3551000</v>
      </c>
      <c r="G42" s="3871">
        <v>4358768</v>
      </c>
      <c r="H42" s="3871">
        <v>0</v>
      </c>
      <c r="I42" s="3871">
        <v>4358768</v>
      </c>
      <c r="J42" s="3871">
        <v>4358768</v>
      </c>
      <c r="K42" s="3871">
        <v>0</v>
      </c>
      <c r="L42" s="3872">
        <f t="shared" si="1"/>
        <v>1.2274762038862292</v>
      </c>
      <c r="M42" s="3872">
        <f t="shared" si="2"/>
        <v>1.2274762038862292</v>
      </c>
    </row>
    <row r="43" spans="2:13" s="3526" customFormat="1" ht="24" hidden="1" customHeight="1" x14ac:dyDescent="0.25">
      <c r="B43" s="3873"/>
      <c r="C43" s="3278" t="s">
        <v>853</v>
      </c>
      <c r="E43" s="3282">
        <v>1720000</v>
      </c>
      <c r="F43" s="3282">
        <v>1720000</v>
      </c>
      <c r="G43" s="3282">
        <v>2198687</v>
      </c>
      <c r="H43" s="3282">
        <v>0</v>
      </c>
      <c r="I43" s="3282">
        <v>2198687</v>
      </c>
      <c r="J43" s="3282">
        <v>2198687</v>
      </c>
      <c r="K43" s="3282">
        <v>0</v>
      </c>
      <c r="L43" s="3872">
        <f t="shared" si="1"/>
        <v>1.2783063953488372</v>
      </c>
      <c r="M43" s="3872">
        <f t="shared" si="2"/>
        <v>1.2783063953488372</v>
      </c>
    </row>
    <row r="44" spans="2:13" s="3526" customFormat="1" ht="24" customHeight="1" x14ac:dyDescent="0.25">
      <c r="B44" s="3873"/>
      <c r="C44" s="3278" t="s">
        <v>858</v>
      </c>
      <c r="E44" s="3282">
        <v>3000</v>
      </c>
      <c r="F44" s="3282">
        <v>3000</v>
      </c>
      <c r="G44" s="3282">
        <v>3620</v>
      </c>
      <c r="H44" s="3282">
        <v>0</v>
      </c>
      <c r="I44" s="3282">
        <v>3620</v>
      </c>
      <c r="J44" s="3282">
        <v>3620</v>
      </c>
      <c r="K44" s="3282">
        <v>0</v>
      </c>
      <c r="L44" s="3872">
        <f t="shared" si="1"/>
        <v>1.2066666666666668</v>
      </c>
      <c r="M44" s="3872">
        <f t="shared" si="2"/>
        <v>1.2066666666666668</v>
      </c>
    </row>
    <row r="45" spans="2:13" s="3526" customFormat="1" ht="24" hidden="1" customHeight="1" x14ac:dyDescent="0.25">
      <c r="B45" s="3874"/>
      <c r="C45" s="3875" t="s">
        <v>928</v>
      </c>
      <c r="E45" s="3287">
        <v>0</v>
      </c>
      <c r="F45" s="3287">
        <v>0</v>
      </c>
      <c r="G45" s="3287">
        <v>0</v>
      </c>
      <c r="H45" s="3287">
        <v>0</v>
      </c>
      <c r="I45" s="3287">
        <v>0</v>
      </c>
      <c r="J45" s="3287">
        <v>0</v>
      </c>
      <c r="K45" s="3287">
        <v>0</v>
      </c>
      <c r="L45" s="3872"/>
      <c r="M45" s="3872"/>
    </row>
    <row r="46" spans="2:13" s="3526" customFormat="1" ht="24" hidden="1" customHeight="1" x14ac:dyDescent="0.25">
      <c r="B46" s="3873"/>
      <c r="C46" s="3278" t="s">
        <v>854</v>
      </c>
      <c r="E46" s="3282">
        <v>28000</v>
      </c>
      <c r="F46" s="3282">
        <v>28000</v>
      </c>
      <c r="G46" s="3282">
        <v>263714</v>
      </c>
      <c r="H46" s="3282">
        <v>0</v>
      </c>
      <c r="I46" s="3282">
        <v>263714</v>
      </c>
      <c r="J46" s="3282">
        <v>263714</v>
      </c>
      <c r="K46" s="3282">
        <v>0</v>
      </c>
      <c r="L46" s="3872">
        <f t="shared" si="1"/>
        <v>9.4183571428571433</v>
      </c>
      <c r="M46" s="3872">
        <f t="shared" si="2"/>
        <v>9.4183571428571433</v>
      </c>
    </row>
    <row r="47" spans="2:13" s="3526" customFormat="1" ht="24" customHeight="1" x14ac:dyDescent="0.25">
      <c r="B47" s="3873"/>
      <c r="C47" s="3278" t="s">
        <v>855</v>
      </c>
      <c r="E47" s="3282">
        <v>1800000</v>
      </c>
      <c r="F47" s="3282">
        <v>1800000</v>
      </c>
      <c r="G47" s="3282">
        <v>1892747</v>
      </c>
      <c r="H47" s="3282">
        <v>0</v>
      </c>
      <c r="I47" s="3282">
        <v>1892747</v>
      </c>
      <c r="J47" s="3282">
        <v>1892747</v>
      </c>
      <c r="K47" s="3282">
        <v>0</v>
      </c>
      <c r="L47" s="3872">
        <f t="shared" si="1"/>
        <v>1.0515261111111112</v>
      </c>
      <c r="M47" s="3872">
        <f t="shared" si="2"/>
        <v>1.0515261111111112</v>
      </c>
    </row>
    <row r="48" spans="2:13" s="3526" customFormat="1" ht="24" customHeight="1" x14ac:dyDescent="0.25">
      <c r="B48" s="3527" t="s">
        <v>1782</v>
      </c>
      <c r="C48" s="3870" t="s">
        <v>862</v>
      </c>
      <c r="E48" s="3871">
        <v>615000</v>
      </c>
      <c r="F48" s="3871">
        <v>615000</v>
      </c>
      <c r="G48" s="3871">
        <v>903257</v>
      </c>
      <c r="H48" s="3871">
        <v>0</v>
      </c>
      <c r="I48" s="3871">
        <v>903257</v>
      </c>
      <c r="J48" s="3871">
        <v>903257</v>
      </c>
      <c r="K48" s="3871">
        <v>0</v>
      </c>
      <c r="L48" s="3872">
        <f t="shared" si="1"/>
        <v>1.468710569105691</v>
      </c>
      <c r="M48" s="3872">
        <f t="shared" si="2"/>
        <v>1.468710569105691</v>
      </c>
    </row>
    <row r="49" spans="2:13" s="3526" customFormat="1" ht="36.75" customHeight="1" x14ac:dyDescent="0.25">
      <c r="B49" s="3527" t="s">
        <v>1783</v>
      </c>
      <c r="C49" s="3870" t="s">
        <v>875</v>
      </c>
      <c r="E49" s="3871">
        <v>0</v>
      </c>
      <c r="F49" s="3871">
        <v>0</v>
      </c>
      <c r="G49" s="3871">
        <v>0</v>
      </c>
      <c r="H49" s="3871">
        <v>0</v>
      </c>
      <c r="I49" s="3871">
        <v>0</v>
      </c>
      <c r="J49" s="3871">
        <v>0</v>
      </c>
      <c r="K49" s="3871">
        <v>0</v>
      </c>
      <c r="L49" s="3872"/>
      <c r="M49" s="3872"/>
    </row>
    <row r="50" spans="2:13" s="3526" customFormat="1" ht="24" customHeight="1" x14ac:dyDescent="0.25">
      <c r="B50" s="3527" t="s">
        <v>3660</v>
      </c>
      <c r="C50" s="3870" t="s">
        <v>874</v>
      </c>
      <c r="E50" s="3871">
        <v>11000</v>
      </c>
      <c r="F50" s="3871">
        <v>11000</v>
      </c>
      <c r="G50" s="3871">
        <v>12397</v>
      </c>
      <c r="H50" s="3871">
        <v>0</v>
      </c>
      <c r="I50" s="3871">
        <v>12397</v>
      </c>
      <c r="J50" s="3871">
        <v>12397</v>
      </c>
      <c r="K50" s="3871">
        <v>0</v>
      </c>
      <c r="L50" s="3872">
        <f t="shared" si="1"/>
        <v>1.127</v>
      </c>
      <c r="M50" s="3872">
        <f t="shared" si="2"/>
        <v>1.127</v>
      </c>
    </row>
    <row r="51" spans="2:13" s="3526" customFormat="1" ht="24" customHeight="1" x14ac:dyDescent="0.25">
      <c r="B51" s="3527" t="s">
        <v>1784</v>
      </c>
      <c r="C51" s="3870" t="s">
        <v>860</v>
      </c>
      <c r="E51" s="3871">
        <v>667000</v>
      </c>
      <c r="F51" s="3871">
        <v>667000</v>
      </c>
      <c r="G51" s="3871">
        <v>603460</v>
      </c>
      <c r="H51" s="3871">
        <v>0</v>
      </c>
      <c r="I51" s="3871">
        <v>603460</v>
      </c>
      <c r="J51" s="3871">
        <v>603460</v>
      </c>
      <c r="K51" s="3871">
        <v>0</v>
      </c>
      <c r="L51" s="3872">
        <f t="shared" si="1"/>
        <v>0.90473763118440775</v>
      </c>
      <c r="M51" s="3872">
        <f t="shared" si="2"/>
        <v>0.90473763118440775</v>
      </c>
    </row>
    <row r="52" spans="2:13" s="3526" customFormat="1" ht="24" hidden="1" customHeight="1" x14ac:dyDescent="0.25">
      <c r="B52" s="3527" t="s">
        <v>1785</v>
      </c>
      <c r="C52" s="3870" t="s">
        <v>861</v>
      </c>
      <c r="E52" s="3871">
        <v>0</v>
      </c>
      <c r="F52" s="3871">
        <v>0</v>
      </c>
      <c r="G52" s="3871">
        <v>0</v>
      </c>
      <c r="H52" s="3871">
        <v>0</v>
      </c>
      <c r="I52" s="3871">
        <v>0</v>
      </c>
      <c r="J52" s="3871">
        <v>0</v>
      </c>
      <c r="K52" s="3871">
        <v>0</v>
      </c>
      <c r="L52" s="3872"/>
      <c r="M52" s="3872"/>
    </row>
    <row r="53" spans="2:13" s="3526" customFormat="1" ht="24" hidden="1" customHeight="1" x14ac:dyDescent="0.25">
      <c r="B53" s="3527" t="s">
        <v>1521</v>
      </c>
      <c r="C53" s="3870" t="s">
        <v>4835</v>
      </c>
      <c r="E53" s="3871">
        <v>694000</v>
      </c>
      <c r="F53" s="3871">
        <v>694000</v>
      </c>
      <c r="G53" s="3871">
        <v>52331</v>
      </c>
      <c r="H53" s="3871">
        <v>7094</v>
      </c>
      <c r="I53" s="3871">
        <v>45237</v>
      </c>
      <c r="J53" s="3871">
        <v>45237</v>
      </c>
      <c r="K53" s="3871">
        <v>0</v>
      </c>
      <c r="L53" s="3872">
        <f t="shared" si="1"/>
        <v>7.5404899135446679E-2</v>
      </c>
      <c r="M53" s="3872">
        <f t="shared" si="2"/>
        <v>7.5404899135446679E-2</v>
      </c>
    </row>
    <row r="54" spans="2:13" s="3526" customFormat="1" ht="27" customHeight="1" x14ac:dyDescent="0.25">
      <c r="B54" s="3873"/>
      <c r="C54" s="3278" t="s">
        <v>4836</v>
      </c>
      <c r="E54" s="3282">
        <v>0</v>
      </c>
      <c r="F54" s="3282">
        <v>0</v>
      </c>
      <c r="G54" s="3282">
        <v>7094</v>
      </c>
      <c r="H54" s="3282">
        <v>7094</v>
      </c>
      <c r="I54" s="3282">
        <v>0</v>
      </c>
      <c r="J54" s="3282">
        <v>0</v>
      </c>
      <c r="K54" s="3282">
        <v>0</v>
      </c>
      <c r="L54" s="3872"/>
      <c r="M54" s="3872"/>
    </row>
    <row r="55" spans="2:13" s="3526" customFormat="1" ht="51" customHeight="1" x14ac:dyDescent="0.25">
      <c r="B55" s="3873"/>
      <c r="C55" s="3278" t="s">
        <v>4837</v>
      </c>
      <c r="E55" s="3282">
        <v>0</v>
      </c>
      <c r="F55" s="3282">
        <v>0</v>
      </c>
      <c r="G55" s="3282">
        <v>0</v>
      </c>
      <c r="H55" s="3282">
        <v>0</v>
      </c>
      <c r="I55" s="3282">
        <v>0</v>
      </c>
      <c r="J55" s="3282">
        <v>0</v>
      </c>
      <c r="K55" s="3282">
        <v>0</v>
      </c>
      <c r="L55" s="3872"/>
      <c r="M55" s="3872"/>
    </row>
    <row r="56" spans="2:13" s="3526" customFormat="1" ht="40.5" customHeight="1" x14ac:dyDescent="0.25">
      <c r="B56" s="3873"/>
      <c r="C56" s="3278" t="s">
        <v>4838</v>
      </c>
      <c r="E56" s="3282">
        <v>694000</v>
      </c>
      <c r="F56" s="3282">
        <v>694000</v>
      </c>
      <c r="G56" s="3282">
        <v>45237</v>
      </c>
      <c r="H56" s="3282">
        <v>0</v>
      </c>
      <c r="I56" s="3282">
        <v>45237</v>
      </c>
      <c r="J56" s="3282">
        <v>45237</v>
      </c>
      <c r="K56" s="3282">
        <v>0</v>
      </c>
      <c r="L56" s="3872">
        <f t="shared" si="1"/>
        <v>6.5182997118155617E-2</v>
      </c>
      <c r="M56" s="3872">
        <f t="shared" si="2"/>
        <v>6.5182997118155617E-2</v>
      </c>
    </row>
    <row r="57" spans="2:13" s="3526" customFormat="1" ht="50.25" customHeight="1" x14ac:dyDescent="0.25">
      <c r="B57" s="3874"/>
      <c r="C57" s="3875" t="s">
        <v>4839</v>
      </c>
      <c r="E57" s="3287">
        <v>0</v>
      </c>
      <c r="F57" s="3287">
        <v>0</v>
      </c>
      <c r="G57" s="3287">
        <v>0</v>
      </c>
      <c r="H57" s="3287">
        <v>0</v>
      </c>
      <c r="I57" s="3287">
        <v>0</v>
      </c>
      <c r="J57" s="3287">
        <v>0</v>
      </c>
      <c r="K57" s="3287">
        <v>0</v>
      </c>
      <c r="L57" s="3872"/>
      <c r="M57" s="3872"/>
    </row>
    <row r="58" spans="2:13" s="3526" customFormat="1" ht="27" customHeight="1" x14ac:dyDescent="0.25">
      <c r="B58" s="3874"/>
      <c r="C58" s="3875" t="s">
        <v>4840</v>
      </c>
      <c r="E58" s="3287">
        <v>0</v>
      </c>
      <c r="F58" s="3287">
        <v>0</v>
      </c>
      <c r="G58" s="3287">
        <v>0</v>
      </c>
      <c r="H58" s="3287">
        <v>0</v>
      </c>
      <c r="I58" s="3287">
        <v>0</v>
      </c>
      <c r="J58" s="3287">
        <v>0</v>
      </c>
      <c r="K58" s="3287">
        <v>0</v>
      </c>
      <c r="L58" s="3872"/>
      <c r="M58" s="3872"/>
    </row>
    <row r="59" spans="2:13" s="3526" customFormat="1" ht="24" hidden="1" customHeight="1" x14ac:dyDescent="0.25">
      <c r="B59" s="3874"/>
      <c r="C59" s="3875" t="s">
        <v>4841</v>
      </c>
      <c r="E59" s="3287">
        <v>0</v>
      </c>
      <c r="F59" s="3287">
        <v>0</v>
      </c>
      <c r="G59" s="3287">
        <v>0</v>
      </c>
      <c r="H59" s="3287">
        <v>0</v>
      </c>
      <c r="I59" s="3287">
        <v>0</v>
      </c>
      <c r="J59" s="3287">
        <v>0</v>
      </c>
      <c r="K59" s="3287">
        <v>0</v>
      </c>
      <c r="L59" s="3872"/>
      <c r="M59" s="3872"/>
    </row>
    <row r="60" spans="2:13" s="3526" customFormat="1" ht="24" hidden="1" customHeight="1" x14ac:dyDescent="0.25">
      <c r="B60" s="3874"/>
      <c r="C60" s="3875" t="s">
        <v>4842</v>
      </c>
      <c r="E60" s="3287">
        <v>0</v>
      </c>
      <c r="F60" s="3287">
        <v>0</v>
      </c>
      <c r="G60" s="3287">
        <v>0</v>
      </c>
      <c r="H60" s="3287">
        <v>0</v>
      </c>
      <c r="I60" s="3287">
        <v>0</v>
      </c>
      <c r="J60" s="3287">
        <v>0</v>
      </c>
      <c r="K60" s="3287">
        <v>0</v>
      </c>
      <c r="L60" s="3872"/>
      <c r="M60" s="3872"/>
    </row>
    <row r="61" spans="2:13" s="3526" customFormat="1" ht="24" hidden="1" customHeight="1" x14ac:dyDescent="0.25">
      <c r="B61" s="3527" t="s">
        <v>1522</v>
      </c>
      <c r="C61" s="3870" t="s">
        <v>735</v>
      </c>
      <c r="E61" s="3871">
        <v>116315000</v>
      </c>
      <c r="F61" s="3871">
        <v>116315000</v>
      </c>
      <c r="G61" s="3871">
        <v>2135915</v>
      </c>
      <c r="H61" s="3871">
        <v>0</v>
      </c>
      <c r="I61" s="3871">
        <v>2135915</v>
      </c>
      <c r="J61" s="3871">
        <v>2135915</v>
      </c>
      <c r="K61" s="3871">
        <v>0</v>
      </c>
      <c r="L61" s="3872">
        <f t="shared" si="1"/>
        <v>1.83631947728152E-2</v>
      </c>
      <c r="M61" s="3872">
        <f t="shared" si="2"/>
        <v>1.83631947728152E-2</v>
      </c>
    </row>
    <row r="62" spans="2:13" s="3526" customFormat="1" ht="24" hidden="1" customHeight="1" x14ac:dyDescent="0.25">
      <c r="B62" s="3874"/>
      <c r="C62" s="3875" t="s">
        <v>736</v>
      </c>
      <c r="E62" s="3287">
        <v>0</v>
      </c>
      <c r="F62" s="3287">
        <v>0</v>
      </c>
      <c r="G62" s="3287">
        <v>0</v>
      </c>
      <c r="H62" s="3287">
        <v>0</v>
      </c>
      <c r="I62" s="3287">
        <v>0</v>
      </c>
      <c r="J62" s="3287">
        <v>0</v>
      </c>
      <c r="K62" s="3287">
        <v>0</v>
      </c>
      <c r="L62" s="3872"/>
      <c r="M62" s="3872"/>
    </row>
    <row r="63" spans="2:13" s="3526" customFormat="1" ht="24" hidden="1" customHeight="1" x14ac:dyDescent="0.25">
      <c r="B63" s="3874"/>
      <c r="C63" s="3875" t="s">
        <v>4843</v>
      </c>
      <c r="E63" s="3287">
        <v>0</v>
      </c>
      <c r="F63" s="3287">
        <v>0</v>
      </c>
      <c r="G63" s="3287">
        <v>0</v>
      </c>
      <c r="H63" s="3287">
        <v>0</v>
      </c>
      <c r="I63" s="3287">
        <v>0</v>
      </c>
      <c r="J63" s="3287">
        <v>0</v>
      </c>
      <c r="K63" s="3287">
        <v>0</v>
      </c>
      <c r="L63" s="3872"/>
      <c r="M63" s="3872"/>
    </row>
    <row r="64" spans="2:13" s="3526" customFormat="1" ht="24" hidden="1" customHeight="1" x14ac:dyDescent="0.25">
      <c r="B64" s="3874"/>
      <c r="C64" s="3875" t="s">
        <v>737</v>
      </c>
      <c r="E64" s="3287">
        <v>0</v>
      </c>
      <c r="F64" s="3287">
        <v>0</v>
      </c>
      <c r="G64" s="3287">
        <v>2135915</v>
      </c>
      <c r="H64" s="3287">
        <v>0</v>
      </c>
      <c r="I64" s="3287">
        <v>2135915</v>
      </c>
      <c r="J64" s="3287">
        <v>2135915</v>
      </c>
      <c r="K64" s="3287">
        <v>0</v>
      </c>
      <c r="L64" s="3872"/>
      <c r="M64" s="3872"/>
    </row>
    <row r="65" spans="2:13" s="3526" customFormat="1" ht="24" hidden="1" customHeight="1" x14ac:dyDescent="0.25">
      <c r="B65" s="3874"/>
      <c r="C65" s="3875" t="s">
        <v>4844</v>
      </c>
      <c r="E65" s="3287">
        <v>0</v>
      </c>
      <c r="F65" s="3287">
        <v>0</v>
      </c>
      <c r="G65" s="3287">
        <v>0</v>
      </c>
      <c r="H65" s="3287">
        <v>0</v>
      </c>
      <c r="I65" s="3287">
        <v>0</v>
      </c>
      <c r="J65" s="3287">
        <v>0</v>
      </c>
      <c r="K65" s="3287">
        <v>0</v>
      </c>
      <c r="L65" s="3872"/>
      <c r="M65" s="3872"/>
    </row>
    <row r="66" spans="2:13" s="3526" customFormat="1" ht="24" hidden="1" customHeight="1" x14ac:dyDescent="0.25">
      <c r="B66" s="3527" t="s">
        <v>738</v>
      </c>
      <c r="C66" s="3870" t="s">
        <v>4845</v>
      </c>
      <c r="E66" s="3871">
        <v>0</v>
      </c>
      <c r="F66" s="3871">
        <v>0</v>
      </c>
      <c r="G66" s="3871">
        <v>0</v>
      </c>
      <c r="H66" s="3871">
        <v>0</v>
      </c>
      <c r="I66" s="3871">
        <v>0</v>
      </c>
      <c r="J66" s="3871">
        <v>0</v>
      </c>
      <c r="K66" s="3871">
        <v>0</v>
      </c>
      <c r="L66" s="3872"/>
      <c r="M66" s="3872"/>
    </row>
    <row r="67" spans="2:13" s="3526" customFormat="1" ht="24" hidden="1" customHeight="1" x14ac:dyDescent="0.25">
      <c r="B67" s="3874"/>
      <c r="C67" s="3875" t="s">
        <v>4833</v>
      </c>
      <c r="E67" s="3287">
        <v>0</v>
      </c>
      <c r="F67" s="3287">
        <v>0</v>
      </c>
      <c r="G67" s="3287">
        <v>0</v>
      </c>
      <c r="H67" s="3287">
        <v>0</v>
      </c>
      <c r="I67" s="3287">
        <v>0</v>
      </c>
      <c r="J67" s="3287">
        <v>0</v>
      </c>
      <c r="K67" s="3287">
        <v>0</v>
      </c>
      <c r="L67" s="3872"/>
      <c r="M67" s="3872"/>
    </row>
    <row r="68" spans="2:13" s="3526" customFormat="1" ht="24" hidden="1" customHeight="1" x14ac:dyDescent="0.25">
      <c r="B68" s="3874"/>
      <c r="C68" s="3875" t="s">
        <v>4846</v>
      </c>
      <c r="E68" s="3287">
        <v>0</v>
      </c>
      <c r="F68" s="3287">
        <v>0</v>
      </c>
      <c r="G68" s="3287">
        <v>0</v>
      </c>
      <c r="H68" s="3287">
        <v>0</v>
      </c>
      <c r="I68" s="3287">
        <v>0</v>
      </c>
      <c r="J68" s="3287">
        <v>0</v>
      </c>
      <c r="K68" s="3287">
        <v>0</v>
      </c>
      <c r="L68" s="3872"/>
      <c r="M68" s="3872"/>
    </row>
    <row r="69" spans="2:13" s="3526" customFormat="1" ht="24" hidden="1" customHeight="1" x14ac:dyDescent="0.25">
      <c r="B69" s="3874"/>
      <c r="C69" s="3875" t="s">
        <v>4843</v>
      </c>
      <c r="E69" s="3287">
        <v>0</v>
      </c>
      <c r="F69" s="3287">
        <v>0</v>
      </c>
      <c r="G69" s="3287">
        <v>0</v>
      </c>
      <c r="H69" s="3287">
        <v>0</v>
      </c>
      <c r="I69" s="3287">
        <v>0</v>
      </c>
      <c r="J69" s="3287">
        <v>0</v>
      </c>
      <c r="K69" s="3287">
        <v>0</v>
      </c>
      <c r="L69" s="3872"/>
      <c r="M69" s="3872"/>
    </row>
    <row r="70" spans="2:13" s="3526" customFormat="1" ht="24" hidden="1" customHeight="1" x14ac:dyDescent="0.25">
      <c r="B70" s="3874"/>
      <c r="C70" s="3875" t="s">
        <v>4844</v>
      </c>
      <c r="E70" s="3287">
        <v>0</v>
      </c>
      <c r="F70" s="3287">
        <v>0</v>
      </c>
      <c r="G70" s="3287">
        <v>0</v>
      </c>
      <c r="H70" s="3287">
        <v>0</v>
      </c>
      <c r="I70" s="3287">
        <v>0</v>
      </c>
      <c r="J70" s="3287">
        <v>0</v>
      </c>
      <c r="K70" s="3287">
        <v>0</v>
      </c>
      <c r="L70" s="3872"/>
      <c r="M70" s="3872"/>
    </row>
    <row r="71" spans="2:13" s="3526" customFormat="1" ht="24" hidden="1" customHeight="1" x14ac:dyDescent="0.25">
      <c r="B71" s="3527" t="s">
        <v>1523</v>
      </c>
      <c r="C71" s="3870" t="s">
        <v>742</v>
      </c>
      <c r="E71" s="3871">
        <v>0</v>
      </c>
      <c r="F71" s="3871">
        <v>0</v>
      </c>
      <c r="G71" s="3871">
        <v>0</v>
      </c>
      <c r="H71" s="3871">
        <v>0</v>
      </c>
      <c r="I71" s="3871">
        <v>0</v>
      </c>
      <c r="J71" s="3871">
        <v>0</v>
      </c>
      <c r="K71" s="3871">
        <v>0</v>
      </c>
      <c r="L71" s="3872"/>
      <c r="M71" s="3872"/>
    </row>
    <row r="72" spans="2:13" s="3526" customFormat="1" ht="24.75" customHeight="1" x14ac:dyDescent="0.25">
      <c r="B72" s="3874"/>
      <c r="C72" s="3875" t="s">
        <v>736</v>
      </c>
      <c r="E72" s="3287">
        <v>0</v>
      </c>
      <c r="F72" s="3287">
        <v>0</v>
      </c>
      <c r="G72" s="3287">
        <v>0</v>
      </c>
      <c r="H72" s="3287">
        <v>0</v>
      </c>
      <c r="I72" s="3287">
        <v>0</v>
      </c>
      <c r="J72" s="3287">
        <v>0</v>
      </c>
      <c r="K72" s="3287">
        <v>0</v>
      </c>
      <c r="L72" s="3872"/>
      <c r="M72" s="3872"/>
    </row>
    <row r="73" spans="2:13" s="3526" customFormat="1" ht="32.25" customHeight="1" x14ac:dyDescent="0.25">
      <c r="B73" s="3874"/>
      <c r="C73" s="3875" t="s">
        <v>737</v>
      </c>
      <c r="E73" s="3287">
        <v>0</v>
      </c>
      <c r="F73" s="3287">
        <v>0</v>
      </c>
      <c r="G73" s="3287">
        <v>0</v>
      </c>
      <c r="H73" s="3287">
        <v>0</v>
      </c>
      <c r="I73" s="3287">
        <v>0</v>
      </c>
      <c r="J73" s="3287">
        <v>0</v>
      </c>
      <c r="K73" s="3287">
        <v>0</v>
      </c>
      <c r="L73" s="3872"/>
      <c r="M73" s="3872"/>
    </row>
    <row r="74" spans="2:13" s="3526" customFormat="1" ht="32.25" customHeight="1" x14ac:dyDescent="0.25">
      <c r="B74" s="3527" t="s">
        <v>1786</v>
      </c>
      <c r="C74" s="3870" t="s">
        <v>4847</v>
      </c>
      <c r="E74" s="3871">
        <v>0</v>
      </c>
      <c r="F74" s="3871">
        <v>0</v>
      </c>
      <c r="G74" s="3871">
        <v>0</v>
      </c>
      <c r="H74" s="3871">
        <v>0</v>
      </c>
      <c r="I74" s="3871">
        <v>0</v>
      </c>
      <c r="J74" s="3871">
        <v>0</v>
      </c>
      <c r="K74" s="3871">
        <v>0</v>
      </c>
      <c r="L74" s="3872"/>
      <c r="M74" s="3872"/>
    </row>
    <row r="75" spans="2:13" s="3526" customFormat="1" ht="24.75" hidden="1" customHeight="1" x14ac:dyDescent="0.25">
      <c r="B75" s="3874"/>
      <c r="C75" s="3875" t="s">
        <v>736</v>
      </c>
      <c r="E75" s="3287">
        <v>0</v>
      </c>
      <c r="F75" s="3287">
        <v>0</v>
      </c>
      <c r="G75" s="3287">
        <v>0</v>
      </c>
      <c r="H75" s="3287">
        <v>0</v>
      </c>
      <c r="I75" s="3287">
        <v>0</v>
      </c>
      <c r="J75" s="3287">
        <v>0</v>
      </c>
      <c r="K75" s="3287">
        <v>0</v>
      </c>
      <c r="L75" s="3872"/>
      <c r="M75" s="3872"/>
    </row>
    <row r="76" spans="2:13" s="3526" customFormat="1" ht="24.75" hidden="1" customHeight="1" x14ac:dyDescent="0.25">
      <c r="B76" s="3874"/>
      <c r="C76" s="3875" t="s">
        <v>737</v>
      </c>
      <c r="E76" s="3287">
        <v>0</v>
      </c>
      <c r="F76" s="3287">
        <v>0</v>
      </c>
      <c r="G76" s="3287">
        <v>0</v>
      </c>
      <c r="H76" s="3287">
        <v>0</v>
      </c>
      <c r="I76" s="3287">
        <v>0</v>
      </c>
      <c r="J76" s="3287">
        <v>0</v>
      </c>
      <c r="K76" s="3287">
        <v>0</v>
      </c>
      <c r="L76" s="3872"/>
      <c r="M76" s="3872"/>
    </row>
    <row r="77" spans="2:13" s="3526" customFormat="1" ht="24.75" hidden="1" customHeight="1" x14ac:dyDescent="0.25">
      <c r="B77" s="3527" t="s">
        <v>1787</v>
      </c>
      <c r="C77" s="3870" t="s">
        <v>4848</v>
      </c>
      <c r="E77" s="3871">
        <v>0</v>
      </c>
      <c r="F77" s="3871">
        <v>0</v>
      </c>
      <c r="G77" s="3871">
        <v>0</v>
      </c>
      <c r="H77" s="3871">
        <v>0</v>
      </c>
      <c r="I77" s="3871">
        <v>0</v>
      </c>
      <c r="J77" s="3871">
        <v>0</v>
      </c>
      <c r="K77" s="3871">
        <v>0</v>
      </c>
      <c r="L77" s="3872"/>
      <c r="M77" s="3872"/>
    </row>
    <row r="78" spans="2:13" s="3526" customFormat="1" ht="24.75" hidden="1" customHeight="1" x14ac:dyDescent="0.25">
      <c r="B78" s="3527" t="s">
        <v>1788</v>
      </c>
      <c r="C78" s="3870" t="s">
        <v>864</v>
      </c>
      <c r="E78" s="3871">
        <v>564000</v>
      </c>
      <c r="F78" s="3871">
        <v>564000</v>
      </c>
      <c r="G78" s="3871">
        <v>406371</v>
      </c>
      <c r="H78" s="3871">
        <v>25436</v>
      </c>
      <c r="I78" s="3871">
        <v>380935</v>
      </c>
      <c r="J78" s="3871">
        <v>380935</v>
      </c>
      <c r="K78" s="3871">
        <v>0</v>
      </c>
      <c r="L78" s="3872">
        <f t="shared" ref="L78:L139" si="3">G78/E78</f>
        <v>0.72051595744680852</v>
      </c>
      <c r="M78" s="3872">
        <f t="shared" ref="M78:M139" si="4">G78/F78</f>
        <v>0.72051595744680852</v>
      </c>
    </row>
    <row r="79" spans="2:13" s="3526" customFormat="1" ht="24.75" hidden="1" customHeight="1" x14ac:dyDescent="0.25">
      <c r="B79" s="3873"/>
      <c r="C79" s="3278" t="s">
        <v>4849</v>
      </c>
      <c r="E79" s="3282">
        <v>0</v>
      </c>
      <c r="F79" s="3282">
        <v>0</v>
      </c>
      <c r="G79" s="3282">
        <v>0</v>
      </c>
      <c r="H79" s="3282">
        <v>0</v>
      </c>
      <c r="I79" s="3282">
        <v>0</v>
      </c>
      <c r="J79" s="3282">
        <v>0</v>
      </c>
      <c r="K79" s="3282">
        <v>0</v>
      </c>
      <c r="L79" s="3872"/>
      <c r="M79" s="3872"/>
    </row>
    <row r="80" spans="2:13" s="3526" customFormat="1" ht="24.75" hidden="1" customHeight="1" x14ac:dyDescent="0.25">
      <c r="B80" s="3873"/>
      <c r="C80" s="3278" t="s">
        <v>4850</v>
      </c>
      <c r="E80" s="3282">
        <v>0</v>
      </c>
      <c r="F80" s="3282">
        <v>0</v>
      </c>
      <c r="G80" s="3282">
        <v>0</v>
      </c>
      <c r="H80" s="3282">
        <v>0</v>
      </c>
      <c r="I80" s="3282">
        <v>0</v>
      </c>
      <c r="J80" s="3282">
        <v>0</v>
      </c>
      <c r="K80" s="3282">
        <v>0</v>
      </c>
      <c r="L80" s="3872"/>
      <c r="M80" s="3872"/>
    </row>
    <row r="81" spans="2:13" s="3526" customFormat="1" ht="24.75" hidden="1" customHeight="1" x14ac:dyDescent="0.25">
      <c r="B81" s="3874"/>
      <c r="C81" s="3875" t="s">
        <v>4851</v>
      </c>
      <c r="E81" s="3287">
        <v>0</v>
      </c>
      <c r="F81" s="3287">
        <v>0</v>
      </c>
      <c r="G81" s="3287">
        <v>0</v>
      </c>
      <c r="H81" s="3287">
        <v>0</v>
      </c>
      <c r="I81" s="3287">
        <v>0</v>
      </c>
      <c r="J81" s="3287">
        <v>0</v>
      </c>
      <c r="K81" s="3287">
        <v>0</v>
      </c>
      <c r="L81" s="3872"/>
      <c r="M81" s="3872"/>
    </row>
    <row r="82" spans="2:13" s="3526" customFormat="1" ht="24.75" hidden="1" customHeight="1" x14ac:dyDescent="0.25">
      <c r="B82" s="3874"/>
      <c r="C82" s="3875" t="s">
        <v>4852</v>
      </c>
      <c r="E82" s="3287">
        <v>0</v>
      </c>
      <c r="F82" s="3287">
        <v>0</v>
      </c>
      <c r="G82" s="3287">
        <v>25234</v>
      </c>
      <c r="H82" s="3287">
        <v>25234</v>
      </c>
      <c r="I82" s="3287">
        <v>0</v>
      </c>
      <c r="J82" s="3287">
        <v>0</v>
      </c>
      <c r="K82" s="3287">
        <v>0</v>
      </c>
      <c r="L82" s="3872"/>
      <c r="M82" s="3872"/>
    </row>
    <row r="83" spans="2:13" s="3526" customFormat="1" ht="24.75" hidden="1" customHeight="1" x14ac:dyDescent="0.25">
      <c r="B83" s="3874"/>
      <c r="C83" s="3875" t="s">
        <v>4853</v>
      </c>
      <c r="E83" s="3287">
        <v>0</v>
      </c>
      <c r="F83" s="3287">
        <v>0</v>
      </c>
      <c r="G83" s="3287">
        <v>0</v>
      </c>
      <c r="H83" s="3287">
        <v>0</v>
      </c>
      <c r="I83" s="3287">
        <v>0</v>
      </c>
      <c r="J83" s="3287">
        <v>0</v>
      </c>
      <c r="K83" s="3287">
        <v>0</v>
      </c>
      <c r="L83" s="3872"/>
      <c r="M83" s="3872"/>
    </row>
    <row r="84" spans="2:13" s="3526" customFormat="1" ht="24.75" hidden="1" customHeight="1" x14ac:dyDescent="0.25">
      <c r="B84" s="3527" t="s">
        <v>1789</v>
      </c>
      <c r="C84" s="3870" t="s">
        <v>739</v>
      </c>
      <c r="E84" s="3871">
        <v>0</v>
      </c>
      <c r="F84" s="3871">
        <v>0</v>
      </c>
      <c r="G84" s="3871">
        <v>0</v>
      </c>
      <c r="H84" s="3871">
        <v>0</v>
      </c>
      <c r="I84" s="3871">
        <v>0</v>
      </c>
      <c r="J84" s="3871">
        <v>0</v>
      </c>
      <c r="K84" s="3871">
        <v>0</v>
      </c>
      <c r="L84" s="3872"/>
      <c r="M84" s="3872"/>
    </row>
    <row r="85" spans="2:13" s="3526" customFormat="1" ht="24.75" hidden="1" customHeight="1" x14ac:dyDescent="0.25">
      <c r="B85" s="3874"/>
      <c r="C85" s="3875" t="s">
        <v>740</v>
      </c>
      <c r="E85" s="3287">
        <v>0</v>
      </c>
      <c r="F85" s="3287">
        <v>0</v>
      </c>
      <c r="G85" s="3287">
        <v>0</v>
      </c>
      <c r="H85" s="3287">
        <v>0</v>
      </c>
      <c r="I85" s="3287">
        <v>0</v>
      </c>
      <c r="J85" s="3287">
        <v>0</v>
      </c>
      <c r="K85" s="3287">
        <v>0</v>
      </c>
      <c r="L85" s="3872"/>
      <c r="M85" s="3872"/>
    </row>
    <row r="86" spans="2:13" s="3526" customFormat="1" ht="24.75" hidden="1" customHeight="1" x14ac:dyDescent="0.25">
      <c r="B86" s="3874"/>
      <c r="C86" s="3875" t="s">
        <v>741</v>
      </c>
      <c r="E86" s="3287">
        <v>0</v>
      </c>
      <c r="F86" s="3287">
        <v>0</v>
      </c>
      <c r="G86" s="3287">
        <v>0</v>
      </c>
      <c r="H86" s="3287">
        <v>0</v>
      </c>
      <c r="I86" s="3287">
        <v>0</v>
      </c>
      <c r="J86" s="3287">
        <v>0</v>
      </c>
      <c r="K86" s="3287">
        <v>0</v>
      </c>
      <c r="L86" s="3872"/>
      <c r="M86" s="3872"/>
    </row>
    <row r="87" spans="2:13" s="3526" customFormat="1" ht="24.75" hidden="1" customHeight="1" x14ac:dyDescent="0.25">
      <c r="B87" s="3527" t="s">
        <v>1790</v>
      </c>
      <c r="C87" s="3870" t="s">
        <v>4854</v>
      </c>
      <c r="E87" s="3871">
        <v>0</v>
      </c>
      <c r="F87" s="3871">
        <v>0</v>
      </c>
      <c r="G87" s="3871">
        <v>0</v>
      </c>
      <c r="H87" s="3871">
        <v>0</v>
      </c>
      <c r="I87" s="3871">
        <v>0</v>
      </c>
      <c r="J87" s="3871">
        <v>0</v>
      </c>
      <c r="K87" s="3871">
        <v>0</v>
      </c>
      <c r="L87" s="3872"/>
      <c r="M87" s="3872"/>
    </row>
    <row r="88" spans="2:13" s="3526" customFormat="1" ht="24.75" hidden="1" customHeight="1" x14ac:dyDescent="0.25">
      <c r="B88" s="3874"/>
      <c r="C88" s="3875" t="s">
        <v>4855</v>
      </c>
      <c r="E88" s="3287">
        <v>0</v>
      </c>
      <c r="F88" s="3287">
        <v>0</v>
      </c>
      <c r="G88" s="3287">
        <v>0</v>
      </c>
      <c r="H88" s="3287">
        <v>0</v>
      </c>
      <c r="I88" s="3287">
        <v>0</v>
      </c>
      <c r="J88" s="3287">
        <v>0</v>
      </c>
      <c r="K88" s="3287">
        <v>0</v>
      </c>
      <c r="L88" s="3872"/>
      <c r="M88" s="3872"/>
    </row>
    <row r="89" spans="2:13" s="3526" customFormat="1" ht="24.75" hidden="1" customHeight="1" x14ac:dyDescent="0.25">
      <c r="B89" s="3874"/>
      <c r="C89" s="3875" t="s">
        <v>4856</v>
      </c>
      <c r="E89" s="3287">
        <v>0</v>
      </c>
      <c r="F89" s="3287">
        <v>0</v>
      </c>
      <c r="G89" s="3287">
        <v>0</v>
      </c>
      <c r="H89" s="3287">
        <v>0</v>
      </c>
      <c r="I89" s="3287">
        <v>0</v>
      </c>
      <c r="J89" s="3287">
        <v>0</v>
      </c>
      <c r="K89" s="3287">
        <v>0</v>
      </c>
      <c r="L89" s="3872"/>
      <c r="M89" s="3872"/>
    </row>
    <row r="90" spans="2:13" s="3526" customFormat="1" ht="24.75" hidden="1" customHeight="1" x14ac:dyDescent="0.25">
      <c r="B90" s="3874"/>
      <c r="C90" s="3875" t="s">
        <v>4857</v>
      </c>
      <c r="E90" s="3287">
        <v>0</v>
      </c>
      <c r="F90" s="3287">
        <v>0</v>
      </c>
      <c r="G90" s="3287">
        <v>0</v>
      </c>
      <c r="H90" s="3287">
        <v>0</v>
      </c>
      <c r="I90" s="3287">
        <v>0</v>
      </c>
      <c r="J90" s="3287">
        <v>0</v>
      </c>
      <c r="K90" s="3287">
        <v>0</v>
      </c>
      <c r="L90" s="3872"/>
      <c r="M90" s="3872"/>
    </row>
    <row r="91" spans="2:13" s="3526" customFormat="1" ht="24.75" hidden="1" customHeight="1" x14ac:dyDescent="0.25">
      <c r="B91" s="3874"/>
      <c r="C91" s="3875" t="s">
        <v>4858</v>
      </c>
      <c r="E91" s="3287">
        <v>0</v>
      </c>
      <c r="F91" s="3287">
        <v>0</v>
      </c>
      <c r="G91" s="3287">
        <v>0</v>
      </c>
      <c r="H91" s="3287">
        <v>0</v>
      </c>
      <c r="I91" s="3287">
        <v>0</v>
      </c>
      <c r="J91" s="3287">
        <v>0</v>
      </c>
      <c r="K91" s="3287">
        <v>0</v>
      </c>
      <c r="L91" s="3872"/>
      <c r="M91" s="3872"/>
    </row>
    <row r="92" spans="2:13" s="3526" customFormat="1" ht="24.75" hidden="1" customHeight="1" x14ac:dyDescent="0.25">
      <c r="B92" s="3874"/>
      <c r="C92" s="3875" t="s">
        <v>4859</v>
      </c>
      <c r="E92" s="3287">
        <v>0</v>
      </c>
      <c r="F92" s="3287">
        <v>0</v>
      </c>
      <c r="G92" s="3287">
        <v>0</v>
      </c>
      <c r="H92" s="3287">
        <v>0</v>
      </c>
      <c r="I92" s="3287">
        <v>0</v>
      </c>
      <c r="J92" s="3287">
        <v>0</v>
      </c>
      <c r="K92" s="3287">
        <v>0</v>
      </c>
      <c r="L92" s="3872"/>
      <c r="M92" s="3872"/>
    </row>
    <row r="93" spans="2:13" s="3526" customFormat="1" ht="24.75" hidden="1" customHeight="1" x14ac:dyDescent="0.25">
      <c r="B93" s="3527" t="s">
        <v>3661</v>
      </c>
      <c r="C93" s="3870" t="s">
        <v>865</v>
      </c>
      <c r="E93" s="3871">
        <v>0</v>
      </c>
      <c r="F93" s="3871">
        <v>0</v>
      </c>
      <c r="G93" s="3871">
        <v>0</v>
      </c>
      <c r="H93" s="3871">
        <v>0</v>
      </c>
      <c r="I93" s="3871">
        <v>0</v>
      </c>
      <c r="J93" s="3871">
        <v>0</v>
      </c>
      <c r="K93" s="3871">
        <v>0</v>
      </c>
      <c r="L93" s="3872"/>
      <c r="M93" s="3872"/>
    </row>
    <row r="94" spans="2:13" s="3526" customFormat="1" ht="24.75" hidden="1" customHeight="1" x14ac:dyDescent="0.25">
      <c r="B94" s="3527" t="s">
        <v>3662</v>
      </c>
      <c r="C94" s="3870" t="s">
        <v>4860</v>
      </c>
      <c r="E94" s="3871">
        <v>0</v>
      </c>
      <c r="F94" s="3871">
        <v>0</v>
      </c>
      <c r="G94" s="3871">
        <v>0</v>
      </c>
      <c r="H94" s="3871">
        <v>0</v>
      </c>
      <c r="I94" s="3871">
        <v>0</v>
      </c>
      <c r="J94" s="3871">
        <v>0</v>
      </c>
      <c r="K94" s="3871">
        <v>0</v>
      </c>
      <c r="L94" s="3872"/>
      <c r="M94" s="3872"/>
    </row>
    <row r="95" spans="2:13" s="3526" customFormat="1" ht="24.75" hidden="1" customHeight="1" x14ac:dyDescent="0.25">
      <c r="B95" s="3874"/>
      <c r="C95" s="3875" t="s">
        <v>4861</v>
      </c>
      <c r="E95" s="3287">
        <v>0</v>
      </c>
      <c r="F95" s="3287">
        <v>0</v>
      </c>
      <c r="G95" s="3287">
        <v>0</v>
      </c>
      <c r="H95" s="3287">
        <v>0</v>
      </c>
      <c r="I95" s="3287">
        <v>0</v>
      </c>
      <c r="J95" s="3287">
        <v>0</v>
      </c>
      <c r="K95" s="3287">
        <v>0</v>
      </c>
      <c r="L95" s="3872"/>
      <c r="M95" s="3872"/>
    </row>
    <row r="96" spans="2:13" s="3526" customFormat="1" ht="24.75" hidden="1" customHeight="1" x14ac:dyDescent="0.25">
      <c r="B96" s="3874"/>
      <c r="C96" s="3875" t="s">
        <v>4862</v>
      </c>
      <c r="E96" s="3287">
        <v>0</v>
      </c>
      <c r="F96" s="3287">
        <v>0</v>
      </c>
      <c r="G96" s="3287">
        <v>0</v>
      </c>
      <c r="H96" s="3287">
        <v>0</v>
      </c>
      <c r="I96" s="3287">
        <v>0</v>
      </c>
      <c r="J96" s="3287">
        <v>0</v>
      </c>
      <c r="K96" s="3287">
        <v>0</v>
      </c>
      <c r="L96" s="3872"/>
      <c r="M96" s="3872"/>
    </row>
    <row r="97" spans="2:13" s="3526" customFormat="1" ht="24.75" hidden="1" customHeight="1" x14ac:dyDescent="0.25">
      <c r="B97" s="3527" t="s">
        <v>866</v>
      </c>
      <c r="C97" s="3870" t="s">
        <v>974</v>
      </c>
      <c r="E97" s="3871">
        <v>0</v>
      </c>
      <c r="F97" s="3871">
        <v>0</v>
      </c>
      <c r="G97" s="3871">
        <v>0</v>
      </c>
      <c r="H97" s="3871">
        <v>0</v>
      </c>
      <c r="I97" s="3871">
        <v>0</v>
      </c>
      <c r="J97" s="3871">
        <v>0</v>
      </c>
      <c r="K97" s="3871">
        <v>0</v>
      </c>
      <c r="L97" s="3872"/>
      <c r="M97" s="3872"/>
    </row>
    <row r="98" spans="2:13" s="3526" customFormat="1" ht="24.75" hidden="1" customHeight="1" x14ac:dyDescent="0.25">
      <c r="B98" s="3527" t="s">
        <v>1773</v>
      </c>
      <c r="C98" s="3870" t="s">
        <v>4863</v>
      </c>
      <c r="E98" s="3871">
        <v>0</v>
      </c>
      <c r="F98" s="3871">
        <v>0</v>
      </c>
      <c r="G98" s="3871">
        <v>0</v>
      </c>
      <c r="H98" s="3871">
        <v>0</v>
      </c>
      <c r="I98" s="3871">
        <v>0</v>
      </c>
      <c r="J98" s="3871">
        <v>0</v>
      </c>
      <c r="K98" s="3871">
        <v>0</v>
      </c>
      <c r="L98" s="3872"/>
      <c r="M98" s="3872"/>
    </row>
    <row r="99" spans="2:13" s="3526" customFormat="1" hidden="1" x14ac:dyDescent="0.25">
      <c r="B99" s="3873" t="s">
        <v>851</v>
      </c>
      <c r="C99" s="3278" t="s">
        <v>871</v>
      </c>
      <c r="E99" s="3282">
        <v>0</v>
      </c>
      <c r="F99" s="3282">
        <v>0</v>
      </c>
      <c r="G99" s="3282">
        <v>0</v>
      </c>
      <c r="H99" s="3282">
        <v>0</v>
      </c>
      <c r="I99" s="3282">
        <v>0</v>
      </c>
      <c r="J99" s="3282">
        <v>0</v>
      </c>
      <c r="K99" s="3282">
        <v>0</v>
      </c>
      <c r="L99" s="3872"/>
      <c r="M99" s="3872"/>
    </row>
    <row r="100" spans="2:13" s="3526" customFormat="1" hidden="1" x14ac:dyDescent="0.25">
      <c r="B100" s="3873" t="s">
        <v>897</v>
      </c>
      <c r="C100" s="3278" t="s">
        <v>870</v>
      </c>
      <c r="E100" s="3282">
        <v>0</v>
      </c>
      <c r="F100" s="3282">
        <v>0</v>
      </c>
      <c r="G100" s="3282">
        <v>0</v>
      </c>
      <c r="H100" s="3282">
        <v>0</v>
      </c>
      <c r="I100" s="3282">
        <v>0</v>
      </c>
      <c r="J100" s="3282">
        <v>0</v>
      </c>
      <c r="K100" s="3282">
        <v>0</v>
      </c>
      <c r="L100" s="3872"/>
      <c r="M100" s="3872"/>
    </row>
    <row r="101" spans="2:13" s="3526" customFormat="1" hidden="1" x14ac:dyDescent="0.25">
      <c r="B101" s="3873" t="s">
        <v>898</v>
      </c>
      <c r="C101" s="3278" t="s">
        <v>445</v>
      </c>
      <c r="E101" s="3282">
        <v>0</v>
      </c>
      <c r="F101" s="3282">
        <v>0</v>
      </c>
      <c r="G101" s="3282">
        <v>0</v>
      </c>
      <c r="H101" s="3282">
        <v>0</v>
      </c>
      <c r="I101" s="3282">
        <v>0</v>
      </c>
      <c r="J101" s="3282">
        <v>0</v>
      </c>
      <c r="K101" s="3282">
        <v>0</v>
      </c>
      <c r="L101" s="3872"/>
      <c r="M101" s="3872"/>
    </row>
    <row r="102" spans="2:13" s="3526" customFormat="1" hidden="1" x14ac:dyDescent="0.25">
      <c r="B102" s="3873" t="s">
        <v>899</v>
      </c>
      <c r="C102" s="3278" t="s">
        <v>446</v>
      </c>
      <c r="E102" s="3282">
        <v>0</v>
      </c>
      <c r="F102" s="3282">
        <v>0</v>
      </c>
      <c r="G102" s="3282">
        <v>0</v>
      </c>
      <c r="H102" s="3282">
        <v>0</v>
      </c>
      <c r="I102" s="3282">
        <v>0</v>
      </c>
      <c r="J102" s="3282">
        <v>0</v>
      </c>
      <c r="K102" s="3282">
        <v>0</v>
      </c>
      <c r="L102" s="3872"/>
      <c r="M102" s="3872"/>
    </row>
    <row r="103" spans="2:13" s="3526" customFormat="1" hidden="1" x14ac:dyDescent="0.25">
      <c r="B103" s="3873" t="s">
        <v>900</v>
      </c>
      <c r="C103" s="3278" t="s">
        <v>4864</v>
      </c>
      <c r="E103" s="3282">
        <v>0</v>
      </c>
      <c r="F103" s="3282">
        <v>0</v>
      </c>
      <c r="G103" s="3282">
        <v>0</v>
      </c>
      <c r="H103" s="3282">
        <v>0</v>
      </c>
      <c r="I103" s="3282">
        <v>0</v>
      </c>
      <c r="J103" s="3282">
        <v>0</v>
      </c>
      <c r="K103" s="3282">
        <v>0</v>
      </c>
      <c r="L103" s="3872"/>
      <c r="M103" s="3872"/>
    </row>
    <row r="104" spans="2:13" s="3526" customFormat="1" hidden="1" x14ac:dyDescent="0.25">
      <c r="B104" s="3873" t="s">
        <v>901</v>
      </c>
      <c r="C104" s="3278" t="s">
        <v>878</v>
      </c>
      <c r="E104" s="3282">
        <v>0</v>
      </c>
      <c r="F104" s="3282">
        <v>0</v>
      </c>
      <c r="G104" s="3282">
        <v>0</v>
      </c>
      <c r="H104" s="3282">
        <v>0</v>
      </c>
      <c r="I104" s="3282">
        <v>0</v>
      </c>
      <c r="J104" s="3282">
        <v>0</v>
      </c>
      <c r="K104" s="3282">
        <v>0</v>
      </c>
      <c r="L104" s="3872"/>
      <c r="M104" s="3872"/>
    </row>
    <row r="105" spans="2:13" s="3526" customFormat="1" hidden="1" x14ac:dyDescent="0.25">
      <c r="B105" s="3527" t="s">
        <v>1774</v>
      </c>
      <c r="C105" s="3870" t="s">
        <v>4865</v>
      </c>
      <c r="E105" s="3871">
        <v>0</v>
      </c>
      <c r="F105" s="3871">
        <v>0</v>
      </c>
      <c r="G105" s="3871">
        <v>0</v>
      </c>
      <c r="H105" s="3871">
        <v>0</v>
      </c>
      <c r="I105" s="3871">
        <v>0</v>
      </c>
      <c r="J105" s="3871">
        <v>0</v>
      </c>
      <c r="K105" s="3871">
        <v>0</v>
      </c>
      <c r="L105" s="3872"/>
      <c r="M105" s="3872"/>
    </row>
    <row r="106" spans="2:13" s="3526" customFormat="1" hidden="1" x14ac:dyDescent="0.25">
      <c r="B106" s="3527" t="s">
        <v>1776</v>
      </c>
      <c r="C106" s="3870" t="s">
        <v>4866</v>
      </c>
      <c r="E106" s="3871">
        <v>0</v>
      </c>
      <c r="F106" s="3871">
        <v>0</v>
      </c>
      <c r="G106" s="3871">
        <v>0</v>
      </c>
      <c r="H106" s="3871">
        <v>0</v>
      </c>
      <c r="I106" s="3871">
        <v>0</v>
      </c>
      <c r="J106" s="3871">
        <v>0</v>
      </c>
      <c r="K106" s="3871">
        <v>0</v>
      </c>
      <c r="L106" s="3872"/>
      <c r="M106" s="3872"/>
    </row>
    <row r="107" spans="2:13" s="3526" customFormat="1" ht="21" hidden="1" x14ac:dyDescent="0.25">
      <c r="B107" s="3527" t="s">
        <v>509</v>
      </c>
      <c r="C107" s="3870" t="s">
        <v>447</v>
      </c>
      <c r="E107" s="3871">
        <v>0</v>
      </c>
      <c r="F107" s="3871">
        <v>0</v>
      </c>
      <c r="G107" s="3871">
        <v>0</v>
      </c>
      <c r="H107" s="3871">
        <v>0</v>
      </c>
      <c r="I107" s="3871">
        <v>0</v>
      </c>
      <c r="J107" s="3871">
        <v>0</v>
      </c>
      <c r="K107" s="3871">
        <v>0</v>
      </c>
      <c r="L107" s="3872"/>
      <c r="M107" s="3872"/>
    </row>
    <row r="108" spans="2:13" s="3526" customFormat="1" hidden="1" x14ac:dyDescent="0.25">
      <c r="B108" s="3527" t="s">
        <v>872</v>
      </c>
      <c r="C108" s="3870" t="s">
        <v>4867</v>
      </c>
      <c r="E108" s="3871">
        <v>0</v>
      </c>
      <c r="F108" s="3871">
        <v>0</v>
      </c>
      <c r="G108" s="3871">
        <v>0</v>
      </c>
      <c r="H108" s="3871">
        <v>0</v>
      </c>
      <c r="I108" s="3871">
        <v>0</v>
      </c>
      <c r="J108" s="3871">
        <v>0</v>
      </c>
      <c r="K108" s="3871">
        <v>0</v>
      </c>
      <c r="L108" s="3872"/>
      <c r="M108" s="3872"/>
    </row>
    <row r="109" spans="2:13" s="3526" customFormat="1" hidden="1" x14ac:dyDescent="0.25">
      <c r="B109" s="3527" t="s">
        <v>1773</v>
      </c>
      <c r="C109" s="3870" t="s">
        <v>743</v>
      </c>
      <c r="E109" s="3871">
        <v>0</v>
      </c>
      <c r="F109" s="3871">
        <v>0</v>
      </c>
      <c r="G109" s="3871">
        <v>0</v>
      </c>
      <c r="H109" s="3871">
        <v>0</v>
      </c>
      <c r="I109" s="3871">
        <v>0</v>
      </c>
      <c r="J109" s="3871">
        <v>0</v>
      </c>
      <c r="K109" s="3871">
        <v>0</v>
      </c>
      <c r="L109" s="3872"/>
      <c r="M109" s="3872"/>
    </row>
    <row r="110" spans="2:13" s="3526" customFormat="1" hidden="1" x14ac:dyDescent="0.25">
      <c r="B110" s="3874"/>
      <c r="C110" s="3875" t="s">
        <v>4868</v>
      </c>
      <c r="E110" s="3287">
        <v>0</v>
      </c>
      <c r="F110" s="3287">
        <v>0</v>
      </c>
      <c r="G110" s="3287">
        <v>0</v>
      </c>
      <c r="H110" s="3287">
        <v>0</v>
      </c>
      <c r="I110" s="3287">
        <v>0</v>
      </c>
      <c r="J110" s="3287">
        <v>0</v>
      </c>
      <c r="K110" s="3287">
        <v>0</v>
      </c>
      <c r="L110" s="3872"/>
      <c r="M110" s="3872"/>
    </row>
    <row r="111" spans="2:13" s="3526" customFormat="1" hidden="1" x14ac:dyDescent="0.25">
      <c r="B111" s="3527" t="s">
        <v>1774</v>
      </c>
      <c r="C111" s="3870" t="s">
        <v>879</v>
      </c>
      <c r="E111" s="3871">
        <v>0</v>
      </c>
      <c r="F111" s="3871">
        <v>0</v>
      </c>
      <c r="G111" s="3871">
        <v>0</v>
      </c>
      <c r="H111" s="3871">
        <v>0</v>
      </c>
      <c r="I111" s="3871">
        <v>0</v>
      </c>
      <c r="J111" s="3871">
        <v>0</v>
      </c>
      <c r="K111" s="3871">
        <v>0</v>
      </c>
      <c r="L111" s="3872"/>
      <c r="M111" s="3872"/>
    </row>
    <row r="112" spans="2:13" s="3526" customFormat="1" hidden="1" x14ac:dyDescent="0.25">
      <c r="B112" s="3874"/>
      <c r="C112" s="3875" t="s">
        <v>4869</v>
      </c>
      <c r="E112" s="3287">
        <v>0</v>
      </c>
      <c r="F112" s="3287">
        <v>0</v>
      </c>
      <c r="G112" s="3287">
        <v>0</v>
      </c>
      <c r="H112" s="3287">
        <v>0</v>
      </c>
      <c r="I112" s="3287">
        <v>0</v>
      </c>
      <c r="J112" s="3287">
        <v>0</v>
      </c>
      <c r="K112" s="3287">
        <v>0</v>
      </c>
      <c r="L112" s="3872"/>
      <c r="M112" s="3872"/>
    </row>
    <row r="113" spans="2:13" s="3526" customFormat="1" hidden="1" x14ac:dyDescent="0.25">
      <c r="B113" s="3527" t="s">
        <v>1776</v>
      </c>
      <c r="C113" s="3870" t="s">
        <v>880</v>
      </c>
      <c r="E113" s="3871">
        <v>0</v>
      </c>
      <c r="F113" s="3871">
        <v>0</v>
      </c>
      <c r="G113" s="3871">
        <v>0</v>
      </c>
      <c r="H113" s="3871">
        <v>0</v>
      </c>
      <c r="I113" s="3871">
        <v>0</v>
      </c>
      <c r="J113" s="3871">
        <v>0</v>
      </c>
      <c r="K113" s="3871">
        <v>0</v>
      </c>
      <c r="L113" s="3872"/>
      <c r="M113" s="3872"/>
    </row>
    <row r="114" spans="2:13" s="3526" customFormat="1" hidden="1" x14ac:dyDescent="0.25">
      <c r="B114" s="3527" t="s">
        <v>509</v>
      </c>
      <c r="C114" s="3870" t="s">
        <v>881</v>
      </c>
      <c r="E114" s="3871">
        <v>0</v>
      </c>
      <c r="F114" s="3871">
        <v>0</v>
      </c>
      <c r="G114" s="3871">
        <v>0</v>
      </c>
      <c r="H114" s="3871">
        <v>0</v>
      </c>
      <c r="I114" s="3871">
        <v>0</v>
      </c>
      <c r="J114" s="3871">
        <v>0</v>
      </c>
      <c r="K114" s="3871">
        <v>0</v>
      </c>
      <c r="L114" s="3872"/>
      <c r="M114" s="3872"/>
    </row>
    <row r="115" spans="2:13" s="3526" customFormat="1" ht="22.5" customHeight="1" x14ac:dyDescent="0.25">
      <c r="B115" s="3527" t="s">
        <v>1782</v>
      </c>
      <c r="C115" s="3870" t="s">
        <v>4870</v>
      </c>
      <c r="E115" s="3871">
        <v>0</v>
      </c>
      <c r="F115" s="3871">
        <v>0</v>
      </c>
      <c r="G115" s="3871">
        <v>0</v>
      </c>
      <c r="H115" s="3871">
        <v>0</v>
      </c>
      <c r="I115" s="3871">
        <v>0</v>
      </c>
      <c r="J115" s="3871">
        <v>0</v>
      </c>
      <c r="K115" s="3871">
        <v>0</v>
      </c>
      <c r="L115" s="3872"/>
      <c r="M115" s="3872"/>
    </row>
    <row r="116" spans="2:13" s="3526" customFormat="1" ht="31.5" hidden="1" customHeight="1" x14ac:dyDescent="0.25">
      <c r="B116" s="3527" t="s">
        <v>1783</v>
      </c>
      <c r="C116" s="3870" t="s">
        <v>4871</v>
      </c>
      <c r="E116" s="3871">
        <v>0</v>
      </c>
      <c r="F116" s="3871">
        <v>0</v>
      </c>
      <c r="G116" s="3871">
        <v>0</v>
      </c>
      <c r="H116" s="3871">
        <v>0</v>
      </c>
      <c r="I116" s="3871">
        <v>0</v>
      </c>
      <c r="J116" s="3871">
        <v>0</v>
      </c>
      <c r="K116" s="3871">
        <v>0</v>
      </c>
      <c r="L116" s="3872"/>
      <c r="M116" s="3872"/>
    </row>
    <row r="117" spans="2:13" s="3526" customFormat="1" ht="31.5" hidden="1" customHeight="1" x14ac:dyDescent="0.25">
      <c r="B117" s="3527" t="s">
        <v>3660</v>
      </c>
      <c r="C117" s="3870" t="s">
        <v>878</v>
      </c>
      <c r="E117" s="3871">
        <v>0</v>
      </c>
      <c r="F117" s="3871">
        <v>0</v>
      </c>
      <c r="G117" s="3871">
        <v>0</v>
      </c>
      <c r="H117" s="3871">
        <v>0</v>
      </c>
      <c r="I117" s="3871">
        <v>0</v>
      </c>
      <c r="J117" s="3871">
        <v>0</v>
      </c>
      <c r="K117" s="3871">
        <v>0</v>
      </c>
      <c r="L117" s="3872"/>
      <c r="M117" s="3872"/>
    </row>
    <row r="118" spans="2:13" s="3526" customFormat="1" ht="39" customHeight="1" x14ac:dyDescent="0.25">
      <c r="B118" s="3527" t="s">
        <v>873</v>
      </c>
      <c r="C118" s="3870" t="s">
        <v>448</v>
      </c>
      <c r="E118" s="3871">
        <v>0</v>
      </c>
      <c r="F118" s="3871">
        <v>0</v>
      </c>
      <c r="G118" s="3871">
        <v>0</v>
      </c>
      <c r="H118" s="3871">
        <v>0</v>
      </c>
      <c r="I118" s="3871">
        <v>0</v>
      </c>
      <c r="J118" s="3871">
        <v>0</v>
      </c>
      <c r="K118" s="3871">
        <v>0</v>
      </c>
      <c r="L118" s="3872"/>
      <c r="M118" s="3872"/>
    </row>
    <row r="119" spans="2:13" s="3526" customFormat="1" ht="25.5" customHeight="1" x14ac:dyDescent="0.25">
      <c r="B119" s="3527" t="s">
        <v>877</v>
      </c>
      <c r="C119" s="3870" t="s">
        <v>449</v>
      </c>
      <c r="E119" s="3871">
        <v>0</v>
      </c>
      <c r="F119" s="3871">
        <v>0</v>
      </c>
      <c r="G119" s="3871">
        <v>0</v>
      </c>
      <c r="H119" s="3871">
        <v>0</v>
      </c>
      <c r="I119" s="3871">
        <v>0</v>
      </c>
      <c r="J119" s="3871">
        <v>0</v>
      </c>
      <c r="K119" s="3871">
        <v>0</v>
      </c>
      <c r="L119" s="3872"/>
      <c r="M119" s="3872"/>
    </row>
    <row r="120" spans="2:13" s="3526" customFormat="1" ht="25.5" customHeight="1" x14ac:dyDescent="0.25">
      <c r="B120" s="3527" t="s">
        <v>1773</v>
      </c>
      <c r="C120" s="3870" t="s">
        <v>450</v>
      </c>
      <c r="E120" s="3871">
        <v>0</v>
      </c>
      <c r="F120" s="3871">
        <v>0</v>
      </c>
      <c r="G120" s="3871">
        <v>0</v>
      </c>
      <c r="H120" s="3871">
        <v>0</v>
      </c>
      <c r="I120" s="3871">
        <v>0</v>
      </c>
      <c r="J120" s="3871">
        <v>0</v>
      </c>
      <c r="K120" s="3871">
        <v>0</v>
      </c>
      <c r="L120" s="3872"/>
      <c r="M120" s="3872"/>
    </row>
    <row r="121" spans="2:13" s="3526" customFormat="1" x14ac:dyDescent="0.25">
      <c r="B121" s="3527" t="s">
        <v>1774</v>
      </c>
      <c r="C121" s="3870" t="s">
        <v>451</v>
      </c>
      <c r="E121" s="3871">
        <v>0</v>
      </c>
      <c r="F121" s="3871">
        <v>0</v>
      </c>
      <c r="G121" s="3871">
        <v>0</v>
      </c>
      <c r="H121" s="3871">
        <v>0</v>
      </c>
      <c r="I121" s="3871">
        <v>0</v>
      </c>
      <c r="J121" s="3871">
        <v>0</v>
      </c>
      <c r="K121" s="3871">
        <v>0</v>
      </c>
      <c r="L121" s="3872"/>
      <c r="M121" s="3872"/>
    </row>
    <row r="122" spans="2:13" s="3526" customFormat="1" ht="15.75" hidden="1" customHeight="1" x14ac:dyDescent="0.25">
      <c r="B122" s="3527" t="s">
        <v>909</v>
      </c>
      <c r="C122" s="3870" t="s">
        <v>4872</v>
      </c>
      <c r="E122" s="3871">
        <v>0</v>
      </c>
      <c r="F122" s="3871">
        <v>0</v>
      </c>
      <c r="G122" s="3871">
        <v>0</v>
      </c>
      <c r="H122" s="3871">
        <v>0</v>
      </c>
      <c r="I122" s="3871">
        <v>0</v>
      </c>
      <c r="J122" s="3871">
        <v>0</v>
      </c>
      <c r="K122" s="3871">
        <v>0</v>
      </c>
      <c r="L122" s="3872"/>
      <c r="M122" s="3872"/>
    </row>
    <row r="123" spans="2:13" s="3526" customFormat="1" ht="15.75" hidden="1" customHeight="1" x14ac:dyDescent="0.25">
      <c r="B123" s="3527" t="s">
        <v>1773</v>
      </c>
      <c r="C123" s="3870" t="s">
        <v>452</v>
      </c>
      <c r="E123" s="3871">
        <v>0</v>
      </c>
      <c r="F123" s="3871">
        <v>0</v>
      </c>
      <c r="G123" s="3871">
        <v>0</v>
      </c>
      <c r="H123" s="3871">
        <v>0</v>
      </c>
      <c r="I123" s="3871">
        <v>0</v>
      </c>
      <c r="J123" s="3871">
        <v>0</v>
      </c>
      <c r="K123" s="3871">
        <v>0</v>
      </c>
      <c r="L123" s="3872"/>
      <c r="M123" s="3872"/>
    </row>
    <row r="124" spans="2:13" s="3526" customFormat="1" ht="15.75" hidden="1" customHeight="1" x14ac:dyDescent="0.25">
      <c r="B124" s="3527" t="s">
        <v>1774</v>
      </c>
      <c r="C124" s="3870" t="s">
        <v>453</v>
      </c>
      <c r="E124" s="3871">
        <v>0</v>
      </c>
      <c r="F124" s="3871">
        <v>0</v>
      </c>
      <c r="G124" s="3871">
        <v>0</v>
      </c>
      <c r="H124" s="3871">
        <v>0</v>
      </c>
      <c r="I124" s="3871">
        <v>0</v>
      </c>
      <c r="J124" s="3871">
        <v>0</v>
      </c>
      <c r="K124" s="3871">
        <v>0</v>
      </c>
      <c r="L124" s="3872"/>
      <c r="M124" s="3872"/>
    </row>
    <row r="125" spans="2:13" s="3526" customFormat="1" ht="15.75" hidden="1" customHeight="1" x14ac:dyDescent="0.25">
      <c r="B125" s="3873" t="s">
        <v>902</v>
      </c>
      <c r="C125" s="3278" t="s">
        <v>454</v>
      </c>
      <c r="E125" s="3282">
        <v>0</v>
      </c>
      <c r="F125" s="3282">
        <v>0</v>
      </c>
      <c r="G125" s="3282">
        <v>0</v>
      </c>
      <c r="H125" s="3282">
        <v>0</v>
      </c>
      <c r="I125" s="3282">
        <v>0</v>
      </c>
      <c r="J125" s="3282">
        <v>0</v>
      </c>
      <c r="K125" s="3282">
        <v>0</v>
      </c>
      <c r="L125" s="3872"/>
      <c r="M125" s="3872"/>
    </row>
    <row r="126" spans="2:13" s="3526" customFormat="1" ht="15.75" hidden="1" customHeight="1" x14ac:dyDescent="0.25">
      <c r="B126" s="3873" t="s">
        <v>903</v>
      </c>
      <c r="C126" s="3278" t="s">
        <v>455</v>
      </c>
      <c r="E126" s="3282">
        <v>0</v>
      </c>
      <c r="F126" s="3282">
        <v>0</v>
      </c>
      <c r="G126" s="3282">
        <v>0</v>
      </c>
      <c r="H126" s="3282">
        <v>0</v>
      </c>
      <c r="I126" s="3282">
        <v>0</v>
      </c>
      <c r="J126" s="3282">
        <v>0</v>
      </c>
      <c r="K126" s="3282">
        <v>0</v>
      </c>
      <c r="L126" s="3872"/>
      <c r="M126" s="3872"/>
    </row>
    <row r="127" spans="2:13" s="3526" customFormat="1" ht="15.75" hidden="1" customHeight="1" x14ac:dyDescent="0.25">
      <c r="B127" s="3527" t="s">
        <v>1776</v>
      </c>
      <c r="C127" s="3870" t="s">
        <v>4873</v>
      </c>
      <c r="E127" s="3871">
        <v>0</v>
      </c>
      <c r="F127" s="3871">
        <v>0</v>
      </c>
      <c r="G127" s="3871">
        <v>0</v>
      </c>
      <c r="H127" s="3871">
        <v>0</v>
      </c>
      <c r="I127" s="3871">
        <v>0</v>
      </c>
      <c r="J127" s="3871">
        <v>0</v>
      </c>
      <c r="K127" s="3871">
        <v>0</v>
      </c>
      <c r="L127" s="3872"/>
      <c r="M127" s="3872"/>
    </row>
    <row r="128" spans="2:13" s="3526" customFormat="1" ht="15.75" hidden="1" customHeight="1" x14ac:dyDescent="0.25">
      <c r="B128" s="3527" t="s">
        <v>848</v>
      </c>
      <c r="C128" s="3870" t="s">
        <v>4874</v>
      </c>
      <c r="E128" s="3871">
        <v>0</v>
      </c>
      <c r="F128" s="3871">
        <v>0</v>
      </c>
      <c r="G128" s="3871">
        <v>0</v>
      </c>
      <c r="H128" s="3871">
        <v>0</v>
      </c>
      <c r="I128" s="3871">
        <v>0</v>
      </c>
      <c r="J128" s="3871">
        <v>0</v>
      </c>
      <c r="K128" s="3871">
        <v>0</v>
      </c>
      <c r="L128" s="3872"/>
      <c r="M128" s="3872"/>
    </row>
    <row r="129" spans="2:13" s="3526" customFormat="1" ht="15" hidden="1" customHeight="1" x14ac:dyDescent="0.25">
      <c r="B129" s="3527" t="s">
        <v>849</v>
      </c>
      <c r="C129" s="3870" t="s">
        <v>4875</v>
      </c>
      <c r="E129" s="3871">
        <v>0</v>
      </c>
      <c r="F129" s="3871">
        <v>0</v>
      </c>
      <c r="G129" s="3871">
        <v>0</v>
      </c>
      <c r="H129" s="3871">
        <v>0</v>
      </c>
      <c r="I129" s="3871">
        <v>0</v>
      </c>
      <c r="J129" s="3871">
        <v>0</v>
      </c>
      <c r="K129" s="3871">
        <v>0</v>
      </c>
      <c r="L129" s="3872"/>
      <c r="M129" s="3872"/>
    </row>
    <row r="130" spans="2:13" s="3526" customFormat="1" ht="15" hidden="1" customHeight="1" x14ac:dyDescent="0.25">
      <c r="B130" s="3527" t="s">
        <v>1773</v>
      </c>
      <c r="C130" s="3870" t="s">
        <v>4876</v>
      </c>
      <c r="E130" s="3871">
        <v>0</v>
      </c>
      <c r="F130" s="3871">
        <v>0</v>
      </c>
      <c r="G130" s="3871">
        <v>0</v>
      </c>
      <c r="H130" s="3871">
        <v>0</v>
      </c>
      <c r="I130" s="3871">
        <v>0</v>
      </c>
      <c r="J130" s="3871">
        <v>0</v>
      </c>
      <c r="K130" s="3871">
        <v>0</v>
      </c>
      <c r="L130" s="3872"/>
      <c r="M130" s="3872"/>
    </row>
    <row r="131" spans="2:13" s="3526" customFormat="1" ht="15" hidden="1" customHeight="1" x14ac:dyDescent="0.25">
      <c r="B131" s="3527" t="s">
        <v>1774</v>
      </c>
      <c r="C131" s="3870" t="s">
        <v>4877</v>
      </c>
      <c r="E131" s="3871">
        <v>0</v>
      </c>
      <c r="F131" s="3871">
        <v>0</v>
      </c>
      <c r="G131" s="3871">
        <v>0</v>
      </c>
      <c r="H131" s="3871">
        <v>0</v>
      </c>
      <c r="I131" s="3871">
        <v>0</v>
      </c>
      <c r="J131" s="3871">
        <v>0</v>
      </c>
      <c r="K131" s="3871">
        <v>0</v>
      </c>
      <c r="L131" s="3872"/>
      <c r="M131" s="3872"/>
    </row>
    <row r="132" spans="2:13" s="3526" customFormat="1" x14ac:dyDescent="0.25">
      <c r="B132" s="3527" t="s">
        <v>866</v>
      </c>
      <c r="C132" s="3870" t="s">
        <v>4878</v>
      </c>
      <c r="E132" s="3871">
        <v>0</v>
      </c>
      <c r="F132" s="3871">
        <v>0</v>
      </c>
      <c r="G132" s="3871">
        <v>0</v>
      </c>
      <c r="H132" s="3871">
        <v>0</v>
      </c>
      <c r="I132" s="3871">
        <v>0</v>
      </c>
      <c r="J132" s="3871">
        <v>0</v>
      </c>
      <c r="K132" s="3871">
        <v>0</v>
      </c>
      <c r="L132" s="3872"/>
      <c r="M132" s="3872"/>
    </row>
    <row r="133" spans="2:13" s="3526" customFormat="1" x14ac:dyDescent="0.25">
      <c r="B133" s="3527" t="s">
        <v>1773</v>
      </c>
      <c r="C133" s="3870" t="s">
        <v>4876</v>
      </c>
      <c r="E133" s="3871">
        <v>0</v>
      </c>
      <c r="F133" s="3871">
        <v>0</v>
      </c>
      <c r="G133" s="3871">
        <v>0</v>
      </c>
      <c r="H133" s="3871">
        <v>0</v>
      </c>
      <c r="I133" s="3871">
        <v>0</v>
      </c>
      <c r="J133" s="3871">
        <v>0</v>
      </c>
      <c r="K133" s="3871">
        <v>0</v>
      </c>
      <c r="L133" s="3872"/>
      <c r="M133" s="3872"/>
    </row>
    <row r="134" spans="2:13" s="3526" customFormat="1" x14ac:dyDescent="0.25">
      <c r="B134" s="3527" t="s">
        <v>1774</v>
      </c>
      <c r="C134" s="3870" t="s">
        <v>4879</v>
      </c>
      <c r="E134" s="3871">
        <v>0</v>
      </c>
      <c r="F134" s="3871">
        <v>0</v>
      </c>
      <c r="G134" s="3871">
        <v>0</v>
      </c>
      <c r="H134" s="3871">
        <v>0</v>
      </c>
      <c r="I134" s="3871">
        <v>0</v>
      </c>
      <c r="J134" s="3871">
        <v>0</v>
      </c>
      <c r="K134" s="3871">
        <v>0</v>
      </c>
      <c r="L134" s="3872"/>
      <c r="M134" s="3872"/>
    </row>
    <row r="135" spans="2:13" s="3526" customFormat="1" x14ac:dyDescent="0.25">
      <c r="B135" s="3527" t="s">
        <v>904</v>
      </c>
      <c r="C135" s="3870" t="s">
        <v>456</v>
      </c>
      <c r="E135" s="3876">
        <v>106238769</v>
      </c>
      <c r="F135" s="3876">
        <v>106238769</v>
      </c>
      <c r="G135" s="3876">
        <v>106238769</v>
      </c>
      <c r="H135" s="3871">
        <v>0</v>
      </c>
      <c r="I135" s="3871">
        <v>106238769</v>
      </c>
      <c r="J135" s="3871">
        <v>0</v>
      </c>
      <c r="K135" s="3871">
        <v>106238769</v>
      </c>
      <c r="L135" s="3872">
        <f t="shared" si="3"/>
        <v>1</v>
      </c>
      <c r="M135" s="3872">
        <f t="shared" si="4"/>
        <v>1</v>
      </c>
    </row>
    <row r="136" spans="2:13" s="3526" customFormat="1" x14ac:dyDescent="0.25">
      <c r="B136" s="3527" t="s">
        <v>849</v>
      </c>
      <c r="C136" s="3870" t="s">
        <v>918</v>
      </c>
      <c r="E136" s="3871">
        <v>106238769</v>
      </c>
      <c r="F136" s="3871">
        <v>106238769</v>
      </c>
      <c r="G136" s="3871">
        <v>106238769</v>
      </c>
      <c r="H136" s="3871">
        <v>0</v>
      </c>
      <c r="I136" s="3871">
        <v>106238769</v>
      </c>
      <c r="J136" s="3871">
        <v>0</v>
      </c>
      <c r="K136" s="3871">
        <v>106238769</v>
      </c>
      <c r="L136" s="3872">
        <f t="shared" si="3"/>
        <v>1</v>
      </c>
      <c r="M136" s="3872">
        <f t="shared" si="4"/>
        <v>1</v>
      </c>
    </row>
    <row r="137" spans="2:13" s="3526" customFormat="1" x14ac:dyDescent="0.25">
      <c r="B137" s="3527" t="s">
        <v>1773</v>
      </c>
      <c r="C137" s="3870" t="s">
        <v>491</v>
      </c>
      <c r="E137" s="3871">
        <v>57862000</v>
      </c>
      <c r="F137" s="3871">
        <v>57862000</v>
      </c>
      <c r="G137" s="3871">
        <v>57862000</v>
      </c>
      <c r="H137" s="3871">
        <v>0</v>
      </c>
      <c r="I137" s="3871">
        <v>57862000</v>
      </c>
      <c r="J137" s="3871">
        <v>0</v>
      </c>
      <c r="K137" s="3871">
        <v>57862000</v>
      </c>
      <c r="L137" s="3872">
        <f t="shared" si="3"/>
        <v>1</v>
      </c>
      <c r="M137" s="3872">
        <f t="shared" si="4"/>
        <v>1</v>
      </c>
    </row>
    <row r="138" spans="2:13" s="3526" customFormat="1" x14ac:dyDescent="0.25">
      <c r="B138" s="3527" t="s">
        <v>1774</v>
      </c>
      <c r="C138" s="3870" t="s">
        <v>457</v>
      </c>
      <c r="E138" s="3871">
        <v>48376769</v>
      </c>
      <c r="F138" s="3871">
        <v>48376769</v>
      </c>
      <c r="G138" s="3871">
        <v>48376769</v>
      </c>
      <c r="H138" s="3871">
        <v>0</v>
      </c>
      <c r="I138" s="3871">
        <v>48376769</v>
      </c>
      <c r="J138" s="3871">
        <v>0</v>
      </c>
      <c r="K138" s="3871">
        <v>48376769</v>
      </c>
      <c r="L138" s="3872">
        <f t="shared" si="3"/>
        <v>1</v>
      </c>
      <c r="M138" s="3872">
        <f t="shared" si="4"/>
        <v>1</v>
      </c>
    </row>
    <row r="139" spans="2:13" s="3526" customFormat="1" x14ac:dyDescent="0.25">
      <c r="B139" s="3873" t="s">
        <v>902</v>
      </c>
      <c r="C139" s="3278" t="s">
        <v>4880</v>
      </c>
      <c r="E139" s="3282">
        <v>48376769</v>
      </c>
      <c r="F139" s="3282">
        <v>48376769</v>
      </c>
      <c r="G139" s="3282">
        <v>48376769</v>
      </c>
      <c r="H139" s="3282">
        <v>0</v>
      </c>
      <c r="I139" s="3282">
        <v>48376769</v>
      </c>
      <c r="J139" s="3282">
        <v>0</v>
      </c>
      <c r="K139" s="3282">
        <v>48376769</v>
      </c>
      <c r="L139" s="3872">
        <f t="shared" si="3"/>
        <v>1</v>
      </c>
      <c r="M139" s="3872">
        <f t="shared" si="4"/>
        <v>1</v>
      </c>
    </row>
    <row r="140" spans="2:13" s="3526" customFormat="1" x14ac:dyDescent="0.25">
      <c r="B140" s="3873" t="s">
        <v>903</v>
      </c>
      <c r="C140" s="3278" t="s">
        <v>458</v>
      </c>
      <c r="E140" s="3282">
        <v>0</v>
      </c>
      <c r="F140" s="3282">
        <v>0</v>
      </c>
      <c r="G140" s="3282">
        <v>0</v>
      </c>
      <c r="H140" s="3282">
        <v>0</v>
      </c>
      <c r="I140" s="3282">
        <v>0</v>
      </c>
      <c r="J140" s="3282">
        <v>0</v>
      </c>
      <c r="K140" s="3282">
        <v>0</v>
      </c>
      <c r="L140" s="3872"/>
      <c r="M140" s="3872"/>
    </row>
    <row r="141" spans="2:13" s="3526" customFormat="1" x14ac:dyDescent="0.25">
      <c r="B141" s="3527" t="s">
        <v>866</v>
      </c>
      <c r="C141" s="3870" t="s">
        <v>459</v>
      </c>
      <c r="E141" s="3871">
        <v>0</v>
      </c>
      <c r="F141" s="3871">
        <v>0</v>
      </c>
      <c r="G141" s="3871">
        <v>0</v>
      </c>
      <c r="H141" s="3871">
        <v>0</v>
      </c>
      <c r="I141" s="3871">
        <v>0</v>
      </c>
      <c r="J141" s="3871">
        <v>0</v>
      </c>
      <c r="K141" s="3871">
        <v>0</v>
      </c>
      <c r="L141" s="3872"/>
      <c r="M141" s="3872"/>
    </row>
    <row r="142" spans="2:13" s="3526" customFormat="1" x14ac:dyDescent="0.25">
      <c r="B142" s="3527" t="s">
        <v>927</v>
      </c>
      <c r="C142" s="3870" t="s">
        <v>460</v>
      </c>
      <c r="E142" s="3871">
        <v>0</v>
      </c>
      <c r="F142" s="3871">
        <v>0</v>
      </c>
      <c r="G142" s="3871">
        <v>3984497</v>
      </c>
      <c r="H142" s="3871">
        <v>0</v>
      </c>
      <c r="I142" s="3871">
        <v>3984497</v>
      </c>
      <c r="J142" s="3871">
        <v>0</v>
      </c>
      <c r="K142" s="3871">
        <v>3984497</v>
      </c>
      <c r="L142" s="3872"/>
      <c r="M142" s="3872"/>
    </row>
    <row r="143" spans="2:13" s="3526" customFormat="1" x14ac:dyDescent="0.25">
      <c r="B143" s="3527" t="s">
        <v>1515</v>
      </c>
      <c r="C143" s="3870" t="s">
        <v>461</v>
      </c>
      <c r="E143" s="3871">
        <v>0</v>
      </c>
      <c r="F143" s="3871">
        <v>0</v>
      </c>
      <c r="G143" s="3871">
        <v>1154897</v>
      </c>
      <c r="H143" s="3871">
        <v>0</v>
      </c>
      <c r="I143" s="3871">
        <v>1154897</v>
      </c>
      <c r="J143" s="3871">
        <v>0</v>
      </c>
      <c r="K143" s="3871">
        <v>1154897</v>
      </c>
      <c r="L143" s="3872"/>
      <c r="M143" s="3872"/>
    </row>
    <row r="145" spans="2:13" hidden="1" x14ac:dyDescent="0.25"/>
    <row r="146" spans="2:13" hidden="1" x14ac:dyDescent="0.25">
      <c r="B146" s="4463" t="s">
        <v>4881</v>
      </c>
      <c r="C146" s="4289"/>
      <c r="D146" s="4463" t="s">
        <v>4882</v>
      </c>
      <c r="E146" s="4289"/>
      <c r="F146" s="4289"/>
      <c r="G146" s="4289"/>
      <c r="H146" s="4289"/>
      <c r="I146" s="4289"/>
      <c r="J146" s="4463" t="s">
        <v>4883</v>
      </c>
      <c r="K146" s="4289"/>
      <c r="L146" s="4289"/>
      <c r="M146" s="4289"/>
    </row>
    <row r="147" spans="2:13" s="3877" customFormat="1" ht="14.25" hidden="1" x14ac:dyDescent="0.2">
      <c r="E147" s="4287" t="s">
        <v>807</v>
      </c>
      <c r="F147" s="4287"/>
      <c r="G147" s="4287"/>
      <c r="H147" s="4287"/>
      <c r="I147" s="4287"/>
      <c r="J147" s="4287" t="s">
        <v>639</v>
      </c>
      <c r="K147" s="4287"/>
      <c r="L147" s="4287"/>
      <c r="M147" s="4287"/>
    </row>
    <row r="148" spans="2:13" hidden="1" x14ac:dyDescent="0.25"/>
    <row r="149" spans="2:13" hidden="1" x14ac:dyDescent="0.25"/>
    <row r="150" spans="2:13" hidden="1" x14ac:dyDescent="0.25"/>
    <row r="151" spans="2:13" hidden="1" x14ac:dyDescent="0.25"/>
    <row r="152" spans="2:13" hidden="1" x14ac:dyDescent="0.25"/>
    <row r="153" spans="2:13" hidden="1" x14ac:dyDescent="0.25"/>
    <row r="154" spans="2:13" ht="15.75" hidden="1" x14ac:dyDescent="0.25">
      <c r="E154" s="4457" t="s">
        <v>3574</v>
      </c>
      <c r="F154" s="4457"/>
      <c r="G154" s="4457"/>
      <c r="H154" s="4457"/>
      <c r="I154" s="4457"/>
      <c r="J154" s="4457" t="s">
        <v>3572</v>
      </c>
      <c r="K154" s="4457"/>
      <c r="L154" s="4457"/>
      <c r="M154" s="4457"/>
    </row>
    <row r="155" spans="2:13" hidden="1" x14ac:dyDescent="0.25"/>
  </sheetData>
  <mergeCells count="27">
    <mergeCell ref="E154:I154"/>
    <mergeCell ref="J154:M154"/>
    <mergeCell ref="A4:M4"/>
    <mergeCell ref="A3:M3"/>
    <mergeCell ref="B146:C146"/>
    <mergeCell ref="D146:I146"/>
    <mergeCell ref="J146:M146"/>
    <mergeCell ref="E147:I147"/>
    <mergeCell ref="J147:M147"/>
    <mergeCell ref="B7:B9"/>
    <mergeCell ref="C7:C9"/>
    <mergeCell ref="E7:F7"/>
    <mergeCell ref="H7:K7"/>
    <mergeCell ref="L7:M7"/>
    <mergeCell ref="E8:E9"/>
    <mergeCell ref="F8:F9"/>
    <mergeCell ref="M8:M9"/>
    <mergeCell ref="B1:G1"/>
    <mergeCell ref="J1:K1"/>
    <mergeCell ref="L1:M1"/>
    <mergeCell ref="B2:M2"/>
    <mergeCell ref="B5:M5"/>
    <mergeCell ref="G8:G9"/>
    <mergeCell ref="H8:H9"/>
    <mergeCell ref="I8:I9"/>
    <mergeCell ref="J8:K8"/>
    <mergeCell ref="L8:L9"/>
  </mergeCells>
  <phoneticPr fontId="70" type="noConversion"/>
  <pageMargins left="0.38" right="0.24" top="0.42" bottom="0.42" header="0.2" footer="0.2"/>
  <pageSetup paperSize="9" scale="90" orientation="landscape" useFirstPageNumber="1" r:id="rId1"/>
  <headerFooter>
    <oddFooter>&amp;C&amp;P</oddFooter>
  </headerFooter>
  <rowBreaks count="1" manualBreakCount="1">
    <brk id="72" max="12"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sheetPr>
  <dimension ref="A1:Y59"/>
  <sheetViews>
    <sheetView topLeftCell="A38" zoomScaleNormal="100" zoomScaleSheetLayoutView="100" workbookViewId="0">
      <selection activeCell="E1" sqref="E1:H1"/>
    </sheetView>
  </sheetViews>
  <sheetFormatPr defaultColWidth="8.85546875" defaultRowHeight="15" x14ac:dyDescent="0.25"/>
  <cols>
    <col min="1" max="1" width="7.85546875" style="546" customWidth="1"/>
    <col min="2" max="2" width="47.28515625" style="546" customWidth="1"/>
    <col min="3" max="3" width="14.5703125" style="1989" customWidth="1"/>
    <col min="4" max="4" width="14.5703125" style="613" customWidth="1"/>
    <col min="5" max="5" width="14.5703125" style="548" customWidth="1"/>
    <col min="6" max="6" width="14.5703125" style="2300" customWidth="1"/>
    <col min="7" max="8" width="14.5703125" style="549" customWidth="1"/>
    <col min="9" max="9" width="30.5703125" style="566" hidden="1" customWidth="1"/>
    <col min="10" max="10" width="30.5703125" style="2606" customWidth="1"/>
    <col min="11" max="16" width="30.5703125" style="546" customWidth="1"/>
    <col min="17" max="19" width="14.7109375" style="546" customWidth="1"/>
    <col min="20" max="20" width="21.28515625" style="546" customWidth="1"/>
    <col min="21" max="27" width="14.7109375" style="546" customWidth="1"/>
    <col min="28" max="16384" width="8.85546875" style="546"/>
  </cols>
  <sheetData>
    <row r="1" spans="1:20" s="1971" customFormat="1" ht="37.5" customHeight="1" x14ac:dyDescent="0.25">
      <c r="A1" s="3431"/>
      <c r="B1" s="3431" t="str">
        <f>'B61-342'!B1:G1</f>
        <v>UBND XÃ PHONG QUANG</v>
      </c>
      <c r="C1" s="2293"/>
      <c r="D1" s="1472"/>
      <c r="E1" s="4468" t="s">
        <v>4778</v>
      </c>
      <c r="F1" s="4469"/>
      <c r="G1" s="4469"/>
      <c r="H1" s="4469"/>
      <c r="I1" s="1994"/>
      <c r="J1" s="2893"/>
    </row>
    <row r="2" spans="1:20" s="1971" customFormat="1" ht="18" customHeight="1" x14ac:dyDescent="0.25">
      <c r="A2" s="4231" t="s">
        <v>3560</v>
      </c>
      <c r="B2" s="4231"/>
      <c r="C2" s="4231"/>
      <c r="D2" s="4231"/>
      <c r="E2" s="4231"/>
      <c r="F2" s="4231"/>
      <c r="G2" s="4231"/>
      <c r="H2" s="4231"/>
      <c r="I2" s="1998"/>
      <c r="J2" s="2894"/>
    </row>
    <row r="3" spans="1:20" s="1971" customFormat="1" ht="16.5" customHeight="1" x14ac:dyDescent="0.25">
      <c r="A3" s="4231" t="s">
        <v>4912</v>
      </c>
      <c r="B3" s="4231"/>
      <c r="C3" s="4231"/>
      <c r="D3" s="4231"/>
      <c r="E3" s="4231"/>
      <c r="F3" s="4231"/>
      <c r="G3" s="4231"/>
      <c r="H3" s="4231"/>
      <c r="I3" s="1998"/>
      <c r="J3" s="2894"/>
    </row>
    <row r="4" spans="1:20" s="1971" customFormat="1" ht="18" customHeight="1" x14ac:dyDescent="0.25">
      <c r="A4" s="4472" t="str">
        <f>'B61-342'!A4:M4</f>
        <v>(Kèm theo Quyết định số         /QĐ-UBND ngày      tháng 4 năm 2026 của UBND xã Phong Quang)</v>
      </c>
      <c r="B4" s="4472"/>
      <c r="C4" s="4472"/>
      <c r="D4" s="4472"/>
      <c r="E4" s="4472"/>
      <c r="F4" s="4472"/>
      <c r="G4" s="4472"/>
      <c r="H4" s="4472"/>
      <c r="I4" s="1998"/>
      <c r="J4" s="2894"/>
    </row>
    <row r="5" spans="1:20" ht="22.5" customHeight="1" x14ac:dyDescent="0.25">
      <c r="F5" s="4480" t="s">
        <v>3566</v>
      </c>
      <c r="G5" s="4480"/>
      <c r="H5" s="4480"/>
    </row>
    <row r="6" spans="1:20" s="562" customFormat="1" ht="37.15" customHeight="1" x14ac:dyDescent="0.2">
      <c r="A6" s="4473" t="s">
        <v>844</v>
      </c>
      <c r="B6" s="4473" t="s">
        <v>466</v>
      </c>
      <c r="C6" s="4476" t="s">
        <v>3561</v>
      </c>
      <c r="D6" s="4478" t="s">
        <v>3562</v>
      </c>
      <c r="E6" s="4474" t="s">
        <v>3563</v>
      </c>
      <c r="F6" s="4474"/>
      <c r="G6" s="4475" t="s">
        <v>467</v>
      </c>
      <c r="H6" s="4475"/>
      <c r="I6" s="585"/>
      <c r="J6" s="2895"/>
      <c r="M6" s="562">
        <f>7*25</f>
        <v>175</v>
      </c>
    </row>
    <row r="7" spans="1:20" s="562" customFormat="1" ht="66" customHeight="1" x14ac:dyDescent="0.2">
      <c r="A7" s="4473"/>
      <c r="B7" s="4473"/>
      <c r="C7" s="4477"/>
      <c r="D7" s="4479"/>
      <c r="E7" s="3266" t="s">
        <v>3284</v>
      </c>
      <c r="F7" s="3265" t="s">
        <v>1484</v>
      </c>
      <c r="G7" s="3271" t="s">
        <v>1489</v>
      </c>
      <c r="H7" s="3271" t="s">
        <v>1490</v>
      </c>
      <c r="I7" s="585"/>
      <c r="J7" s="2895"/>
    </row>
    <row r="8" spans="1:20" s="587" customFormat="1" ht="18" customHeight="1" x14ac:dyDescent="0.2">
      <c r="A8" s="3270" t="s">
        <v>847</v>
      </c>
      <c r="B8" s="3270" t="s">
        <v>848</v>
      </c>
      <c r="C8" s="2434">
        <v>1</v>
      </c>
      <c r="D8" s="3271">
        <v>2</v>
      </c>
      <c r="E8" s="3266" t="s">
        <v>747</v>
      </c>
      <c r="F8" s="2434">
        <v>5</v>
      </c>
      <c r="G8" s="3271">
        <v>6</v>
      </c>
      <c r="H8" s="3271">
        <v>7</v>
      </c>
      <c r="I8" s="586"/>
      <c r="J8" s="2896"/>
    </row>
    <row r="9" spans="1:20" s="1972" customFormat="1" ht="16.5" x14ac:dyDescent="0.25">
      <c r="A9" s="1585" t="s">
        <v>847</v>
      </c>
      <c r="B9" s="3371" t="s">
        <v>468</v>
      </c>
      <c r="C9" s="3460">
        <f>C10+C23+C37+C38</f>
        <v>57862000</v>
      </c>
      <c r="D9" s="3372">
        <f>D10+D23+D37+D38</f>
        <v>57862000</v>
      </c>
      <c r="E9" s="3372">
        <f>E10+E23+E37</f>
        <v>78314327</v>
      </c>
      <c r="F9" s="3460">
        <f>F10+F23+F37</f>
        <v>78314327</v>
      </c>
      <c r="G9" s="3372">
        <f>E9/C9%</f>
        <v>135.346733607549</v>
      </c>
      <c r="H9" s="3372">
        <f>E9/D9%</f>
        <v>135.346733607549</v>
      </c>
      <c r="I9" s="1999"/>
      <c r="J9" s="2897"/>
    </row>
    <row r="10" spans="1:20" s="1987" customFormat="1" ht="21.75" customHeight="1" x14ac:dyDescent="0.25">
      <c r="A10" s="3373" t="s">
        <v>849</v>
      </c>
      <c r="B10" s="3374" t="s">
        <v>884</v>
      </c>
      <c r="C10" s="3376">
        <f>C11</f>
        <v>1003000</v>
      </c>
      <c r="D10" s="3376">
        <f>D11</f>
        <v>1003000</v>
      </c>
      <c r="E10" s="3376">
        <f>E11</f>
        <v>1298671</v>
      </c>
      <c r="F10" s="3376">
        <f>F11</f>
        <v>1298671</v>
      </c>
      <c r="G10" s="3376">
        <f>E10/C10%</f>
        <v>129.47866400797608</v>
      </c>
      <c r="H10" s="3376">
        <f>E10/D10%</f>
        <v>129.47866400797608</v>
      </c>
      <c r="I10" s="2424"/>
      <c r="J10" s="2898"/>
      <c r="T10" s="2299"/>
    </row>
    <row r="11" spans="1:20" s="1972" customFormat="1" ht="36.75" customHeight="1" x14ac:dyDescent="0.25">
      <c r="A11" s="2970">
        <v>1</v>
      </c>
      <c r="B11" s="2971" t="s">
        <v>469</v>
      </c>
      <c r="C11" s="3377">
        <f>SUM(C12:C22)</f>
        <v>1003000</v>
      </c>
      <c r="D11" s="3377">
        <f>SUM(D12:D22)</f>
        <v>1003000</v>
      </c>
      <c r="E11" s="3376">
        <f>SUM(E12:E22)</f>
        <v>1298671</v>
      </c>
      <c r="F11" s="3376">
        <f>SUM(F12:F22)</f>
        <v>1298671</v>
      </c>
      <c r="G11" s="3377">
        <f>E11/C11*100</f>
        <v>129.47866400797608</v>
      </c>
      <c r="H11" s="3377">
        <f>E11/D11*100</f>
        <v>129.47866400797608</v>
      </c>
      <c r="I11" s="1999"/>
      <c r="J11" s="2897">
        <f>38564-C11</f>
        <v>-964436</v>
      </c>
      <c r="T11" s="2308"/>
    </row>
    <row r="12" spans="1:20" s="1971" customFormat="1" ht="16.5" x14ac:dyDescent="0.25">
      <c r="A12" s="3378" t="s">
        <v>851</v>
      </c>
      <c r="B12" s="3379" t="s">
        <v>947</v>
      </c>
      <c r="C12" s="3382">
        <v>0</v>
      </c>
      <c r="D12" s="3382">
        <f>C12</f>
        <v>0</v>
      </c>
      <c r="E12" s="3385">
        <f t="shared" ref="E12:E21" si="0">SUM(F12:F12)</f>
        <v>0</v>
      </c>
      <c r="F12" s="3385">
        <v>0</v>
      </c>
      <c r="G12" s="3382"/>
      <c r="H12" s="3382"/>
      <c r="I12" s="1994"/>
      <c r="J12" s="2893"/>
    </row>
    <row r="13" spans="1:20" s="1971" customFormat="1" ht="16.5" x14ac:dyDescent="0.25">
      <c r="A13" s="3378" t="s">
        <v>897</v>
      </c>
      <c r="B13" s="3379" t="s">
        <v>1476</v>
      </c>
      <c r="C13" s="3382">
        <v>0</v>
      </c>
      <c r="D13" s="3382">
        <f t="shared" ref="D13:D21" si="1">C13</f>
        <v>0</v>
      </c>
      <c r="E13" s="3385">
        <f t="shared" si="0"/>
        <v>0</v>
      </c>
      <c r="F13" s="3385"/>
      <c r="G13" s="3382"/>
      <c r="H13" s="3382"/>
      <c r="I13" s="1994"/>
      <c r="J13" s="2893"/>
      <c r="T13" s="1990"/>
    </row>
    <row r="14" spans="1:20" s="1971" customFormat="1" ht="20.25" customHeight="1" x14ac:dyDescent="0.25">
      <c r="A14" s="3378" t="s">
        <v>898</v>
      </c>
      <c r="B14" s="3379" t="s">
        <v>892</v>
      </c>
      <c r="C14" s="3382">
        <v>800000</v>
      </c>
      <c r="D14" s="3382">
        <f t="shared" si="1"/>
        <v>800000</v>
      </c>
      <c r="E14" s="3385">
        <f t="shared" si="0"/>
        <v>399339</v>
      </c>
      <c r="F14" s="3385">
        <f>'B53'!H14</f>
        <v>399339</v>
      </c>
      <c r="G14" s="3382">
        <f>E14/C14*100</f>
        <v>49.917375</v>
      </c>
      <c r="H14" s="3382">
        <f>E14/D14*100</f>
        <v>49.917375</v>
      </c>
      <c r="I14" s="1994"/>
      <c r="J14" s="2893"/>
    </row>
    <row r="15" spans="1:20" s="1971" customFormat="1" ht="20.25" customHeight="1" x14ac:dyDescent="0.25">
      <c r="A15" s="3378" t="s">
        <v>899</v>
      </c>
      <c r="B15" s="3379" t="s">
        <v>950</v>
      </c>
      <c r="C15" s="3382"/>
      <c r="D15" s="3382">
        <f t="shared" si="1"/>
        <v>0</v>
      </c>
      <c r="E15" s="3385">
        <f t="shared" si="0"/>
        <v>0</v>
      </c>
      <c r="F15" s="3385"/>
      <c r="G15" s="3382"/>
      <c r="H15" s="3382"/>
      <c r="I15" s="1994"/>
      <c r="J15" s="2893"/>
    </row>
    <row r="16" spans="1:20" s="1971" customFormat="1" ht="20.25" customHeight="1" x14ac:dyDescent="0.25">
      <c r="A16" s="3378" t="s">
        <v>900</v>
      </c>
      <c r="B16" s="3379" t="s">
        <v>948</v>
      </c>
      <c r="C16" s="3382"/>
      <c r="D16" s="3382">
        <f t="shared" si="1"/>
        <v>0</v>
      </c>
      <c r="E16" s="3385">
        <f t="shared" si="0"/>
        <v>0</v>
      </c>
      <c r="F16" s="3385"/>
      <c r="G16" s="3382"/>
      <c r="H16" s="3382"/>
      <c r="I16" s="2000"/>
      <c r="J16" s="2893"/>
      <c r="T16" s="1990"/>
    </row>
    <row r="17" spans="1:25" s="1971" customFormat="1" ht="18" customHeight="1" x14ac:dyDescent="0.25">
      <c r="A17" s="3378" t="s">
        <v>901</v>
      </c>
      <c r="B17" s="3379" t="s">
        <v>3281</v>
      </c>
      <c r="C17" s="3382"/>
      <c r="D17" s="3382">
        <f t="shared" si="1"/>
        <v>0</v>
      </c>
      <c r="E17" s="3385">
        <f t="shared" si="0"/>
        <v>0</v>
      </c>
      <c r="F17" s="3385"/>
      <c r="G17" s="3382"/>
      <c r="H17" s="3382"/>
      <c r="I17" s="1994"/>
      <c r="J17" s="2893"/>
    </row>
    <row r="18" spans="1:25" s="1971" customFormat="1" ht="18" customHeight="1" x14ac:dyDescent="0.25">
      <c r="A18" s="3378" t="s">
        <v>473</v>
      </c>
      <c r="B18" s="3379" t="s">
        <v>1478</v>
      </c>
      <c r="C18" s="3382">
        <v>203000</v>
      </c>
      <c r="D18" s="3382">
        <f t="shared" si="1"/>
        <v>203000</v>
      </c>
      <c r="E18" s="3385">
        <f t="shared" si="0"/>
        <v>899332</v>
      </c>
      <c r="F18" s="3385">
        <f>'B52'!D23</f>
        <v>899332</v>
      </c>
      <c r="G18" s="3382">
        <f>E18/C18*100</f>
        <v>443.02068965517248</v>
      </c>
      <c r="H18" s="3382">
        <f>E18/D18*100</f>
        <v>443.02068965517248</v>
      </c>
      <c r="I18" s="1994"/>
      <c r="J18" s="2893"/>
    </row>
    <row r="19" spans="1:25" s="1971" customFormat="1" ht="31.5" x14ac:dyDescent="0.25">
      <c r="A19" s="3378" t="s">
        <v>475</v>
      </c>
      <c r="B19" s="3379" t="s">
        <v>889</v>
      </c>
      <c r="C19" s="3380">
        <v>0</v>
      </c>
      <c r="D19" s="3380">
        <f t="shared" si="1"/>
        <v>0</v>
      </c>
      <c r="E19" s="3381">
        <f t="shared" si="0"/>
        <v>0</v>
      </c>
      <c r="F19" s="3381"/>
      <c r="G19" s="3382"/>
      <c r="H19" s="3382"/>
      <c r="I19" s="1994"/>
      <c r="J19" s="2893"/>
    </row>
    <row r="20" spans="1:25" s="1971" customFormat="1" ht="16.5" x14ac:dyDescent="0.25">
      <c r="A20" s="3378" t="s">
        <v>476</v>
      </c>
      <c r="B20" s="3379" t="s">
        <v>105</v>
      </c>
      <c r="C20" s="3380">
        <v>0</v>
      </c>
      <c r="D20" s="3380">
        <f t="shared" si="1"/>
        <v>0</v>
      </c>
      <c r="E20" s="3381">
        <f t="shared" si="0"/>
        <v>0</v>
      </c>
      <c r="F20" s="3381"/>
      <c r="G20" s="3382"/>
      <c r="H20" s="3382"/>
      <c r="I20" s="1994"/>
      <c r="J20" s="2893"/>
    </row>
    <row r="21" spans="1:25" s="1971" customFormat="1" ht="20.25" customHeight="1" x14ac:dyDescent="0.25">
      <c r="A21" s="3378" t="s">
        <v>478</v>
      </c>
      <c r="B21" s="3379" t="s">
        <v>3219</v>
      </c>
      <c r="C21" s="3380"/>
      <c r="D21" s="3380">
        <f t="shared" si="1"/>
        <v>0</v>
      </c>
      <c r="E21" s="3381">
        <f t="shared" si="0"/>
        <v>0</v>
      </c>
      <c r="F21" s="3381"/>
      <c r="G21" s="3382"/>
      <c r="H21" s="3382"/>
      <c r="I21" s="1994"/>
      <c r="J21" s="2893"/>
    </row>
    <row r="22" spans="1:25" s="1971" customFormat="1" ht="20.25" customHeight="1" x14ac:dyDescent="0.25">
      <c r="A22" s="3378" t="s">
        <v>479</v>
      </c>
      <c r="B22" s="3379" t="s">
        <v>883</v>
      </c>
      <c r="C22" s="3380"/>
      <c r="D22" s="3380"/>
      <c r="E22" s="3381"/>
      <c r="F22" s="3381"/>
      <c r="G22" s="3382"/>
      <c r="H22" s="3382"/>
      <c r="I22" s="1994"/>
      <c r="J22" s="2893"/>
    </row>
    <row r="23" spans="1:25" s="1987" customFormat="1" ht="20.25" customHeight="1" x14ac:dyDescent="0.25">
      <c r="A23" s="3373" t="s">
        <v>866</v>
      </c>
      <c r="B23" s="3374" t="s">
        <v>885</v>
      </c>
      <c r="C23" s="3377">
        <f>SUM(C24:C35)</f>
        <v>55532000</v>
      </c>
      <c r="D23" s="3377">
        <f>SUM(D24:D35)</f>
        <v>55532000</v>
      </c>
      <c r="E23" s="3376">
        <f>SUM(E24:E34)</f>
        <v>77015656</v>
      </c>
      <c r="F23" s="3376">
        <f>SUM(F24:F34)</f>
        <v>77015656</v>
      </c>
      <c r="G23" s="3376">
        <f>E23/C23*100</f>
        <v>138.68698408125044</v>
      </c>
      <c r="H23" s="3376">
        <f>E23/D23*100</f>
        <v>138.68698408125044</v>
      </c>
      <c r="I23" s="2424"/>
      <c r="J23" s="2898"/>
    </row>
    <row r="24" spans="1:25" s="1988" customFormat="1" ht="20.45" customHeight="1" x14ac:dyDescent="0.25">
      <c r="A24" s="3383">
        <v>1</v>
      </c>
      <c r="B24" s="3384" t="s">
        <v>947</v>
      </c>
      <c r="C24" s="3385">
        <v>699000</v>
      </c>
      <c r="D24" s="3385">
        <f t="shared" ref="D24:D29" si="2">C24</f>
        <v>699000</v>
      </c>
      <c r="E24" s="3385">
        <f t="shared" ref="E24:E34" si="3">SUM(F24:F24)</f>
        <v>645268</v>
      </c>
      <c r="F24" s="3385">
        <f>'B52'!D28</f>
        <v>645268</v>
      </c>
      <c r="G24" s="3385">
        <f>E24/C24*100</f>
        <v>92.313018597997143</v>
      </c>
      <c r="H24" s="3385">
        <f>E24/D24*100</f>
        <v>92.313018597997143</v>
      </c>
      <c r="I24" s="2288"/>
      <c r="J24" s="2899"/>
      <c r="T24" s="2301"/>
    </row>
    <row r="25" spans="1:25" s="1988" customFormat="1" ht="20.45" customHeight="1" x14ac:dyDescent="0.25">
      <c r="A25" s="3383">
        <v>2</v>
      </c>
      <c r="B25" s="3384" t="s">
        <v>1476</v>
      </c>
      <c r="C25" s="3385">
        <v>175000</v>
      </c>
      <c r="D25" s="3385">
        <f t="shared" si="2"/>
        <v>175000</v>
      </c>
      <c r="E25" s="3385">
        <f t="shared" si="3"/>
        <v>174976</v>
      </c>
      <c r="F25" s="3385">
        <f>'B52'!D29</f>
        <v>174976</v>
      </c>
      <c r="G25" s="3385">
        <f>E25/C25*100</f>
        <v>99.986285714285714</v>
      </c>
      <c r="H25" s="3385">
        <f>E25/D25*100</f>
        <v>99.986285714285714</v>
      </c>
      <c r="I25" s="2302"/>
      <c r="J25" s="2900"/>
      <c r="T25" s="2301"/>
    </row>
    <row r="26" spans="1:25" s="1988" customFormat="1" ht="24.75" customHeight="1" x14ac:dyDescent="0.25">
      <c r="A26" s="3383">
        <v>3</v>
      </c>
      <c r="B26" s="3384" t="s">
        <v>470</v>
      </c>
      <c r="C26" s="3385">
        <v>29988000</v>
      </c>
      <c r="D26" s="3385">
        <f t="shared" si="2"/>
        <v>29988000</v>
      </c>
      <c r="E26" s="3385">
        <f t="shared" si="3"/>
        <v>30030457</v>
      </c>
      <c r="F26" s="3385">
        <f>'B52'!D30</f>
        <v>30030457</v>
      </c>
      <c r="G26" s="3385">
        <f>E26/C26*100</f>
        <v>100.14157996531947</v>
      </c>
      <c r="H26" s="3385">
        <f>E26/D26*100</f>
        <v>100.14157996531947</v>
      </c>
      <c r="I26" s="2302"/>
      <c r="J26" s="2899"/>
    </row>
    <row r="27" spans="1:25" s="1971" customFormat="1" ht="24.75" customHeight="1" x14ac:dyDescent="0.25">
      <c r="A27" s="3378">
        <v>4</v>
      </c>
      <c r="B27" s="3379" t="s">
        <v>472</v>
      </c>
      <c r="C27" s="3385">
        <v>0</v>
      </c>
      <c r="D27" s="3385">
        <f t="shared" si="2"/>
        <v>0</v>
      </c>
      <c r="E27" s="3385">
        <f t="shared" si="3"/>
        <v>0</v>
      </c>
      <c r="F27" s="3385"/>
      <c r="G27" s="3385"/>
      <c r="H27" s="3382"/>
      <c r="I27" s="1994" t="e">
        <f>#REF!-I25-I26</f>
        <v>#REF!</v>
      </c>
      <c r="J27" s="2893"/>
    </row>
    <row r="28" spans="1:25" s="1971" customFormat="1" ht="24" customHeight="1" x14ac:dyDescent="0.25">
      <c r="A28" s="3378">
        <v>5</v>
      </c>
      <c r="B28" s="3379" t="s">
        <v>3281</v>
      </c>
      <c r="C28" s="3385">
        <v>329000</v>
      </c>
      <c r="D28" s="3385">
        <f t="shared" si="2"/>
        <v>329000</v>
      </c>
      <c r="E28" s="3385">
        <f t="shared" si="3"/>
        <v>279262</v>
      </c>
      <c r="F28" s="3385">
        <f>'B52'!D32</f>
        <v>279262</v>
      </c>
      <c r="G28" s="3382">
        <f t="shared" ref="G28:G34" si="4">E28/C28*100</f>
        <v>84.882066869300914</v>
      </c>
      <c r="H28" s="3382">
        <f t="shared" ref="H28:H34" si="5">E28/D28*100</f>
        <v>84.882066869300914</v>
      </c>
      <c r="I28" s="1994"/>
      <c r="J28" s="2893"/>
      <c r="T28" s="1993"/>
    </row>
    <row r="29" spans="1:25" s="1971" customFormat="1" ht="20.45" customHeight="1" x14ac:dyDescent="0.25">
      <c r="A29" s="3378">
        <v>6</v>
      </c>
      <c r="B29" s="3379" t="s">
        <v>474</v>
      </c>
      <c r="C29" s="3385">
        <v>20000</v>
      </c>
      <c r="D29" s="3385">
        <f t="shared" si="2"/>
        <v>20000</v>
      </c>
      <c r="E29" s="3385">
        <f t="shared" si="3"/>
        <v>17970</v>
      </c>
      <c r="F29" s="3385">
        <f>'B52'!D33</f>
        <v>17970</v>
      </c>
      <c r="G29" s="3382">
        <f t="shared" si="4"/>
        <v>89.85</v>
      </c>
      <c r="H29" s="3382">
        <f t="shared" si="5"/>
        <v>89.85</v>
      </c>
      <c r="I29" s="1994"/>
      <c r="J29" s="2893"/>
      <c r="V29" s="1985"/>
    </row>
    <row r="30" spans="1:25" s="1971" customFormat="1" ht="20.45" customHeight="1" x14ac:dyDescent="0.25">
      <c r="A30" s="3378">
        <v>7</v>
      </c>
      <c r="B30" s="3379" t="s">
        <v>477</v>
      </c>
      <c r="C30" s="3385">
        <v>37000</v>
      </c>
      <c r="D30" s="3385">
        <f t="shared" ref="D30:D33" si="6">C30</f>
        <v>37000</v>
      </c>
      <c r="E30" s="3385">
        <f t="shared" si="3"/>
        <v>36960</v>
      </c>
      <c r="F30" s="3385">
        <f>'B52'!D34</f>
        <v>36960</v>
      </c>
      <c r="G30" s="3382">
        <f t="shared" si="4"/>
        <v>99.891891891891888</v>
      </c>
      <c r="H30" s="3382">
        <f t="shared" si="5"/>
        <v>99.891891891891888</v>
      </c>
      <c r="I30" s="1994"/>
      <c r="J30" s="2893"/>
    </row>
    <row r="31" spans="1:25" s="1971" customFormat="1" ht="20.45" customHeight="1" x14ac:dyDescent="0.25">
      <c r="A31" s="3378">
        <v>8</v>
      </c>
      <c r="B31" s="3379" t="s">
        <v>1478</v>
      </c>
      <c r="C31" s="3385">
        <v>2788000</v>
      </c>
      <c r="D31" s="3385">
        <f t="shared" si="6"/>
        <v>2788000</v>
      </c>
      <c r="E31" s="3385">
        <f t="shared" si="3"/>
        <v>788526</v>
      </c>
      <c r="F31" s="3385">
        <f>'B52'!D35</f>
        <v>788526</v>
      </c>
      <c r="G31" s="3382">
        <f t="shared" si="4"/>
        <v>28.282855093256813</v>
      </c>
      <c r="H31" s="3382">
        <f t="shared" si="5"/>
        <v>28.282855093256813</v>
      </c>
      <c r="I31" s="1994"/>
      <c r="J31" s="2893"/>
      <c r="K31" s="2892"/>
    </row>
    <row r="32" spans="1:25" s="1971" customFormat="1" ht="31.5" x14ac:dyDescent="0.25">
      <c r="A32" s="3378">
        <v>9</v>
      </c>
      <c r="B32" s="3379" t="s">
        <v>889</v>
      </c>
      <c r="C32" s="3385">
        <v>20002000</v>
      </c>
      <c r="D32" s="3385">
        <f t="shared" si="6"/>
        <v>20002000</v>
      </c>
      <c r="E32" s="3385">
        <f t="shared" si="3"/>
        <v>41355010</v>
      </c>
      <c r="F32" s="3385">
        <f>'B52'!D36</f>
        <v>41355010</v>
      </c>
      <c r="G32" s="3382">
        <f t="shared" si="4"/>
        <v>206.75437456254375</v>
      </c>
      <c r="H32" s="3382">
        <f t="shared" si="5"/>
        <v>206.75437456254375</v>
      </c>
      <c r="I32" s="1983">
        <v>32669355000</v>
      </c>
      <c r="J32" s="2609"/>
      <c r="U32" s="1983"/>
      <c r="V32" s="1983"/>
      <c r="W32" s="1983"/>
      <c r="X32" s="1983"/>
      <c r="Y32" s="1983"/>
    </row>
    <row r="33" spans="1:25" s="1971" customFormat="1" ht="16.5" x14ac:dyDescent="0.25">
      <c r="A33" s="3378">
        <v>10</v>
      </c>
      <c r="B33" s="3379" t="s">
        <v>105</v>
      </c>
      <c r="C33" s="3385">
        <v>1454000</v>
      </c>
      <c r="D33" s="3385">
        <f t="shared" si="6"/>
        <v>1454000</v>
      </c>
      <c r="E33" s="3385">
        <f t="shared" si="3"/>
        <v>3647227</v>
      </c>
      <c r="F33" s="3385">
        <f>'B52'!D37</f>
        <v>3647227</v>
      </c>
      <c r="G33" s="3382">
        <f t="shared" si="4"/>
        <v>250.84092159559836</v>
      </c>
      <c r="H33" s="3382">
        <f t="shared" si="5"/>
        <v>250.84092159559836</v>
      </c>
      <c r="I33" s="1994">
        <f>I32/1000000</f>
        <v>32669.355</v>
      </c>
      <c r="J33" s="2609"/>
      <c r="T33" s="1983"/>
      <c r="U33" s="1983"/>
      <c r="V33" s="1983"/>
      <c r="W33" s="1983"/>
      <c r="X33" s="1983"/>
      <c r="Y33" s="1983"/>
    </row>
    <row r="34" spans="1:25" s="1971" customFormat="1" ht="16.5" x14ac:dyDescent="0.25">
      <c r="A34" s="3378">
        <v>11</v>
      </c>
      <c r="B34" s="3379" t="s">
        <v>951</v>
      </c>
      <c r="C34" s="3385">
        <v>40000</v>
      </c>
      <c r="D34" s="3385">
        <f>C34</f>
        <v>40000</v>
      </c>
      <c r="E34" s="3385">
        <f t="shared" si="3"/>
        <v>40000</v>
      </c>
      <c r="F34" s="3385">
        <v>40000</v>
      </c>
      <c r="G34" s="3382">
        <f t="shared" si="4"/>
        <v>100</v>
      </c>
      <c r="H34" s="3382">
        <f t="shared" si="5"/>
        <v>100</v>
      </c>
      <c r="I34" s="1994" t="e">
        <f>I33-#REF!</f>
        <v>#REF!</v>
      </c>
      <c r="J34" s="2609"/>
      <c r="T34" s="1983"/>
      <c r="U34" s="1983"/>
      <c r="V34" s="1983"/>
      <c r="W34" s="1983"/>
      <c r="X34" s="1983"/>
      <c r="Y34" s="1983"/>
    </row>
    <row r="35" spans="1:25" s="1971" customFormat="1" ht="33.75" customHeight="1" x14ac:dyDescent="0.25">
      <c r="A35" s="3378">
        <v>12</v>
      </c>
      <c r="B35" s="3379" t="s">
        <v>3283</v>
      </c>
      <c r="C35" s="3381">
        <f t="shared" ref="C35:C37" si="7">D35</f>
        <v>0</v>
      </c>
      <c r="D35" s="3381">
        <v>0</v>
      </c>
      <c r="E35" s="3381"/>
      <c r="F35" s="3381"/>
      <c r="G35" s="3382"/>
      <c r="H35" s="3382"/>
      <c r="I35" s="1994"/>
      <c r="J35" s="2893"/>
      <c r="T35" s="1983"/>
      <c r="U35" s="1983"/>
      <c r="V35" s="1983"/>
      <c r="W35" s="1983"/>
      <c r="X35" s="1983"/>
      <c r="Y35" s="1983"/>
    </row>
    <row r="36" spans="1:25" s="1971" customFormat="1" ht="24.75" customHeight="1" x14ac:dyDescent="0.25">
      <c r="A36" s="3378">
        <v>13</v>
      </c>
      <c r="B36" s="3379" t="s">
        <v>471</v>
      </c>
      <c r="C36" s="3381">
        <f t="shared" si="7"/>
        <v>0</v>
      </c>
      <c r="D36" s="3381">
        <f>E36</f>
        <v>0</v>
      </c>
      <c r="E36" s="3381">
        <f>SUM(F36:F36)</f>
        <v>0</v>
      </c>
      <c r="F36" s="3381"/>
      <c r="G36" s="3382"/>
      <c r="H36" s="3382"/>
      <c r="I36" s="1992">
        <f>SUM(I24:I26)</f>
        <v>0</v>
      </c>
      <c r="J36" s="2893"/>
    </row>
    <row r="37" spans="1:25" s="2426" customFormat="1" ht="20.25" hidden="1" customHeight="1" x14ac:dyDescent="0.25">
      <c r="A37" s="3386"/>
      <c r="B37" s="3387"/>
      <c r="C37" s="3381">
        <f t="shared" si="7"/>
        <v>0</v>
      </c>
      <c r="D37" s="3388"/>
      <c r="E37" s="3388"/>
      <c r="F37" s="3375"/>
      <c r="G37" s="3389"/>
      <c r="H37" s="3389"/>
      <c r="I37" s="2425"/>
      <c r="J37" s="2901"/>
      <c r="T37" s="2427"/>
      <c r="U37" s="2427"/>
      <c r="V37" s="2427"/>
      <c r="W37" s="2427"/>
      <c r="X37" s="2427"/>
      <c r="Y37" s="2427"/>
    </row>
    <row r="38" spans="1:25" s="1972" customFormat="1" ht="18.75" customHeight="1" x14ac:dyDescent="0.25">
      <c r="A38" s="2970" t="s">
        <v>873</v>
      </c>
      <c r="B38" s="2971" t="s">
        <v>924</v>
      </c>
      <c r="C38" s="3376">
        <v>1327000</v>
      </c>
      <c r="D38" s="3458">
        <f>C38</f>
        <v>1327000</v>
      </c>
      <c r="E38" s="3375">
        <f>SUM(F38:F38)</f>
        <v>0</v>
      </c>
      <c r="F38" s="3375"/>
      <c r="G38" s="3377">
        <f>E38/C38*100</f>
        <v>0</v>
      </c>
      <c r="H38" s="3377">
        <f>E38/D38*100</f>
        <v>0</v>
      </c>
      <c r="I38" s="1999"/>
      <c r="J38" s="2897"/>
    </row>
    <row r="39" spans="1:25" s="1972" customFormat="1" ht="18.75" customHeight="1" x14ac:dyDescent="0.25">
      <c r="A39" s="2970" t="s">
        <v>848</v>
      </c>
      <c r="B39" s="2971" t="s">
        <v>3539</v>
      </c>
      <c r="C39" s="3458">
        <v>13075000</v>
      </c>
      <c r="D39" s="3459">
        <f>C39</f>
        <v>13075000</v>
      </c>
      <c r="E39" s="3376">
        <f>F39</f>
        <v>14320456.1</v>
      </c>
      <c r="F39" s="3376">
        <f>'B52'!D45</f>
        <v>14320456.1</v>
      </c>
      <c r="G39" s="3377"/>
      <c r="H39" s="3377"/>
      <c r="I39" s="1999"/>
      <c r="J39" s="2897"/>
    </row>
    <row r="40" spans="1:25" s="1972" customFormat="1" ht="27.75" customHeight="1" x14ac:dyDescent="0.25">
      <c r="A40" s="2970" t="s">
        <v>904</v>
      </c>
      <c r="B40" s="2971" t="s">
        <v>490</v>
      </c>
      <c r="C40" s="3376">
        <f>C41+C42</f>
        <v>0</v>
      </c>
      <c r="D40" s="3377">
        <f>D41+D42</f>
        <v>0</v>
      </c>
      <c r="E40" s="3376">
        <f>E41+E42</f>
        <v>0</v>
      </c>
      <c r="F40" s="3376">
        <f>F41+F42</f>
        <v>0</v>
      </c>
      <c r="G40" s="3382"/>
      <c r="H40" s="3382"/>
      <c r="I40" s="1999"/>
      <c r="J40" s="2897"/>
    </row>
    <row r="41" spans="1:25" s="1971" customFormat="1" ht="21.75" customHeight="1" x14ac:dyDescent="0.25">
      <c r="A41" s="3378">
        <v>1</v>
      </c>
      <c r="B41" s="3379" t="s">
        <v>491</v>
      </c>
      <c r="C41" s="3382"/>
      <c r="D41" s="3382"/>
      <c r="E41" s="3385">
        <f>SUM(F41:F41)</f>
        <v>0</v>
      </c>
      <c r="F41" s="3385"/>
      <c r="G41" s="3382"/>
      <c r="H41" s="3382"/>
      <c r="I41" s="1994"/>
      <c r="J41" s="2893"/>
    </row>
    <row r="42" spans="1:25" s="1971" customFormat="1" ht="21.75" customHeight="1" x14ac:dyDescent="0.25">
      <c r="A42" s="3378">
        <v>2</v>
      </c>
      <c r="B42" s="3379" t="s">
        <v>457</v>
      </c>
      <c r="C42" s="3382"/>
      <c r="D42" s="3382"/>
      <c r="E42" s="3382">
        <f>SUM(F42:F42)</f>
        <v>0</v>
      </c>
      <c r="F42" s="3385"/>
      <c r="G42" s="3382"/>
      <c r="H42" s="3382"/>
      <c r="I42" s="1994"/>
      <c r="J42" s="2609"/>
    </row>
    <row r="43" spans="1:25" s="1972" customFormat="1" ht="21" customHeight="1" x14ac:dyDescent="0.25">
      <c r="A43" s="2970" t="s">
        <v>927</v>
      </c>
      <c r="B43" s="2971" t="s">
        <v>492</v>
      </c>
      <c r="C43" s="3376"/>
      <c r="D43" s="3377"/>
      <c r="E43" s="3377">
        <f>SUM(F43:F43)</f>
        <v>1084441</v>
      </c>
      <c r="F43" s="3376">
        <f>'B60-342'!I21</f>
        <v>1084441</v>
      </c>
      <c r="G43" s="3382"/>
      <c r="H43" s="3382"/>
      <c r="I43" s="1999"/>
      <c r="J43" s="2897"/>
    </row>
    <row r="44" spans="1:25" s="583" customFormat="1" ht="21" customHeight="1" x14ac:dyDescent="0.25">
      <c r="A44" s="2970" t="s">
        <v>1515</v>
      </c>
      <c r="B44" s="2971" t="s">
        <v>3419</v>
      </c>
      <c r="C44" s="3376">
        <f>D44</f>
        <v>0</v>
      </c>
      <c r="D44" s="3377"/>
      <c r="E44" s="3377">
        <f>SUM(F44:F44)</f>
        <v>16709788</v>
      </c>
      <c r="F44" s="3376">
        <f>'B60-342'!I20</f>
        <v>16709788</v>
      </c>
      <c r="G44" s="3382"/>
      <c r="H44" s="3382"/>
      <c r="I44" s="916"/>
      <c r="J44" s="2902"/>
      <c r="U44" s="3999"/>
      <c r="V44" s="3999"/>
    </row>
    <row r="45" spans="1:25" s="1972" customFormat="1" ht="21" customHeight="1" x14ac:dyDescent="0.25">
      <c r="A45" s="3390"/>
      <c r="B45" s="3390" t="s">
        <v>1496</v>
      </c>
      <c r="C45" s="3457">
        <f t="shared" ref="C45:D45" si="8">C44+C39+C40+C43+C9</f>
        <v>70937000</v>
      </c>
      <c r="D45" s="3457">
        <f t="shared" si="8"/>
        <v>70937000</v>
      </c>
      <c r="E45" s="3457">
        <f>E44+E39+E40+E43+E9</f>
        <v>110429012.09999999</v>
      </c>
      <c r="F45" s="3457">
        <f>F44+F39+F40+F43+F9</f>
        <v>110429012.09999999</v>
      </c>
      <c r="G45" s="3391">
        <f>E45/C45*100</f>
        <v>155.67195130890789</v>
      </c>
      <c r="H45" s="3391">
        <f>E45/D45*100</f>
        <v>155.67195130890789</v>
      </c>
      <c r="I45" s="1999"/>
      <c r="J45" s="2897"/>
      <c r="U45" s="4471"/>
      <c r="V45" s="4471"/>
    </row>
    <row r="46" spans="1:25" ht="15.75" x14ac:dyDescent="0.25">
      <c r="A46" s="591"/>
      <c r="T46" s="2777"/>
    </row>
    <row r="47" spans="1:25" ht="23.25" hidden="1" customHeight="1" x14ac:dyDescent="0.25">
      <c r="A47" s="3997" t="s">
        <v>3726</v>
      </c>
      <c r="B47" s="3997"/>
      <c r="D47" s="4467"/>
      <c r="E47" s="4467"/>
      <c r="F47" s="4465" t="s">
        <v>3571</v>
      </c>
      <c r="G47" s="4465"/>
      <c r="H47" s="4465"/>
      <c r="I47" s="3412"/>
    </row>
    <row r="48" spans="1:25" ht="15.75" hidden="1" customHeight="1" x14ac:dyDescent="0.25">
      <c r="A48" s="3998" t="s">
        <v>2174</v>
      </c>
      <c r="B48" s="3998"/>
      <c r="D48" s="4143" t="s">
        <v>3725</v>
      </c>
      <c r="E48" s="4143"/>
      <c r="F48" s="4466" t="s">
        <v>638</v>
      </c>
      <c r="G48" s="4466"/>
      <c r="H48" s="4466"/>
      <c r="I48" s="3269"/>
      <c r="J48" s="2612"/>
    </row>
    <row r="49" spans="1:10" ht="15.75" hidden="1" customHeight="1" x14ac:dyDescent="0.25">
      <c r="A49" s="3998" t="s">
        <v>1730</v>
      </c>
      <c r="B49" s="3998"/>
      <c r="C49" s="3998"/>
      <c r="D49" s="4143" t="s">
        <v>807</v>
      </c>
      <c r="E49" s="4143"/>
      <c r="F49" s="4466" t="s">
        <v>639</v>
      </c>
      <c r="G49" s="4466"/>
      <c r="H49" s="4466"/>
      <c r="I49" s="3269"/>
    </row>
    <row r="50" spans="1:10" ht="15.75" hidden="1" x14ac:dyDescent="0.25">
      <c r="A50" s="3264"/>
      <c r="B50" s="3264"/>
      <c r="D50" s="2778"/>
      <c r="E50" s="2779"/>
      <c r="G50" s="3268"/>
      <c r="H50" s="3268"/>
      <c r="I50" s="3268"/>
    </row>
    <row r="51" spans="1:10" ht="15.75" hidden="1" x14ac:dyDescent="0.25">
      <c r="A51" s="3264"/>
      <c r="B51" s="3264"/>
      <c r="D51" s="2778"/>
      <c r="E51" s="2779"/>
      <c r="G51" s="2880"/>
      <c r="H51" s="2881"/>
      <c r="I51" s="2881"/>
    </row>
    <row r="52" spans="1:10" ht="15.75" hidden="1" x14ac:dyDescent="0.25">
      <c r="A52" s="3264"/>
      <c r="B52" s="3264"/>
      <c r="D52" s="2778"/>
      <c r="E52" s="2779"/>
      <c r="G52" s="2880"/>
      <c r="H52" s="2881"/>
      <c r="I52" s="2881"/>
    </row>
    <row r="53" spans="1:10" ht="15.75" hidden="1" x14ac:dyDescent="0.25">
      <c r="A53" s="3264"/>
      <c r="B53" s="3264"/>
      <c r="D53" s="2778"/>
      <c r="E53" s="2779"/>
      <c r="G53" s="2880"/>
      <c r="H53" s="2881"/>
      <c r="I53" s="2881"/>
      <c r="J53" s="2612"/>
    </row>
    <row r="54" spans="1:10" ht="15.75" hidden="1" x14ac:dyDescent="0.25">
      <c r="A54" s="3264"/>
      <c r="B54" s="3264"/>
      <c r="D54" s="2778"/>
      <c r="E54" s="2779"/>
      <c r="G54" s="2300"/>
      <c r="H54" s="3267"/>
      <c r="I54" s="3267"/>
    </row>
    <row r="55" spans="1:10" ht="22.5" hidden="1" customHeight="1" x14ac:dyDescent="0.25">
      <c r="A55" s="1376"/>
      <c r="G55" s="2300"/>
      <c r="H55" s="3267"/>
      <c r="I55" s="3267"/>
    </row>
    <row r="56" spans="1:10" s="1378" customFormat="1" ht="19.5" hidden="1" x14ac:dyDescent="0.3">
      <c r="A56" s="1377"/>
      <c r="C56" s="2780"/>
      <c r="D56" s="4225" t="s">
        <v>3574</v>
      </c>
      <c r="E56" s="4225"/>
      <c r="F56" s="4470" t="s">
        <v>3572</v>
      </c>
      <c r="G56" s="4470"/>
      <c r="H56" s="4470"/>
      <c r="I56" s="4470"/>
      <c r="J56" s="2903"/>
    </row>
    <row r="57" spans="1:10" s="673" customFormat="1" ht="15.75" x14ac:dyDescent="0.25">
      <c r="A57" s="2613"/>
      <c r="C57" s="2607"/>
      <c r="D57" s="2603"/>
      <c r="E57" s="2612"/>
      <c r="F57" s="4470"/>
      <c r="G57" s="4470"/>
      <c r="H57" s="4470"/>
      <c r="I57" s="4470"/>
      <c r="J57" s="2606"/>
    </row>
    <row r="58" spans="1:10" s="673" customFormat="1" ht="15.75" x14ac:dyDescent="0.25">
      <c r="A58" s="2613"/>
      <c r="C58" s="2607"/>
      <c r="D58" s="2603"/>
      <c r="E58" s="2612"/>
      <c r="F58" s="2608"/>
      <c r="G58" s="675"/>
      <c r="H58" s="675"/>
      <c r="I58" s="2606"/>
      <c r="J58" s="2606"/>
    </row>
    <row r="59" spans="1:10" s="673" customFormat="1" x14ac:dyDescent="0.25">
      <c r="C59" s="2607"/>
      <c r="D59" s="2603"/>
      <c r="E59" s="2612"/>
      <c r="F59" s="2608"/>
      <c r="G59" s="675"/>
      <c r="H59" s="675"/>
      <c r="I59" s="2606"/>
      <c r="J59" s="2606"/>
    </row>
  </sheetData>
  <mergeCells count="25">
    <mergeCell ref="A3:H3"/>
    <mergeCell ref="E1:H1"/>
    <mergeCell ref="F57:I57"/>
    <mergeCell ref="F56:I56"/>
    <mergeCell ref="U44:V44"/>
    <mergeCell ref="U45:V45"/>
    <mergeCell ref="A2:H2"/>
    <mergeCell ref="A4:H4"/>
    <mergeCell ref="A6:A7"/>
    <mergeCell ref="B6:B7"/>
    <mergeCell ref="E6:F6"/>
    <mergeCell ref="G6:H6"/>
    <mergeCell ref="C6:C7"/>
    <mergeCell ref="D6:D7"/>
    <mergeCell ref="F5:H5"/>
    <mergeCell ref="A49:C49"/>
    <mergeCell ref="D56:E56"/>
    <mergeCell ref="A47:B47"/>
    <mergeCell ref="A48:B48"/>
    <mergeCell ref="F47:H47"/>
    <mergeCell ref="F48:H48"/>
    <mergeCell ref="F49:H49"/>
    <mergeCell ref="D47:E47"/>
    <mergeCell ref="D48:E48"/>
    <mergeCell ref="D49:E49"/>
  </mergeCells>
  <phoneticPr fontId="70" type="noConversion"/>
  <pageMargins left="0.74803149606299202" right="0.27" top="0.41" bottom="0.38" header="0.196850393700787" footer="0.196850393700787"/>
  <pageSetup paperSize="9" scale="95" orientation="landscape" useFirstPageNumber="1" r:id="rId1"/>
  <headerFooter>
    <oddFooter>&amp;C&amp;P</oddFooter>
  </headerFooter>
  <rowBreaks count="1" manualBreakCount="1">
    <brk id="5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FF00"/>
  </sheetPr>
  <dimension ref="A1:M440"/>
  <sheetViews>
    <sheetView zoomScaleNormal="100" zoomScaleSheetLayoutView="100" workbookViewId="0">
      <selection activeCell="G18" sqref="G18"/>
    </sheetView>
  </sheetViews>
  <sheetFormatPr defaultRowHeight="15" x14ac:dyDescent="0.25"/>
  <cols>
    <col min="1" max="1" width="0.5703125" style="3509" customWidth="1"/>
    <col min="2" max="2" width="8.7109375" style="3509" customWidth="1"/>
    <col min="3" max="3" width="10.5703125" style="3509" customWidth="1"/>
    <col min="4" max="4" width="12.28515625" style="3509" customWidth="1"/>
    <col min="5" max="5" width="0" style="3509" hidden="1" customWidth="1"/>
    <col min="6" max="6" width="11.140625" style="3509" customWidth="1"/>
    <col min="7" max="7" width="12.7109375" style="3509" customWidth="1"/>
    <col min="8" max="8" width="30.42578125" style="3509" customWidth="1"/>
    <col min="9" max="9" width="0" style="3509" hidden="1" customWidth="1"/>
    <col min="10" max="13" width="13.140625" style="3509" customWidth="1"/>
    <col min="14" max="14" width="0" style="3509" hidden="1" customWidth="1"/>
    <col min="15" max="15" width="2.140625" style="3509" customWidth="1"/>
    <col min="16" max="16384" width="9.140625" style="3509"/>
  </cols>
  <sheetData>
    <row r="1" spans="1:13" ht="4.9000000000000004" customHeight="1" x14ac:dyDescent="0.25"/>
    <row r="2" spans="1:13" ht="22.5" customHeight="1" x14ac:dyDescent="0.25">
      <c r="B2" s="4484" t="s">
        <v>4774</v>
      </c>
      <c r="C2" s="4485"/>
      <c r="D2" s="4485"/>
      <c r="E2" s="4485"/>
      <c r="F2" s="4485"/>
      <c r="G2" s="4485"/>
      <c r="H2" s="4485"/>
      <c r="L2" s="4483" t="s">
        <v>2555</v>
      </c>
      <c r="M2" s="4483"/>
    </row>
    <row r="3" spans="1:13" x14ac:dyDescent="0.25">
      <c r="L3" s="3859"/>
      <c r="M3" s="3859"/>
    </row>
    <row r="4" spans="1:13" ht="3" customHeight="1" x14ac:dyDescent="0.25"/>
    <row r="5" spans="1:13" ht="20.65" customHeight="1" x14ac:dyDescent="0.25">
      <c r="B5" s="4483" t="s">
        <v>3728</v>
      </c>
      <c r="C5" s="4289"/>
      <c r="D5" s="4289"/>
      <c r="E5" s="4289"/>
      <c r="F5" s="4289"/>
      <c r="G5" s="4289"/>
      <c r="H5" s="4289"/>
      <c r="I5" s="4289"/>
      <c r="J5" s="4289"/>
      <c r="K5" s="4289"/>
      <c r="L5" s="4289"/>
      <c r="M5" s="4289"/>
    </row>
    <row r="6" spans="1:13" ht="20.65" customHeight="1" x14ac:dyDescent="0.25">
      <c r="A6" s="4287" t="s">
        <v>4912</v>
      </c>
      <c r="B6" s="4287"/>
      <c r="C6" s="4287"/>
      <c r="D6" s="4287"/>
      <c r="E6" s="4287"/>
      <c r="F6" s="4287"/>
      <c r="G6" s="4287"/>
      <c r="H6" s="4287"/>
      <c r="I6" s="4287"/>
      <c r="J6" s="4287"/>
      <c r="K6" s="4287"/>
      <c r="L6" s="4287"/>
      <c r="M6" s="4287"/>
    </row>
    <row r="7" spans="1:13" ht="20.25" customHeight="1" x14ac:dyDescent="0.25">
      <c r="A7" s="4456" t="str">
        <f>'B62-342'!A4:H4</f>
        <v>(Kèm theo Quyết định số         /QĐ-UBND ngày      tháng 4 năm 2026 của UBND xã Phong Quang)</v>
      </c>
      <c r="B7" s="4456"/>
      <c r="C7" s="4456"/>
      <c r="D7" s="4456"/>
      <c r="E7" s="4456"/>
      <c r="F7" s="4456"/>
      <c r="G7" s="4456"/>
      <c r="H7" s="4456"/>
      <c r="I7" s="4456"/>
      <c r="J7" s="4456"/>
      <c r="K7" s="4456"/>
      <c r="L7" s="4456"/>
      <c r="M7" s="4456"/>
    </row>
    <row r="8" spans="1:13" ht="18" customHeight="1" x14ac:dyDescent="0.25">
      <c r="B8" s="4486" t="s">
        <v>3586</v>
      </c>
      <c r="C8" s="4289"/>
      <c r="D8" s="4289"/>
      <c r="E8" s="4289"/>
      <c r="F8" s="4289"/>
      <c r="G8" s="4289"/>
      <c r="H8" s="4289"/>
      <c r="I8" s="4289"/>
      <c r="J8" s="4289"/>
      <c r="K8" s="4289"/>
      <c r="L8" s="4289"/>
      <c r="M8" s="4289"/>
    </row>
    <row r="9" spans="1:13" ht="6.2" customHeight="1" x14ac:dyDescent="0.25"/>
    <row r="10" spans="1:13" ht="15.75" x14ac:dyDescent="0.25">
      <c r="B10" s="4266" t="s">
        <v>4427</v>
      </c>
      <c r="C10" s="4487"/>
      <c r="D10" s="4487"/>
      <c r="E10" s="4487"/>
      <c r="F10" s="4487"/>
      <c r="G10" s="4487"/>
      <c r="H10" s="4488"/>
      <c r="J10" s="3837" t="s">
        <v>3003</v>
      </c>
      <c r="K10" s="3837" t="s">
        <v>3003</v>
      </c>
      <c r="L10" s="3837" t="s">
        <v>4779</v>
      </c>
      <c r="M10" s="3837" t="s">
        <v>4428</v>
      </c>
    </row>
    <row r="11" spans="1:13" ht="15.75" x14ac:dyDescent="0.25">
      <c r="B11" s="3838" t="s">
        <v>2556</v>
      </c>
      <c r="C11" s="3838" t="s">
        <v>4429</v>
      </c>
      <c r="D11" s="3838" t="s">
        <v>4430</v>
      </c>
      <c r="F11" s="3838" t="s">
        <v>495</v>
      </c>
      <c r="G11" s="3838" t="s">
        <v>496</v>
      </c>
      <c r="H11" s="3838" t="s">
        <v>2782</v>
      </c>
      <c r="J11" s="3839" t="s">
        <v>4780</v>
      </c>
      <c r="K11" s="3839" t="s">
        <v>3487</v>
      </c>
      <c r="L11" s="3839" t="s">
        <v>4781</v>
      </c>
      <c r="M11" s="3840" t="s">
        <v>4782</v>
      </c>
    </row>
    <row r="12" spans="1:13" x14ac:dyDescent="0.25">
      <c r="B12" s="4489" t="s">
        <v>886</v>
      </c>
      <c r="C12" s="4487"/>
      <c r="D12" s="4487"/>
      <c r="E12" s="4487"/>
      <c r="F12" s="4487"/>
      <c r="G12" s="4487"/>
      <c r="H12" s="4487"/>
      <c r="J12" s="3841" t="s">
        <v>4783</v>
      </c>
      <c r="K12" s="3841" t="s">
        <v>4431</v>
      </c>
      <c r="L12" s="3841" t="s">
        <v>4784</v>
      </c>
      <c r="M12" s="3841" t="s">
        <v>4785</v>
      </c>
    </row>
    <row r="13" spans="1:13" x14ac:dyDescent="0.25">
      <c r="B13" s="3842"/>
      <c r="C13" s="3843" t="s">
        <v>1815</v>
      </c>
      <c r="D13" s="3843" t="s">
        <v>1815</v>
      </c>
      <c r="E13" s="3526"/>
      <c r="F13" s="3843" t="s">
        <v>1815</v>
      </c>
      <c r="G13" s="3843" t="s">
        <v>1815</v>
      </c>
      <c r="H13" s="3844" t="s">
        <v>4432</v>
      </c>
      <c r="I13" s="3526"/>
      <c r="J13" s="3845" t="s">
        <v>4433</v>
      </c>
      <c r="K13" s="3845" t="s">
        <v>4434</v>
      </c>
      <c r="L13" s="3845" t="s">
        <v>4435</v>
      </c>
      <c r="M13" s="3845" t="s">
        <v>1815</v>
      </c>
    </row>
    <row r="14" spans="1:13" x14ac:dyDescent="0.25">
      <c r="B14" s="3842"/>
      <c r="C14" s="3843" t="s">
        <v>4436</v>
      </c>
      <c r="D14" s="3843" t="s">
        <v>1815</v>
      </c>
      <c r="E14" s="3526"/>
      <c r="F14" s="3843" t="s">
        <v>1815</v>
      </c>
      <c r="G14" s="3843" t="s">
        <v>1815</v>
      </c>
      <c r="H14" s="3844" t="s">
        <v>4437</v>
      </c>
      <c r="I14" s="3526"/>
      <c r="J14" s="3845" t="s">
        <v>4438</v>
      </c>
      <c r="K14" s="3845" t="s">
        <v>4438</v>
      </c>
      <c r="L14" s="3845" t="s">
        <v>1815</v>
      </c>
      <c r="M14" s="3845" t="s">
        <v>1815</v>
      </c>
    </row>
    <row r="15" spans="1:13" x14ac:dyDescent="0.25">
      <c r="B15" s="3842"/>
      <c r="C15" s="3843" t="s">
        <v>1815</v>
      </c>
      <c r="D15" s="3843" t="s">
        <v>4439</v>
      </c>
      <c r="E15" s="3526"/>
      <c r="F15" s="3843" t="s">
        <v>1815</v>
      </c>
      <c r="G15" s="3843" t="s">
        <v>1815</v>
      </c>
      <c r="H15" s="3844" t="s">
        <v>4440</v>
      </c>
      <c r="I15" s="3526"/>
      <c r="J15" s="3845" t="s">
        <v>4438</v>
      </c>
      <c r="K15" s="3845" t="s">
        <v>4438</v>
      </c>
      <c r="L15" s="3845" t="s">
        <v>1815</v>
      </c>
      <c r="M15" s="3845" t="s">
        <v>1815</v>
      </c>
    </row>
    <row r="16" spans="1:13" ht="24" x14ac:dyDescent="0.25">
      <c r="B16" s="3842"/>
      <c r="C16" s="3843" t="s">
        <v>1815</v>
      </c>
      <c r="D16" s="3843" t="s">
        <v>1815</v>
      </c>
      <c r="E16" s="3526"/>
      <c r="F16" s="3843" t="s">
        <v>1144</v>
      </c>
      <c r="G16" s="3843" t="s">
        <v>1815</v>
      </c>
      <c r="H16" s="3844" t="s">
        <v>2840</v>
      </c>
      <c r="I16" s="3526"/>
      <c r="J16" s="3845" t="s">
        <v>4441</v>
      </c>
      <c r="K16" s="3845" t="s">
        <v>4441</v>
      </c>
      <c r="L16" s="3845" t="s">
        <v>1815</v>
      </c>
      <c r="M16" s="3845" t="s">
        <v>1815</v>
      </c>
    </row>
    <row r="17" spans="2:13" x14ac:dyDescent="0.25">
      <c r="B17" s="3842"/>
      <c r="C17" s="3843" t="s">
        <v>1815</v>
      </c>
      <c r="D17" s="3843" t="s">
        <v>1815</v>
      </c>
      <c r="E17" s="3526"/>
      <c r="F17" s="3843" t="s">
        <v>1815</v>
      </c>
      <c r="G17" s="3843" t="s">
        <v>1840</v>
      </c>
      <c r="H17" s="3844" t="s">
        <v>4442</v>
      </c>
      <c r="I17" s="3526"/>
      <c r="J17" s="3845" t="s">
        <v>4441</v>
      </c>
      <c r="K17" s="3845" t="s">
        <v>4441</v>
      </c>
      <c r="L17" s="3845" t="s">
        <v>1815</v>
      </c>
      <c r="M17" s="3845" t="s">
        <v>1815</v>
      </c>
    </row>
    <row r="18" spans="2:13" ht="24" x14ac:dyDescent="0.25">
      <c r="B18" s="3842"/>
      <c r="C18" s="3843" t="s">
        <v>1815</v>
      </c>
      <c r="D18" s="3843" t="s">
        <v>1815</v>
      </c>
      <c r="E18" s="3526"/>
      <c r="F18" s="3843" t="s">
        <v>1139</v>
      </c>
      <c r="G18" s="3843" t="s">
        <v>1815</v>
      </c>
      <c r="H18" s="3844" t="s">
        <v>4786</v>
      </c>
      <c r="I18" s="3526"/>
      <c r="J18" s="3845" t="s">
        <v>4443</v>
      </c>
      <c r="K18" s="3845" t="s">
        <v>4443</v>
      </c>
      <c r="L18" s="3845" t="s">
        <v>1815</v>
      </c>
      <c r="M18" s="3845" t="s">
        <v>1815</v>
      </c>
    </row>
    <row r="19" spans="2:13" x14ac:dyDescent="0.25">
      <c r="B19" s="3842"/>
      <c r="C19" s="3843" t="s">
        <v>1815</v>
      </c>
      <c r="D19" s="3843" t="s">
        <v>1815</v>
      </c>
      <c r="E19" s="3526"/>
      <c r="F19" s="3843" t="s">
        <v>1815</v>
      </c>
      <c r="G19" s="3843" t="s">
        <v>3344</v>
      </c>
      <c r="H19" s="3844" t="s">
        <v>4444</v>
      </c>
      <c r="I19" s="3526"/>
      <c r="J19" s="3845" t="s">
        <v>4443</v>
      </c>
      <c r="K19" s="3845" t="s">
        <v>4443</v>
      </c>
      <c r="L19" s="3845" t="s">
        <v>1815</v>
      </c>
      <c r="M19" s="3845" t="s">
        <v>1815</v>
      </c>
    </row>
    <row r="20" spans="2:13" ht="24" x14ac:dyDescent="0.25">
      <c r="B20" s="3842"/>
      <c r="C20" s="3843" t="s">
        <v>4445</v>
      </c>
      <c r="D20" s="3843" t="s">
        <v>1815</v>
      </c>
      <c r="E20" s="3526"/>
      <c r="F20" s="3843" t="s">
        <v>1815</v>
      </c>
      <c r="G20" s="3843" t="s">
        <v>1815</v>
      </c>
      <c r="H20" s="3844" t="s">
        <v>4446</v>
      </c>
      <c r="I20" s="3526"/>
      <c r="J20" s="3845" t="s">
        <v>4447</v>
      </c>
      <c r="K20" s="3845" t="s">
        <v>4448</v>
      </c>
      <c r="L20" s="3845" t="s">
        <v>4435</v>
      </c>
      <c r="M20" s="3845" t="s">
        <v>1815</v>
      </c>
    </row>
    <row r="21" spans="2:13" x14ac:dyDescent="0.25">
      <c r="B21" s="3842"/>
      <c r="C21" s="3843" t="s">
        <v>1815</v>
      </c>
      <c r="D21" s="3843" t="s">
        <v>4449</v>
      </c>
      <c r="E21" s="3526"/>
      <c r="F21" s="3843" t="s">
        <v>1815</v>
      </c>
      <c r="G21" s="3843" t="s">
        <v>1815</v>
      </c>
      <c r="H21" s="3844" t="s">
        <v>2892</v>
      </c>
      <c r="I21" s="3526"/>
      <c r="J21" s="3845" t="s">
        <v>4447</v>
      </c>
      <c r="K21" s="3845" t="s">
        <v>4448</v>
      </c>
      <c r="L21" s="3845" t="s">
        <v>4435</v>
      </c>
      <c r="M21" s="3845" t="s">
        <v>1815</v>
      </c>
    </row>
    <row r="22" spans="2:13" x14ac:dyDescent="0.25">
      <c r="B22" s="3842"/>
      <c r="C22" s="3843" t="s">
        <v>1815</v>
      </c>
      <c r="D22" s="3843" t="s">
        <v>1815</v>
      </c>
      <c r="E22" s="3526"/>
      <c r="F22" s="3843" t="s">
        <v>1137</v>
      </c>
      <c r="G22" s="3843" t="s">
        <v>1815</v>
      </c>
      <c r="H22" s="3844" t="s">
        <v>2892</v>
      </c>
      <c r="I22" s="3526"/>
      <c r="J22" s="3845" t="s">
        <v>4447</v>
      </c>
      <c r="K22" s="3845" t="s">
        <v>4448</v>
      </c>
      <c r="L22" s="3845" t="s">
        <v>4435</v>
      </c>
      <c r="M22" s="3845" t="s">
        <v>1815</v>
      </c>
    </row>
    <row r="23" spans="2:13" ht="36" x14ac:dyDescent="0.25">
      <c r="B23" s="3842"/>
      <c r="C23" s="3843" t="s">
        <v>1815</v>
      </c>
      <c r="D23" s="3843" t="s">
        <v>1815</v>
      </c>
      <c r="E23" s="3526"/>
      <c r="F23" s="3843" t="s">
        <v>1815</v>
      </c>
      <c r="G23" s="3843" t="s">
        <v>1170</v>
      </c>
      <c r="H23" s="3844" t="s">
        <v>2901</v>
      </c>
      <c r="I23" s="3526"/>
      <c r="J23" s="3845" t="s">
        <v>4435</v>
      </c>
      <c r="K23" s="3845" t="s">
        <v>1815</v>
      </c>
      <c r="L23" s="3845" t="s">
        <v>4435</v>
      </c>
      <c r="M23" s="3845" t="s">
        <v>1815</v>
      </c>
    </row>
    <row r="24" spans="2:13" ht="36" x14ac:dyDescent="0.25">
      <c r="B24" s="3842"/>
      <c r="C24" s="3843" t="s">
        <v>1815</v>
      </c>
      <c r="D24" s="3843" t="s">
        <v>1815</v>
      </c>
      <c r="E24" s="3526"/>
      <c r="F24" s="3843" t="s">
        <v>1815</v>
      </c>
      <c r="G24" s="3843" t="s">
        <v>1157</v>
      </c>
      <c r="H24" s="3844" t="s">
        <v>2902</v>
      </c>
      <c r="I24" s="3526"/>
      <c r="J24" s="3845" t="s">
        <v>4448</v>
      </c>
      <c r="K24" s="3845" t="s">
        <v>4448</v>
      </c>
      <c r="L24" s="3845" t="s">
        <v>1815</v>
      </c>
      <c r="M24" s="3845" t="s">
        <v>1815</v>
      </c>
    </row>
    <row r="25" spans="2:13" x14ac:dyDescent="0.25">
      <c r="B25" s="3842"/>
      <c r="C25" s="3843" t="s">
        <v>1815</v>
      </c>
      <c r="D25" s="3843" t="s">
        <v>1815</v>
      </c>
      <c r="E25" s="3526"/>
      <c r="F25" s="3843" t="s">
        <v>1815</v>
      </c>
      <c r="G25" s="3843" t="s">
        <v>1815</v>
      </c>
      <c r="H25" s="3844" t="s">
        <v>4450</v>
      </c>
      <c r="I25" s="3526"/>
      <c r="J25" s="3845" t="s">
        <v>4451</v>
      </c>
      <c r="K25" s="3845" t="s">
        <v>1815</v>
      </c>
      <c r="L25" s="3845" t="s">
        <v>4451</v>
      </c>
      <c r="M25" s="3845" t="s">
        <v>1815</v>
      </c>
    </row>
    <row r="26" spans="2:13" x14ac:dyDescent="0.25">
      <c r="B26" s="3842"/>
      <c r="C26" s="3843" t="s">
        <v>4436</v>
      </c>
      <c r="D26" s="3843" t="s">
        <v>1815</v>
      </c>
      <c r="E26" s="3526"/>
      <c r="F26" s="3843" t="s">
        <v>1815</v>
      </c>
      <c r="G26" s="3843" t="s">
        <v>1815</v>
      </c>
      <c r="H26" s="3844" t="s">
        <v>4437</v>
      </c>
      <c r="I26" s="3526"/>
      <c r="J26" s="3845" t="s">
        <v>4452</v>
      </c>
      <c r="K26" s="3845" t="s">
        <v>1815</v>
      </c>
      <c r="L26" s="3845" t="s">
        <v>4452</v>
      </c>
      <c r="M26" s="3845" t="s">
        <v>1815</v>
      </c>
    </row>
    <row r="27" spans="2:13" x14ac:dyDescent="0.25">
      <c r="B27" s="3842"/>
      <c r="C27" s="3843" t="s">
        <v>1815</v>
      </c>
      <c r="D27" s="3843" t="s">
        <v>4453</v>
      </c>
      <c r="E27" s="3526"/>
      <c r="F27" s="3843" t="s">
        <v>1815</v>
      </c>
      <c r="G27" s="3843" t="s">
        <v>1815</v>
      </c>
      <c r="H27" s="3844" t="s">
        <v>4454</v>
      </c>
      <c r="I27" s="3526"/>
      <c r="J27" s="3845" t="s">
        <v>4452</v>
      </c>
      <c r="K27" s="3845" t="s">
        <v>1815</v>
      </c>
      <c r="L27" s="3845" t="s">
        <v>4452</v>
      </c>
      <c r="M27" s="3845" t="s">
        <v>1815</v>
      </c>
    </row>
    <row r="28" spans="2:13" x14ac:dyDescent="0.25">
      <c r="B28" s="3842"/>
      <c r="C28" s="3843" t="s">
        <v>1815</v>
      </c>
      <c r="D28" s="3843" t="s">
        <v>1815</v>
      </c>
      <c r="E28" s="3526"/>
      <c r="F28" s="3843" t="s">
        <v>1129</v>
      </c>
      <c r="G28" s="3843" t="s">
        <v>1815</v>
      </c>
      <c r="H28" s="3844" t="s">
        <v>871</v>
      </c>
      <c r="I28" s="3526"/>
      <c r="J28" s="3845" t="s">
        <v>4452</v>
      </c>
      <c r="K28" s="3845" t="s">
        <v>1815</v>
      </c>
      <c r="L28" s="3845" t="s">
        <v>4452</v>
      </c>
      <c r="M28" s="3845" t="s">
        <v>1815</v>
      </c>
    </row>
    <row r="29" spans="2:13" x14ac:dyDescent="0.25">
      <c r="B29" s="3842"/>
      <c r="C29" s="3843" t="s">
        <v>1815</v>
      </c>
      <c r="D29" s="3843" t="s">
        <v>1815</v>
      </c>
      <c r="E29" s="3526"/>
      <c r="F29" s="3843" t="s">
        <v>1815</v>
      </c>
      <c r="G29" s="3843" t="s">
        <v>4455</v>
      </c>
      <c r="H29" s="3844" t="s">
        <v>4456</v>
      </c>
      <c r="I29" s="3526"/>
      <c r="J29" s="3845" t="s">
        <v>4457</v>
      </c>
      <c r="K29" s="3845" t="s">
        <v>1815</v>
      </c>
      <c r="L29" s="3845" t="s">
        <v>4457</v>
      </c>
      <c r="M29" s="3845" t="s">
        <v>1815</v>
      </c>
    </row>
    <row r="30" spans="2:13" x14ac:dyDescent="0.25">
      <c r="B30" s="3842"/>
      <c r="C30" s="3843" t="s">
        <v>1815</v>
      </c>
      <c r="D30" s="3843" t="s">
        <v>1815</v>
      </c>
      <c r="E30" s="3526"/>
      <c r="F30" s="3843" t="s">
        <v>1815</v>
      </c>
      <c r="G30" s="3843" t="s">
        <v>1159</v>
      </c>
      <c r="H30" s="3844" t="s">
        <v>2802</v>
      </c>
      <c r="I30" s="3526"/>
      <c r="J30" s="3845" t="s">
        <v>4458</v>
      </c>
      <c r="K30" s="3845" t="s">
        <v>1815</v>
      </c>
      <c r="L30" s="3845" t="s">
        <v>4458</v>
      </c>
      <c r="M30" s="3845" t="s">
        <v>1815</v>
      </c>
    </row>
    <row r="31" spans="2:13" ht="24" x14ac:dyDescent="0.25">
      <c r="B31" s="3842"/>
      <c r="C31" s="3843" t="s">
        <v>4445</v>
      </c>
      <c r="D31" s="3843" t="s">
        <v>1815</v>
      </c>
      <c r="E31" s="3526"/>
      <c r="F31" s="3843" t="s">
        <v>1815</v>
      </c>
      <c r="G31" s="3843" t="s">
        <v>1815</v>
      </c>
      <c r="H31" s="3844" t="s">
        <v>4446</v>
      </c>
      <c r="I31" s="3526"/>
      <c r="J31" s="3845" t="s">
        <v>4459</v>
      </c>
      <c r="K31" s="3845" t="s">
        <v>1815</v>
      </c>
      <c r="L31" s="3845" t="s">
        <v>4459</v>
      </c>
      <c r="M31" s="3845" t="s">
        <v>1815</v>
      </c>
    </row>
    <row r="32" spans="2:13" x14ac:dyDescent="0.25">
      <c r="B32" s="3842"/>
      <c r="C32" s="3843" t="s">
        <v>1815</v>
      </c>
      <c r="D32" s="3843" t="s">
        <v>4449</v>
      </c>
      <c r="E32" s="3526"/>
      <c r="F32" s="3843" t="s">
        <v>1815</v>
      </c>
      <c r="G32" s="3843" t="s">
        <v>1815</v>
      </c>
      <c r="H32" s="3844" t="s">
        <v>2892</v>
      </c>
      <c r="I32" s="3526"/>
      <c r="J32" s="3845" t="s">
        <v>4459</v>
      </c>
      <c r="K32" s="3845" t="s">
        <v>1815</v>
      </c>
      <c r="L32" s="3845" t="s">
        <v>4459</v>
      </c>
      <c r="M32" s="3845" t="s">
        <v>1815</v>
      </c>
    </row>
    <row r="33" spans="2:13" x14ac:dyDescent="0.25">
      <c r="B33" s="3842"/>
      <c r="C33" s="3843" t="s">
        <v>1815</v>
      </c>
      <c r="D33" s="3843" t="s">
        <v>1815</v>
      </c>
      <c r="E33" s="3526"/>
      <c r="F33" s="3843" t="s">
        <v>1137</v>
      </c>
      <c r="G33" s="3843" t="s">
        <v>1815</v>
      </c>
      <c r="H33" s="3844" t="s">
        <v>2892</v>
      </c>
      <c r="I33" s="3526"/>
      <c r="J33" s="3845" t="s">
        <v>4459</v>
      </c>
      <c r="K33" s="3845" t="s">
        <v>1815</v>
      </c>
      <c r="L33" s="3845" t="s">
        <v>4459</v>
      </c>
      <c r="M33" s="3845" t="s">
        <v>1815</v>
      </c>
    </row>
    <row r="34" spans="2:13" x14ac:dyDescent="0.25">
      <c r="B34" s="3842"/>
      <c r="C34" s="3843" t="s">
        <v>1815</v>
      </c>
      <c r="D34" s="3843" t="s">
        <v>1815</v>
      </c>
      <c r="E34" s="3526"/>
      <c r="F34" s="3843" t="s">
        <v>1815</v>
      </c>
      <c r="G34" s="3843" t="s">
        <v>1138</v>
      </c>
      <c r="H34" s="3844" t="s">
        <v>2893</v>
      </c>
      <c r="I34" s="3526"/>
      <c r="J34" s="3845" t="s">
        <v>4460</v>
      </c>
      <c r="K34" s="3845" t="s">
        <v>1815</v>
      </c>
      <c r="L34" s="3845" t="s">
        <v>4460</v>
      </c>
      <c r="M34" s="3845" t="s">
        <v>1815</v>
      </c>
    </row>
    <row r="35" spans="2:13" ht="24" x14ac:dyDescent="0.25">
      <c r="B35" s="3842"/>
      <c r="C35" s="3843" t="s">
        <v>1815</v>
      </c>
      <c r="D35" s="3843" t="s">
        <v>1815</v>
      </c>
      <c r="E35" s="3526"/>
      <c r="F35" s="3843" t="s">
        <v>1815</v>
      </c>
      <c r="G35" s="3843" t="s">
        <v>1168</v>
      </c>
      <c r="H35" s="3844" t="s">
        <v>4461</v>
      </c>
      <c r="I35" s="3526"/>
      <c r="J35" s="3845" t="s">
        <v>4462</v>
      </c>
      <c r="K35" s="3845" t="s">
        <v>1815</v>
      </c>
      <c r="L35" s="3845" t="s">
        <v>4462</v>
      </c>
      <c r="M35" s="3845" t="s">
        <v>1815</v>
      </c>
    </row>
    <row r="36" spans="2:13" ht="36" x14ac:dyDescent="0.25">
      <c r="B36" s="3842"/>
      <c r="C36" s="3843" t="s">
        <v>1815</v>
      </c>
      <c r="D36" s="3843" t="s">
        <v>1815</v>
      </c>
      <c r="E36" s="3526"/>
      <c r="F36" s="3843" t="s">
        <v>1815</v>
      </c>
      <c r="G36" s="3843" t="s">
        <v>1170</v>
      </c>
      <c r="H36" s="3844" t="s">
        <v>2901</v>
      </c>
      <c r="I36" s="3526"/>
      <c r="J36" s="3845" t="s">
        <v>4463</v>
      </c>
      <c r="K36" s="3845" t="s">
        <v>1815</v>
      </c>
      <c r="L36" s="3845" t="s">
        <v>4463</v>
      </c>
      <c r="M36" s="3845" t="s">
        <v>1815</v>
      </c>
    </row>
    <row r="37" spans="2:13" x14ac:dyDescent="0.25">
      <c r="B37" s="3842"/>
      <c r="C37" s="3843" t="s">
        <v>1815</v>
      </c>
      <c r="D37" s="3843" t="s">
        <v>1815</v>
      </c>
      <c r="E37" s="3526"/>
      <c r="F37" s="3843" t="s">
        <v>1815</v>
      </c>
      <c r="G37" s="3843" t="s">
        <v>1815</v>
      </c>
      <c r="H37" s="3844" t="s">
        <v>2780</v>
      </c>
      <c r="I37" s="3526"/>
      <c r="J37" s="3845" t="s">
        <v>4787</v>
      </c>
      <c r="K37" s="3845" t="s">
        <v>4464</v>
      </c>
      <c r="L37" s="3845" t="s">
        <v>4788</v>
      </c>
      <c r="M37" s="3845" t="s">
        <v>4785</v>
      </c>
    </row>
    <row r="38" spans="2:13" x14ac:dyDescent="0.25">
      <c r="B38" s="3842"/>
      <c r="C38" s="3843" t="s">
        <v>3110</v>
      </c>
      <c r="D38" s="3843" t="s">
        <v>1815</v>
      </c>
      <c r="E38" s="3526"/>
      <c r="F38" s="3843" t="s">
        <v>1815</v>
      </c>
      <c r="G38" s="3843" t="s">
        <v>1815</v>
      </c>
      <c r="H38" s="3844" t="s">
        <v>4465</v>
      </c>
      <c r="I38" s="3526"/>
      <c r="J38" s="3845" t="s">
        <v>4466</v>
      </c>
      <c r="K38" s="3845" t="s">
        <v>1815</v>
      </c>
      <c r="L38" s="3845" t="s">
        <v>1815</v>
      </c>
      <c r="M38" s="3845" t="s">
        <v>4466</v>
      </c>
    </row>
    <row r="39" spans="2:13" x14ac:dyDescent="0.25">
      <c r="B39" s="3842"/>
      <c r="C39" s="3843" t="s">
        <v>1815</v>
      </c>
      <c r="D39" s="3843" t="s">
        <v>3110</v>
      </c>
      <c r="E39" s="3526"/>
      <c r="F39" s="3843" t="s">
        <v>1815</v>
      </c>
      <c r="G39" s="3843" t="s">
        <v>1815</v>
      </c>
      <c r="H39" s="3844" t="s">
        <v>4465</v>
      </c>
      <c r="I39" s="3526"/>
      <c r="J39" s="3845" t="s">
        <v>4466</v>
      </c>
      <c r="K39" s="3845" t="s">
        <v>1815</v>
      </c>
      <c r="L39" s="3845" t="s">
        <v>1815</v>
      </c>
      <c r="M39" s="3845" t="s">
        <v>4466</v>
      </c>
    </row>
    <row r="40" spans="2:13" ht="24" x14ac:dyDescent="0.25">
      <c r="B40" s="3842"/>
      <c r="C40" s="3843" t="s">
        <v>1815</v>
      </c>
      <c r="D40" s="3843" t="s">
        <v>1815</v>
      </c>
      <c r="E40" s="3526"/>
      <c r="F40" s="3843" t="s">
        <v>1179</v>
      </c>
      <c r="G40" s="3843" t="s">
        <v>1815</v>
      </c>
      <c r="H40" s="3844" t="s">
        <v>2784</v>
      </c>
      <c r="I40" s="3526"/>
      <c r="J40" s="3845" t="s">
        <v>4466</v>
      </c>
      <c r="K40" s="3845" t="s">
        <v>1815</v>
      </c>
      <c r="L40" s="3845" t="s">
        <v>1815</v>
      </c>
      <c r="M40" s="3845" t="s">
        <v>4466</v>
      </c>
    </row>
    <row r="41" spans="2:13" ht="36" x14ac:dyDescent="0.25">
      <c r="B41" s="3842"/>
      <c r="C41" s="3843" t="s">
        <v>1815</v>
      </c>
      <c r="D41" s="3843" t="s">
        <v>1815</v>
      </c>
      <c r="E41" s="3526"/>
      <c r="F41" s="3843" t="s">
        <v>1815</v>
      </c>
      <c r="G41" s="3843" t="s">
        <v>1836</v>
      </c>
      <c r="H41" s="3844" t="s">
        <v>4467</v>
      </c>
      <c r="I41" s="3526"/>
      <c r="J41" s="3845" t="s">
        <v>4468</v>
      </c>
      <c r="K41" s="3845" t="s">
        <v>1815</v>
      </c>
      <c r="L41" s="3845" t="s">
        <v>1815</v>
      </c>
      <c r="M41" s="3845" t="s">
        <v>4468</v>
      </c>
    </row>
    <row r="42" spans="2:13" ht="36" x14ac:dyDescent="0.25">
      <c r="B42" s="3842"/>
      <c r="C42" s="3843" t="s">
        <v>1815</v>
      </c>
      <c r="D42" s="3843" t="s">
        <v>1815</v>
      </c>
      <c r="E42" s="3526"/>
      <c r="F42" s="3843" t="s">
        <v>1815</v>
      </c>
      <c r="G42" s="3843" t="s">
        <v>1843</v>
      </c>
      <c r="H42" s="3844" t="s">
        <v>3115</v>
      </c>
      <c r="I42" s="3526"/>
      <c r="J42" s="3845" t="s">
        <v>4469</v>
      </c>
      <c r="K42" s="3845" t="s">
        <v>1815</v>
      </c>
      <c r="L42" s="3845" t="s">
        <v>1815</v>
      </c>
      <c r="M42" s="3845" t="s">
        <v>4469</v>
      </c>
    </row>
    <row r="43" spans="2:13" ht="48" x14ac:dyDescent="0.25">
      <c r="B43" s="3842"/>
      <c r="C43" s="3843" t="s">
        <v>1815</v>
      </c>
      <c r="D43" s="3843" t="s">
        <v>1815</v>
      </c>
      <c r="E43" s="3526"/>
      <c r="F43" s="3843" t="s">
        <v>1815</v>
      </c>
      <c r="G43" s="3843" t="s">
        <v>1837</v>
      </c>
      <c r="H43" s="3844" t="s">
        <v>156</v>
      </c>
      <c r="I43" s="3526"/>
      <c r="J43" s="3845" t="s">
        <v>4470</v>
      </c>
      <c r="K43" s="3845" t="s">
        <v>1815</v>
      </c>
      <c r="L43" s="3845" t="s">
        <v>1815</v>
      </c>
      <c r="M43" s="3845" t="s">
        <v>4470</v>
      </c>
    </row>
    <row r="44" spans="2:13" ht="72" x14ac:dyDescent="0.25">
      <c r="B44" s="3842"/>
      <c r="C44" s="3843" t="s">
        <v>1815</v>
      </c>
      <c r="D44" s="3843" t="s">
        <v>1815</v>
      </c>
      <c r="E44" s="3526"/>
      <c r="F44" s="3843" t="s">
        <v>1815</v>
      </c>
      <c r="G44" s="3843" t="s">
        <v>1838</v>
      </c>
      <c r="H44" s="3844" t="s">
        <v>2787</v>
      </c>
      <c r="I44" s="3526"/>
      <c r="J44" s="3845" t="s">
        <v>4471</v>
      </c>
      <c r="K44" s="3845" t="s">
        <v>1815</v>
      </c>
      <c r="L44" s="3845" t="s">
        <v>1815</v>
      </c>
      <c r="M44" s="3845" t="s">
        <v>4471</v>
      </c>
    </row>
    <row r="45" spans="2:13" ht="36" x14ac:dyDescent="0.25">
      <c r="B45" s="3842"/>
      <c r="C45" s="3843" t="s">
        <v>1815</v>
      </c>
      <c r="D45" s="3843" t="s">
        <v>1815</v>
      </c>
      <c r="E45" s="3526"/>
      <c r="F45" s="3843" t="s">
        <v>1815</v>
      </c>
      <c r="G45" s="3843" t="s">
        <v>1844</v>
      </c>
      <c r="H45" s="3844" t="s">
        <v>4472</v>
      </c>
      <c r="I45" s="3526"/>
      <c r="J45" s="3845" t="s">
        <v>4473</v>
      </c>
      <c r="K45" s="3845" t="s">
        <v>1815</v>
      </c>
      <c r="L45" s="3845" t="s">
        <v>1815</v>
      </c>
      <c r="M45" s="3845" t="s">
        <v>4473</v>
      </c>
    </row>
    <row r="46" spans="2:13" ht="24" x14ac:dyDescent="0.25">
      <c r="B46" s="3842"/>
      <c r="C46" s="3843" t="s">
        <v>1815</v>
      </c>
      <c r="D46" s="3843" t="s">
        <v>1815</v>
      </c>
      <c r="E46" s="3526"/>
      <c r="F46" s="3843" t="s">
        <v>1815</v>
      </c>
      <c r="G46" s="3843" t="s">
        <v>1839</v>
      </c>
      <c r="H46" s="3844" t="s">
        <v>2789</v>
      </c>
      <c r="I46" s="3526"/>
      <c r="J46" s="3845" t="s">
        <v>4474</v>
      </c>
      <c r="K46" s="3845" t="s">
        <v>1815</v>
      </c>
      <c r="L46" s="3845" t="s">
        <v>1815</v>
      </c>
      <c r="M46" s="3845" t="s">
        <v>4474</v>
      </c>
    </row>
    <row r="47" spans="2:13" x14ac:dyDescent="0.25">
      <c r="B47" s="3842"/>
      <c r="C47" s="3843" t="s">
        <v>4436</v>
      </c>
      <c r="D47" s="3843" t="s">
        <v>1815</v>
      </c>
      <c r="E47" s="3526"/>
      <c r="F47" s="3843" t="s">
        <v>1815</v>
      </c>
      <c r="G47" s="3843" t="s">
        <v>1815</v>
      </c>
      <c r="H47" s="3844" t="s">
        <v>4437</v>
      </c>
      <c r="I47" s="3526"/>
      <c r="J47" s="3845" t="s">
        <v>4475</v>
      </c>
      <c r="K47" s="3845" t="s">
        <v>1815</v>
      </c>
      <c r="L47" s="3845" t="s">
        <v>4475</v>
      </c>
      <c r="M47" s="3845" t="s">
        <v>1815</v>
      </c>
    </row>
    <row r="48" spans="2:13" ht="24" x14ac:dyDescent="0.25">
      <c r="B48" s="3842"/>
      <c r="C48" s="3843" t="s">
        <v>1815</v>
      </c>
      <c r="D48" s="3843" t="s">
        <v>4476</v>
      </c>
      <c r="E48" s="3526"/>
      <c r="F48" s="3843" t="s">
        <v>1815</v>
      </c>
      <c r="G48" s="3843" t="s">
        <v>1815</v>
      </c>
      <c r="H48" s="3844" t="s">
        <v>4477</v>
      </c>
      <c r="I48" s="3526"/>
      <c r="J48" s="3845" t="s">
        <v>4478</v>
      </c>
      <c r="K48" s="3845" t="s">
        <v>1815</v>
      </c>
      <c r="L48" s="3845" t="s">
        <v>4478</v>
      </c>
      <c r="M48" s="3845" t="s">
        <v>1815</v>
      </c>
    </row>
    <row r="49" spans="2:13" x14ac:dyDescent="0.25">
      <c r="B49" s="3842"/>
      <c r="C49" s="3843" t="s">
        <v>1815</v>
      </c>
      <c r="D49" s="3843" t="s">
        <v>1815</v>
      </c>
      <c r="E49" s="3526"/>
      <c r="F49" s="3843" t="s">
        <v>1123</v>
      </c>
      <c r="G49" s="3843" t="s">
        <v>1815</v>
      </c>
      <c r="H49" s="3844" t="s">
        <v>860</v>
      </c>
      <c r="I49" s="3526"/>
      <c r="J49" s="3845" t="s">
        <v>4479</v>
      </c>
      <c r="K49" s="3845" t="s">
        <v>1815</v>
      </c>
      <c r="L49" s="3845" t="s">
        <v>4479</v>
      </c>
      <c r="M49" s="3845" t="s">
        <v>1815</v>
      </c>
    </row>
    <row r="50" spans="2:13" x14ac:dyDescent="0.25">
      <c r="B50" s="3842"/>
      <c r="C50" s="3843" t="s">
        <v>1815</v>
      </c>
      <c r="D50" s="3843" t="s">
        <v>1815</v>
      </c>
      <c r="E50" s="3526"/>
      <c r="F50" s="3843" t="s">
        <v>1815</v>
      </c>
      <c r="G50" s="3843" t="s">
        <v>1124</v>
      </c>
      <c r="H50" s="3844" t="s">
        <v>2791</v>
      </c>
      <c r="I50" s="3526"/>
      <c r="J50" s="3845" t="s">
        <v>4480</v>
      </c>
      <c r="K50" s="3845" t="s">
        <v>1815</v>
      </c>
      <c r="L50" s="3845" t="s">
        <v>4480</v>
      </c>
      <c r="M50" s="3845" t="s">
        <v>1815</v>
      </c>
    </row>
    <row r="51" spans="2:13" ht="24" x14ac:dyDescent="0.25">
      <c r="B51" s="3842"/>
      <c r="C51" s="3843" t="s">
        <v>1815</v>
      </c>
      <c r="D51" s="3843" t="s">
        <v>1815</v>
      </c>
      <c r="E51" s="3526"/>
      <c r="F51" s="3843" t="s">
        <v>1815</v>
      </c>
      <c r="G51" s="3843" t="s">
        <v>1173</v>
      </c>
      <c r="H51" s="3844" t="s">
        <v>4481</v>
      </c>
      <c r="I51" s="3526"/>
      <c r="J51" s="3845" t="s">
        <v>4482</v>
      </c>
      <c r="K51" s="3845" t="s">
        <v>1815</v>
      </c>
      <c r="L51" s="3845" t="s">
        <v>4482</v>
      </c>
      <c r="M51" s="3845" t="s">
        <v>1815</v>
      </c>
    </row>
    <row r="52" spans="2:13" ht="36" x14ac:dyDescent="0.25">
      <c r="B52" s="3842"/>
      <c r="C52" s="3843" t="s">
        <v>1815</v>
      </c>
      <c r="D52" s="3843" t="s">
        <v>1815</v>
      </c>
      <c r="E52" s="3526"/>
      <c r="F52" s="3843" t="s">
        <v>1815</v>
      </c>
      <c r="G52" s="3843" t="s">
        <v>1191</v>
      </c>
      <c r="H52" s="3844" t="s">
        <v>2793</v>
      </c>
      <c r="I52" s="3526"/>
      <c r="J52" s="3845" t="s">
        <v>4483</v>
      </c>
      <c r="K52" s="3845" t="s">
        <v>1815</v>
      </c>
      <c r="L52" s="3845" t="s">
        <v>4483</v>
      </c>
      <c r="M52" s="3845" t="s">
        <v>1815</v>
      </c>
    </row>
    <row r="53" spans="2:13" ht="24" x14ac:dyDescent="0.25">
      <c r="B53" s="3842"/>
      <c r="C53" s="3843" t="s">
        <v>1815</v>
      </c>
      <c r="D53" s="3843" t="s">
        <v>1815</v>
      </c>
      <c r="E53" s="3526"/>
      <c r="F53" s="3843" t="s">
        <v>1815</v>
      </c>
      <c r="G53" s="3843" t="s">
        <v>3534</v>
      </c>
      <c r="H53" s="3844" t="s">
        <v>4484</v>
      </c>
      <c r="I53" s="3526"/>
      <c r="J53" s="3845" t="s">
        <v>3951</v>
      </c>
      <c r="K53" s="3845" t="s">
        <v>1815</v>
      </c>
      <c r="L53" s="3845" t="s">
        <v>3951</v>
      </c>
      <c r="M53" s="3845" t="s">
        <v>1815</v>
      </c>
    </row>
    <row r="54" spans="2:13" ht="24" x14ac:dyDescent="0.25">
      <c r="B54" s="3842"/>
      <c r="C54" s="3843" t="s">
        <v>1815</v>
      </c>
      <c r="D54" s="3843" t="s">
        <v>1815</v>
      </c>
      <c r="E54" s="3526"/>
      <c r="F54" s="3843" t="s">
        <v>1815</v>
      </c>
      <c r="G54" s="3843" t="s">
        <v>2251</v>
      </c>
      <c r="H54" s="3844" t="s">
        <v>2794</v>
      </c>
      <c r="I54" s="3526"/>
      <c r="J54" s="3845" t="s">
        <v>4485</v>
      </c>
      <c r="K54" s="3845" t="s">
        <v>1815</v>
      </c>
      <c r="L54" s="3845" t="s">
        <v>4485</v>
      </c>
      <c r="M54" s="3845" t="s">
        <v>1815</v>
      </c>
    </row>
    <row r="55" spans="2:13" x14ac:dyDescent="0.25">
      <c r="B55" s="3842"/>
      <c r="C55" s="3843" t="s">
        <v>1815</v>
      </c>
      <c r="D55" s="3843" t="s">
        <v>1815</v>
      </c>
      <c r="E55" s="3526"/>
      <c r="F55" s="3843" t="s">
        <v>1135</v>
      </c>
      <c r="G55" s="3843" t="s">
        <v>1815</v>
      </c>
      <c r="H55" s="3844" t="s">
        <v>870</v>
      </c>
      <c r="I55" s="3526"/>
      <c r="J55" s="3845" t="s">
        <v>4486</v>
      </c>
      <c r="K55" s="3845" t="s">
        <v>1815</v>
      </c>
      <c r="L55" s="3845" t="s">
        <v>4486</v>
      </c>
      <c r="M55" s="3845" t="s">
        <v>1815</v>
      </c>
    </row>
    <row r="56" spans="2:13" ht="36" x14ac:dyDescent="0.25">
      <c r="B56" s="3842"/>
      <c r="C56" s="3843" t="s">
        <v>1815</v>
      </c>
      <c r="D56" s="3843" t="s">
        <v>1815</v>
      </c>
      <c r="E56" s="3526"/>
      <c r="F56" s="3843" t="s">
        <v>1815</v>
      </c>
      <c r="G56" s="3843" t="s">
        <v>1136</v>
      </c>
      <c r="H56" s="3844" t="s">
        <v>4487</v>
      </c>
      <c r="I56" s="3526"/>
      <c r="J56" s="3845" t="s">
        <v>4486</v>
      </c>
      <c r="K56" s="3845" t="s">
        <v>1815</v>
      </c>
      <c r="L56" s="3845" t="s">
        <v>4486</v>
      </c>
      <c r="M56" s="3845" t="s">
        <v>1815</v>
      </c>
    </row>
    <row r="57" spans="2:13" x14ac:dyDescent="0.25">
      <c r="B57" s="3842"/>
      <c r="C57" s="3843" t="s">
        <v>1815</v>
      </c>
      <c r="D57" s="3843" t="s">
        <v>4453</v>
      </c>
      <c r="E57" s="3526"/>
      <c r="F57" s="3843" t="s">
        <v>1815</v>
      </c>
      <c r="G57" s="3843" t="s">
        <v>1815</v>
      </c>
      <c r="H57" s="3844" t="s">
        <v>4454</v>
      </c>
      <c r="I57" s="3526"/>
      <c r="J57" s="3845" t="s">
        <v>4488</v>
      </c>
      <c r="K57" s="3845" t="s">
        <v>1815</v>
      </c>
      <c r="L57" s="3845" t="s">
        <v>4488</v>
      </c>
      <c r="M57" s="3845" t="s">
        <v>1815</v>
      </c>
    </row>
    <row r="58" spans="2:13" x14ac:dyDescent="0.25">
      <c r="B58" s="3842"/>
      <c r="C58" s="3843" t="s">
        <v>1815</v>
      </c>
      <c r="D58" s="3843" t="s">
        <v>1815</v>
      </c>
      <c r="E58" s="3526"/>
      <c r="F58" s="3843" t="s">
        <v>1174</v>
      </c>
      <c r="G58" s="3843" t="s">
        <v>1815</v>
      </c>
      <c r="H58" s="3844" t="s">
        <v>876</v>
      </c>
      <c r="I58" s="3526"/>
      <c r="J58" s="3845" t="s">
        <v>4489</v>
      </c>
      <c r="K58" s="3845" t="s">
        <v>1815</v>
      </c>
      <c r="L58" s="3845" t="s">
        <v>4489</v>
      </c>
      <c r="M58" s="3845" t="s">
        <v>1815</v>
      </c>
    </row>
    <row r="59" spans="2:13" x14ac:dyDescent="0.25">
      <c r="B59" s="3842"/>
      <c r="C59" s="3843" t="s">
        <v>1815</v>
      </c>
      <c r="D59" s="3843" t="s">
        <v>1815</v>
      </c>
      <c r="E59" s="3526"/>
      <c r="F59" s="3843" t="s">
        <v>1815</v>
      </c>
      <c r="G59" s="3843" t="s">
        <v>1175</v>
      </c>
      <c r="H59" s="3844" t="s">
        <v>2799</v>
      </c>
      <c r="I59" s="3526"/>
      <c r="J59" s="3845" t="s">
        <v>4490</v>
      </c>
      <c r="K59" s="3845" t="s">
        <v>1815</v>
      </c>
      <c r="L59" s="3845" t="s">
        <v>4490</v>
      </c>
      <c r="M59" s="3845" t="s">
        <v>1815</v>
      </c>
    </row>
    <row r="60" spans="2:13" ht="24" x14ac:dyDescent="0.25">
      <c r="B60" s="3842"/>
      <c r="C60" s="3843" t="s">
        <v>1815</v>
      </c>
      <c r="D60" s="3843" t="s">
        <v>1815</v>
      </c>
      <c r="E60" s="3526"/>
      <c r="F60" s="3843" t="s">
        <v>1815</v>
      </c>
      <c r="G60" s="3843" t="s">
        <v>2252</v>
      </c>
      <c r="H60" s="3844" t="s">
        <v>2800</v>
      </c>
      <c r="I60" s="3526"/>
      <c r="J60" s="3845" t="s">
        <v>4491</v>
      </c>
      <c r="K60" s="3845" t="s">
        <v>1815</v>
      </c>
      <c r="L60" s="3845" t="s">
        <v>4491</v>
      </c>
      <c r="M60" s="3845" t="s">
        <v>1815</v>
      </c>
    </row>
    <row r="61" spans="2:13" x14ac:dyDescent="0.25">
      <c r="B61" s="3842"/>
      <c r="C61" s="3843" t="s">
        <v>1815</v>
      </c>
      <c r="D61" s="3843" t="s">
        <v>1815</v>
      </c>
      <c r="E61" s="3526"/>
      <c r="F61" s="3843" t="s">
        <v>1129</v>
      </c>
      <c r="G61" s="3843" t="s">
        <v>1815</v>
      </c>
      <c r="H61" s="3844" t="s">
        <v>871</v>
      </c>
      <c r="I61" s="3526"/>
      <c r="J61" s="3845" t="s">
        <v>4492</v>
      </c>
      <c r="K61" s="3845" t="s">
        <v>1815</v>
      </c>
      <c r="L61" s="3845" t="s">
        <v>4492</v>
      </c>
      <c r="M61" s="3845" t="s">
        <v>1815</v>
      </c>
    </row>
    <row r="62" spans="2:13" x14ac:dyDescent="0.25">
      <c r="B62" s="3842"/>
      <c r="C62" s="3843" t="s">
        <v>1815</v>
      </c>
      <c r="D62" s="3843" t="s">
        <v>1815</v>
      </c>
      <c r="E62" s="3526"/>
      <c r="F62" s="3843" t="s">
        <v>1815</v>
      </c>
      <c r="G62" s="3843" t="s">
        <v>4455</v>
      </c>
      <c r="H62" s="3844" t="s">
        <v>4456</v>
      </c>
      <c r="I62" s="3526"/>
      <c r="J62" s="3845" t="s">
        <v>4492</v>
      </c>
      <c r="K62" s="3845" t="s">
        <v>1815</v>
      </c>
      <c r="L62" s="3845" t="s">
        <v>4492</v>
      </c>
      <c r="M62" s="3845" t="s">
        <v>1815</v>
      </c>
    </row>
    <row r="63" spans="2:13" x14ac:dyDescent="0.25">
      <c r="B63" s="3842"/>
      <c r="C63" s="3843" t="s">
        <v>1815</v>
      </c>
      <c r="D63" s="3843" t="s">
        <v>1815</v>
      </c>
      <c r="E63" s="3526"/>
      <c r="F63" s="3843" t="s">
        <v>1194</v>
      </c>
      <c r="G63" s="3843" t="s">
        <v>1815</v>
      </c>
      <c r="H63" s="3844" t="s">
        <v>874</v>
      </c>
      <c r="I63" s="3526"/>
      <c r="J63" s="3845" t="s">
        <v>4493</v>
      </c>
      <c r="K63" s="3845" t="s">
        <v>1815</v>
      </c>
      <c r="L63" s="3845" t="s">
        <v>4493</v>
      </c>
      <c r="M63" s="3845" t="s">
        <v>1815</v>
      </c>
    </row>
    <row r="64" spans="2:13" x14ac:dyDescent="0.25">
      <c r="B64" s="3842"/>
      <c r="C64" s="3843" t="s">
        <v>1815</v>
      </c>
      <c r="D64" s="3843" t="s">
        <v>1815</v>
      </c>
      <c r="E64" s="3526"/>
      <c r="F64" s="3843" t="s">
        <v>1815</v>
      </c>
      <c r="G64" s="3843" t="s">
        <v>1842</v>
      </c>
      <c r="H64" s="3844" t="s">
        <v>2806</v>
      </c>
      <c r="I64" s="3526"/>
      <c r="J64" s="3845" t="s">
        <v>4494</v>
      </c>
      <c r="K64" s="3845" t="s">
        <v>1815</v>
      </c>
      <c r="L64" s="3845" t="s">
        <v>4494</v>
      </c>
      <c r="M64" s="3845" t="s">
        <v>1815</v>
      </c>
    </row>
    <row r="65" spans="2:13" x14ac:dyDescent="0.25">
      <c r="B65" s="3842"/>
      <c r="C65" s="3843" t="s">
        <v>1815</v>
      </c>
      <c r="D65" s="3843" t="s">
        <v>1815</v>
      </c>
      <c r="E65" s="3526"/>
      <c r="F65" s="3843" t="s">
        <v>1815</v>
      </c>
      <c r="G65" s="3843" t="s">
        <v>1195</v>
      </c>
      <c r="H65" s="3844" t="s">
        <v>2807</v>
      </c>
      <c r="I65" s="3526"/>
      <c r="J65" s="3845" t="s">
        <v>4495</v>
      </c>
      <c r="K65" s="3845" t="s">
        <v>1815</v>
      </c>
      <c r="L65" s="3845" t="s">
        <v>4495</v>
      </c>
      <c r="M65" s="3845" t="s">
        <v>1815</v>
      </c>
    </row>
    <row r="66" spans="2:13" ht="24" x14ac:dyDescent="0.25">
      <c r="B66" s="3842"/>
      <c r="C66" s="3843" t="s">
        <v>1815</v>
      </c>
      <c r="D66" s="3843" t="s">
        <v>4496</v>
      </c>
      <c r="E66" s="3526"/>
      <c r="F66" s="3843" t="s">
        <v>1815</v>
      </c>
      <c r="G66" s="3843" t="s">
        <v>1815</v>
      </c>
      <c r="H66" s="3844" t="s">
        <v>4497</v>
      </c>
      <c r="I66" s="3526"/>
      <c r="J66" s="3845" t="s">
        <v>4498</v>
      </c>
      <c r="K66" s="3845" t="s">
        <v>1815</v>
      </c>
      <c r="L66" s="3845" t="s">
        <v>4498</v>
      </c>
      <c r="M66" s="3845" t="s">
        <v>1815</v>
      </c>
    </row>
    <row r="67" spans="2:13" x14ac:dyDescent="0.25">
      <c r="B67" s="3842"/>
      <c r="C67" s="3843" t="s">
        <v>1815</v>
      </c>
      <c r="D67" s="3843" t="s">
        <v>1815</v>
      </c>
      <c r="E67" s="3526"/>
      <c r="F67" s="3843" t="s">
        <v>1125</v>
      </c>
      <c r="G67" s="3843" t="s">
        <v>1815</v>
      </c>
      <c r="H67" s="3844" t="s">
        <v>2809</v>
      </c>
      <c r="I67" s="3526"/>
      <c r="J67" s="3845" t="s">
        <v>4499</v>
      </c>
      <c r="K67" s="3845" t="s">
        <v>1815</v>
      </c>
      <c r="L67" s="3845" t="s">
        <v>4499</v>
      </c>
      <c r="M67" s="3845" t="s">
        <v>1815</v>
      </c>
    </row>
    <row r="68" spans="2:13" ht="36" x14ac:dyDescent="0.25">
      <c r="B68" s="3842"/>
      <c r="C68" s="3843" t="s">
        <v>1815</v>
      </c>
      <c r="D68" s="3843" t="s">
        <v>1815</v>
      </c>
      <c r="E68" s="3526"/>
      <c r="F68" s="3843" t="s">
        <v>1815</v>
      </c>
      <c r="G68" s="3843" t="s">
        <v>1126</v>
      </c>
      <c r="H68" s="3844" t="s">
        <v>2810</v>
      </c>
      <c r="I68" s="3526"/>
      <c r="J68" s="3845" t="s">
        <v>4499</v>
      </c>
      <c r="K68" s="3845" t="s">
        <v>1815</v>
      </c>
      <c r="L68" s="3845" t="s">
        <v>4499</v>
      </c>
      <c r="M68" s="3845" t="s">
        <v>1815</v>
      </c>
    </row>
    <row r="69" spans="2:13" x14ac:dyDescent="0.25">
      <c r="B69" s="3842"/>
      <c r="C69" s="3843" t="s">
        <v>1815</v>
      </c>
      <c r="D69" s="3843" t="s">
        <v>1815</v>
      </c>
      <c r="E69" s="3526"/>
      <c r="F69" s="3843" t="s">
        <v>1827</v>
      </c>
      <c r="G69" s="3843" t="s">
        <v>1815</v>
      </c>
      <c r="H69" s="3844" t="s">
        <v>2812</v>
      </c>
      <c r="I69" s="3526"/>
      <c r="J69" s="3845" t="s">
        <v>4299</v>
      </c>
      <c r="K69" s="3845" t="s">
        <v>1815</v>
      </c>
      <c r="L69" s="3845" t="s">
        <v>4299</v>
      </c>
      <c r="M69" s="3845" t="s">
        <v>1815</v>
      </c>
    </row>
    <row r="70" spans="2:13" ht="24" x14ac:dyDescent="0.25">
      <c r="B70" s="3842"/>
      <c r="C70" s="3843" t="s">
        <v>1815</v>
      </c>
      <c r="D70" s="3843" t="s">
        <v>1815</v>
      </c>
      <c r="E70" s="3526"/>
      <c r="F70" s="3843" t="s">
        <v>1815</v>
      </c>
      <c r="G70" s="3843" t="s">
        <v>1832</v>
      </c>
      <c r="H70" s="3844" t="s">
        <v>4500</v>
      </c>
      <c r="I70" s="3526"/>
      <c r="J70" s="3845" t="s">
        <v>4299</v>
      </c>
      <c r="K70" s="3845" t="s">
        <v>1815</v>
      </c>
      <c r="L70" s="3845" t="s">
        <v>4299</v>
      </c>
      <c r="M70" s="3845" t="s">
        <v>1815</v>
      </c>
    </row>
    <row r="71" spans="2:13" x14ac:dyDescent="0.25">
      <c r="B71" s="3842"/>
      <c r="C71" s="3843" t="s">
        <v>1815</v>
      </c>
      <c r="D71" s="3843" t="s">
        <v>4439</v>
      </c>
      <c r="E71" s="3526"/>
      <c r="F71" s="3843" t="s">
        <v>1815</v>
      </c>
      <c r="G71" s="3843" t="s">
        <v>1815</v>
      </c>
      <c r="H71" s="3844" t="s">
        <v>4440</v>
      </c>
      <c r="I71" s="3526"/>
      <c r="J71" s="3845" t="s">
        <v>4501</v>
      </c>
      <c r="K71" s="3845" t="s">
        <v>1815</v>
      </c>
      <c r="L71" s="3845" t="s">
        <v>4501</v>
      </c>
      <c r="M71" s="3845" t="s">
        <v>1815</v>
      </c>
    </row>
    <row r="72" spans="2:13" ht="24" x14ac:dyDescent="0.25">
      <c r="B72" s="3842"/>
      <c r="C72" s="3843" t="s">
        <v>1815</v>
      </c>
      <c r="D72" s="3843" t="s">
        <v>1815</v>
      </c>
      <c r="E72" s="3526"/>
      <c r="F72" s="3843" t="s">
        <v>1131</v>
      </c>
      <c r="G72" s="3843" t="s">
        <v>1815</v>
      </c>
      <c r="H72" s="3844" t="s">
        <v>2827</v>
      </c>
      <c r="I72" s="3526"/>
      <c r="J72" s="3845" t="s">
        <v>4502</v>
      </c>
      <c r="K72" s="3845" t="s">
        <v>1815</v>
      </c>
      <c r="L72" s="3845" t="s">
        <v>4502</v>
      </c>
      <c r="M72" s="3845" t="s">
        <v>1815</v>
      </c>
    </row>
    <row r="73" spans="2:13" ht="24" x14ac:dyDescent="0.25">
      <c r="B73" s="3842"/>
      <c r="C73" s="3843" t="s">
        <v>1815</v>
      </c>
      <c r="D73" s="3843" t="s">
        <v>1815</v>
      </c>
      <c r="E73" s="3526"/>
      <c r="F73" s="3843" t="s">
        <v>1815</v>
      </c>
      <c r="G73" s="3843" t="s">
        <v>1132</v>
      </c>
      <c r="H73" s="3844" t="s">
        <v>2829</v>
      </c>
      <c r="I73" s="3526"/>
      <c r="J73" s="3845" t="s">
        <v>4502</v>
      </c>
      <c r="K73" s="3845" t="s">
        <v>1815</v>
      </c>
      <c r="L73" s="3845" t="s">
        <v>4502</v>
      </c>
      <c r="M73" s="3845" t="s">
        <v>1815</v>
      </c>
    </row>
    <row r="74" spans="2:13" x14ac:dyDescent="0.25">
      <c r="B74" s="3842"/>
      <c r="C74" s="3843" t="s">
        <v>1815</v>
      </c>
      <c r="D74" s="3843" t="s">
        <v>1815</v>
      </c>
      <c r="E74" s="3526"/>
      <c r="F74" s="3843" t="s">
        <v>1121</v>
      </c>
      <c r="G74" s="3843" t="s">
        <v>1815</v>
      </c>
      <c r="H74" s="3844" t="s">
        <v>2834</v>
      </c>
      <c r="I74" s="3526"/>
      <c r="J74" s="3845" t="s">
        <v>4503</v>
      </c>
      <c r="K74" s="3845" t="s">
        <v>1815</v>
      </c>
      <c r="L74" s="3845" t="s">
        <v>4503</v>
      </c>
      <c r="M74" s="3845" t="s">
        <v>1815</v>
      </c>
    </row>
    <row r="75" spans="2:13" x14ac:dyDescent="0.25">
      <c r="B75" s="3842"/>
      <c r="C75" s="3843" t="s">
        <v>1815</v>
      </c>
      <c r="D75" s="3843" t="s">
        <v>1815</v>
      </c>
      <c r="E75" s="3526"/>
      <c r="F75" s="3843" t="s">
        <v>1815</v>
      </c>
      <c r="G75" s="3843" t="s">
        <v>1143</v>
      </c>
      <c r="H75" s="3844" t="s">
        <v>2839</v>
      </c>
      <c r="I75" s="3526"/>
      <c r="J75" s="3845" t="s">
        <v>4504</v>
      </c>
      <c r="K75" s="3845" t="s">
        <v>1815</v>
      </c>
      <c r="L75" s="3845" t="s">
        <v>4504</v>
      </c>
      <c r="M75" s="3845" t="s">
        <v>1815</v>
      </c>
    </row>
    <row r="76" spans="2:13" x14ac:dyDescent="0.25">
      <c r="B76" s="3842"/>
      <c r="C76" s="3843" t="s">
        <v>1815</v>
      </c>
      <c r="D76" s="3843" t="s">
        <v>1815</v>
      </c>
      <c r="E76" s="3526"/>
      <c r="F76" s="3843" t="s">
        <v>1815</v>
      </c>
      <c r="G76" s="3843" t="s">
        <v>4505</v>
      </c>
      <c r="H76" s="3844" t="s">
        <v>4506</v>
      </c>
      <c r="I76" s="3526"/>
      <c r="J76" s="3845" t="s">
        <v>4507</v>
      </c>
      <c r="K76" s="3845" t="s">
        <v>1815</v>
      </c>
      <c r="L76" s="3845" t="s">
        <v>4507</v>
      </c>
      <c r="M76" s="3845" t="s">
        <v>1815</v>
      </c>
    </row>
    <row r="77" spans="2:13" ht="24" x14ac:dyDescent="0.25">
      <c r="B77" s="3842"/>
      <c r="C77" s="3843" t="s">
        <v>1815</v>
      </c>
      <c r="D77" s="3843" t="s">
        <v>1815</v>
      </c>
      <c r="E77" s="3526"/>
      <c r="F77" s="3843" t="s">
        <v>1144</v>
      </c>
      <c r="G77" s="3843" t="s">
        <v>1815</v>
      </c>
      <c r="H77" s="3844" t="s">
        <v>2840</v>
      </c>
      <c r="I77" s="3526"/>
      <c r="J77" s="3845" t="s">
        <v>3943</v>
      </c>
      <c r="K77" s="3845" t="s">
        <v>1815</v>
      </c>
      <c r="L77" s="3845" t="s">
        <v>3943</v>
      </c>
      <c r="M77" s="3845" t="s">
        <v>1815</v>
      </c>
    </row>
    <row r="78" spans="2:13" x14ac:dyDescent="0.25">
      <c r="B78" s="3842"/>
      <c r="C78" s="3843" t="s">
        <v>1815</v>
      </c>
      <c r="D78" s="3843" t="s">
        <v>1815</v>
      </c>
      <c r="E78" s="3526"/>
      <c r="F78" s="3843" t="s">
        <v>1815</v>
      </c>
      <c r="G78" s="3843" t="s">
        <v>1145</v>
      </c>
      <c r="H78" s="3844" t="s">
        <v>2842</v>
      </c>
      <c r="I78" s="3526"/>
      <c r="J78" s="3845" t="s">
        <v>3943</v>
      </c>
      <c r="K78" s="3845" t="s">
        <v>1815</v>
      </c>
      <c r="L78" s="3845" t="s">
        <v>3943</v>
      </c>
      <c r="M78" s="3845" t="s">
        <v>1815</v>
      </c>
    </row>
    <row r="79" spans="2:13" ht="24" x14ac:dyDescent="0.25">
      <c r="B79" s="3842"/>
      <c r="C79" s="3843" t="s">
        <v>1815</v>
      </c>
      <c r="D79" s="3843" t="s">
        <v>1815</v>
      </c>
      <c r="E79" s="3526"/>
      <c r="F79" s="3843" t="s">
        <v>1139</v>
      </c>
      <c r="G79" s="3843" t="s">
        <v>1815</v>
      </c>
      <c r="H79" s="3844" t="s">
        <v>4786</v>
      </c>
      <c r="I79" s="3526"/>
      <c r="J79" s="3845" t="s">
        <v>4508</v>
      </c>
      <c r="K79" s="3845" t="s">
        <v>1815</v>
      </c>
      <c r="L79" s="3845" t="s">
        <v>4508</v>
      </c>
      <c r="M79" s="3845" t="s">
        <v>1815</v>
      </c>
    </row>
    <row r="80" spans="2:13" x14ac:dyDescent="0.25">
      <c r="B80" s="3842"/>
      <c r="C80" s="3843" t="s">
        <v>1815</v>
      </c>
      <c r="D80" s="3843" t="s">
        <v>1815</v>
      </c>
      <c r="E80" s="3526"/>
      <c r="F80" s="3843" t="s">
        <v>1815</v>
      </c>
      <c r="G80" s="3843" t="s">
        <v>1196</v>
      </c>
      <c r="H80" s="3844" t="s">
        <v>2844</v>
      </c>
      <c r="I80" s="3526"/>
      <c r="J80" s="3845" t="s">
        <v>4509</v>
      </c>
      <c r="K80" s="3845" t="s">
        <v>1815</v>
      </c>
      <c r="L80" s="3845" t="s">
        <v>4509</v>
      </c>
      <c r="M80" s="3845" t="s">
        <v>1815</v>
      </c>
    </row>
    <row r="81" spans="2:13" x14ac:dyDescent="0.25">
      <c r="B81" s="3842"/>
      <c r="C81" s="3843" t="s">
        <v>1815</v>
      </c>
      <c r="D81" s="3843" t="s">
        <v>1815</v>
      </c>
      <c r="E81" s="3526"/>
      <c r="F81" s="3843" t="s">
        <v>1815</v>
      </c>
      <c r="G81" s="3843" t="s">
        <v>1161</v>
      </c>
      <c r="H81" s="3844" t="s">
        <v>4510</v>
      </c>
      <c r="I81" s="3526"/>
      <c r="J81" s="3845" t="s">
        <v>4511</v>
      </c>
      <c r="K81" s="3845" t="s">
        <v>1815</v>
      </c>
      <c r="L81" s="3845" t="s">
        <v>4511</v>
      </c>
      <c r="M81" s="3845" t="s">
        <v>1815</v>
      </c>
    </row>
    <row r="82" spans="2:13" ht="36" x14ac:dyDescent="0.25">
      <c r="B82" s="3842"/>
      <c r="C82" s="3843" t="s">
        <v>1815</v>
      </c>
      <c r="D82" s="3843" t="s">
        <v>1815</v>
      </c>
      <c r="E82" s="3526"/>
      <c r="F82" s="3843" t="s">
        <v>1815</v>
      </c>
      <c r="G82" s="3843" t="s">
        <v>1140</v>
      </c>
      <c r="H82" s="3844" t="s">
        <v>2846</v>
      </c>
      <c r="I82" s="3526"/>
      <c r="J82" s="3845" t="s">
        <v>4512</v>
      </c>
      <c r="K82" s="3845" t="s">
        <v>1815</v>
      </c>
      <c r="L82" s="3845" t="s">
        <v>4512</v>
      </c>
      <c r="M82" s="3845" t="s">
        <v>1815</v>
      </c>
    </row>
    <row r="83" spans="2:13" x14ac:dyDescent="0.25">
      <c r="B83" s="3842"/>
      <c r="C83" s="3843" t="s">
        <v>1815</v>
      </c>
      <c r="D83" s="3843" t="s">
        <v>1815</v>
      </c>
      <c r="E83" s="3526"/>
      <c r="F83" s="3843" t="s">
        <v>1815</v>
      </c>
      <c r="G83" s="3843" t="s">
        <v>4513</v>
      </c>
      <c r="H83" s="3844" t="s">
        <v>4514</v>
      </c>
      <c r="I83" s="3526"/>
      <c r="J83" s="3845" t="s">
        <v>4515</v>
      </c>
      <c r="K83" s="3845" t="s">
        <v>1815</v>
      </c>
      <c r="L83" s="3845" t="s">
        <v>4515</v>
      </c>
      <c r="M83" s="3845" t="s">
        <v>1815</v>
      </c>
    </row>
    <row r="84" spans="2:13" x14ac:dyDescent="0.25">
      <c r="B84" s="3842"/>
      <c r="C84" s="3843" t="s">
        <v>1815</v>
      </c>
      <c r="D84" s="3843" t="s">
        <v>1815</v>
      </c>
      <c r="E84" s="3526"/>
      <c r="F84" s="3843" t="s">
        <v>1815</v>
      </c>
      <c r="G84" s="3843" t="s">
        <v>1176</v>
      </c>
      <c r="H84" s="3844" t="s">
        <v>2847</v>
      </c>
      <c r="I84" s="3526"/>
      <c r="J84" s="3845" t="s">
        <v>4516</v>
      </c>
      <c r="K84" s="3845" t="s">
        <v>1815</v>
      </c>
      <c r="L84" s="3845" t="s">
        <v>4516</v>
      </c>
      <c r="M84" s="3845" t="s">
        <v>1815</v>
      </c>
    </row>
    <row r="85" spans="2:13" ht="24" x14ac:dyDescent="0.25">
      <c r="B85" s="3842"/>
      <c r="C85" s="3843" t="s">
        <v>1815</v>
      </c>
      <c r="D85" s="3843" t="s">
        <v>1815</v>
      </c>
      <c r="E85" s="3526"/>
      <c r="F85" s="3843" t="s">
        <v>1127</v>
      </c>
      <c r="G85" s="3843" t="s">
        <v>1815</v>
      </c>
      <c r="H85" s="3844" t="s">
        <v>2848</v>
      </c>
      <c r="I85" s="3526"/>
      <c r="J85" s="3845" t="s">
        <v>4517</v>
      </c>
      <c r="K85" s="3845" t="s">
        <v>1815</v>
      </c>
      <c r="L85" s="3845" t="s">
        <v>4517</v>
      </c>
      <c r="M85" s="3845" t="s">
        <v>1815</v>
      </c>
    </row>
    <row r="86" spans="2:13" x14ac:dyDescent="0.25">
      <c r="B86" s="3842"/>
      <c r="C86" s="3843" t="s">
        <v>1815</v>
      </c>
      <c r="D86" s="3843" t="s">
        <v>1815</v>
      </c>
      <c r="E86" s="3526"/>
      <c r="F86" s="3843" t="s">
        <v>1815</v>
      </c>
      <c r="G86" s="3843" t="s">
        <v>1147</v>
      </c>
      <c r="H86" s="3844" t="s">
        <v>4518</v>
      </c>
      <c r="I86" s="3526"/>
      <c r="J86" s="3845" t="s">
        <v>4519</v>
      </c>
      <c r="K86" s="3845" t="s">
        <v>1815</v>
      </c>
      <c r="L86" s="3845" t="s">
        <v>4519</v>
      </c>
      <c r="M86" s="3845" t="s">
        <v>1815</v>
      </c>
    </row>
    <row r="87" spans="2:13" x14ac:dyDescent="0.25">
      <c r="B87" s="3842"/>
      <c r="C87" s="3843" t="s">
        <v>1815</v>
      </c>
      <c r="D87" s="3843" t="s">
        <v>1815</v>
      </c>
      <c r="E87" s="3526"/>
      <c r="F87" s="3843" t="s">
        <v>1815</v>
      </c>
      <c r="G87" s="3843" t="s">
        <v>1163</v>
      </c>
      <c r="H87" s="3844" t="s">
        <v>2852</v>
      </c>
      <c r="I87" s="3526"/>
      <c r="J87" s="3845" t="s">
        <v>3877</v>
      </c>
      <c r="K87" s="3845" t="s">
        <v>1815</v>
      </c>
      <c r="L87" s="3845" t="s">
        <v>3877</v>
      </c>
      <c r="M87" s="3845" t="s">
        <v>1815</v>
      </c>
    </row>
    <row r="88" spans="2:13" x14ac:dyDescent="0.25">
      <c r="B88" s="3842"/>
      <c r="C88" s="3843" t="s">
        <v>1815</v>
      </c>
      <c r="D88" s="3843" t="s">
        <v>1815</v>
      </c>
      <c r="E88" s="3526"/>
      <c r="F88" s="3843" t="s">
        <v>1815</v>
      </c>
      <c r="G88" s="3843" t="s">
        <v>1128</v>
      </c>
      <c r="H88" s="3844" t="s">
        <v>2853</v>
      </c>
      <c r="I88" s="3526"/>
      <c r="J88" s="3845" t="s">
        <v>4097</v>
      </c>
      <c r="K88" s="3845" t="s">
        <v>1815</v>
      </c>
      <c r="L88" s="3845" t="s">
        <v>4097</v>
      </c>
      <c r="M88" s="3845" t="s">
        <v>1815</v>
      </c>
    </row>
    <row r="89" spans="2:13" ht="24" x14ac:dyDescent="0.25">
      <c r="B89" s="3842"/>
      <c r="C89" s="3843" t="s">
        <v>4445</v>
      </c>
      <c r="D89" s="3843" t="s">
        <v>1815</v>
      </c>
      <c r="E89" s="3526"/>
      <c r="F89" s="3843" t="s">
        <v>1815</v>
      </c>
      <c r="G89" s="3843" t="s">
        <v>1815</v>
      </c>
      <c r="H89" s="3844" t="s">
        <v>4446</v>
      </c>
      <c r="I89" s="3526"/>
      <c r="J89" s="3845" t="s">
        <v>4789</v>
      </c>
      <c r="K89" s="3845" t="s">
        <v>4464</v>
      </c>
      <c r="L89" s="3845" t="s">
        <v>4790</v>
      </c>
      <c r="M89" s="3845" t="s">
        <v>4791</v>
      </c>
    </row>
    <row r="90" spans="2:13" x14ac:dyDescent="0.25">
      <c r="B90" s="3842"/>
      <c r="C90" s="3843" t="s">
        <v>1815</v>
      </c>
      <c r="D90" s="3843" t="s">
        <v>4520</v>
      </c>
      <c r="E90" s="3526"/>
      <c r="F90" s="3843" t="s">
        <v>1815</v>
      </c>
      <c r="G90" s="3843" t="s">
        <v>1815</v>
      </c>
      <c r="H90" s="3844" t="s">
        <v>4521</v>
      </c>
      <c r="I90" s="3526"/>
      <c r="J90" s="3845" t="s">
        <v>4522</v>
      </c>
      <c r="K90" s="3845" t="s">
        <v>4464</v>
      </c>
      <c r="L90" s="3845" t="s">
        <v>4337</v>
      </c>
      <c r="M90" s="3845" t="s">
        <v>1815</v>
      </c>
    </row>
    <row r="91" spans="2:13" x14ac:dyDescent="0.25">
      <c r="B91" s="3842"/>
      <c r="C91" s="3843" t="s">
        <v>1815</v>
      </c>
      <c r="D91" s="3843" t="s">
        <v>1815</v>
      </c>
      <c r="E91" s="3526"/>
      <c r="F91" s="3843" t="s">
        <v>1118</v>
      </c>
      <c r="G91" s="3843" t="s">
        <v>1815</v>
      </c>
      <c r="H91" s="3844" t="s">
        <v>4523</v>
      </c>
      <c r="I91" s="3526"/>
      <c r="J91" s="3845" t="s">
        <v>4522</v>
      </c>
      <c r="K91" s="3845" t="s">
        <v>4464</v>
      </c>
      <c r="L91" s="3845" t="s">
        <v>4337</v>
      </c>
      <c r="M91" s="3845" t="s">
        <v>1815</v>
      </c>
    </row>
    <row r="92" spans="2:13" ht="60" x14ac:dyDescent="0.25">
      <c r="B92" s="3842"/>
      <c r="C92" s="3843" t="s">
        <v>1815</v>
      </c>
      <c r="D92" s="3843" t="s">
        <v>1815</v>
      </c>
      <c r="E92" s="3526"/>
      <c r="F92" s="3843" t="s">
        <v>1815</v>
      </c>
      <c r="G92" s="3843" t="s">
        <v>1164</v>
      </c>
      <c r="H92" s="3844" t="s">
        <v>2866</v>
      </c>
      <c r="I92" s="3526"/>
      <c r="J92" s="3845" t="s">
        <v>4524</v>
      </c>
      <c r="K92" s="3845" t="s">
        <v>4524</v>
      </c>
      <c r="L92" s="3845" t="s">
        <v>1815</v>
      </c>
      <c r="M92" s="3845" t="s">
        <v>1815</v>
      </c>
    </row>
    <row r="93" spans="2:13" ht="24" x14ac:dyDescent="0.25">
      <c r="B93" s="3842"/>
      <c r="C93" s="3843" t="s">
        <v>1815</v>
      </c>
      <c r="D93" s="3843" t="s">
        <v>1815</v>
      </c>
      <c r="E93" s="3526"/>
      <c r="F93" s="3843" t="s">
        <v>1815</v>
      </c>
      <c r="G93" s="3843" t="s">
        <v>1165</v>
      </c>
      <c r="H93" s="3844" t="s">
        <v>4525</v>
      </c>
      <c r="I93" s="3526"/>
      <c r="J93" s="3845" t="s">
        <v>4526</v>
      </c>
      <c r="K93" s="3845" t="s">
        <v>4526</v>
      </c>
      <c r="L93" s="3845" t="s">
        <v>1815</v>
      </c>
      <c r="M93" s="3845" t="s">
        <v>1815</v>
      </c>
    </row>
    <row r="94" spans="2:13" ht="36" x14ac:dyDescent="0.25">
      <c r="B94" s="3842"/>
      <c r="C94" s="3843" t="s">
        <v>1815</v>
      </c>
      <c r="D94" s="3843" t="s">
        <v>1815</v>
      </c>
      <c r="E94" s="3526"/>
      <c r="F94" s="3843" t="s">
        <v>1815</v>
      </c>
      <c r="G94" s="3843" t="s">
        <v>1166</v>
      </c>
      <c r="H94" s="3844" t="s">
        <v>4527</v>
      </c>
      <c r="I94" s="3526"/>
      <c r="J94" s="3845" t="s">
        <v>1970</v>
      </c>
      <c r="K94" s="3845" t="s">
        <v>1970</v>
      </c>
      <c r="L94" s="3845" t="s">
        <v>1815</v>
      </c>
      <c r="M94" s="3845" t="s">
        <v>1815</v>
      </c>
    </row>
    <row r="95" spans="2:13" ht="24" x14ac:dyDescent="0.25">
      <c r="B95" s="3842"/>
      <c r="C95" s="3843" t="s">
        <v>1815</v>
      </c>
      <c r="D95" s="3843" t="s">
        <v>1815</v>
      </c>
      <c r="E95" s="3526"/>
      <c r="F95" s="3843" t="s">
        <v>1815</v>
      </c>
      <c r="G95" s="3843" t="s">
        <v>1841</v>
      </c>
      <c r="H95" s="3844" t="s">
        <v>2876</v>
      </c>
      <c r="I95" s="3526"/>
      <c r="J95" s="3845" t="s">
        <v>4098</v>
      </c>
      <c r="K95" s="3845" t="s">
        <v>1815</v>
      </c>
      <c r="L95" s="3845" t="s">
        <v>4098</v>
      </c>
      <c r="M95" s="3845" t="s">
        <v>1815</v>
      </c>
    </row>
    <row r="96" spans="2:13" x14ac:dyDescent="0.25">
      <c r="B96" s="3842"/>
      <c r="C96" s="3843" t="s">
        <v>1815</v>
      </c>
      <c r="D96" s="3843" t="s">
        <v>1815</v>
      </c>
      <c r="E96" s="3526"/>
      <c r="F96" s="3843" t="s">
        <v>1815</v>
      </c>
      <c r="G96" s="3843" t="s">
        <v>1180</v>
      </c>
      <c r="H96" s="3844" t="s">
        <v>2878</v>
      </c>
      <c r="I96" s="3526"/>
      <c r="J96" s="3845" t="s">
        <v>3951</v>
      </c>
      <c r="K96" s="3845" t="s">
        <v>1815</v>
      </c>
      <c r="L96" s="3845" t="s">
        <v>3951</v>
      </c>
      <c r="M96" s="3845" t="s">
        <v>1815</v>
      </c>
    </row>
    <row r="97" spans="2:13" x14ac:dyDescent="0.25">
      <c r="B97" s="3842"/>
      <c r="C97" s="3843" t="s">
        <v>1815</v>
      </c>
      <c r="D97" s="3843" t="s">
        <v>4528</v>
      </c>
      <c r="E97" s="3526"/>
      <c r="F97" s="3843" t="s">
        <v>1815</v>
      </c>
      <c r="G97" s="3843" t="s">
        <v>1815</v>
      </c>
      <c r="H97" s="3844" t="s">
        <v>4529</v>
      </c>
      <c r="I97" s="3526"/>
      <c r="J97" s="3845" t="s">
        <v>4791</v>
      </c>
      <c r="K97" s="3845" t="s">
        <v>1815</v>
      </c>
      <c r="L97" s="3845" t="s">
        <v>1815</v>
      </c>
      <c r="M97" s="3845" t="s">
        <v>4791</v>
      </c>
    </row>
    <row r="98" spans="2:13" x14ac:dyDescent="0.25">
      <c r="B98" s="3842"/>
      <c r="C98" s="3843" t="s">
        <v>1815</v>
      </c>
      <c r="D98" s="3843" t="s">
        <v>1815</v>
      </c>
      <c r="E98" s="3526"/>
      <c r="F98" s="3843" t="s">
        <v>1181</v>
      </c>
      <c r="G98" s="3843" t="s">
        <v>1815</v>
      </c>
      <c r="H98" s="3844" t="s">
        <v>918</v>
      </c>
      <c r="I98" s="3526"/>
      <c r="J98" s="3845" t="s">
        <v>4792</v>
      </c>
      <c r="K98" s="3845" t="s">
        <v>1815</v>
      </c>
      <c r="L98" s="3845" t="s">
        <v>1815</v>
      </c>
      <c r="M98" s="3845" t="s">
        <v>4792</v>
      </c>
    </row>
    <row r="99" spans="2:13" x14ac:dyDescent="0.25">
      <c r="B99" s="3842"/>
      <c r="C99" s="3843" t="s">
        <v>1815</v>
      </c>
      <c r="D99" s="3843" t="s">
        <v>1815</v>
      </c>
      <c r="E99" s="3526"/>
      <c r="F99" s="3843" t="s">
        <v>1815</v>
      </c>
      <c r="G99" s="3843" t="s">
        <v>1182</v>
      </c>
      <c r="H99" s="3844" t="s">
        <v>31</v>
      </c>
      <c r="I99" s="3526"/>
      <c r="J99" s="3845" t="s">
        <v>4530</v>
      </c>
      <c r="K99" s="3845" t="s">
        <v>1815</v>
      </c>
      <c r="L99" s="3845" t="s">
        <v>1815</v>
      </c>
      <c r="M99" s="3845" t="s">
        <v>4530</v>
      </c>
    </row>
    <row r="100" spans="2:13" x14ac:dyDescent="0.25">
      <c r="B100" s="3842"/>
      <c r="C100" s="3843" t="s">
        <v>1815</v>
      </c>
      <c r="D100" s="3843" t="s">
        <v>1815</v>
      </c>
      <c r="E100" s="3526"/>
      <c r="F100" s="3843" t="s">
        <v>1815</v>
      </c>
      <c r="G100" s="3843" t="s">
        <v>1183</v>
      </c>
      <c r="H100" s="3844" t="s">
        <v>2886</v>
      </c>
      <c r="I100" s="3526"/>
      <c r="J100" s="3845" t="s">
        <v>4793</v>
      </c>
      <c r="K100" s="3845" t="s">
        <v>1815</v>
      </c>
      <c r="L100" s="3845" t="s">
        <v>1815</v>
      </c>
      <c r="M100" s="3845" t="s">
        <v>4793</v>
      </c>
    </row>
    <row r="101" spans="2:13" x14ac:dyDescent="0.25">
      <c r="B101" s="3842"/>
      <c r="C101" s="3843" t="s">
        <v>1815</v>
      </c>
      <c r="D101" s="3843" t="s">
        <v>1815</v>
      </c>
      <c r="E101" s="3526"/>
      <c r="F101" s="3843" t="s">
        <v>1187</v>
      </c>
      <c r="G101" s="3843" t="s">
        <v>1815</v>
      </c>
      <c r="H101" s="3844" t="s">
        <v>2891</v>
      </c>
      <c r="I101" s="3526"/>
      <c r="J101" s="3845" t="s">
        <v>4531</v>
      </c>
      <c r="K101" s="3845" t="s">
        <v>1815</v>
      </c>
      <c r="L101" s="3845" t="s">
        <v>1815</v>
      </c>
      <c r="M101" s="3845" t="s">
        <v>4531</v>
      </c>
    </row>
    <row r="102" spans="2:13" x14ac:dyDescent="0.25">
      <c r="B102" s="3842"/>
      <c r="C102" s="3843" t="s">
        <v>1815</v>
      </c>
      <c r="D102" s="3843" t="s">
        <v>1815</v>
      </c>
      <c r="E102" s="3526"/>
      <c r="F102" s="3843" t="s">
        <v>1815</v>
      </c>
      <c r="G102" s="3843" t="s">
        <v>1188</v>
      </c>
      <c r="H102" s="3844" t="s">
        <v>2891</v>
      </c>
      <c r="I102" s="3526"/>
      <c r="J102" s="3845" t="s">
        <v>4531</v>
      </c>
      <c r="K102" s="3845" t="s">
        <v>1815</v>
      </c>
      <c r="L102" s="3845" t="s">
        <v>1815</v>
      </c>
      <c r="M102" s="3845" t="s">
        <v>4531</v>
      </c>
    </row>
    <row r="103" spans="2:13" x14ac:dyDescent="0.25">
      <c r="B103" s="3842"/>
      <c r="C103" s="3843" t="s">
        <v>1815</v>
      </c>
      <c r="D103" s="3843" t="s">
        <v>4449</v>
      </c>
      <c r="E103" s="3526"/>
      <c r="F103" s="3843" t="s">
        <v>1815</v>
      </c>
      <c r="G103" s="3843" t="s">
        <v>1815</v>
      </c>
      <c r="H103" s="3844" t="s">
        <v>2892</v>
      </c>
      <c r="I103" s="3526"/>
      <c r="J103" s="3845" t="s">
        <v>4794</v>
      </c>
      <c r="K103" s="3845" t="s">
        <v>1815</v>
      </c>
      <c r="L103" s="3845" t="s">
        <v>4794</v>
      </c>
      <c r="M103" s="3845" t="s">
        <v>1815</v>
      </c>
    </row>
    <row r="104" spans="2:13" x14ac:dyDescent="0.25">
      <c r="B104" s="3842"/>
      <c r="C104" s="3843" t="s">
        <v>1815</v>
      </c>
      <c r="D104" s="3843" t="s">
        <v>1815</v>
      </c>
      <c r="E104" s="3526"/>
      <c r="F104" s="3843" t="s">
        <v>1137</v>
      </c>
      <c r="G104" s="3843" t="s">
        <v>1815</v>
      </c>
      <c r="H104" s="3844" t="s">
        <v>2892</v>
      </c>
      <c r="I104" s="3526"/>
      <c r="J104" s="3845" t="s">
        <v>4794</v>
      </c>
      <c r="K104" s="3845" t="s">
        <v>1815</v>
      </c>
      <c r="L104" s="3845" t="s">
        <v>4794</v>
      </c>
      <c r="M104" s="3845" t="s">
        <v>1815</v>
      </c>
    </row>
    <row r="105" spans="2:13" x14ac:dyDescent="0.25">
      <c r="B105" s="3842"/>
      <c r="C105" s="3843" t="s">
        <v>1815</v>
      </c>
      <c r="D105" s="3843" t="s">
        <v>1815</v>
      </c>
      <c r="E105" s="3526"/>
      <c r="F105" s="3843" t="s">
        <v>1815</v>
      </c>
      <c r="G105" s="3843" t="s">
        <v>1138</v>
      </c>
      <c r="H105" s="3844" t="s">
        <v>2893</v>
      </c>
      <c r="I105" s="3526"/>
      <c r="J105" s="3845" t="s">
        <v>4795</v>
      </c>
      <c r="K105" s="3845" t="s">
        <v>1815</v>
      </c>
      <c r="L105" s="3845" t="s">
        <v>4795</v>
      </c>
      <c r="M105" s="3845" t="s">
        <v>1815</v>
      </c>
    </row>
    <row r="106" spans="2:13" x14ac:dyDescent="0.25">
      <c r="B106" s="3842"/>
      <c r="C106" s="3843" t="s">
        <v>1815</v>
      </c>
      <c r="D106" s="3843" t="s">
        <v>1815</v>
      </c>
      <c r="E106" s="3526"/>
      <c r="F106" s="3843" t="s">
        <v>1815</v>
      </c>
      <c r="G106" s="3843" t="s">
        <v>1150</v>
      </c>
      <c r="H106" s="3844" t="s">
        <v>2895</v>
      </c>
      <c r="I106" s="3526"/>
      <c r="J106" s="3845" t="s">
        <v>4532</v>
      </c>
      <c r="K106" s="3845" t="s">
        <v>1815</v>
      </c>
      <c r="L106" s="3845" t="s">
        <v>4532</v>
      </c>
      <c r="M106" s="3845" t="s">
        <v>1815</v>
      </c>
    </row>
    <row r="107" spans="2:13" ht="48" x14ac:dyDescent="0.25">
      <c r="B107" s="3842"/>
      <c r="C107" s="3843" t="s">
        <v>1815</v>
      </c>
      <c r="D107" s="3843" t="s">
        <v>1815</v>
      </c>
      <c r="E107" s="3526"/>
      <c r="F107" s="3843" t="s">
        <v>1815</v>
      </c>
      <c r="G107" s="3843" t="s">
        <v>1167</v>
      </c>
      <c r="H107" s="3844" t="s">
        <v>4533</v>
      </c>
      <c r="I107" s="3526"/>
      <c r="J107" s="3845" t="s">
        <v>4534</v>
      </c>
      <c r="K107" s="3845" t="s">
        <v>1815</v>
      </c>
      <c r="L107" s="3845" t="s">
        <v>4534</v>
      </c>
      <c r="M107" s="3845" t="s">
        <v>1815</v>
      </c>
    </row>
    <row r="108" spans="2:13" ht="24" x14ac:dyDescent="0.25">
      <c r="B108" s="3842"/>
      <c r="C108" s="3843" t="s">
        <v>1815</v>
      </c>
      <c r="D108" s="3843" t="s">
        <v>1815</v>
      </c>
      <c r="E108" s="3526"/>
      <c r="F108" s="3843" t="s">
        <v>1815</v>
      </c>
      <c r="G108" s="3843" t="s">
        <v>1168</v>
      </c>
      <c r="H108" s="3844" t="s">
        <v>4461</v>
      </c>
      <c r="I108" s="3526"/>
      <c r="J108" s="3845" t="s">
        <v>4535</v>
      </c>
      <c r="K108" s="3845" t="s">
        <v>1815</v>
      </c>
      <c r="L108" s="3845" t="s">
        <v>4535</v>
      </c>
      <c r="M108" s="3845" t="s">
        <v>1815</v>
      </c>
    </row>
    <row r="109" spans="2:13" ht="36" x14ac:dyDescent="0.25">
      <c r="B109" s="3842"/>
      <c r="C109" s="3843" t="s">
        <v>1815</v>
      </c>
      <c r="D109" s="3843" t="s">
        <v>1815</v>
      </c>
      <c r="E109" s="3526"/>
      <c r="F109" s="3843" t="s">
        <v>1815</v>
      </c>
      <c r="G109" s="3843" t="s">
        <v>1169</v>
      </c>
      <c r="H109" s="3844" t="s">
        <v>2899</v>
      </c>
      <c r="I109" s="3526"/>
      <c r="J109" s="3845" t="s">
        <v>4536</v>
      </c>
      <c r="K109" s="3845" t="s">
        <v>1815</v>
      </c>
      <c r="L109" s="3845" t="s">
        <v>4536</v>
      </c>
      <c r="M109" s="3845" t="s">
        <v>1815</v>
      </c>
    </row>
    <row r="110" spans="2:13" ht="36" x14ac:dyDescent="0.25">
      <c r="B110" s="3842"/>
      <c r="C110" s="3843" t="s">
        <v>1815</v>
      </c>
      <c r="D110" s="3843" t="s">
        <v>1815</v>
      </c>
      <c r="E110" s="3526"/>
      <c r="F110" s="3843" t="s">
        <v>1815</v>
      </c>
      <c r="G110" s="3843" t="s">
        <v>1829</v>
      </c>
      <c r="H110" s="3844" t="s">
        <v>2900</v>
      </c>
      <c r="I110" s="3526"/>
      <c r="J110" s="3845" t="s">
        <v>3662</v>
      </c>
      <c r="K110" s="3845" t="s">
        <v>1815</v>
      </c>
      <c r="L110" s="3845" t="s">
        <v>3662</v>
      </c>
      <c r="M110" s="3845" t="s">
        <v>1815</v>
      </c>
    </row>
    <row r="111" spans="2:13" ht="36" x14ac:dyDescent="0.25">
      <c r="B111" s="3842"/>
      <c r="C111" s="3843" t="s">
        <v>1815</v>
      </c>
      <c r="D111" s="3843" t="s">
        <v>1815</v>
      </c>
      <c r="E111" s="3526"/>
      <c r="F111" s="3843" t="s">
        <v>1815</v>
      </c>
      <c r="G111" s="3843" t="s">
        <v>1170</v>
      </c>
      <c r="H111" s="3844" t="s">
        <v>2901</v>
      </c>
      <c r="I111" s="3526"/>
      <c r="J111" s="3845" t="s">
        <v>4537</v>
      </c>
      <c r="K111" s="3845" t="s">
        <v>1815</v>
      </c>
      <c r="L111" s="3845" t="s">
        <v>4537</v>
      </c>
      <c r="M111" s="3845" t="s">
        <v>1815</v>
      </c>
    </row>
    <row r="112" spans="2:13" ht="36" x14ac:dyDescent="0.25">
      <c r="B112" s="3846"/>
      <c r="C112" s="3847" t="s">
        <v>1815</v>
      </c>
      <c r="D112" s="3847" t="s">
        <v>1815</v>
      </c>
      <c r="E112" s="3848"/>
      <c r="F112" s="3847" t="s">
        <v>1815</v>
      </c>
      <c r="G112" s="3847" t="s">
        <v>1157</v>
      </c>
      <c r="H112" s="3849" t="s">
        <v>2902</v>
      </c>
      <c r="I112" s="3848"/>
      <c r="J112" s="3850" t="s">
        <v>4538</v>
      </c>
      <c r="K112" s="3850" t="s">
        <v>1815</v>
      </c>
      <c r="L112" s="3850" t="s">
        <v>4538</v>
      </c>
      <c r="M112" s="3850" t="s">
        <v>1815</v>
      </c>
    </row>
    <row r="113" spans="1:13" ht="12.6" customHeight="1" x14ac:dyDescent="0.25"/>
    <row r="114" spans="1:13" s="3852" customFormat="1" ht="16.5" hidden="1" x14ac:dyDescent="0.25">
      <c r="A114" s="3851" t="s">
        <v>4796</v>
      </c>
      <c r="B114" s="4491" t="s">
        <v>4797</v>
      </c>
      <c r="C114" s="4491"/>
      <c r="D114" s="4491"/>
      <c r="E114" s="4491"/>
      <c r="F114" s="4491"/>
      <c r="G114" s="4491"/>
      <c r="I114" s="3851"/>
      <c r="J114" s="4491" t="s">
        <v>4798</v>
      </c>
      <c r="K114" s="4491"/>
      <c r="L114" s="4491"/>
      <c r="M114" s="4491"/>
    </row>
    <row r="115" spans="1:13" s="3855" customFormat="1" ht="16.5" hidden="1" x14ac:dyDescent="0.25">
      <c r="A115" s="3853" t="s">
        <v>4799</v>
      </c>
      <c r="B115" s="3853"/>
      <c r="C115" s="3853"/>
      <c r="D115" s="3853"/>
      <c r="E115" s="3853"/>
      <c r="F115" s="3853"/>
      <c r="G115" s="3854"/>
      <c r="I115" s="3854"/>
      <c r="J115" s="4490" t="s">
        <v>3573</v>
      </c>
      <c r="K115" s="4490"/>
      <c r="L115" s="4490"/>
      <c r="M115" s="4490"/>
    </row>
    <row r="116" spans="1:13" s="3855" customFormat="1" ht="16.5" hidden="1" x14ac:dyDescent="0.25">
      <c r="A116" s="4481" t="s">
        <v>867</v>
      </c>
      <c r="B116" s="4481"/>
      <c r="C116" s="4481"/>
      <c r="D116" s="4481"/>
      <c r="E116" s="4481"/>
      <c r="F116" s="4481"/>
      <c r="G116" s="4481"/>
      <c r="I116" s="3856"/>
      <c r="J116" s="4482" t="s">
        <v>807</v>
      </c>
      <c r="K116" s="4482"/>
      <c r="L116" s="4482"/>
      <c r="M116" s="4482"/>
    </row>
    <row r="117" spans="1:13" s="3506" customFormat="1" ht="16.5" hidden="1" x14ac:dyDescent="0.25">
      <c r="A117" s="3857"/>
      <c r="B117" s="3857"/>
      <c r="C117" s="3857"/>
      <c r="D117" s="3857"/>
      <c r="E117" s="3857"/>
      <c r="F117" s="3857"/>
      <c r="G117" s="3857"/>
      <c r="I117" s="3857"/>
      <c r="J117" s="3857"/>
    </row>
    <row r="118" spans="1:13" s="3506" customFormat="1" ht="16.5" hidden="1" x14ac:dyDescent="0.25">
      <c r="A118" s="3857"/>
      <c r="B118" s="3857"/>
      <c r="C118" s="3857"/>
      <c r="D118" s="3857"/>
      <c r="E118" s="3857"/>
      <c r="F118" s="3857"/>
      <c r="G118" s="3857"/>
      <c r="I118" s="3857"/>
      <c r="J118" s="3857"/>
    </row>
    <row r="119" spans="1:13" s="3506" customFormat="1" ht="16.5" hidden="1" x14ac:dyDescent="0.25">
      <c r="A119" s="3857"/>
      <c r="B119" s="3857"/>
      <c r="C119" s="3857"/>
      <c r="D119" s="3857"/>
      <c r="E119" s="3857"/>
      <c r="F119" s="3857"/>
      <c r="G119" s="3857"/>
      <c r="I119" s="3857"/>
      <c r="J119" s="3857"/>
    </row>
    <row r="120" spans="1:13" s="3506" customFormat="1" ht="16.5" hidden="1" x14ac:dyDescent="0.25">
      <c r="A120" s="3857"/>
      <c r="B120" s="3857"/>
      <c r="C120" s="3857"/>
      <c r="D120" s="3857"/>
      <c r="E120" s="3857"/>
      <c r="F120" s="3857"/>
      <c r="G120" s="3857"/>
      <c r="I120" s="3857"/>
      <c r="J120" s="3857"/>
    </row>
    <row r="121" spans="1:13" s="3506" customFormat="1" ht="16.5" hidden="1" x14ac:dyDescent="0.25">
      <c r="A121" s="3857"/>
      <c r="B121" s="3857"/>
      <c r="C121" s="3857"/>
      <c r="D121" s="3857"/>
      <c r="E121" s="3857"/>
      <c r="F121" s="3857"/>
      <c r="G121" s="3857"/>
      <c r="I121" s="3857"/>
      <c r="J121" s="3857"/>
    </row>
    <row r="122" spans="1:13" s="3506" customFormat="1" ht="16.5" hidden="1" x14ac:dyDescent="0.25">
      <c r="A122" s="3857"/>
      <c r="B122" s="3857"/>
      <c r="C122" s="3857"/>
      <c r="D122" s="3857"/>
      <c r="E122" s="3857"/>
      <c r="F122" s="3857"/>
      <c r="G122" s="3857"/>
      <c r="I122" s="3857"/>
      <c r="J122" s="3857"/>
    </row>
    <row r="123" spans="1:13" s="3506" customFormat="1" ht="16.5" hidden="1" x14ac:dyDescent="0.25">
      <c r="A123" s="3857"/>
      <c r="B123" s="3857"/>
      <c r="C123" s="3857"/>
      <c r="D123" s="3857"/>
      <c r="E123" s="3857"/>
      <c r="F123" s="3857"/>
      <c r="G123" s="3857"/>
      <c r="I123" s="3858"/>
      <c r="J123" s="4455" t="s">
        <v>3574</v>
      </c>
      <c r="K123" s="4455"/>
      <c r="L123" s="4455"/>
      <c r="M123" s="4455"/>
    </row>
    <row r="124" spans="1:13" ht="5.0999999999999996" hidden="1" customHeight="1" x14ac:dyDescent="0.25"/>
    <row r="125" spans="1:13" hidden="1" x14ac:dyDescent="0.25"/>
    <row r="126" spans="1:13" hidden="1" x14ac:dyDescent="0.25"/>
    <row r="127" spans="1:13" hidden="1" x14ac:dyDescent="0.25"/>
    <row r="431" ht="15.75" customHeight="1" x14ac:dyDescent="0.25"/>
    <row r="432" ht="16.5" hidden="1" customHeight="1" x14ac:dyDescent="0.25"/>
    <row r="433" ht="16.5" customHeight="1" x14ac:dyDescent="0.25"/>
    <row r="434" ht="15.75" customHeight="1" x14ac:dyDescent="0.25"/>
    <row r="436" ht="21.75" customHeight="1" x14ac:dyDescent="0.25"/>
    <row r="437" ht="21.75" customHeight="1" x14ac:dyDescent="0.25"/>
    <row r="438" ht="21.75" customHeight="1" x14ac:dyDescent="0.25"/>
    <row r="439" ht="21.75" customHeight="1" x14ac:dyDescent="0.25"/>
    <row r="440" ht="21.75" customHeight="1" x14ac:dyDescent="0.25"/>
  </sheetData>
  <mergeCells count="14">
    <mergeCell ref="A116:G116"/>
    <mergeCell ref="J116:M116"/>
    <mergeCell ref="J123:M123"/>
    <mergeCell ref="L2:M2"/>
    <mergeCell ref="A7:M7"/>
    <mergeCell ref="A6:M6"/>
    <mergeCell ref="B2:H2"/>
    <mergeCell ref="B5:M5"/>
    <mergeCell ref="B8:M8"/>
    <mergeCell ref="B10:H10"/>
    <mergeCell ref="B12:H12"/>
    <mergeCell ref="J115:M115"/>
    <mergeCell ref="B114:G114"/>
    <mergeCell ref="J114:M114"/>
  </mergeCells>
  <pageMargins left="0.511811023622047" right="0.31496062992126" top="0.52" bottom="0.46" header="0.31496062992126" footer="0.24"/>
  <pageSetup paperSize="9" orientation="landscape" useFirstPageNumber="1"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836"/>
  <sheetViews>
    <sheetView view="pageBreakPreview" zoomScaleNormal="100" zoomScaleSheetLayoutView="100" workbookViewId="0">
      <selection activeCell="J1" sqref="J1"/>
    </sheetView>
  </sheetViews>
  <sheetFormatPr defaultRowHeight="15" x14ac:dyDescent="0.25"/>
  <cols>
    <col min="1" max="1" width="0.5703125" style="3506" customWidth="1"/>
    <col min="2" max="2" width="6.5703125" style="3506" customWidth="1"/>
    <col min="3" max="3" width="9.140625" style="3506" customWidth="1"/>
    <col min="4" max="4" width="8.7109375" style="3506" customWidth="1"/>
    <col min="5" max="5" width="7.85546875" style="3506" customWidth="1"/>
    <col min="6" max="6" width="7.28515625" style="3506" customWidth="1"/>
    <col min="7" max="7" width="8.7109375" style="3506" customWidth="1"/>
    <col min="8" max="8" width="43.140625" style="3506" customWidth="1"/>
    <col min="9" max="9" width="0" style="3506" hidden="1" customWidth="1"/>
    <col min="10" max="10" width="22.28515625" style="3506" customWidth="1"/>
    <col min="11" max="11" width="0" style="3506" hidden="1" customWidth="1"/>
    <col min="12" max="12" width="2.5703125" style="3506" customWidth="1"/>
    <col min="13" max="16384" width="9.140625" style="3506"/>
  </cols>
  <sheetData>
    <row r="1" spans="1:10" ht="48.75" customHeight="1" x14ac:dyDescent="0.25">
      <c r="B1" s="4484" t="s">
        <v>4774</v>
      </c>
      <c r="C1" s="4493"/>
      <c r="D1" s="4493"/>
      <c r="E1" s="4493"/>
      <c r="J1" s="3867" t="s">
        <v>4914</v>
      </c>
    </row>
    <row r="2" spans="1:10" ht="15.75" x14ac:dyDescent="0.25">
      <c r="B2" s="4493"/>
      <c r="C2" s="4493"/>
      <c r="D2" s="4493"/>
      <c r="E2" s="4493"/>
      <c r="H2" s="4483" t="s">
        <v>4800</v>
      </c>
      <c r="I2" s="4483"/>
      <c r="J2" s="4483"/>
    </row>
    <row r="3" spans="1:10" ht="18.75" customHeight="1" x14ac:dyDescent="0.25">
      <c r="B3" s="4483" t="s">
        <v>4801</v>
      </c>
      <c r="C3" s="4261"/>
      <c r="D3" s="4261"/>
      <c r="E3" s="4261"/>
      <c r="F3" s="4261"/>
      <c r="G3" s="4261"/>
      <c r="H3" s="4261"/>
      <c r="I3" s="4261"/>
      <c r="J3" s="4261"/>
    </row>
    <row r="4" spans="1:10" ht="18.75" customHeight="1" x14ac:dyDescent="0.25">
      <c r="A4" s="4287" t="s">
        <v>4912</v>
      </c>
      <c r="B4" s="4287"/>
      <c r="C4" s="4287"/>
      <c r="D4" s="4287"/>
      <c r="E4" s="4287"/>
      <c r="F4" s="4287"/>
      <c r="G4" s="4287"/>
      <c r="H4" s="4287"/>
      <c r="I4" s="4287"/>
      <c r="J4" s="4287"/>
    </row>
    <row r="5" spans="1:10" ht="15" customHeight="1" x14ac:dyDescent="0.25">
      <c r="A5" s="4494" t="str">
        <f>'B62-342'!A4:H4</f>
        <v>(Kèm theo Quyết định số         /QĐ-UBND ngày      tháng 4 năm 2026 của UBND xã Phong Quang)</v>
      </c>
      <c r="B5" s="4494"/>
      <c r="C5" s="4494"/>
      <c r="D5" s="4494"/>
      <c r="E5" s="4494"/>
      <c r="F5" s="4494"/>
      <c r="G5" s="4494"/>
      <c r="H5" s="4494"/>
      <c r="I5" s="4494"/>
      <c r="J5" s="4494"/>
    </row>
    <row r="6" spans="1:10" ht="21.75" customHeight="1" x14ac:dyDescent="0.25">
      <c r="C6" s="3860"/>
      <c r="D6" s="3860"/>
      <c r="E6" s="3860"/>
      <c r="F6" s="3860"/>
      <c r="G6" s="3860"/>
      <c r="H6" s="3860"/>
      <c r="I6" s="3860"/>
      <c r="J6" s="3861" t="s">
        <v>3566</v>
      </c>
    </row>
    <row r="8" spans="1:10" ht="32.25" customHeight="1" x14ac:dyDescent="0.25">
      <c r="B8" s="3517" t="s">
        <v>2556</v>
      </c>
      <c r="C8" s="3517" t="s">
        <v>494</v>
      </c>
      <c r="D8" s="3517" t="s">
        <v>502</v>
      </c>
      <c r="E8" s="3517" t="s">
        <v>503</v>
      </c>
      <c r="F8" s="3517" t="s">
        <v>495</v>
      </c>
      <c r="G8" s="3517" t="s">
        <v>496</v>
      </c>
      <c r="H8" s="3517" t="s">
        <v>845</v>
      </c>
      <c r="I8" s="3503"/>
      <c r="J8" s="3517" t="s">
        <v>504</v>
      </c>
    </row>
    <row r="9" spans="1:10" ht="23.25" customHeight="1" x14ac:dyDescent="0.25">
      <c r="B9" s="4492" t="s">
        <v>886</v>
      </c>
      <c r="C9" s="4246"/>
      <c r="D9" s="4246"/>
      <c r="E9" s="4246"/>
      <c r="F9" s="4246"/>
      <c r="G9" s="4246"/>
      <c r="H9" s="4246"/>
      <c r="I9" s="3503"/>
      <c r="J9" s="3862" t="s">
        <v>4802</v>
      </c>
    </row>
    <row r="10" spans="1:10" x14ac:dyDescent="0.25">
      <c r="B10" s="3518" t="s">
        <v>509</v>
      </c>
      <c r="C10" s="3519" t="s">
        <v>1815</v>
      </c>
      <c r="D10" s="3519" t="s">
        <v>1815</v>
      </c>
      <c r="E10" s="3519" t="s">
        <v>1815</v>
      </c>
      <c r="F10" s="3519" t="s">
        <v>1815</v>
      </c>
      <c r="G10" s="3519" t="s">
        <v>1815</v>
      </c>
      <c r="H10" s="3520" t="s">
        <v>2780</v>
      </c>
      <c r="I10" s="3503"/>
      <c r="J10" s="3521" t="s">
        <v>4802</v>
      </c>
    </row>
    <row r="11" spans="1:10" x14ac:dyDescent="0.25">
      <c r="B11" s="3518" t="s">
        <v>1815</v>
      </c>
      <c r="C11" s="3519" t="s">
        <v>2056</v>
      </c>
      <c r="D11" s="3519" t="s">
        <v>1815</v>
      </c>
      <c r="E11" s="3519" t="s">
        <v>1815</v>
      </c>
      <c r="F11" s="3519" t="s">
        <v>1815</v>
      </c>
      <c r="G11" s="3519" t="s">
        <v>1815</v>
      </c>
      <c r="H11" s="3520" t="s">
        <v>3729</v>
      </c>
      <c r="I11" s="3503"/>
      <c r="J11" s="3521" t="s">
        <v>4802</v>
      </c>
    </row>
    <row r="12" spans="1:10" x14ac:dyDescent="0.25">
      <c r="B12" s="3518" t="s">
        <v>1815</v>
      </c>
      <c r="C12" s="3519" t="s">
        <v>1815</v>
      </c>
      <c r="D12" s="3519" t="s">
        <v>321</v>
      </c>
      <c r="E12" s="3519" t="s">
        <v>1815</v>
      </c>
      <c r="F12" s="3519" t="s">
        <v>1815</v>
      </c>
      <c r="G12" s="3519" t="s">
        <v>1815</v>
      </c>
      <c r="H12" s="3520" t="s">
        <v>3730</v>
      </c>
      <c r="I12" s="3503"/>
      <c r="J12" s="3521" t="s">
        <v>3731</v>
      </c>
    </row>
    <row r="13" spans="1:10" x14ac:dyDescent="0.25">
      <c r="B13" s="3518" t="s">
        <v>1815</v>
      </c>
      <c r="C13" s="3519" t="s">
        <v>1815</v>
      </c>
      <c r="D13" s="3519" t="s">
        <v>1815</v>
      </c>
      <c r="E13" s="3519" t="s">
        <v>323</v>
      </c>
      <c r="F13" s="3519" t="s">
        <v>1815</v>
      </c>
      <c r="G13" s="3519" t="s">
        <v>1815</v>
      </c>
      <c r="H13" s="3520" t="s">
        <v>3730</v>
      </c>
      <c r="I13" s="3503"/>
      <c r="J13" s="3521" t="s">
        <v>3731</v>
      </c>
    </row>
    <row r="14" spans="1:10" x14ac:dyDescent="0.25">
      <c r="B14" s="3518" t="s">
        <v>1815</v>
      </c>
      <c r="C14" s="3519" t="s">
        <v>1815</v>
      </c>
      <c r="D14" s="3519" t="s">
        <v>1815</v>
      </c>
      <c r="E14" s="3519" t="s">
        <v>1815</v>
      </c>
      <c r="F14" s="3519" t="s">
        <v>1853</v>
      </c>
      <c r="G14" s="3519" t="s">
        <v>1815</v>
      </c>
      <c r="H14" s="3520" t="s">
        <v>3732</v>
      </c>
      <c r="I14" s="3503"/>
      <c r="J14" s="3521" t="s">
        <v>3733</v>
      </c>
    </row>
    <row r="15" spans="1:10" x14ac:dyDescent="0.25">
      <c r="B15" s="3518" t="s">
        <v>1815</v>
      </c>
      <c r="C15" s="3519" t="s">
        <v>1815</v>
      </c>
      <c r="D15" s="3519" t="s">
        <v>1815</v>
      </c>
      <c r="E15" s="3519" t="s">
        <v>1815</v>
      </c>
      <c r="F15" s="3519" t="s">
        <v>1815</v>
      </c>
      <c r="G15" s="3519" t="s">
        <v>1854</v>
      </c>
      <c r="H15" s="3520" t="s">
        <v>3734</v>
      </c>
      <c r="I15" s="3503"/>
      <c r="J15" s="3521" t="s">
        <v>3735</v>
      </c>
    </row>
    <row r="16" spans="1:10" x14ac:dyDescent="0.25">
      <c r="B16" s="3518" t="s">
        <v>1815</v>
      </c>
      <c r="C16" s="3519" t="s">
        <v>1815</v>
      </c>
      <c r="D16" s="3519" t="s">
        <v>1815</v>
      </c>
      <c r="E16" s="3519" t="s">
        <v>1815</v>
      </c>
      <c r="F16" s="3519" t="s">
        <v>1815</v>
      </c>
      <c r="G16" s="3519" t="s">
        <v>1856</v>
      </c>
      <c r="H16" s="3520" t="s">
        <v>3736</v>
      </c>
      <c r="I16" s="3503"/>
      <c r="J16" s="3521" t="s">
        <v>3737</v>
      </c>
    </row>
    <row r="17" spans="2:10" x14ac:dyDescent="0.25">
      <c r="B17" s="3518" t="s">
        <v>1815</v>
      </c>
      <c r="C17" s="3519" t="s">
        <v>1815</v>
      </c>
      <c r="D17" s="3519" t="s">
        <v>1815</v>
      </c>
      <c r="E17" s="3519" t="s">
        <v>1815</v>
      </c>
      <c r="F17" s="3519" t="s">
        <v>2057</v>
      </c>
      <c r="G17" s="3519" t="s">
        <v>1815</v>
      </c>
      <c r="H17" s="3520" t="s">
        <v>3738</v>
      </c>
      <c r="I17" s="3503"/>
      <c r="J17" s="3521" t="s">
        <v>3739</v>
      </c>
    </row>
    <row r="18" spans="2:10" x14ac:dyDescent="0.25">
      <c r="B18" s="3518" t="s">
        <v>1815</v>
      </c>
      <c r="C18" s="3519" t="s">
        <v>1815</v>
      </c>
      <c r="D18" s="3519" t="s">
        <v>1815</v>
      </c>
      <c r="E18" s="3519" t="s">
        <v>1815</v>
      </c>
      <c r="F18" s="3519" t="s">
        <v>1815</v>
      </c>
      <c r="G18" s="3519" t="s">
        <v>2058</v>
      </c>
      <c r="H18" s="3520" t="s">
        <v>3740</v>
      </c>
      <c r="I18" s="3503"/>
      <c r="J18" s="3521" t="s">
        <v>3741</v>
      </c>
    </row>
    <row r="19" spans="2:10" x14ac:dyDescent="0.25">
      <c r="B19" s="3518" t="s">
        <v>1815</v>
      </c>
      <c r="C19" s="3519" t="s">
        <v>1815</v>
      </c>
      <c r="D19" s="3519" t="s">
        <v>1815</v>
      </c>
      <c r="E19" s="3519" t="s">
        <v>1815</v>
      </c>
      <c r="F19" s="3519" t="s">
        <v>1815</v>
      </c>
      <c r="G19" s="3519" t="s">
        <v>2059</v>
      </c>
      <c r="H19" s="3520" t="s">
        <v>951</v>
      </c>
      <c r="I19" s="3503"/>
      <c r="J19" s="3521" t="s">
        <v>3742</v>
      </c>
    </row>
    <row r="20" spans="2:10" x14ac:dyDescent="0.25">
      <c r="B20" s="3518" t="s">
        <v>1815</v>
      </c>
      <c r="C20" s="3519" t="s">
        <v>1815</v>
      </c>
      <c r="D20" s="3519" t="s">
        <v>1815</v>
      </c>
      <c r="E20" s="3519" t="s">
        <v>1815</v>
      </c>
      <c r="F20" s="3519" t="s">
        <v>1874</v>
      </c>
      <c r="G20" s="3519" t="s">
        <v>1815</v>
      </c>
      <c r="H20" s="3520" t="s">
        <v>3743</v>
      </c>
      <c r="I20" s="3503"/>
      <c r="J20" s="3521" t="s">
        <v>3744</v>
      </c>
    </row>
    <row r="21" spans="2:10" x14ac:dyDescent="0.25">
      <c r="B21" s="3518" t="s">
        <v>1815</v>
      </c>
      <c r="C21" s="3519" t="s">
        <v>1815</v>
      </c>
      <c r="D21" s="3519" t="s">
        <v>1815</v>
      </c>
      <c r="E21" s="3519" t="s">
        <v>1815</v>
      </c>
      <c r="F21" s="3519" t="s">
        <v>1815</v>
      </c>
      <c r="G21" s="3519" t="s">
        <v>1875</v>
      </c>
      <c r="H21" s="3520" t="s">
        <v>3745</v>
      </c>
      <c r="I21" s="3503"/>
      <c r="J21" s="3521" t="s">
        <v>3746</v>
      </c>
    </row>
    <row r="22" spans="2:10" x14ac:dyDescent="0.25">
      <c r="B22" s="3518" t="s">
        <v>1815</v>
      </c>
      <c r="C22" s="3519" t="s">
        <v>1815</v>
      </c>
      <c r="D22" s="3519" t="s">
        <v>1815</v>
      </c>
      <c r="E22" s="3519" t="s">
        <v>1815</v>
      </c>
      <c r="F22" s="3519" t="s">
        <v>1815</v>
      </c>
      <c r="G22" s="3519" t="s">
        <v>1877</v>
      </c>
      <c r="H22" s="3520" t="s">
        <v>3747</v>
      </c>
      <c r="I22" s="3503"/>
      <c r="J22" s="3521" t="s">
        <v>3748</v>
      </c>
    </row>
    <row r="23" spans="2:10" x14ac:dyDescent="0.25">
      <c r="B23" s="3518" t="s">
        <v>1815</v>
      </c>
      <c r="C23" s="3519" t="s">
        <v>1815</v>
      </c>
      <c r="D23" s="3519" t="s">
        <v>1815</v>
      </c>
      <c r="E23" s="3519" t="s">
        <v>1815</v>
      </c>
      <c r="F23" s="3519" t="s">
        <v>1885</v>
      </c>
      <c r="G23" s="3519" t="s">
        <v>1815</v>
      </c>
      <c r="H23" s="3520" t="s">
        <v>3749</v>
      </c>
      <c r="I23" s="3503"/>
      <c r="J23" s="3521" t="s">
        <v>3750</v>
      </c>
    </row>
    <row r="24" spans="2:10" x14ac:dyDescent="0.25">
      <c r="B24" s="3518" t="s">
        <v>1815</v>
      </c>
      <c r="C24" s="3519" t="s">
        <v>1815</v>
      </c>
      <c r="D24" s="3519" t="s">
        <v>1815</v>
      </c>
      <c r="E24" s="3519" t="s">
        <v>1815</v>
      </c>
      <c r="F24" s="3519" t="s">
        <v>1815</v>
      </c>
      <c r="G24" s="3519" t="s">
        <v>1887</v>
      </c>
      <c r="H24" s="3520" t="s">
        <v>3751</v>
      </c>
      <c r="I24" s="3503"/>
      <c r="J24" s="3521" t="s">
        <v>3750</v>
      </c>
    </row>
    <row r="25" spans="2:10" x14ac:dyDescent="0.25">
      <c r="B25" s="3518" t="s">
        <v>1815</v>
      </c>
      <c r="C25" s="3519" t="s">
        <v>1815</v>
      </c>
      <c r="D25" s="3519" t="s">
        <v>1815</v>
      </c>
      <c r="E25" s="3519" t="s">
        <v>1815</v>
      </c>
      <c r="F25" s="3519" t="s">
        <v>1906</v>
      </c>
      <c r="G25" s="3519" t="s">
        <v>1815</v>
      </c>
      <c r="H25" s="3520" t="s">
        <v>3752</v>
      </c>
      <c r="I25" s="3503"/>
      <c r="J25" s="3521" t="s">
        <v>3753</v>
      </c>
    </row>
    <row r="26" spans="2:10" x14ac:dyDescent="0.25">
      <c r="B26" s="3518" t="s">
        <v>1815</v>
      </c>
      <c r="C26" s="3519" t="s">
        <v>1815</v>
      </c>
      <c r="D26" s="3519" t="s">
        <v>1815</v>
      </c>
      <c r="E26" s="3519" t="s">
        <v>1815</v>
      </c>
      <c r="F26" s="3519" t="s">
        <v>1815</v>
      </c>
      <c r="G26" s="3519" t="s">
        <v>1909</v>
      </c>
      <c r="H26" s="3520" t="s">
        <v>951</v>
      </c>
      <c r="I26" s="3503"/>
      <c r="J26" s="3521" t="s">
        <v>3753</v>
      </c>
    </row>
    <row r="27" spans="2:10" x14ac:dyDescent="0.25">
      <c r="B27" s="3518" t="s">
        <v>1815</v>
      </c>
      <c r="C27" s="3519" t="s">
        <v>1815</v>
      </c>
      <c r="D27" s="3519" t="s">
        <v>1815</v>
      </c>
      <c r="E27" s="3519" t="s">
        <v>1815</v>
      </c>
      <c r="F27" s="3519" t="s">
        <v>1912</v>
      </c>
      <c r="G27" s="3519" t="s">
        <v>1815</v>
      </c>
      <c r="H27" s="3520" t="s">
        <v>951</v>
      </c>
      <c r="I27" s="3503"/>
      <c r="J27" s="3521" t="s">
        <v>3754</v>
      </c>
    </row>
    <row r="28" spans="2:10" x14ac:dyDescent="0.25">
      <c r="B28" s="3518" t="s">
        <v>1815</v>
      </c>
      <c r="C28" s="3519" t="s">
        <v>1815</v>
      </c>
      <c r="D28" s="3519" t="s">
        <v>1815</v>
      </c>
      <c r="E28" s="3519" t="s">
        <v>1815</v>
      </c>
      <c r="F28" s="3519" t="s">
        <v>1815</v>
      </c>
      <c r="G28" s="3519" t="s">
        <v>1915</v>
      </c>
      <c r="H28" s="3520" t="s">
        <v>3755</v>
      </c>
      <c r="I28" s="3503"/>
      <c r="J28" s="3521" t="s">
        <v>3756</v>
      </c>
    </row>
    <row r="29" spans="2:10" x14ac:dyDescent="0.25">
      <c r="B29" s="3518" t="s">
        <v>1815</v>
      </c>
      <c r="C29" s="3519" t="s">
        <v>1815</v>
      </c>
      <c r="D29" s="3519" t="s">
        <v>1815</v>
      </c>
      <c r="E29" s="3519" t="s">
        <v>1815</v>
      </c>
      <c r="F29" s="3519" t="s">
        <v>1815</v>
      </c>
      <c r="G29" s="3519" t="s">
        <v>1916</v>
      </c>
      <c r="H29" s="3520" t="s">
        <v>3757</v>
      </c>
      <c r="I29" s="3503"/>
      <c r="J29" s="3521" t="s">
        <v>3758</v>
      </c>
    </row>
    <row r="30" spans="2:10" x14ac:dyDescent="0.25">
      <c r="B30" s="3518" t="s">
        <v>1815</v>
      </c>
      <c r="C30" s="3519" t="s">
        <v>1815</v>
      </c>
      <c r="D30" s="3519" t="s">
        <v>2003</v>
      </c>
      <c r="E30" s="3519" t="s">
        <v>1815</v>
      </c>
      <c r="F30" s="3519" t="s">
        <v>1815</v>
      </c>
      <c r="G30" s="3519" t="s">
        <v>1815</v>
      </c>
      <c r="H30" s="3520" t="s">
        <v>3759</v>
      </c>
      <c r="I30" s="3503"/>
      <c r="J30" s="3521" t="s">
        <v>3760</v>
      </c>
    </row>
    <row r="31" spans="2:10" x14ac:dyDescent="0.25">
      <c r="B31" s="3518" t="s">
        <v>1815</v>
      </c>
      <c r="C31" s="3519" t="s">
        <v>1815</v>
      </c>
      <c r="D31" s="3519" t="s">
        <v>1815</v>
      </c>
      <c r="E31" s="3519" t="s">
        <v>2004</v>
      </c>
      <c r="F31" s="3519" t="s">
        <v>1815</v>
      </c>
      <c r="G31" s="3519" t="s">
        <v>1815</v>
      </c>
      <c r="H31" s="3520" t="s">
        <v>3759</v>
      </c>
      <c r="I31" s="3503"/>
      <c r="J31" s="3521" t="s">
        <v>3760</v>
      </c>
    </row>
    <row r="32" spans="2:10" x14ac:dyDescent="0.25">
      <c r="B32" s="3518" t="s">
        <v>1815</v>
      </c>
      <c r="C32" s="3519" t="s">
        <v>1815</v>
      </c>
      <c r="D32" s="3519" t="s">
        <v>1815</v>
      </c>
      <c r="E32" s="3519" t="s">
        <v>1815</v>
      </c>
      <c r="F32" s="3519" t="s">
        <v>2057</v>
      </c>
      <c r="G32" s="3519" t="s">
        <v>1815</v>
      </c>
      <c r="H32" s="3520" t="s">
        <v>3738</v>
      </c>
      <c r="I32" s="3503"/>
      <c r="J32" s="3521" t="s">
        <v>3761</v>
      </c>
    </row>
    <row r="33" spans="2:10" x14ac:dyDescent="0.25">
      <c r="B33" s="3518" t="s">
        <v>1815</v>
      </c>
      <c r="C33" s="3519" t="s">
        <v>1815</v>
      </c>
      <c r="D33" s="3519" t="s">
        <v>1815</v>
      </c>
      <c r="E33" s="3519" t="s">
        <v>1815</v>
      </c>
      <c r="F33" s="3519" t="s">
        <v>1815</v>
      </c>
      <c r="G33" s="3519" t="s">
        <v>2058</v>
      </c>
      <c r="H33" s="3520" t="s">
        <v>3740</v>
      </c>
      <c r="I33" s="3503"/>
      <c r="J33" s="3521" t="s">
        <v>3761</v>
      </c>
    </row>
    <row r="34" spans="2:10" x14ac:dyDescent="0.25">
      <c r="B34" s="3518" t="s">
        <v>1815</v>
      </c>
      <c r="C34" s="3519" t="s">
        <v>1815</v>
      </c>
      <c r="D34" s="3519" t="s">
        <v>1815</v>
      </c>
      <c r="E34" s="3519" t="s">
        <v>1815</v>
      </c>
      <c r="F34" s="3519" t="s">
        <v>1906</v>
      </c>
      <c r="G34" s="3519" t="s">
        <v>1815</v>
      </c>
      <c r="H34" s="3520" t="s">
        <v>3752</v>
      </c>
      <c r="I34" s="3503"/>
      <c r="J34" s="3521" t="s">
        <v>3762</v>
      </c>
    </row>
    <row r="35" spans="2:10" x14ac:dyDescent="0.25">
      <c r="B35" s="3518" t="s">
        <v>1815</v>
      </c>
      <c r="C35" s="3519" t="s">
        <v>1815</v>
      </c>
      <c r="D35" s="3519" t="s">
        <v>1815</v>
      </c>
      <c r="E35" s="3519" t="s">
        <v>1815</v>
      </c>
      <c r="F35" s="3519" t="s">
        <v>1815</v>
      </c>
      <c r="G35" s="3519" t="s">
        <v>1907</v>
      </c>
      <c r="H35" s="3520" t="s">
        <v>3763</v>
      </c>
      <c r="I35" s="3503"/>
      <c r="J35" s="3521" t="s">
        <v>3764</v>
      </c>
    </row>
    <row r="36" spans="2:10" x14ac:dyDescent="0.25">
      <c r="B36" s="3518" t="s">
        <v>1815</v>
      </c>
      <c r="C36" s="3519" t="s">
        <v>1815</v>
      </c>
      <c r="D36" s="3519" t="s">
        <v>1815</v>
      </c>
      <c r="E36" s="3519" t="s">
        <v>1815</v>
      </c>
      <c r="F36" s="3519" t="s">
        <v>1815</v>
      </c>
      <c r="G36" s="3519" t="s">
        <v>1909</v>
      </c>
      <c r="H36" s="3520" t="s">
        <v>951</v>
      </c>
      <c r="I36" s="3503"/>
      <c r="J36" s="3521" t="s">
        <v>3765</v>
      </c>
    </row>
    <row r="37" spans="2:10" x14ac:dyDescent="0.25">
      <c r="B37" s="3518" t="s">
        <v>1815</v>
      </c>
      <c r="C37" s="3519" t="s">
        <v>1815</v>
      </c>
      <c r="D37" s="3519" t="s">
        <v>1815</v>
      </c>
      <c r="E37" s="3519" t="s">
        <v>1815</v>
      </c>
      <c r="F37" s="3519" t="s">
        <v>1912</v>
      </c>
      <c r="G37" s="3519" t="s">
        <v>1815</v>
      </c>
      <c r="H37" s="3520" t="s">
        <v>951</v>
      </c>
      <c r="I37" s="3503"/>
      <c r="J37" s="3521" t="s">
        <v>3766</v>
      </c>
    </row>
    <row r="38" spans="2:10" x14ac:dyDescent="0.25">
      <c r="B38" s="3518" t="s">
        <v>1815</v>
      </c>
      <c r="C38" s="3519" t="s">
        <v>1815</v>
      </c>
      <c r="D38" s="3519" t="s">
        <v>1815</v>
      </c>
      <c r="E38" s="3519" t="s">
        <v>1815</v>
      </c>
      <c r="F38" s="3519" t="s">
        <v>1815</v>
      </c>
      <c r="G38" s="3519" t="s">
        <v>1916</v>
      </c>
      <c r="H38" s="3520" t="s">
        <v>3757</v>
      </c>
      <c r="I38" s="3503"/>
      <c r="J38" s="3521" t="s">
        <v>3766</v>
      </c>
    </row>
    <row r="39" spans="2:10" x14ac:dyDescent="0.25">
      <c r="B39" s="3518" t="s">
        <v>1815</v>
      </c>
      <c r="C39" s="3519" t="s">
        <v>1815</v>
      </c>
      <c r="D39" s="3519" t="s">
        <v>1933</v>
      </c>
      <c r="E39" s="3519" t="s">
        <v>1815</v>
      </c>
      <c r="F39" s="3519" t="s">
        <v>1815</v>
      </c>
      <c r="G39" s="3519" t="s">
        <v>1815</v>
      </c>
      <c r="H39" s="3520" t="s">
        <v>3767</v>
      </c>
      <c r="I39" s="3503"/>
      <c r="J39" s="3521" t="s">
        <v>3768</v>
      </c>
    </row>
    <row r="40" spans="2:10" x14ac:dyDescent="0.25">
      <c r="B40" s="3518" t="s">
        <v>1815</v>
      </c>
      <c r="C40" s="3519" t="s">
        <v>1815</v>
      </c>
      <c r="D40" s="3519" t="s">
        <v>1815</v>
      </c>
      <c r="E40" s="3519" t="s">
        <v>1934</v>
      </c>
      <c r="F40" s="3519" t="s">
        <v>1815</v>
      </c>
      <c r="G40" s="3519" t="s">
        <v>1815</v>
      </c>
      <c r="H40" s="3520" t="s">
        <v>3769</v>
      </c>
      <c r="I40" s="3503"/>
      <c r="J40" s="3521" t="s">
        <v>3770</v>
      </c>
    </row>
    <row r="41" spans="2:10" x14ac:dyDescent="0.25">
      <c r="B41" s="3518" t="s">
        <v>1815</v>
      </c>
      <c r="C41" s="3519" t="s">
        <v>1815</v>
      </c>
      <c r="D41" s="3519" t="s">
        <v>1815</v>
      </c>
      <c r="E41" s="3519" t="s">
        <v>1815</v>
      </c>
      <c r="F41" s="3519" t="s">
        <v>1848</v>
      </c>
      <c r="G41" s="3519" t="s">
        <v>1815</v>
      </c>
      <c r="H41" s="3520" t="s">
        <v>3771</v>
      </c>
      <c r="I41" s="3503"/>
      <c r="J41" s="3521" t="s">
        <v>3772</v>
      </c>
    </row>
    <row r="42" spans="2:10" x14ac:dyDescent="0.25">
      <c r="B42" s="3518" t="s">
        <v>1815</v>
      </c>
      <c r="C42" s="3519" t="s">
        <v>1815</v>
      </c>
      <c r="D42" s="3519" t="s">
        <v>1815</v>
      </c>
      <c r="E42" s="3519" t="s">
        <v>1815</v>
      </c>
      <c r="F42" s="3519" t="s">
        <v>1815</v>
      </c>
      <c r="G42" s="3519" t="s">
        <v>1849</v>
      </c>
      <c r="H42" s="3520" t="s">
        <v>3773</v>
      </c>
      <c r="I42" s="3503"/>
      <c r="J42" s="3521" t="s">
        <v>3772</v>
      </c>
    </row>
    <row r="43" spans="2:10" ht="30" x14ac:dyDescent="0.25">
      <c r="B43" s="3518" t="s">
        <v>1815</v>
      </c>
      <c r="C43" s="3519" t="s">
        <v>1815</v>
      </c>
      <c r="D43" s="3519" t="s">
        <v>1815</v>
      </c>
      <c r="E43" s="3519" t="s">
        <v>1815</v>
      </c>
      <c r="F43" s="3519" t="s">
        <v>1851</v>
      </c>
      <c r="G43" s="3519" t="s">
        <v>1815</v>
      </c>
      <c r="H43" s="3520" t="s">
        <v>3774</v>
      </c>
      <c r="I43" s="3503"/>
      <c r="J43" s="3521" t="s">
        <v>3775</v>
      </c>
    </row>
    <row r="44" spans="2:10" ht="30" x14ac:dyDescent="0.25">
      <c r="B44" s="3518" t="s">
        <v>1815</v>
      </c>
      <c r="C44" s="3519" t="s">
        <v>1815</v>
      </c>
      <c r="D44" s="3519" t="s">
        <v>1815</v>
      </c>
      <c r="E44" s="3519" t="s">
        <v>1815</v>
      </c>
      <c r="F44" s="3519" t="s">
        <v>1815</v>
      </c>
      <c r="G44" s="3519" t="s">
        <v>1852</v>
      </c>
      <c r="H44" s="3520" t="s">
        <v>3774</v>
      </c>
      <c r="I44" s="3503"/>
      <c r="J44" s="3521" t="s">
        <v>3775</v>
      </c>
    </row>
    <row r="45" spans="2:10" x14ac:dyDescent="0.25">
      <c r="B45" s="3518" t="s">
        <v>1815</v>
      </c>
      <c r="C45" s="3519" t="s">
        <v>1815</v>
      </c>
      <c r="D45" s="3519" t="s">
        <v>1815</v>
      </c>
      <c r="E45" s="3519" t="s">
        <v>1815</v>
      </c>
      <c r="F45" s="3519" t="s">
        <v>1853</v>
      </c>
      <c r="G45" s="3519" t="s">
        <v>1815</v>
      </c>
      <c r="H45" s="3520" t="s">
        <v>3732</v>
      </c>
      <c r="I45" s="3503"/>
      <c r="J45" s="3521" t="s">
        <v>3776</v>
      </c>
    </row>
    <row r="46" spans="2:10" x14ac:dyDescent="0.25">
      <c r="B46" s="3518" t="s">
        <v>1815</v>
      </c>
      <c r="C46" s="3519" t="s">
        <v>1815</v>
      </c>
      <c r="D46" s="3519" t="s">
        <v>1815</v>
      </c>
      <c r="E46" s="3519" t="s">
        <v>1815</v>
      </c>
      <c r="F46" s="3519" t="s">
        <v>1815</v>
      </c>
      <c r="G46" s="3519" t="s">
        <v>1854</v>
      </c>
      <c r="H46" s="3520" t="s">
        <v>3734</v>
      </c>
      <c r="I46" s="3503"/>
      <c r="J46" s="3521" t="s">
        <v>3777</v>
      </c>
    </row>
    <row r="47" spans="2:10" x14ac:dyDescent="0.25">
      <c r="B47" s="3518" t="s">
        <v>1815</v>
      </c>
      <c r="C47" s="3519" t="s">
        <v>1815</v>
      </c>
      <c r="D47" s="3519" t="s">
        <v>1815</v>
      </c>
      <c r="E47" s="3519" t="s">
        <v>1815</v>
      </c>
      <c r="F47" s="3519" t="s">
        <v>1815</v>
      </c>
      <c r="G47" s="3519" t="s">
        <v>1855</v>
      </c>
      <c r="H47" s="3520" t="s">
        <v>3778</v>
      </c>
      <c r="I47" s="3503"/>
      <c r="J47" s="3521" t="s">
        <v>3779</v>
      </c>
    </row>
    <row r="48" spans="2:10" x14ac:dyDescent="0.25">
      <c r="B48" s="3518" t="s">
        <v>1815</v>
      </c>
      <c r="C48" s="3519" t="s">
        <v>1815</v>
      </c>
      <c r="D48" s="3519" t="s">
        <v>1815</v>
      </c>
      <c r="E48" s="3519" t="s">
        <v>1815</v>
      </c>
      <c r="F48" s="3519" t="s">
        <v>1815</v>
      </c>
      <c r="G48" s="3519" t="s">
        <v>1935</v>
      </c>
      <c r="H48" s="3520" t="s">
        <v>3780</v>
      </c>
      <c r="I48" s="3503"/>
      <c r="J48" s="3521" t="s">
        <v>3781</v>
      </c>
    </row>
    <row r="49" spans="2:10" x14ac:dyDescent="0.25">
      <c r="B49" s="3518" t="s">
        <v>1815</v>
      </c>
      <c r="C49" s="3519" t="s">
        <v>1815</v>
      </c>
      <c r="D49" s="3519" t="s">
        <v>1815</v>
      </c>
      <c r="E49" s="3519" t="s">
        <v>1815</v>
      </c>
      <c r="F49" s="3519" t="s">
        <v>1815</v>
      </c>
      <c r="G49" s="3519" t="s">
        <v>1856</v>
      </c>
      <c r="H49" s="3520" t="s">
        <v>3736</v>
      </c>
      <c r="I49" s="3503"/>
      <c r="J49" s="3521" t="s">
        <v>3782</v>
      </c>
    </row>
    <row r="50" spans="2:10" x14ac:dyDescent="0.25">
      <c r="B50" s="3518" t="s">
        <v>1815</v>
      </c>
      <c r="C50" s="3519" t="s">
        <v>1815</v>
      </c>
      <c r="D50" s="3519" t="s">
        <v>1815</v>
      </c>
      <c r="E50" s="3519" t="s">
        <v>1815</v>
      </c>
      <c r="F50" s="3519" t="s">
        <v>1815</v>
      </c>
      <c r="G50" s="3519" t="s">
        <v>1937</v>
      </c>
      <c r="H50" s="3520" t="s">
        <v>3783</v>
      </c>
      <c r="I50" s="3503"/>
      <c r="J50" s="3521" t="s">
        <v>3784</v>
      </c>
    </row>
    <row r="51" spans="2:10" ht="30" x14ac:dyDescent="0.25">
      <c r="B51" s="3518" t="s">
        <v>1815</v>
      </c>
      <c r="C51" s="3519" t="s">
        <v>1815</v>
      </c>
      <c r="D51" s="3519" t="s">
        <v>1815</v>
      </c>
      <c r="E51" s="3519" t="s">
        <v>1815</v>
      </c>
      <c r="F51" s="3519" t="s">
        <v>1815</v>
      </c>
      <c r="G51" s="3519" t="s">
        <v>1929</v>
      </c>
      <c r="H51" s="3520" t="s">
        <v>3785</v>
      </c>
      <c r="I51" s="3503"/>
      <c r="J51" s="3521" t="s">
        <v>3786</v>
      </c>
    </row>
    <row r="52" spans="2:10" ht="30" x14ac:dyDescent="0.25">
      <c r="B52" s="3518" t="s">
        <v>1815</v>
      </c>
      <c r="C52" s="3519" t="s">
        <v>1815</v>
      </c>
      <c r="D52" s="3519" t="s">
        <v>1815</v>
      </c>
      <c r="E52" s="3519" t="s">
        <v>1815</v>
      </c>
      <c r="F52" s="3519" t="s">
        <v>1815</v>
      </c>
      <c r="G52" s="3519" t="s">
        <v>1938</v>
      </c>
      <c r="H52" s="3520" t="s">
        <v>3787</v>
      </c>
      <c r="I52" s="3503"/>
      <c r="J52" s="3521" t="s">
        <v>3788</v>
      </c>
    </row>
    <row r="53" spans="2:10" x14ac:dyDescent="0.25">
      <c r="B53" s="3518" t="s">
        <v>1815</v>
      </c>
      <c r="C53" s="3519" t="s">
        <v>1815</v>
      </c>
      <c r="D53" s="3519" t="s">
        <v>1815</v>
      </c>
      <c r="E53" s="3519" t="s">
        <v>1815</v>
      </c>
      <c r="F53" s="3519" t="s">
        <v>1815</v>
      </c>
      <c r="G53" s="3519" t="s">
        <v>1939</v>
      </c>
      <c r="H53" s="3520" t="s">
        <v>3789</v>
      </c>
      <c r="I53" s="3503"/>
      <c r="J53" s="3521" t="s">
        <v>3790</v>
      </c>
    </row>
    <row r="54" spans="2:10" ht="30" x14ac:dyDescent="0.25">
      <c r="B54" s="3518" t="s">
        <v>1815</v>
      </c>
      <c r="C54" s="3519" t="s">
        <v>1815</v>
      </c>
      <c r="D54" s="3519" t="s">
        <v>1815</v>
      </c>
      <c r="E54" s="3519" t="s">
        <v>1815</v>
      </c>
      <c r="F54" s="3519" t="s">
        <v>1940</v>
      </c>
      <c r="G54" s="3519" t="s">
        <v>1815</v>
      </c>
      <c r="H54" s="3520" t="s">
        <v>3791</v>
      </c>
      <c r="I54" s="3503"/>
      <c r="J54" s="3521" t="s">
        <v>3792</v>
      </c>
    </row>
    <row r="55" spans="2:10" x14ac:dyDescent="0.25">
      <c r="B55" s="3518" t="s">
        <v>1815</v>
      </c>
      <c r="C55" s="3519" t="s">
        <v>1815</v>
      </c>
      <c r="D55" s="3519" t="s">
        <v>1815</v>
      </c>
      <c r="E55" s="3519" t="s">
        <v>1815</v>
      </c>
      <c r="F55" s="3519" t="s">
        <v>1815</v>
      </c>
      <c r="G55" s="3519" t="s">
        <v>1942</v>
      </c>
      <c r="H55" s="3520" t="s">
        <v>3793</v>
      </c>
      <c r="I55" s="3503"/>
      <c r="J55" s="3521" t="s">
        <v>3794</v>
      </c>
    </row>
    <row r="56" spans="2:10" x14ac:dyDescent="0.25">
      <c r="B56" s="3518" t="s">
        <v>1815</v>
      </c>
      <c r="C56" s="3519" t="s">
        <v>1815</v>
      </c>
      <c r="D56" s="3519" t="s">
        <v>1815</v>
      </c>
      <c r="E56" s="3519" t="s">
        <v>1815</v>
      </c>
      <c r="F56" s="3519" t="s">
        <v>1815</v>
      </c>
      <c r="G56" s="3519" t="s">
        <v>1967</v>
      </c>
      <c r="H56" s="3520" t="s">
        <v>3795</v>
      </c>
      <c r="I56" s="3503"/>
      <c r="J56" s="3521" t="s">
        <v>3750</v>
      </c>
    </row>
    <row r="57" spans="2:10" x14ac:dyDescent="0.25">
      <c r="B57" s="3518" t="s">
        <v>1815</v>
      </c>
      <c r="C57" s="3519" t="s">
        <v>1815</v>
      </c>
      <c r="D57" s="3519" t="s">
        <v>1815</v>
      </c>
      <c r="E57" s="3519" t="s">
        <v>1815</v>
      </c>
      <c r="F57" s="3519" t="s">
        <v>1860</v>
      </c>
      <c r="G57" s="3519" t="s">
        <v>1815</v>
      </c>
      <c r="H57" s="3520" t="s">
        <v>3796</v>
      </c>
      <c r="I57" s="3503"/>
      <c r="J57" s="3521" t="s">
        <v>3797</v>
      </c>
    </row>
    <row r="58" spans="2:10" x14ac:dyDescent="0.25">
      <c r="B58" s="3518" t="s">
        <v>1815</v>
      </c>
      <c r="C58" s="3519" t="s">
        <v>1815</v>
      </c>
      <c r="D58" s="3519" t="s">
        <v>1815</v>
      </c>
      <c r="E58" s="3519" t="s">
        <v>1815</v>
      </c>
      <c r="F58" s="3519" t="s">
        <v>1815</v>
      </c>
      <c r="G58" s="3519" t="s">
        <v>1861</v>
      </c>
      <c r="H58" s="3520" t="s">
        <v>3798</v>
      </c>
      <c r="I58" s="3503"/>
      <c r="J58" s="3521" t="s">
        <v>3797</v>
      </c>
    </row>
    <row r="59" spans="2:10" x14ac:dyDescent="0.25">
      <c r="B59" s="3518" t="s">
        <v>1815</v>
      </c>
      <c r="C59" s="3519" t="s">
        <v>1815</v>
      </c>
      <c r="D59" s="3519" t="s">
        <v>1815</v>
      </c>
      <c r="E59" s="3519" t="s">
        <v>1815</v>
      </c>
      <c r="F59" s="3519" t="s">
        <v>1943</v>
      </c>
      <c r="G59" s="3519" t="s">
        <v>1815</v>
      </c>
      <c r="H59" s="3520" t="s">
        <v>3799</v>
      </c>
      <c r="I59" s="3503"/>
      <c r="J59" s="3521" t="s">
        <v>3800</v>
      </c>
    </row>
    <row r="60" spans="2:10" x14ac:dyDescent="0.25">
      <c r="B60" s="3518" t="s">
        <v>1815</v>
      </c>
      <c r="C60" s="3519" t="s">
        <v>1815</v>
      </c>
      <c r="D60" s="3519" t="s">
        <v>1815</v>
      </c>
      <c r="E60" s="3519" t="s">
        <v>1815</v>
      </c>
      <c r="F60" s="3519" t="s">
        <v>1815</v>
      </c>
      <c r="G60" s="3519" t="s">
        <v>1980</v>
      </c>
      <c r="H60" s="3520" t="s">
        <v>951</v>
      </c>
      <c r="I60" s="3503"/>
      <c r="J60" s="3521" t="s">
        <v>3800</v>
      </c>
    </row>
    <row r="61" spans="2:10" x14ac:dyDescent="0.25">
      <c r="B61" s="3518" t="s">
        <v>1815</v>
      </c>
      <c r="C61" s="3519" t="s">
        <v>1815</v>
      </c>
      <c r="D61" s="3519" t="s">
        <v>1815</v>
      </c>
      <c r="E61" s="3519" t="s">
        <v>1815</v>
      </c>
      <c r="F61" s="3519" t="s">
        <v>1862</v>
      </c>
      <c r="G61" s="3519" t="s">
        <v>1815</v>
      </c>
      <c r="H61" s="3520" t="s">
        <v>3801</v>
      </c>
      <c r="I61" s="3503"/>
      <c r="J61" s="3521" t="s">
        <v>3802</v>
      </c>
    </row>
    <row r="62" spans="2:10" x14ac:dyDescent="0.25">
      <c r="B62" s="3518" t="s">
        <v>1815</v>
      </c>
      <c r="C62" s="3519" t="s">
        <v>1815</v>
      </c>
      <c r="D62" s="3519" t="s">
        <v>1815</v>
      </c>
      <c r="E62" s="3519" t="s">
        <v>1815</v>
      </c>
      <c r="F62" s="3519" t="s">
        <v>1815</v>
      </c>
      <c r="G62" s="3519" t="s">
        <v>1863</v>
      </c>
      <c r="H62" s="3520" t="s">
        <v>3803</v>
      </c>
      <c r="I62" s="3503"/>
      <c r="J62" s="3521" t="s">
        <v>3804</v>
      </c>
    </row>
    <row r="63" spans="2:10" x14ac:dyDescent="0.25">
      <c r="B63" s="3518" t="s">
        <v>1815</v>
      </c>
      <c r="C63" s="3519" t="s">
        <v>1815</v>
      </c>
      <c r="D63" s="3519" t="s">
        <v>1815</v>
      </c>
      <c r="E63" s="3519" t="s">
        <v>1815</v>
      </c>
      <c r="F63" s="3519" t="s">
        <v>1815</v>
      </c>
      <c r="G63" s="3519" t="s">
        <v>1864</v>
      </c>
      <c r="H63" s="3520" t="s">
        <v>3805</v>
      </c>
      <c r="I63" s="3503"/>
      <c r="J63" s="3521" t="s">
        <v>3806</v>
      </c>
    </row>
    <row r="64" spans="2:10" x14ac:dyDescent="0.25">
      <c r="B64" s="3518" t="s">
        <v>1815</v>
      </c>
      <c r="C64" s="3519" t="s">
        <v>1815</v>
      </c>
      <c r="D64" s="3519" t="s">
        <v>1815</v>
      </c>
      <c r="E64" s="3519" t="s">
        <v>1815</v>
      </c>
      <c r="F64" s="3519" t="s">
        <v>1815</v>
      </c>
      <c r="G64" s="3519" t="s">
        <v>1865</v>
      </c>
      <c r="H64" s="3520" t="s">
        <v>3807</v>
      </c>
      <c r="I64" s="3503"/>
      <c r="J64" s="3521" t="s">
        <v>3808</v>
      </c>
    </row>
    <row r="65" spans="2:10" x14ac:dyDescent="0.25">
      <c r="B65" s="3518" t="s">
        <v>1815</v>
      </c>
      <c r="C65" s="3519" t="s">
        <v>1815</v>
      </c>
      <c r="D65" s="3519" t="s">
        <v>1815</v>
      </c>
      <c r="E65" s="3519" t="s">
        <v>1815</v>
      </c>
      <c r="F65" s="3519" t="s">
        <v>1815</v>
      </c>
      <c r="G65" s="3519" t="s">
        <v>1866</v>
      </c>
      <c r="H65" s="3520" t="s">
        <v>3809</v>
      </c>
      <c r="I65" s="3503"/>
      <c r="J65" s="3521" t="s">
        <v>3810</v>
      </c>
    </row>
    <row r="66" spans="2:10" x14ac:dyDescent="0.25">
      <c r="B66" s="3518" t="s">
        <v>1815</v>
      </c>
      <c r="C66" s="3519" t="s">
        <v>1815</v>
      </c>
      <c r="D66" s="3519" t="s">
        <v>1815</v>
      </c>
      <c r="E66" s="3519" t="s">
        <v>1815</v>
      </c>
      <c r="F66" s="3519" t="s">
        <v>1867</v>
      </c>
      <c r="G66" s="3519" t="s">
        <v>1815</v>
      </c>
      <c r="H66" s="3520" t="s">
        <v>3811</v>
      </c>
      <c r="I66" s="3503"/>
      <c r="J66" s="3521" t="s">
        <v>3812</v>
      </c>
    </row>
    <row r="67" spans="2:10" x14ac:dyDescent="0.25">
      <c r="B67" s="3518" t="s">
        <v>1815</v>
      </c>
      <c r="C67" s="3519" t="s">
        <v>1815</v>
      </c>
      <c r="D67" s="3519" t="s">
        <v>1815</v>
      </c>
      <c r="E67" s="3519" t="s">
        <v>1815</v>
      </c>
      <c r="F67" s="3519" t="s">
        <v>1815</v>
      </c>
      <c r="G67" s="3519" t="s">
        <v>1946</v>
      </c>
      <c r="H67" s="3520" t="s">
        <v>3813</v>
      </c>
      <c r="I67" s="3503"/>
      <c r="J67" s="3521" t="s">
        <v>3814</v>
      </c>
    </row>
    <row r="68" spans="2:10" ht="30" x14ac:dyDescent="0.25">
      <c r="B68" s="3518" t="s">
        <v>1815</v>
      </c>
      <c r="C68" s="3519" t="s">
        <v>1815</v>
      </c>
      <c r="D68" s="3519" t="s">
        <v>1815</v>
      </c>
      <c r="E68" s="3519" t="s">
        <v>1815</v>
      </c>
      <c r="F68" s="3519" t="s">
        <v>1815</v>
      </c>
      <c r="G68" s="3519" t="s">
        <v>1868</v>
      </c>
      <c r="H68" s="3520" t="s">
        <v>3815</v>
      </c>
      <c r="I68" s="3503"/>
      <c r="J68" s="3521" t="s">
        <v>3816</v>
      </c>
    </row>
    <row r="69" spans="2:10" x14ac:dyDescent="0.25">
      <c r="B69" s="3518" t="s">
        <v>1815</v>
      </c>
      <c r="C69" s="3519" t="s">
        <v>1815</v>
      </c>
      <c r="D69" s="3519" t="s">
        <v>1815</v>
      </c>
      <c r="E69" s="3519" t="s">
        <v>1815</v>
      </c>
      <c r="F69" s="3519" t="s">
        <v>1869</v>
      </c>
      <c r="G69" s="3519" t="s">
        <v>1815</v>
      </c>
      <c r="H69" s="3520" t="s">
        <v>3817</v>
      </c>
      <c r="I69" s="3503"/>
      <c r="J69" s="3521" t="s">
        <v>3818</v>
      </c>
    </row>
    <row r="70" spans="2:10" x14ac:dyDescent="0.25">
      <c r="B70" s="3518" t="s">
        <v>1815</v>
      </c>
      <c r="C70" s="3519" t="s">
        <v>1815</v>
      </c>
      <c r="D70" s="3519" t="s">
        <v>1815</v>
      </c>
      <c r="E70" s="3519" t="s">
        <v>1815</v>
      </c>
      <c r="F70" s="3519" t="s">
        <v>1815</v>
      </c>
      <c r="G70" s="3519" t="s">
        <v>1870</v>
      </c>
      <c r="H70" s="3520" t="s">
        <v>3819</v>
      </c>
      <c r="I70" s="3503"/>
      <c r="J70" s="3521" t="s">
        <v>3820</v>
      </c>
    </row>
    <row r="71" spans="2:10" x14ac:dyDescent="0.25">
      <c r="B71" s="3518" t="s">
        <v>1815</v>
      </c>
      <c r="C71" s="3519" t="s">
        <v>1815</v>
      </c>
      <c r="D71" s="3519" t="s">
        <v>1815</v>
      </c>
      <c r="E71" s="3519" t="s">
        <v>1815</v>
      </c>
      <c r="F71" s="3519" t="s">
        <v>1815</v>
      </c>
      <c r="G71" s="3519" t="s">
        <v>1871</v>
      </c>
      <c r="H71" s="3520" t="s">
        <v>3821</v>
      </c>
      <c r="I71" s="3503"/>
      <c r="J71" s="3521" t="s">
        <v>3822</v>
      </c>
    </row>
    <row r="72" spans="2:10" x14ac:dyDescent="0.25">
      <c r="B72" s="3518" t="s">
        <v>1815</v>
      </c>
      <c r="C72" s="3519" t="s">
        <v>1815</v>
      </c>
      <c r="D72" s="3519" t="s">
        <v>1815</v>
      </c>
      <c r="E72" s="3519" t="s">
        <v>1815</v>
      </c>
      <c r="F72" s="3519" t="s">
        <v>1815</v>
      </c>
      <c r="G72" s="3519" t="s">
        <v>3823</v>
      </c>
      <c r="H72" s="3520" t="s">
        <v>3824</v>
      </c>
      <c r="I72" s="3503"/>
      <c r="J72" s="3521" t="s">
        <v>3825</v>
      </c>
    </row>
    <row r="73" spans="2:10" x14ac:dyDescent="0.25">
      <c r="B73" s="3518" t="s">
        <v>1815</v>
      </c>
      <c r="C73" s="3519" t="s">
        <v>1815</v>
      </c>
      <c r="D73" s="3519" t="s">
        <v>1815</v>
      </c>
      <c r="E73" s="3519" t="s">
        <v>1815</v>
      </c>
      <c r="F73" s="3519" t="s">
        <v>1874</v>
      </c>
      <c r="G73" s="3519" t="s">
        <v>1815</v>
      </c>
      <c r="H73" s="3520" t="s">
        <v>3743</v>
      </c>
      <c r="I73" s="3503"/>
      <c r="J73" s="3521" t="s">
        <v>3826</v>
      </c>
    </row>
    <row r="74" spans="2:10" x14ac:dyDescent="0.25">
      <c r="B74" s="3518" t="s">
        <v>1815</v>
      </c>
      <c r="C74" s="3519" t="s">
        <v>1815</v>
      </c>
      <c r="D74" s="3519" t="s">
        <v>1815</v>
      </c>
      <c r="E74" s="3519" t="s">
        <v>1815</v>
      </c>
      <c r="F74" s="3519" t="s">
        <v>1815</v>
      </c>
      <c r="G74" s="3519" t="s">
        <v>1875</v>
      </c>
      <c r="H74" s="3520" t="s">
        <v>3745</v>
      </c>
      <c r="I74" s="3503"/>
      <c r="J74" s="3521" t="s">
        <v>3827</v>
      </c>
    </row>
    <row r="75" spans="2:10" x14ac:dyDescent="0.25">
      <c r="B75" s="3518" t="s">
        <v>1815</v>
      </c>
      <c r="C75" s="3519" t="s">
        <v>1815</v>
      </c>
      <c r="D75" s="3519" t="s">
        <v>1815</v>
      </c>
      <c r="E75" s="3519" t="s">
        <v>1815</v>
      </c>
      <c r="F75" s="3519" t="s">
        <v>1815</v>
      </c>
      <c r="G75" s="3519" t="s">
        <v>1876</v>
      </c>
      <c r="H75" s="3520" t="s">
        <v>3828</v>
      </c>
      <c r="I75" s="3503"/>
      <c r="J75" s="3521" t="s">
        <v>3829</v>
      </c>
    </row>
    <row r="76" spans="2:10" x14ac:dyDescent="0.25">
      <c r="B76" s="3518" t="s">
        <v>1815</v>
      </c>
      <c r="C76" s="3519" t="s">
        <v>1815</v>
      </c>
      <c r="D76" s="3519" t="s">
        <v>1815</v>
      </c>
      <c r="E76" s="3519" t="s">
        <v>1815</v>
      </c>
      <c r="F76" s="3519" t="s">
        <v>1815</v>
      </c>
      <c r="G76" s="3519" t="s">
        <v>2062</v>
      </c>
      <c r="H76" s="3520" t="s">
        <v>3830</v>
      </c>
      <c r="I76" s="3503"/>
      <c r="J76" s="3521" t="s">
        <v>3831</v>
      </c>
    </row>
    <row r="77" spans="2:10" x14ac:dyDescent="0.25">
      <c r="B77" s="3518" t="s">
        <v>1815</v>
      </c>
      <c r="C77" s="3519" t="s">
        <v>1815</v>
      </c>
      <c r="D77" s="3519" t="s">
        <v>1815</v>
      </c>
      <c r="E77" s="3519" t="s">
        <v>1815</v>
      </c>
      <c r="F77" s="3519" t="s">
        <v>1815</v>
      </c>
      <c r="G77" s="3519" t="s">
        <v>1877</v>
      </c>
      <c r="H77" s="3520" t="s">
        <v>3747</v>
      </c>
      <c r="I77" s="3503"/>
      <c r="J77" s="3521" t="s">
        <v>3832</v>
      </c>
    </row>
    <row r="78" spans="2:10" x14ac:dyDescent="0.25">
      <c r="B78" s="3518" t="s">
        <v>1815</v>
      </c>
      <c r="C78" s="3519" t="s">
        <v>1815</v>
      </c>
      <c r="D78" s="3519" t="s">
        <v>1815</v>
      </c>
      <c r="E78" s="3519" t="s">
        <v>1815</v>
      </c>
      <c r="F78" s="3519" t="s">
        <v>1878</v>
      </c>
      <c r="G78" s="3519" t="s">
        <v>1815</v>
      </c>
      <c r="H78" s="3520" t="s">
        <v>3833</v>
      </c>
      <c r="I78" s="3503"/>
      <c r="J78" s="3521" t="s">
        <v>3834</v>
      </c>
    </row>
    <row r="79" spans="2:10" ht="30" x14ac:dyDescent="0.25">
      <c r="B79" s="3518" t="s">
        <v>1815</v>
      </c>
      <c r="C79" s="3519" t="s">
        <v>1815</v>
      </c>
      <c r="D79" s="3519" t="s">
        <v>1815</v>
      </c>
      <c r="E79" s="3519" t="s">
        <v>1815</v>
      </c>
      <c r="F79" s="3519" t="s">
        <v>1815</v>
      </c>
      <c r="G79" s="3519" t="s">
        <v>1879</v>
      </c>
      <c r="H79" s="3520" t="s">
        <v>3835</v>
      </c>
      <c r="I79" s="3503"/>
      <c r="J79" s="3521" t="s">
        <v>3836</v>
      </c>
    </row>
    <row r="80" spans="2:10" ht="30" x14ac:dyDescent="0.25">
      <c r="B80" s="3518" t="s">
        <v>1815</v>
      </c>
      <c r="C80" s="3519" t="s">
        <v>1815</v>
      </c>
      <c r="D80" s="3519" t="s">
        <v>1815</v>
      </c>
      <c r="E80" s="3519" t="s">
        <v>1815</v>
      </c>
      <c r="F80" s="3519" t="s">
        <v>1815</v>
      </c>
      <c r="G80" s="3519" t="s">
        <v>1881</v>
      </c>
      <c r="H80" s="3520" t="s">
        <v>3837</v>
      </c>
      <c r="I80" s="3503"/>
      <c r="J80" s="3521" t="s">
        <v>3838</v>
      </c>
    </row>
    <row r="81" spans="2:10" x14ac:dyDescent="0.25">
      <c r="B81" s="3518" t="s">
        <v>1815</v>
      </c>
      <c r="C81" s="3519" t="s">
        <v>1815</v>
      </c>
      <c r="D81" s="3519" t="s">
        <v>1815</v>
      </c>
      <c r="E81" s="3519" t="s">
        <v>1815</v>
      </c>
      <c r="F81" s="3519" t="s">
        <v>1815</v>
      </c>
      <c r="G81" s="3519" t="s">
        <v>1882</v>
      </c>
      <c r="H81" s="3520" t="s">
        <v>3839</v>
      </c>
      <c r="I81" s="3503"/>
      <c r="J81" s="3521" t="s">
        <v>3840</v>
      </c>
    </row>
    <row r="82" spans="2:10" ht="30" x14ac:dyDescent="0.25">
      <c r="B82" s="3518" t="s">
        <v>1815</v>
      </c>
      <c r="C82" s="3519" t="s">
        <v>1815</v>
      </c>
      <c r="D82" s="3519" t="s">
        <v>1815</v>
      </c>
      <c r="E82" s="3519" t="s">
        <v>1815</v>
      </c>
      <c r="F82" s="3519" t="s">
        <v>1815</v>
      </c>
      <c r="G82" s="3519" t="s">
        <v>1883</v>
      </c>
      <c r="H82" s="3520" t="s">
        <v>3841</v>
      </c>
      <c r="I82" s="3503"/>
      <c r="J82" s="3521" t="s">
        <v>3842</v>
      </c>
    </row>
    <row r="83" spans="2:10" x14ac:dyDescent="0.25">
      <c r="B83" s="3518" t="s">
        <v>1815</v>
      </c>
      <c r="C83" s="3519" t="s">
        <v>1815</v>
      </c>
      <c r="D83" s="3519" t="s">
        <v>1815</v>
      </c>
      <c r="E83" s="3519" t="s">
        <v>1815</v>
      </c>
      <c r="F83" s="3519" t="s">
        <v>1815</v>
      </c>
      <c r="G83" s="3519" t="s">
        <v>1949</v>
      </c>
      <c r="H83" s="3520" t="s">
        <v>2863</v>
      </c>
      <c r="I83" s="3503"/>
      <c r="J83" s="3521" t="s">
        <v>3843</v>
      </c>
    </row>
    <row r="84" spans="2:10" x14ac:dyDescent="0.25">
      <c r="B84" s="3518" t="s">
        <v>1815</v>
      </c>
      <c r="C84" s="3519" t="s">
        <v>1815</v>
      </c>
      <c r="D84" s="3519" t="s">
        <v>1815</v>
      </c>
      <c r="E84" s="3519" t="s">
        <v>1815</v>
      </c>
      <c r="F84" s="3519" t="s">
        <v>1889</v>
      </c>
      <c r="G84" s="3519" t="s">
        <v>1815</v>
      </c>
      <c r="H84" s="3520" t="s">
        <v>3844</v>
      </c>
      <c r="I84" s="3503"/>
      <c r="J84" s="3521" t="s">
        <v>3845</v>
      </c>
    </row>
    <row r="85" spans="2:10" x14ac:dyDescent="0.25">
      <c r="B85" s="3518" t="s">
        <v>1815</v>
      </c>
      <c r="C85" s="3519" t="s">
        <v>1815</v>
      </c>
      <c r="D85" s="3519" t="s">
        <v>1815</v>
      </c>
      <c r="E85" s="3519" t="s">
        <v>1815</v>
      </c>
      <c r="F85" s="3519" t="s">
        <v>1815</v>
      </c>
      <c r="G85" s="3519" t="s">
        <v>1921</v>
      </c>
      <c r="H85" s="3520" t="s">
        <v>3846</v>
      </c>
      <c r="I85" s="3503"/>
      <c r="J85" s="3521" t="s">
        <v>3847</v>
      </c>
    </row>
    <row r="86" spans="2:10" x14ac:dyDescent="0.25">
      <c r="B86" s="3518" t="s">
        <v>1815</v>
      </c>
      <c r="C86" s="3519" t="s">
        <v>1815</v>
      </c>
      <c r="D86" s="3519" t="s">
        <v>1815</v>
      </c>
      <c r="E86" s="3519" t="s">
        <v>1815</v>
      </c>
      <c r="F86" s="3519" t="s">
        <v>1815</v>
      </c>
      <c r="G86" s="3519" t="s">
        <v>1890</v>
      </c>
      <c r="H86" s="3520" t="s">
        <v>3848</v>
      </c>
      <c r="I86" s="3503"/>
      <c r="J86" s="3521" t="s">
        <v>3849</v>
      </c>
    </row>
    <row r="87" spans="2:10" x14ac:dyDescent="0.25">
      <c r="B87" s="3518" t="s">
        <v>1815</v>
      </c>
      <c r="C87" s="3519" t="s">
        <v>1815</v>
      </c>
      <c r="D87" s="3519" t="s">
        <v>1815</v>
      </c>
      <c r="E87" s="3519" t="s">
        <v>1815</v>
      </c>
      <c r="F87" s="3519" t="s">
        <v>1815</v>
      </c>
      <c r="G87" s="3519" t="s">
        <v>1891</v>
      </c>
      <c r="H87" s="3520" t="s">
        <v>3850</v>
      </c>
      <c r="I87" s="3503"/>
      <c r="J87" s="3521" t="s">
        <v>3851</v>
      </c>
    </row>
    <row r="88" spans="2:10" x14ac:dyDescent="0.25">
      <c r="B88" s="3518" t="s">
        <v>1815</v>
      </c>
      <c r="C88" s="3519" t="s">
        <v>1815</v>
      </c>
      <c r="D88" s="3519" t="s">
        <v>1815</v>
      </c>
      <c r="E88" s="3519" t="s">
        <v>1815</v>
      </c>
      <c r="F88" s="3519" t="s">
        <v>1815</v>
      </c>
      <c r="G88" s="3519" t="s">
        <v>1892</v>
      </c>
      <c r="H88" s="3520" t="s">
        <v>3852</v>
      </c>
      <c r="I88" s="3503"/>
      <c r="J88" s="3521" t="s">
        <v>3800</v>
      </c>
    </row>
    <row r="89" spans="2:10" x14ac:dyDescent="0.25">
      <c r="B89" s="3518" t="s">
        <v>1815</v>
      </c>
      <c r="C89" s="3519" t="s">
        <v>1815</v>
      </c>
      <c r="D89" s="3519" t="s">
        <v>1815</v>
      </c>
      <c r="E89" s="3519" t="s">
        <v>1815</v>
      </c>
      <c r="F89" s="3519" t="s">
        <v>1893</v>
      </c>
      <c r="G89" s="3519" t="s">
        <v>1815</v>
      </c>
      <c r="H89" s="3520" t="s">
        <v>3853</v>
      </c>
      <c r="I89" s="3503"/>
      <c r="J89" s="3521" t="s">
        <v>3854</v>
      </c>
    </row>
    <row r="90" spans="2:10" x14ac:dyDescent="0.25">
      <c r="B90" s="3518" t="s">
        <v>1815</v>
      </c>
      <c r="C90" s="3519" t="s">
        <v>1815</v>
      </c>
      <c r="D90" s="3519" t="s">
        <v>1815</v>
      </c>
      <c r="E90" s="3519" t="s">
        <v>1815</v>
      </c>
      <c r="F90" s="3519" t="s">
        <v>1815</v>
      </c>
      <c r="G90" s="3519" t="s">
        <v>1894</v>
      </c>
      <c r="H90" s="3520" t="s">
        <v>3855</v>
      </c>
      <c r="I90" s="3503"/>
      <c r="J90" s="3521" t="s">
        <v>3856</v>
      </c>
    </row>
    <row r="91" spans="2:10" x14ac:dyDescent="0.25">
      <c r="B91" s="3518" t="s">
        <v>1815</v>
      </c>
      <c r="C91" s="3519" t="s">
        <v>1815</v>
      </c>
      <c r="D91" s="3519" t="s">
        <v>1815</v>
      </c>
      <c r="E91" s="3519" t="s">
        <v>1815</v>
      </c>
      <c r="F91" s="3519" t="s">
        <v>1815</v>
      </c>
      <c r="G91" s="3519" t="s">
        <v>1981</v>
      </c>
      <c r="H91" s="3520" t="s">
        <v>3857</v>
      </c>
      <c r="I91" s="3503"/>
      <c r="J91" s="3521" t="s">
        <v>3858</v>
      </c>
    </row>
    <row r="92" spans="2:10" x14ac:dyDescent="0.25">
      <c r="B92" s="3518" t="s">
        <v>1815</v>
      </c>
      <c r="C92" s="3519" t="s">
        <v>1815</v>
      </c>
      <c r="D92" s="3519" t="s">
        <v>1815</v>
      </c>
      <c r="E92" s="3519" t="s">
        <v>1815</v>
      </c>
      <c r="F92" s="3519" t="s">
        <v>1815</v>
      </c>
      <c r="G92" s="3519" t="s">
        <v>2051</v>
      </c>
      <c r="H92" s="3520" t="s">
        <v>3859</v>
      </c>
      <c r="I92" s="3503"/>
      <c r="J92" s="3521" t="s">
        <v>3860</v>
      </c>
    </row>
    <row r="93" spans="2:10" x14ac:dyDescent="0.25">
      <c r="B93" s="3518" t="s">
        <v>1815</v>
      </c>
      <c r="C93" s="3519" t="s">
        <v>1815</v>
      </c>
      <c r="D93" s="3519" t="s">
        <v>1815</v>
      </c>
      <c r="E93" s="3519" t="s">
        <v>1815</v>
      </c>
      <c r="F93" s="3519" t="s">
        <v>1815</v>
      </c>
      <c r="G93" s="3519" t="s">
        <v>1895</v>
      </c>
      <c r="H93" s="3520" t="s">
        <v>3861</v>
      </c>
      <c r="I93" s="3503"/>
      <c r="J93" s="3521" t="s">
        <v>3862</v>
      </c>
    </row>
    <row r="94" spans="2:10" ht="30" x14ac:dyDescent="0.25">
      <c r="B94" s="3518" t="s">
        <v>1815</v>
      </c>
      <c r="C94" s="3519" t="s">
        <v>1815</v>
      </c>
      <c r="D94" s="3519" t="s">
        <v>1815</v>
      </c>
      <c r="E94" s="3519" t="s">
        <v>1815</v>
      </c>
      <c r="F94" s="3519" t="s">
        <v>1896</v>
      </c>
      <c r="G94" s="3519" t="s">
        <v>1815</v>
      </c>
      <c r="H94" s="3520" t="s">
        <v>3863</v>
      </c>
      <c r="I94" s="3503"/>
      <c r="J94" s="3521" t="s">
        <v>3864</v>
      </c>
    </row>
    <row r="95" spans="2:10" x14ac:dyDescent="0.25">
      <c r="B95" s="3518" t="s">
        <v>1815</v>
      </c>
      <c r="C95" s="3519" t="s">
        <v>1815</v>
      </c>
      <c r="D95" s="3519" t="s">
        <v>1815</v>
      </c>
      <c r="E95" s="3519" t="s">
        <v>1815</v>
      </c>
      <c r="F95" s="3519" t="s">
        <v>1815</v>
      </c>
      <c r="G95" s="3519" t="s">
        <v>1900</v>
      </c>
      <c r="H95" s="3520" t="s">
        <v>3865</v>
      </c>
      <c r="I95" s="3503"/>
      <c r="J95" s="3521" t="s">
        <v>3866</v>
      </c>
    </row>
    <row r="96" spans="2:10" x14ac:dyDescent="0.25">
      <c r="B96" s="3518" t="s">
        <v>1815</v>
      </c>
      <c r="C96" s="3519" t="s">
        <v>1815</v>
      </c>
      <c r="D96" s="3519" t="s">
        <v>1815</v>
      </c>
      <c r="E96" s="3519" t="s">
        <v>1815</v>
      </c>
      <c r="F96" s="3519" t="s">
        <v>1815</v>
      </c>
      <c r="G96" s="3519" t="s">
        <v>1901</v>
      </c>
      <c r="H96" s="3520" t="s">
        <v>3867</v>
      </c>
      <c r="I96" s="3503"/>
      <c r="J96" s="3521" t="s">
        <v>3868</v>
      </c>
    </row>
    <row r="97" spans="2:10" x14ac:dyDescent="0.25">
      <c r="B97" s="3518" t="s">
        <v>1815</v>
      </c>
      <c r="C97" s="3519" t="s">
        <v>1815</v>
      </c>
      <c r="D97" s="3519" t="s">
        <v>1815</v>
      </c>
      <c r="E97" s="3519" t="s">
        <v>1815</v>
      </c>
      <c r="F97" s="3519" t="s">
        <v>1815</v>
      </c>
      <c r="G97" s="3519" t="s">
        <v>1928</v>
      </c>
      <c r="H97" s="3520" t="s">
        <v>3869</v>
      </c>
      <c r="I97" s="3503"/>
      <c r="J97" s="3521" t="s">
        <v>3870</v>
      </c>
    </row>
    <row r="98" spans="2:10" x14ac:dyDescent="0.25">
      <c r="B98" s="3518" t="s">
        <v>1815</v>
      </c>
      <c r="C98" s="3519" t="s">
        <v>1815</v>
      </c>
      <c r="D98" s="3519" t="s">
        <v>1815</v>
      </c>
      <c r="E98" s="3519" t="s">
        <v>1815</v>
      </c>
      <c r="F98" s="3519" t="s">
        <v>1815</v>
      </c>
      <c r="G98" s="3519" t="s">
        <v>1902</v>
      </c>
      <c r="H98" s="3520" t="s">
        <v>3871</v>
      </c>
      <c r="I98" s="3503"/>
      <c r="J98" s="3521" t="s">
        <v>3872</v>
      </c>
    </row>
    <row r="99" spans="2:10" x14ac:dyDescent="0.25">
      <c r="B99" s="3518" t="s">
        <v>1815</v>
      </c>
      <c r="C99" s="3519" t="s">
        <v>1815</v>
      </c>
      <c r="D99" s="3519" t="s">
        <v>1815</v>
      </c>
      <c r="E99" s="3519" t="s">
        <v>1815</v>
      </c>
      <c r="F99" s="3519" t="s">
        <v>1903</v>
      </c>
      <c r="G99" s="3519" t="s">
        <v>1815</v>
      </c>
      <c r="H99" s="3520" t="s">
        <v>3873</v>
      </c>
      <c r="I99" s="3503"/>
      <c r="J99" s="3521" t="s">
        <v>3874</v>
      </c>
    </row>
    <row r="100" spans="2:10" x14ac:dyDescent="0.25">
      <c r="B100" s="3518" t="s">
        <v>1815</v>
      </c>
      <c r="C100" s="3519" t="s">
        <v>1815</v>
      </c>
      <c r="D100" s="3519" t="s">
        <v>1815</v>
      </c>
      <c r="E100" s="3519" t="s">
        <v>1815</v>
      </c>
      <c r="F100" s="3519" t="s">
        <v>1815</v>
      </c>
      <c r="G100" s="3519" t="s">
        <v>2771</v>
      </c>
      <c r="H100" s="3520" t="s">
        <v>3875</v>
      </c>
      <c r="I100" s="3503"/>
      <c r="J100" s="3521" t="s">
        <v>3876</v>
      </c>
    </row>
    <row r="101" spans="2:10" x14ac:dyDescent="0.25">
      <c r="B101" s="3518" t="s">
        <v>1815</v>
      </c>
      <c r="C101" s="3519" t="s">
        <v>1815</v>
      </c>
      <c r="D101" s="3519" t="s">
        <v>1815</v>
      </c>
      <c r="E101" s="3519" t="s">
        <v>1815</v>
      </c>
      <c r="F101" s="3519" t="s">
        <v>1815</v>
      </c>
      <c r="G101" s="3519" t="s">
        <v>1950</v>
      </c>
      <c r="H101" s="3520" t="s">
        <v>3867</v>
      </c>
      <c r="I101" s="3503"/>
      <c r="J101" s="3521" t="s">
        <v>3877</v>
      </c>
    </row>
    <row r="102" spans="2:10" x14ac:dyDescent="0.25">
      <c r="B102" s="3518" t="s">
        <v>1815</v>
      </c>
      <c r="C102" s="3519" t="s">
        <v>1815</v>
      </c>
      <c r="D102" s="3519" t="s">
        <v>1815</v>
      </c>
      <c r="E102" s="3519" t="s">
        <v>1815</v>
      </c>
      <c r="F102" s="3519" t="s">
        <v>1906</v>
      </c>
      <c r="G102" s="3519" t="s">
        <v>1815</v>
      </c>
      <c r="H102" s="3520" t="s">
        <v>3752</v>
      </c>
      <c r="I102" s="3503"/>
      <c r="J102" s="3521" t="s">
        <v>3878</v>
      </c>
    </row>
    <row r="103" spans="2:10" x14ac:dyDescent="0.25">
      <c r="B103" s="3518" t="s">
        <v>1815</v>
      </c>
      <c r="C103" s="3519" t="s">
        <v>1815</v>
      </c>
      <c r="D103" s="3519" t="s">
        <v>1815</v>
      </c>
      <c r="E103" s="3519" t="s">
        <v>1815</v>
      </c>
      <c r="F103" s="3519" t="s">
        <v>1815</v>
      </c>
      <c r="G103" s="3519" t="s">
        <v>1907</v>
      </c>
      <c r="H103" s="3520" t="s">
        <v>3763</v>
      </c>
      <c r="I103" s="3503"/>
      <c r="J103" s="3521" t="s">
        <v>3879</v>
      </c>
    </row>
    <row r="104" spans="2:10" x14ac:dyDescent="0.25">
      <c r="B104" s="3518" t="s">
        <v>1815</v>
      </c>
      <c r="C104" s="3519" t="s">
        <v>1815</v>
      </c>
      <c r="D104" s="3519" t="s">
        <v>1815</v>
      </c>
      <c r="E104" s="3519" t="s">
        <v>1815</v>
      </c>
      <c r="F104" s="3519" t="s">
        <v>1815</v>
      </c>
      <c r="G104" s="3519" t="s">
        <v>1978</v>
      </c>
      <c r="H104" s="3520" t="s">
        <v>3880</v>
      </c>
      <c r="I104" s="3503"/>
      <c r="J104" s="3521" t="s">
        <v>3881</v>
      </c>
    </row>
    <row r="105" spans="2:10" x14ac:dyDescent="0.25">
      <c r="B105" s="3518" t="s">
        <v>1815</v>
      </c>
      <c r="C105" s="3519" t="s">
        <v>1815</v>
      </c>
      <c r="D105" s="3519" t="s">
        <v>1815</v>
      </c>
      <c r="E105" s="3519" t="s">
        <v>1815</v>
      </c>
      <c r="F105" s="3519" t="s">
        <v>1815</v>
      </c>
      <c r="G105" s="3519" t="s">
        <v>1909</v>
      </c>
      <c r="H105" s="3520" t="s">
        <v>951</v>
      </c>
      <c r="I105" s="3503"/>
      <c r="J105" s="3521" t="s">
        <v>3882</v>
      </c>
    </row>
    <row r="106" spans="2:10" x14ac:dyDescent="0.25">
      <c r="B106" s="3518" t="s">
        <v>1815</v>
      </c>
      <c r="C106" s="3519" t="s">
        <v>1815</v>
      </c>
      <c r="D106" s="3519" t="s">
        <v>1815</v>
      </c>
      <c r="E106" s="3519" t="s">
        <v>1815</v>
      </c>
      <c r="F106" s="3519" t="s">
        <v>1912</v>
      </c>
      <c r="G106" s="3519" t="s">
        <v>1815</v>
      </c>
      <c r="H106" s="3520" t="s">
        <v>951</v>
      </c>
      <c r="I106" s="3503"/>
      <c r="J106" s="3521" t="s">
        <v>3883</v>
      </c>
    </row>
    <row r="107" spans="2:10" x14ac:dyDescent="0.25">
      <c r="B107" s="3518" t="s">
        <v>1815</v>
      </c>
      <c r="C107" s="3519" t="s">
        <v>1815</v>
      </c>
      <c r="D107" s="3519" t="s">
        <v>1815</v>
      </c>
      <c r="E107" s="3519" t="s">
        <v>1815</v>
      </c>
      <c r="F107" s="3519" t="s">
        <v>1815</v>
      </c>
      <c r="G107" s="3519" t="s">
        <v>1913</v>
      </c>
      <c r="H107" s="3520" t="s">
        <v>3884</v>
      </c>
      <c r="I107" s="3503"/>
      <c r="J107" s="3521" t="s">
        <v>3885</v>
      </c>
    </row>
    <row r="108" spans="2:10" x14ac:dyDescent="0.25">
      <c r="B108" s="3518" t="s">
        <v>1815</v>
      </c>
      <c r="C108" s="3519" t="s">
        <v>1815</v>
      </c>
      <c r="D108" s="3519" t="s">
        <v>1815</v>
      </c>
      <c r="E108" s="3519" t="s">
        <v>1815</v>
      </c>
      <c r="F108" s="3519" t="s">
        <v>1815</v>
      </c>
      <c r="G108" s="3519" t="s">
        <v>1914</v>
      </c>
      <c r="H108" s="3520" t="s">
        <v>3886</v>
      </c>
      <c r="I108" s="3503"/>
      <c r="J108" s="3521" t="s">
        <v>3887</v>
      </c>
    </row>
    <row r="109" spans="2:10" x14ac:dyDescent="0.25">
      <c r="B109" s="3518" t="s">
        <v>1815</v>
      </c>
      <c r="C109" s="3519" t="s">
        <v>1815</v>
      </c>
      <c r="D109" s="3519" t="s">
        <v>1815</v>
      </c>
      <c r="E109" s="3519" t="s">
        <v>1815</v>
      </c>
      <c r="F109" s="3519" t="s">
        <v>1815</v>
      </c>
      <c r="G109" s="3519" t="s">
        <v>1915</v>
      </c>
      <c r="H109" s="3520" t="s">
        <v>3755</v>
      </c>
      <c r="I109" s="3503"/>
      <c r="J109" s="3521" t="s">
        <v>3888</v>
      </c>
    </row>
    <row r="110" spans="2:10" ht="30" x14ac:dyDescent="0.25">
      <c r="B110" s="3518" t="s">
        <v>1815</v>
      </c>
      <c r="C110" s="3519" t="s">
        <v>1815</v>
      </c>
      <c r="D110" s="3519" t="s">
        <v>1815</v>
      </c>
      <c r="E110" s="3519" t="s">
        <v>1815</v>
      </c>
      <c r="F110" s="3519" t="s">
        <v>1815</v>
      </c>
      <c r="G110" s="3519" t="s">
        <v>1951</v>
      </c>
      <c r="H110" s="3520" t="s">
        <v>3889</v>
      </c>
      <c r="I110" s="3503"/>
      <c r="J110" s="3521" t="s">
        <v>3890</v>
      </c>
    </row>
    <row r="111" spans="2:10" x14ac:dyDescent="0.25">
      <c r="B111" s="3518" t="s">
        <v>1815</v>
      </c>
      <c r="C111" s="3519" t="s">
        <v>1815</v>
      </c>
      <c r="D111" s="3519" t="s">
        <v>1815</v>
      </c>
      <c r="E111" s="3519" t="s">
        <v>1815</v>
      </c>
      <c r="F111" s="3519" t="s">
        <v>1815</v>
      </c>
      <c r="G111" s="3519" t="s">
        <v>1916</v>
      </c>
      <c r="H111" s="3520" t="s">
        <v>3757</v>
      </c>
      <c r="I111" s="3503"/>
      <c r="J111" s="3521" t="s">
        <v>3891</v>
      </c>
    </row>
    <row r="112" spans="2:10" x14ac:dyDescent="0.25">
      <c r="B112" s="3518" t="s">
        <v>1815</v>
      </c>
      <c r="C112" s="3519" t="s">
        <v>1815</v>
      </c>
      <c r="D112" s="3519" t="s">
        <v>1815</v>
      </c>
      <c r="E112" s="3519" t="s">
        <v>1815</v>
      </c>
      <c r="F112" s="3519" t="s">
        <v>2024</v>
      </c>
      <c r="G112" s="3519" t="s">
        <v>1815</v>
      </c>
      <c r="H112" s="3520" t="s">
        <v>3892</v>
      </c>
      <c r="I112" s="3503"/>
      <c r="J112" s="3521" t="s">
        <v>3893</v>
      </c>
    </row>
    <row r="113" spans="2:10" ht="30" x14ac:dyDescent="0.25">
      <c r="B113" s="3518" t="s">
        <v>1815</v>
      </c>
      <c r="C113" s="3519" t="s">
        <v>1815</v>
      </c>
      <c r="D113" s="3519" t="s">
        <v>1815</v>
      </c>
      <c r="E113" s="3519" t="s">
        <v>1815</v>
      </c>
      <c r="F113" s="3519" t="s">
        <v>1815</v>
      </c>
      <c r="G113" s="3519" t="s">
        <v>2025</v>
      </c>
      <c r="H113" s="3520" t="s">
        <v>3894</v>
      </c>
      <c r="I113" s="3503"/>
      <c r="J113" s="3521" t="s">
        <v>3893</v>
      </c>
    </row>
    <row r="114" spans="2:10" x14ac:dyDescent="0.25">
      <c r="B114" s="3518" t="s">
        <v>1815</v>
      </c>
      <c r="C114" s="3519" t="s">
        <v>1815</v>
      </c>
      <c r="D114" s="3519" t="s">
        <v>1815</v>
      </c>
      <c r="E114" s="3519" t="s">
        <v>1815</v>
      </c>
      <c r="F114" s="3519" t="s">
        <v>2026</v>
      </c>
      <c r="G114" s="3519" t="s">
        <v>1815</v>
      </c>
      <c r="H114" s="3520" t="s">
        <v>3895</v>
      </c>
      <c r="I114" s="3503"/>
      <c r="J114" s="3521" t="s">
        <v>3896</v>
      </c>
    </row>
    <row r="115" spans="2:10" x14ac:dyDescent="0.25">
      <c r="B115" s="3518" t="s">
        <v>1815</v>
      </c>
      <c r="C115" s="3519" t="s">
        <v>1815</v>
      </c>
      <c r="D115" s="3519" t="s">
        <v>1815</v>
      </c>
      <c r="E115" s="3519" t="s">
        <v>1815</v>
      </c>
      <c r="F115" s="3519" t="s">
        <v>1815</v>
      </c>
      <c r="G115" s="3519" t="s">
        <v>2027</v>
      </c>
      <c r="H115" s="3520" t="s">
        <v>3897</v>
      </c>
      <c r="I115" s="3503"/>
      <c r="J115" s="3521" t="s">
        <v>3898</v>
      </c>
    </row>
    <row r="116" spans="2:10" x14ac:dyDescent="0.25">
      <c r="B116" s="3518" t="s">
        <v>1815</v>
      </c>
      <c r="C116" s="3519" t="s">
        <v>1815</v>
      </c>
      <c r="D116" s="3519" t="s">
        <v>1815</v>
      </c>
      <c r="E116" s="3519" t="s">
        <v>1815</v>
      </c>
      <c r="F116" s="3519" t="s">
        <v>1815</v>
      </c>
      <c r="G116" s="3519" t="s">
        <v>2028</v>
      </c>
      <c r="H116" s="3520" t="s">
        <v>3899</v>
      </c>
      <c r="I116" s="3503"/>
      <c r="J116" s="3521" t="s">
        <v>3900</v>
      </c>
    </row>
    <row r="117" spans="2:10" x14ac:dyDescent="0.25">
      <c r="B117" s="3518" t="s">
        <v>1815</v>
      </c>
      <c r="C117" s="3519" t="s">
        <v>1815</v>
      </c>
      <c r="D117" s="3519" t="s">
        <v>1815</v>
      </c>
      <c r="E117" s="3519" t="s">
        <v>1815</v>
      </c>
      <c r="F117" s="3519" t="s">
        <v>1815</v>
      </c>
      <c r="G117" s="3519" t="s">
        <v>2029</v>
      </c>
      <c r="H117" s="3520" t="s">
        <v>951</v>
      </c>
      <c r="I117" s="3503"/>
      <c r="J117" s="3521" t="s">
        <v>3901</v>
      </c>
    </row>
    <row r="118" spans="2:10" x14ac:dyDescent="0.25">
      <c r="B118" s="3518" t="s">
        <v>1815</v>
      </c>
      <c r="C118" s="3519" t="s">
        <v>1815</v>
      </c>
      <c r="D118" s="3519" t="s">
        <v>1815</v>
      </c>
      <c r="E118" s="3519" t="s">
        <v>1952</v>
      </c>
      <c r="F118" s="3519" t="s">
        <v>1815</v>
      </c>
      <c r="G118" s="3519" t="s">
        <v>1815</v>
      </c>
      <c r="H118" s="3520" t="s">
        <v>3902</v>
      </c>
      <c r="I118" s="3503"/>
      <c r="J118" s="3521" t="s">
        <v>3903</v>
      </c>
    </row>
    <row r="119" spans="2:10" x14ac:dyDescent="0.25">
      <c r="B119" s="3518" t="s">
        <v>1815</v>
      </c>
      <c r="C119" s="3519" t="s">
        <v>1815</v>
      </c>
      <c r="D119" s="3519" t="s">
        <v>1815</v>
      </c>
      <c r="E119" s="3519" t="s">
        <v>1815</v>
      </c>
      <c r="F119" s="3519" t="s">
        <v>1848</v>
      </c>
      <c r="G119" s="3519" t="s">
        <v>1815</v>
      </c>
      <c r="H119" s="3520" t="s">
        <v>3771</v>
      </c>
      <c r="I119" s="3503"/>
      <c r="J119" s="3521" t="s">
        <v>3904</v>
      </c>
    </row>
    <row r="120" spans="2:10" x14ac:dyDescent="0.25">
      <c r="B120" s="3518" t="s">
        <v>1815</v>
      </c>
      <c r="C120" s="3519" t="s">
        <v>1815</v>
      </c>
      <c r="D120" s="3519" t="s">
        <v>1815</v>
      </c>
      <c r="E120" s="3519" t="s">
        <v>1815</v>
      </c>
      <c r="F120" s="3519" t="s">
        <v>1815</v>
      </c>
      <c r="G120" s="3519" t="s">
        <v>1849</v>
      </c>
      <c r="H120" s="3520" t="s">
        <v>3773</v>
      </c>
      <c r="I120" s="3503"/>
      <c r="J120" s="3521" t="s">
        <v>3904</v>
      </c>
    </row>
    <row r="121" spans="2:10" ht="30" x14ac:dyDescent="0.25">
      <c r="B121" s="3518" t="s">
        <v>1815</v>
      </c>
      <c r="C121" s="3519" t="s">
        <v>1815</v>
      </c>
      <c r="D121" s="3519" t="s">
        <v>1815</v>
      </c>
      <c r="E121" s="3519" t="s">
        <v>1815</v>
      </c>
      <c r="F121" s="3519" t="s">
        <v>1851</v>
      </c>
      <c r="G121" s="3519" t="s">
        <v>1815</v>
      </c>
      <c r="H121" s="3520" t="s">
        <v>3774</v>
      </c>
      <c r="I121" s="3503"/>
      <c r="J121" s="3521" t="s">
        <v>3905</v>
      </c>
    </row>
    <row r="122" spans="2:10" ht="30" x14ac:dyDescent="0.25">
      <c r="B122" s="3518" t="s">
        <v>1815</v>
      </c>
      <c r="C122" s="3519" t="s">
        <v>1815</v>
      </c>
      <c r="D122" s="3519" t="s">
        <v>1815</v>
      </c>
      <c r="E122" s="3519" t="s">
        <v>1815</v>
      </c>
      <c r="F122" s="3519" t="s">
        <v>1815</v>
      </c>
      <c r="G122" s="3519" t="s">
        <v>1852</v>
      </c>
      <c r="H122" s="3520" t="s">
        <v>3774</v>
      </c>
      <c r="I122" s="3503"/>
      <c r="J122" s="3521" t="s">
        <v>3905</v>
      </c>
    </row>
    <row r="123" spans="2:10" x14ac:dyDescent="0.25">
      <c r="B123" s="3518" t="s">
        <v>1815</v>
      </c>
      <c r="C123" s="3519" t="s">
        <v>1815</v>
      </c>
      <c r="D123" s="3519" t="s">
        <v>1815</v>
      </c>
      <c r="E123" s="3519" t="s">
        <v>1815</v>
      </c>
      <c r="F123" s="3519" t="s">
        <v>1853</v>
      </c>
      <c r="G123" s="3519" t="s">
        <v>1815</v>
      </c>
      <c r="H123" s="3520" t="s">
        <v>3732</v>
      </c>
      <c r="I123" s="3503"/>
      <c r="J123" s="3521" t="s">
        <v>3906</v>
      </c>
    </row>
    <row r="124" spans="2:10" x14ac:dyDescent="0.25">
      <c r="B124" s="3518" t="s">
        <v>1815</v>
      </c>
      <c r="C124" s="3519" t="s">
        <v>1815</v>
      </c>
      <c r="D124" s="3519" t="s">
        <v>1815</v>
      </c>
      <c r="E124" s="3519" t="s">
        <v>1815</v>
      </c>
      <c r="F124" s="3519" t="s">
        <v>1815</v>
      </c>
      <c r="G124" s="3519" t="s">
        <v>1854</v>
      </c>
      <c r="H124" s="3520" t="s">
        <v>3734</v>
      </c>
      <c r="I124" s="3503"/>
      <c r="J124" s="3521" t="s">
        <v>3907</v>
      </c>
    </row>
    <row r="125" spans="2:10" x14ac:dyDescent="0.25">
      <c r="B125" s="3518" t="s">
        <v>1815</v>
      </c>
      <c r="C125" s="3519" t="s">
        <v>1815</v>
      </c>
      <c r="D125" s="3519" t="s">
        <v>1815</v>
      </c>
      <c r="E125" s="3519" t="s">
        <v>1815</v>
      </c>
      <c r="F125" s="3519" t="s">
        <v>1815</v>
      </c>
      <c r="G125" s="3519" t="s">
        <v>1855</v>
      </c>
      <c r="H125" s="3520" t="s">
        <v>3778</v>
      </c>
      <c r="I125" s="3503"/>
      <c r="J125" s="3521" t="s">
        <v>3908</v>
      </c>
    </row>
    <row r="126" spans="2:10" x14ac:dyDescent="0.25">
      <c r="B126" s="3518" t="s">
        <v>1815</v>
      </c>
      <c r="C126" s="3519" t="s">
        <v>1815</v>
      </c>
      <c r="D126" s="3519" t="s">
        <v>1815</v>
      </c>
      <c r="E126" s="3519" t="s">
        <v>1815</v>
      </c>
      <c r="F126" s="3519" t="s">
        <v>1815</v>
      </c>
      <c r="G126" s="3519" t="s">
        <v>1935</v>
      </c>
      <c r="H126" s="3520" t="s">
        <v>3780</v>
      </c>
      <c r="I126" s="3503"/>
      <c r="J126" s="3521" t="s">
        <v>3909</v>
      </c>
    </row>
    <row r="127" spans="2:10" x14ac:dyDescent="0.25">
      <c r="B127" s="3518" t="s">
        <v>1815</v>
      </c>
      <c r="C127" s="3519" t="s">
        <v>1815</v>
      </c>
      <c r="D127" s="3519" t="s">
        <v>1815</v>
      </c>
      <c r="E127" s="3519" t="s">
        <v>1815</v>
      </c>
      <c r="F127" s="3519" t="s">
        <v>1815</v>
      </c>
      <c r="G127" s="3519" t="s">
        <v>1856</v>
      </c>
      <c r="H127" s="3520" t="s">
        <v>3736</v>
      </c>
      <c r="I127" s="3503"/>
      <c r="J127" s="3521" t="s">
        <v>3910</v>
      </c>
    </row>
    <row r="128" spans="2:10" x14ac:dyDescent="0.25">
      <c r="B128" s="3518" t="s">
        <v>1815</v>
      </c>
      <c r="C128" s="3519" t="s">
        <v>1815</v>
      </c>
      <c r="D128" s="3519" t="s">
        <v>1815</v>
      </c>
      <c r="E128" s="3519" t="s">
        <v>1815</v>
      </c>
      <c r="F128" s="3519" t="s">
        <v>1815</v>
      </c>
      <c r="G128" s="3519" t="s">
        <v>1937</v>
      </c>
      <c r="H128" s="3520" t="s">
        <v>3783</v>
      </c>
      <c r="I128" s="3503"/>
      <c r="J128" s="3521" t="s">
        <v>3911</v>
      </c>
    </row>
    <row r="129" spans="2:10" ht="30" x14ac:dyDescent="0.25">
      <c r="B129" s="3518" t="s">
        <v>1815</v>
      </c>
      <c r="C129" s="3519" t="s">
        <v>1815</v>
      </c>
      <c r="D129" s="3519" t="s">
        <v>1815</v>
      </c>
      <c r="E129" s="3519" t="s">
        <v>1815</v>
      </c>
      <c r="F129" s="3519" t="s">
        <v>1815</v>
      </c>
      <c r="G129" s="3519" t="s">
        <v>1929</v>
      </c>
      <c r="H129" s="3520" t="s">
        <v>3785</v>
      </c>
      <c r="I129" s="3503"/>
      <c r="J129" s="3521" t="s">
        <v>3912</v>
      </c>
    </row>
    <row r="130" spans="2:10" ht="30" x14ac:dyDescent="0.25">
      <c r="B130" s="3518" t="s">
        <v>1815</v>
      </c>
      <c r="C130" s="3519" t="s">
        <v>1815</v>
      </c>
      <c r="D130" s="3519" t="s">
        <v>1815</v>
      </c>
      <c r="E130" s="3519" t="s">
        <v>1815</v>
      </c>
      <c r="F130" s="3519" t="s">
        <v>1815</v>
      </c>
      <c r="G130" s="3519" t="s">
        <v>1938</v>
      </c>
      <c r="H130" s="3520" t="s">
        <v>3787</v>
      </c>
      <c r="I130" s="3503"/>
      <c r="J130" s="3521" t="s">
        <v>3913</v>
      </c>
    </row>
    <row r="131" spans="2:10" x14ac:dyDescent="0.25">
      <c r="B131" s="3518" t="s">
        <v>1815</v>
      </c>
      <c r="C131" s="3519" t="s">
        <v>1815</v>
      </c>
      <c r="D131" s="3519" t="s">
        <v>1815</v>
      </c>
      <c r="E131" s="3519" t="s">
        <v>1815</v>
      </c>
      <c r="F131" s="3519" t="s">
        <v>1815</v>
      </c>
      <c r="G131" s="3519" t="s">
        <v>1939</v>
      </c>
      <c r="H131" s="3520" t="s">
        <v>3789</v>
      </c>
      <c r="I131" s="3503"/>
      <c r="J131" s="3521" t="s">
        <v>3914</v>
      </c>
    </row>
    <row r="132" spans="2:10" ht="30" x14ac:dyDescent="0.25">
      <c r="B132" s="3518" t="s">
        <v>1815</v>
      </c>
      <c r="C132" s="3519" t="s">
        <v>1815</v>
      </c>
      <c r="D132" s="3519" t="s">
        <v>1815</v>
      </c>
      <c r="E132" s="3519" t="s">
        <v>1815</v>
      </c>
      <c r="F132" s="3519" t="s">
        <v>1940</v>
      </c>
      <c r="G132" s="3519" t="s">
        <v>1815</v>
      </c>
      <c r="H132" s="3520" t="s">
        <v>3791</v>
      </c>
      <c r="I132" s="3503"/>
      <c r="J132" s="3521" t="s">
        <v>3915</v>
      </c>
    </row>
    <row r="133" spans="2:10" ht="30" x14ac:dyDescent="0.25">
      <c r="B133" s="3518" t="s">
        <v>1815</v>
      </c>
      <c r="C133" s="3519" t="s">
        <v>1815</v>
      </c>
      <c r="D133" s="3519" t="s">
        <v>1815</v>
      </c>
      <c r="E133" s="3519" t="s">
        <v>1815</v>
      </c>
      <c r="F133" s="3519" t="s">
        <v>1815</v>
      </c>
      <c r="G133" s="3519" t="s">
        <v>1941</v>
      </c>
      <c r="H133" s="3520" t="s">
        <v>3916</v>
      </c>
      <c r="I133" s="3503"/>
      <c r="J133" s="3521" t="s">
        <v>3917</v>
      </c>
    </row>
    <row r="134" spans="2:10" x14ac:dyDescent="0.25">
      <c r="B134" s="3518" t="s">
        <v>1815</v>
      </c>
      <c r="C134" s="3519" t="s">
        <v>1815</v>
      </c>
      <c r="D134" s="3519" t="s">
        <v>1815</v>
      </c>
      <c r="E134" s="3519" t="s">
        <v>1815</v>
      </c>
      <c r="F134" s="3519" t="s">
        <v>1815</v>
      </c>
      <c r="G134" s="3519" t="s">
        <v>1942</v>
      </c>
      <c r="H134" s="3520" t="s">
        <v>3793</v>
      </c>
      <c r="I134" s="3503"/>
      <c r="J134" s="3521" t="s">
        <v>3918</v>
      </c>
    </row>
    <row r="135" spans="2:10" x14ac:dyDescent="0.25">
      <c r="B135" s="3518" t="s">
        <v>1815</v>
      </c>
      <c r="C135" s="3519" t="s">
        <v>1815</v>
      </c>
      <c r="D135" s="3519" t="s">
        <v>1815</v>
      </c>
      <c r="E135" s="3519" t="s">
        <v>1815</v>
      </c>
      <c r="F135" s="3519" t="s">
        <v>1815</v>
      </c>
      <c r="G135" s="3519" t="s">
        <v>1967</v>
      </c>
      <c r="H135" s="3520" t="s">
        <v>3795</v>
      </c>
      <c r="I135" s="3503"/>
      <c r="J135" s="3521" t="s">
        <v>3919</v>
      </c>
    </row>
    <row r="136" spans="2:10" x14ac:dyDescent="0.25">
      <c r="B136" s="3518" t="s">
        <v>1815</v>
      </c>
      <c r="C136" s="3519" t="s">
        <v>1815</v>
      </c>
      <c r="D136" s="3519" t="s">
        <v>1815</v>
      </c>
      <c r="E136" s="3519" t="s">
        <v>1815</v>
      </c>
      <c r="F136" s="3519" t="s">
        <v>1860</v>
      </c>
      <c r="G136" s="3519" t="s">
        <v>1815</v>
      </c>
      <c r="H136" s="3520" t="s">
        <v>3796</v>
      </c>
      <c r="I136" s="3503"/>
      <c r="J136" s="3521" t="s">
        <v>3920</v>
      </c>
    </row>
    <row r="137" spans="2:10" x14ac:dyDescent="0.25">
      <c r="B137" s="3518" t="s">
        <v>1815</v>
      </c>
      <c r="C137" s="3519" t="s">
        <v>1815</v>
      </c>
      <c r="D137" s="3519" t="s">
        <v>1815</v>
      </c>
      <c r="E137" s="3519" t="s">
        <v>1815</v>
      </c>
      <c r="F137" s="3519" t="s">
        <v>1815</v>
      </c>
      <c r="G137" s="3519" t="s">
        <v>1861</v>
      </c>
      <c r="H137" s="3520" t="s">
        <v>3798</v>
      </c>
      <c r="I137" s="3503"/>
      <c r="J137" s="3521" t="s">
        <v>3920</v>
      </c>
    </row>
    <row r="138" spans="2:10" x14ac:dyDescent="0.25">
      <c r="B138" s="3518" t="s">
        <v>1815</v>
      </c>
      <c r="C138" s="3519" t="s">
        <v>1815</v>
      </c>
      <c r="D138" s="3519" t="s">
        <v>1815</v>
      </c>
      <c r="E138" s="3519" t="s">
        <v>1815</v>
      </c>
      <c r="F138" s="3519" t="s">
        <v>1943</v>
      </c>
      <c r="G138" s="3519" t="s">
        <v>1815</v>
      </c>
      <c r="H138" s="3520" t="s">
        <v>3799</v>
      </c>
      <c r="I138" s="3503"/>
      <c r="J138" s="3521" t="s">
        <v>3921</v>
      </c>
    </row>
    <row r="139" spans="2:10" x14ac:dyDescent="0.25">
      <c r="B139" s="3518" t="s">
        <v>1815</v>
      </c>
      <c r="C139" s="3519" t="s">
        <v>1815</v>
      </c>
      <c r="D139" s="3519" t="s">
        <v>1815</v>
      </c>
      <c r="E139" s="3519" t="s">
        <v>1815</v>
      </c>
      <c r="F139" s="3519" t="s">
        <v>1815</v>
      </c>
      <c r="G139" s="3519" t="s">
        <v>3922</v>
      </c>
      <c r="H139" s="3520" t="s">
        <v>3923</v>
      </c>
      <c r="I139" s="3503"/>
      <c r="J139" s="3521" t="s">
        <v>3924</v>
      </c>
    </row>
    <row r="140" spans="2:10" x14ac:dyDescent="0.25">
      <c r="B140" s="3518" t="s">
        <v>1815</v>
      </c>
      <c r="C140" s="3519" t="s">
        <v>1815</v>
      </c>
      <c r="D140" s="3519" t="s">
        <v>1815</v>
      </c>
      <c r="E140" s="3519" t="s">
        <v>1815</v>
      </c>
      <c r="F140" s="3519" t="s">
        <v>1815</v>
      </c>
      <c r="G140" s="3519" t="s">
        <v>1980</v>
      </c>
      <c r="H140" s="3520" t="s">
        <v>951</v>
      </c>
      <c r="I140" s="3503"/>
      <c r="J140" s="3521" t="s">
        <v>3925</v>
      </c>
    </row>
    <row r="141" spans="2:10" x14ac:dyDescent="0.25">
      <c r="B141" s="3518" t="s">
        <v>1815</v>
      </c>
      <c r="C141" s="3519" t="s">
        <v>1815</v>
      </c>
      <c r="D141" s="3519" t="s">
        <v>1815</v>
      </c>
      <c r="E141" s="3519" t="s">
        <v>1815</v>
      </c>
      <c r="F141" s="3519" t="s">
        <v>1862</v>
      </c>
      <c r="G141" s="3519" t="s">
        <v>1815</v>
      </c>
      <c r="H141" s="3520" t="s">
        <v>3801</v>
      </c>
      <c r="I141" s="3503"/>
      <c r="J141" s="3521" t="s">
        <v>3926</v>
      </c>
    </row>
    <row r="142" spans="2:10" x14ac:dyDescent="0.25">
      <c r="B142" s="3518" t="s">
        <v>1815</v>
      </c>
      <c r="C142" s="3519" t="s">
        <v>1815</v>
      </c>
      <c r="D142" s="3519" t="s">
        <v>1815</v>
      </c>
      <c r="E142" s="3519" t="s">
        <v>1815</v>
      </c>
      <c r="F142" s="3519" t="s">
        <v>1815</v>
      </c>
      <c r="G142" s="3519" t="s">
        <v>1863</v>
      </c>
      <c r="H142" s="3520" t="s">
        <v>3803</v>
      </c>
      <c r="I142" s="3503"/>
      <c r="J142" s="3521" t="s">
        <v>3927</v>
      </c>
    </row>
    <row r="143" spans="2:10" x14ac:dyDescent="0.25">
      <c r="B143" s="3518" t="s">
        <v>1815</v>
      </c>
      <c r="C143" s="3519" t="s">
        <v>1815</v>
      </c>
      <c r="D143" s="3519" t="s">
        <v>1815</v>
      </c>
      <c r="E143" s="3519" t="s">
        <v>1815</v>
      </c>
      <c r="F143" s="3519" t="s">
        <v>1815</v>
      </c>
      <c r="G143" s="3519" t="s">
        <v>1864</v>
      </c>
      <c r="H143" s="3520" t="s">
        <v>3805</v>
      </c>
      <c r="I143" s="3503"/>
      <c r="J143" s="3521" t="s">
        <v>3928</v>
      </c>
    </row>
    <row r="144" spans="2:10" x14ac:dyDescent="0.25">
      <c r="B144" s="3518" t="s">
        <v>1815</v>
      </c>
      <c r="C144" s="3519" t="s">
        <v>1815</v>
      </c>
      <c r="D144" s="3519" t="s">
        <v>1815</v>
      </c>
      <c r="E144" s="3519" t="s">
        <v>1815</v>
      </c>
      <c r="F144" s="3519" t="s">
        <v>1815</v>
      </c>
      <c r="G144" s="3519" t="s">
        <v>1865</v>
      </c>
      <c r="H144" s="3520" t="s">
        <v>3807</v>
      </c>
      <c r="I144" s="3503"/>
      <c r="J144" s="3521" t="s">
        <v>3929</v>
      </c>
    </row>
    <row r="145" spans="2:10" x14ac:dyDescent="0.25">
      <c r="B145" s="3518" t="s">
        <v>1815</v>
      </c>
      <c r="C145" s="3519" t="s">
        <v>1815</v>
      </c>
      <c r="D145" s="3519" t="s">
        <v>1815</v>
      </c>
      <c r="E145" s="3519" t="s">
        <v>1815</v>
      </c>
      <c r="F145" s="3519" t="s">
        <v>1815</v>
      </c>
      <c r="G145" s="3519" t="s">
        <v>1866</v>
      </c>
      <c r="H145" s="3520" t="s">
        <v>3809</v>
      </c>
      <c r="I145" s="3503"/>
      <c r="J145" s="3521" t="s">
        <v>3930</v>
      </c>
    </row>
    <row r="146" spans="2:10" x14ac:dyDescent="0.25">
      <c r="B146" s="3518" t="s">
        <v>1815</v>
      </c>
      <c r="C146" s="3519" t="s">
        <v>1815</v>
      </c>
      <c r="D146" s="3519" t="s">
        <v>1815</v>
      </c>
      <c r="E146" s="3519" t="s">
        <v>1815</v>
      </c>
      <c r="F146" s="3519" t="s">
        <v>1867</v>
      </c>
      <c r="G146" s="3519" t="s">
        <v>1815</v>
      </c>
      <c r="H146" s="3520" t="s">
        <v>3811</v>
      </c>
      <c r="I146" s="3503"/>
      <c r="J146" s="3521" t="s">
        <v>3931</v>
      </c>
    </row>
    <row r="147" spans="2:10" x14ac:dyDescent="0.25">
      <c r="B147" s="3518" t="s">
        <v>1815</v>
      </c>
      <c r="C147" s="3519" t="s">
        <v>1815</v>
      </c>
      <c r="D147" s="3519" t="s">
        <v>1815</v>
      </c>
      <c r="E147" s="3519" t="s">
        <v>1815</v>
      </c>
      <c r="F147" s="3519" t="s">
        <v>1815</v>
      </c>
      <c r="G147" s="3519" t="s">
        <v>1946</v>
      </c>
      <c r="H147" s="3520" t="s">
        <v>3813</v>
      </c>
      <c r="I147" s="3503"/>
      <c r="J147" s="3521" t="s">
        <v>3932</v>
      </c>
    </row>
    <row r="148" spans="2:10" ht="30" x14ac:dyDescent="0.25">
      <c r="B148" s="3518" t="s">
        <v>1815</v>
      </c>
      <c r="C148" s="3519" t="s">
        <v>1815</v>
      </c>
      <c r="D148" s="3519" t="s">
        <v>1815</v>
      </c>
      <c r="E148" s="3519" t="s">
        <v>1815</v>
      </c>
      <c r="F148" s="3519" t="s">
        <v>1815</v>
      </c>
      <c r="G148" s="3519" t="s">
        <v>1868</v>
      </c>
      <c r="H148" s="3520" t="s">
        <v>3815</v>
      </c>
      <c r="I148" s="3503"/>
      <c r="J148" s="3521" t="s">
        <v>3933</v>
      </c>
    </row>
    <row r="149" spans="2:10" x14ac:dyDescent="0.25">
      <c r="B149" s="3518" t="s">
        <v>1815</v>
      </c>
      <c r="C149" s="3519" t="s">
        <v>1815</v>
      </c>
      <c r="D149" s="3519" t="s">
        <v>1815</v>
      </c>
      <c r="E149" s="3519" t="s">
        <v>1815</v>
      </c>
      <c r="F149" s="3519" t="s">
        <v>1869</v>
      </c>
      <c r="G149" s="3519" t="s">
        <v>1815</v>
      </c>
      <c r="H149" s="3520" t="s">
        <v>3817</v>
      </c>
      <c r="I149" s="3503"/>
      <c r="J149" s="3521" t="s">
        <v>3934</v>
      </c>
    </row>
    <row r="150" spans="2:10" x14ac:dyDescent="0.25">
      <c r="B150" s="3518" t="s">
        <v>1815</v>
      </c>
      <c r="C150" s="3519" t="s">
        <v>1815</v>
      </c>
      <c r="D150" s="3519" t="s">
        <v>1815</v>
      </c>
      <c r="E150" s="3519" t="s">
        <v>1815</v>
      </c>
      <c r="F150" s="3519" t="s">
        <v>1815</v>
      </c>
      <c r="G150" s="3519" t="s">
        <v>1870</v>
      </c>
      <c r="H150" s="3520" t="s">
        <v>3819</v>
      </c>
      <c r="I150" s="3503"/>
      <c r="J150" s="3521" t="s">
        <v>3935</v>
      </c>
    </row>
    <row r="151" spans="2:10" x14ac:dyDescent="0.25">
      <c r="B151" s="3518" t="s">
        <v>1815</v>
      </c>
      <c r="C151" s="3519" t="s">
        <v>1815</v>
      </c>
      <c r="D151" s="3519" t="s">
        <v>1815</v>
      </c>
      <c r="E151" s="3519" t="s">
        <v>1815</v>
      </c>
      <c r="F151" s="3519" t="s">
        <v>1815</v>
      </c>
      <c r="G151" s="3519" t="s">
        <v>3823</v>
      </c>
      <c r="H151" s="3520" t="s">
        <v>3824</v>
      </c>
      <c r="I151" s="3503"/>
      <c r="J151" s="3521" t="s">
        <v>3936</v>
      </c>
    </row>
    <row r="152" spans="2:10" x14ac:dyDescent="0.25">
      <c r="B152" s="3518" t="s">
        <v>1815</v>
      </c>
      <c r="C152" s="3519" t="s">
        <v>1815</v>
      </c>
      <c r="D152" s="3519" t="s">
        <v>1815</v>
      </c>
      <c r="E152" s="3519" t="s">
        <v>1815</v>
      </c>
      <c r="F152" s="3519" t="s">
        <v>1874</v>
      </c>
      <c r="G152" s="3519" t="s">
        <v>1815</v>
      </c>
      <c r="H152" s="3520" t="s">
        <v>3743</v>
      </c>
      <c r="I152" s="3503"/>
      <c r="J152" s="3521" t="s">
        <v>3937</v>
      </c>
    </row>
    <row r="153" spans="2:10" x14ac:dyDescent="0.25">
      <c r="B153" s="3518" t="s">
        <v>1815</v>
      </c>
      <c r="C153" s="3519" t="s">
        <v>1815</v>
      </c>
      <c r="D153" s="3519" t="s">
        <v>1815</v>
      </c>
      <c r="E153" s="3519" t="s">
        <v>1815</v>
      </c>
      <c r="F153" s="3519" t="s">
        <v>1815</v>
      </c>
      <c r="G153" s="3519" t="s">
        <v>1875</v>
      </c>
      <c r="H153" s="3520" t="s">
        <v>3745</v>
      </c>
      <c r="I153" s="3503"/>
      <c r="J153" s="3521" t="s">
        <v>3938</v>
      </c>
    </row>
    <row r="154" spans="2:10" x14ac:dyDescent="0.25">
      <c r="B154" s="3518" t="s">
        <v>1815</v>
      </c>
      <c r="C154" s="3519" t="s">
        <v>1815</v>
      </c>
      <c r="D154" s="3519" t="s">
        <v>1815</v>
      </c>
      <c r="E154" s="3519" t="s">
        <v>1815</v>
      </c>
      <c r="F154" s="3519" t="s">
        <v>1815</v>
      </c>
      <c r="G154" s="3519" t="s">
        <v>1876</v>
      </c>
      <c r="H154" s="3520" t="s">
        <v>3828</v>
      </c>
      <c r="I154" s="3503"/>
      <c r="J154" s="3521" t="s">
        <v>3939</v>
      </c>
    </row>
    <row r="155" spans="2:10" x14ac:dyDescent="0.25">
      <c r="B155" s="3518" t="s">
        <v>1815</v>
      </c>
      <c r="C155" s="3519" t="s">
        <v>1815</v>
      </c>
      <c r="D155" s="3519" t="s">
        <v>1815</v>
      </c>
      <c r="E155" s="3519" t="s">
        <v>1815</v>
      </c>
      <c r="F155" s="3519" t="s">
        <v>1815</v>
      </c>
      <c r="G155" s="3519" t="s">
        <v>2062</v>
      </c>
      <c r="H155" s="3520" t="s">
        <v>3830</v>
      </c>
      <c r="I155" s="3503"/>
      <c r="J155" s="3521" t="s">
        <v>3940</v>
      </c>
    </row>
    <row r="156" spans="2:10" x14ac:dyDescent="0.25">
      <c r="B156" s="3518" t="s">
        <v>1815</v>
      </c>
      <c r="C156" s="3519" t="s">
        <v>1815</v>
      </c>
      <c r="D156" s="3519" t="s">
        <v>1815</v>
      </c>
      <c r="E156" s="3519" t="s">
        <v>1815</v>
      </c>
      <c r="F156" s="3519" t="s">
        <v>1815</v>
      </c>
      <c r="G156" s="3519" t="s">
        <v>1877</v>
      </c>
      <c r="H156" s="3520" t="s">
        <v>3747</v>
      </c>
      <c r="I156" s="3503"/>
      <c r="J156" s="3521" t="s">
        <v>3941</v>
      </c>
    </row>
    <row r="157" spans="2:10" x14ac:dyDescent="0.25">
      <c r="B157" s="3518" t="s">
        <v>1815</v>
      </c>
      <c r="C157" s="3519" t="s">
        <v>1815</v>
      </c>
      <c r="D157" s="3519" t="s">
        <v>1815</v>
      </c>
      <c r="E157" s="3519" t="s">
        <v>1815</v>
      </c>
      <c r="F157" s="3519" t="s">
        <v>1878</v>
      </c>
      <c r="G157" s="3519" t="s">
        <v>1815</v>
      </c>
      <c r="H157" s="3520" t="s">
        <v>3833</v>
      </c>
      <c r="I157" s="3503"/>
      <c r="J157" s="3521" t="s">
        <v>3942</v>
      </c>
    </row>
    <row r="158" spans="2:10" ht="30" x14ac:dyDescent="0.25">
      <c r="B158" s="3518" t="s">
        <v>1815</v>
      </c>
      <c r="C158" s="3519" t="s">
        <v>1815</v>
      </c>
      <c r="D158" s="3519" t="s">
        <v>1815</v>
      </c>
      <c r="E158" s="3519" t="s">
        <v>1815</v>
      </c>
      <c r="F158" s="3519" t="s">
        <v>1815</v>
      </c>
      <c r="G158" s="3519" t="s">
        <v>1879</v>
      </c>
      <c r="H158" s="3520" t="s">
        <v>3835</v>
      </c>
      <c r="I158" s="3503"/>
      <c r="J158" s="3521" t="s">
        <v>3943</v>
      </c>
    </row>
    <row r="159" spans="2:10" ht="30" x14ac:dyDescent="0.25">
      <c r="B159" s="3518" t="s">
        <v>1815</v>
      </c>
      <c r="C159" s="3519" t="s">
        <v>1815</v>
      </c>
      <c r="D159" s="3519" t="s">
        <v>1815</v>
      </c>
      <c r="E159" s="3519" t="s">
        <v>1815</v>
      </c>
      <c r="F159" s="3519" t="s">
        <v>1815</v>
      </c>
      <c r="G159" s="3519" t="s">
        <v>1881</v>
      </c>
      <c r="H159" s="3520" t="s">
        <v>3837</v>
      </c>
      <c r="I159" s="3503"/>
      <c r="J159" s="3521" t="s">
        <v>3944</v>
      </c>
    </row>
    <row r="160" spans="2:10" x14ac:dyDescent="0.25">
      <c r="B160" s="3518" t="s">
        <v>1815</v>
      </c>
      <c r="C160" s="3519" t="s">
        <v>1815</v>
      </c>
      <c r="D160" s="3519" t="s">
        <v>1815</v>
      </c>
      <c r="E160" s="3519" t="s">
        <v>1815</v>
      </c>
      <c r="F160" s="3519" t="s">
        <v>1885</v>
      </c>
      <c r="G160" s="3519" t="s">
        <v>1815</v>
      </c>
      <c r="H160" s="3520" t="s">
        <v>3749</v>
      </c>
      <c r="I160" s="3503"/>
      <c r="J160" s="3521" t="s">
        <v>3945</v>
      </c>
    </row>
    <row r="161" spans="2:10" x14ac:dyDescent="0.25">
      <c r="B161" s="3518" t="s">
        <v>1815</v>
      </c>
      <c r="C161" s="3519" t="s">
        <v>1815</v>
      </c>
      <c r="D161" s="3519" t="s">
        <v>1815</v>
      </c>
      <c r="E161" s="3519" t="s">
        <v>1815</v>
      </c>
      <c r="F161" s="3519" t="s">
        <v>1815</v>
      </c>
      <c r="G161" s="3519" t="s">
        <v>1888</v>
      </c>
      <c r="H161" s="3520" t="s">
        <v>3895</v>
      </c>
      <c r="I161" s="3503"/>
      <c r="J161" s="3521" t="s">
        <v>3945</v>
      </c>
    </row>
    <row r="162" spans="2:10" x14ac:dyDescent="0.25">
      <c r="B162" s="3518" t="s">
        <v>1815</v>
      </c>
      <c r="C162" s="3519" t="s">
        <v>1815</v>
      </c>
      <c r="D162" s="3519" t="s">
        <v>1815</v>
      </c>
      <c r="E162" s="3519" t="s">
        <v>1815</v>
      </c>
      <c r="F162" s="3519" t="s">
        <v>1889</v>
      </c>
      <c r="G162" s="3519" t="s">
        <v>1815</v>
      </c>
      <c r="H162" s="3520" t="s">
        <v>3844</v>
      </c>
      <c r="I162" s="3503"/>
      <c r="J162" s="3521" t="s">
        <v>3946</v>
      </c>
    </row>
    <row r="163" spans="2:10" x14ac:dyDescent="0.25">
      <c r="B163" s="3518" t="s">
        <v>1815</v>
      </c>
      <c r="C163" s="3519" t="s">
        <v>1815</v>
      </c>
      <c r="D163" s="3519" t="s">
        <v>1815</v>
      </c>
      <c r="E163" s="3519" t="s">
        <v>1815</v>
      </c>
      <c r="F163" s="3519" t="s">
        <v>1815</v>
      </c>
      <c r="G163" s="3519" t="s">
        <v>1921</v>
      </c>
      <c r="H163" s="3520" t="s">
        <v>3846</v>
      </c>
      <c r="I163" s="3503"/>
      <c r="J163" s="3521" t="s">
        <v>3947</v>
      </c>
    </row>
    <row r="164" spans="2:10" x14ac:dyDescent="0.25">
      <c r="B164" s="3518" t="s">
        <v>1815</v>
      </c>
      <c r="C164" s="3519" t="s">
        <v>1815</v>
      </c>
      <c r="D164" s="3519" t="s">
        <v>1815</v>
      </c>
      <c r="E164" s="3519" t="s">
        <v>1815</v>
      </c>
      <c r="F164" s="3519" t="s">
        <v>1815</v>
      </c>
      <c r="G164" s="3519" t="s">
        <v>1890</v>
      </c>
      <c r="H164" s="3520" t="s">
        <v>3848</v>
      </c>
      <c r="I164" s="3503"/>
      <c r="J164" s="3521" t="s">
        <v>3948</v>
      </c>
    </row>
    <row r="165" spans="2:10" x14ac:dyDescent="0.25">
      <c r="B165" s="3518" t="s">
        <v>1815</v>
      </c>
      <c r="C165" s="3519" t="s">
        <v>1815</v>
      </c>
      <c r="D165" s="3519" t="s">
        <v>1815</v>
      </c>
      <c r="E165" s="3519" t="s">
        <v>1815</v>
      </c>
      <c r="F165" s="3519" t="s">
        <v>1815</v>
      </c>
      <c r="G165" s="3519" t="s">
        <v>1891</v>
      </c>
      <c r="H165" s="3520" t="s">
        <v>3850</v>
      </c>
      <c r="I165" s="3503"/>
      <c r="J165" s="3521" t="s">
        <v>3949</v>
      </c>
    </row>
    <row r="166" spans="2:10" x14ac:dyDescent="0.25">
      <c r="B166" s="3518" t="s">
        <v>1815</v>
      </c>
      <c r="C166" s="3519" t="s">
        <v>1815</v>
      </c>
      <c r="D166" s="3519" t="s">
        <v>1815</v>
      </c>
      <c r="E166" s="3519" t="s">
        <v>1815</v>
      </c>
      <c r="F166" s="3519" t="s">
        <v>1893</v>
      </c>
      <c r="G166" s="3519" t="s">
        <v>1815</v>
      </c>
      <c r="H166" s="3520" t="s">
        <v>3853</v>
      </c>
      <c r="I166" s="3503"/>
      <c r="J166" s="3521" t="s">
        <v>3950</v>
      </c>
    </row>
    <row r="167" spans="2:10" x14ac:dyDescent="0.25">
      <c r="B167" s="3518" t="s">
        <v>1815</v>
      </c>
      <c r="C167" s="3519" t="s">
        <v>1815</v>
      </c>
      <c r="D167" s="3519" t="s">
        <v>1815</v>
      </c>
      <c r="E167" s="3519" t="s">
        <v>1815</v>
      </c>
      <c r="F167" s="3519" t="s">
        <v>1815</v>
      </c>
      <c r="G167" s="3519" t="s">
        <v>1894</v>
      </c>
      <c r="H167" s="3520" t="s">
        <v>3855</v>
      </c>
      <c r="I167" s="3503"/>
      <c r="J167" s="3521" t="s">
        <v>3951</v>
      </c>
    </row>
    <row r="168" spans="2:10" x14ac:dyDescent="0.25">
      <c r="B168" s="3518" t="s">
        <v>1815</v>
      </c>
      <c r="C168" s="3519" t="s">
        <v>1815</v>
      </c>
      <c r="D168" s="3519" t="s">
        <v>1815</v>
      </c>
      <c r="E168" s="3519" t="s">
        <v>1815</v>
      </c>
      <c r="F168" s="3519" t="s">
        <v>1815</v>
      </c>
      <c r="G168" s="3519" t="s">
        <v>2051</v>
      </c>
      <c r="H168" s="3520" t="s">
        <v>3859</v>
      </c>
      <c r="I168" s="3503"/>
      <c r="J168" s="3521" t="s">
        <v>3952</v>
      </c>
    </row>
    <row r="169" spans="2:10" x14ac:dyDescent="0.25">
      <c r="B169" s="3518" t="s">
        <v>1815</v>
      </c>
      <c r="C169" s="3519" t="s">
        <v>1815</v>
      </c>
      <c r="D169" s="3519" t="s">
        <v>1815</v>
      </c>
      <c r="E169" s="3519" t="s">
        <v>1815</v>
      </c>
      <c r="F169" s="3519" t="s">
        <v>1815</v>
      </c>
      <c r="G169" s="3519" t="s">
        <v>1895</v>
      </c>
      <c r="H169" s="3520" t="s">
        <v>3861</v>
      </c>
      <c r="I169" s="3503"/>
      <c r="J169" s="3521" t="s">
        <v>3953</v>
      </c>
    </row>
    <row r="170" spans="2:10" ht="30" x14ac:dyDescent="0.25">
      <c r="B170" s="3518" t="s">
        <v>1815</v>
      </c>
      <c r="C170" s="3519" t="s">
        <v>1815</v>
      </c>
      <c r="D170" s="3519" t="s">
        <v>1815</v>
      </c>
      <c r="E170" s="3519" t="s">
        <v>1815</v>
      </c>
      <c r="F170" s="3519" t="s">
        <v>1896</v>
      </c>
      <c r="G170" s="3519" t="s">
        <v>1815</v>
      </c>
      <c r="H170" s="3520" t="s">
        <v>3863</v>
      </c>
      <c r="I170" s="3503"/>
      <c r="J170" s="3521" t="s">
        <v>3954</v>
      </c>
    </row>
    <row r="171" spans="2:10" x14ac:dyDescent="0.25">
      <c r="B171" s="3518" t="s">
        <v>1815</v>
      </c>
      <c r="C171" s="3519" t="s">
        <v>1815</v>
      </c>
      <c r="D171" s="3519" t="s">
        <v>1815</v>
      </c>
      <c r="E171" s="3519" t="s">
        <v>1815</v>
      </c>
      <c r="F171" s="3519" t="s">
        <v>1815</v>
      </c>
      <c r="G171" s="3519" t="s">
        <v>1900</v>
      </c>
      <c r="H171" s="3520" t="s">
        <v>3865</v>
      </c>
      <c r="I171" s="3503"/>
      <c r="J171" s="3521" t="s">
        <v>3955</v>
      </c>
    </row>
    <row r="172" spans="2:10" x14ac:dyDescent="0.25">
      <c r="B172" s="3518" t="s">
        <v>1815</v>
      </c>
      <c r="C172" s="3519" t="s">
        <v>1815</v>
      </c>
      <c r="D172" s="3519" t="s">
        <v>1815</v>
      </c>
      <c r="E172" s="3519" t="s">
        <v>1815</v>
      </c>
      <c r="F172" s="3519" t="s">
        <v>1815</v>
      </c>
      <c r="G172" s="3519" t="s">
        <v>1901</v>
      </c>
      <c r="H172" s="3520" t="s">
        <v>3867</v>
      </c>
      <c r="I172" s="3503"/>
      <c r="J172" s="3521" t="s">
        <v>3956</v>
      </c>
    </row>
    <row r="173" spans="2:10" x14ac:dyDescent="0.25">
      <c r="B173" s="3518" t="s">
        <v>1815</v>
      </c>
      <c r="C173" s="3519" t="s">
        <v>1815</v>
      </c>
      <c r="D173" s="3519" t="s">
        <v>1815</v>
      </c>
      <c r="E173" s="3519" t="s">
        <v>1815</v>
      </c>
      <c r="F173" s="3519" t="s">
        <v>1815</v>
      </c>
      <c r="G173" s="3519" t="s">
        <v>1928</v>
      </c>
      <c r="H173" s="3520" t="s">
        <v>3869</v>
      </c>
      <c r="I173" s="3503"/>
      <c r="J173" s="3521" t="s">
        <v>3957</v>
      </c>
    </row>
    <row r="174" spans="2:10" x14ac:dyDescent="0.25">
      <c r="B174" s="3518" t="s">
        <v>1815</v>
      </c>
      <c r="C174" s="3519" t="s">
        <v>1815</v>
      </c>
      <c r="D174" s="3519" t="s">
        <v>1815</v>
      </c>
      <c r="E174" s="3519" t="s">
        <v>1815</v>
      </c>
      <c r="F174" s="3519" t="s">
        <v>1815</v>
      </c>
      <c r="G174" s="3519" t="s">
        <v>1902</v>
      </c>
      <c r="H174" s="3520" t="s">
        <v>3871</v>
      </c>
      <c r="I174" s="3503"/>
      <c r="J174" s="3521" t="s">
        <v>3958</v>
      </c>
    </row>
    <row r="175" spans="2:10" x14ac:dyDescent="0.25">
      <c r="B175" s="3518" t="s">
        <v>1815</v>
      </c>
      <c r="C175" s="3519" t="s">
        <v>1815</v>
      </c>
      <c r="D175" s="3519" t="s">
        <v>1815</v>
      </c>
      <c r="E175" s="3519" t="s">
        <v>1815</v>
      </c>
      <c r="F175" s="3519" t="s">
        <v>1903</v>
      </c>
      <c r="G175" s="3519" t="s">
        <v>1815</v>
      </c>
      <c r="H175" s="3520" t="s">
        <v>3873</v>
      </c>
      <c r="I175" s="3503"/>
      <c r="J175" s="3521" t="s">
        <v>3959</v>
      </c>
    </row>
    <row r="176" spans="2:10" x14ac:dyDescent="0.25">
      <c r="B176" s="3518" t="s">
        <v>1815</v>
      </c>
      <c r="C176" s="3519" t="s">
        <v>1815</v>
      </c>
      <c r="D176" s="3519" t="s">
        <v>1815</v>
      </c>
      <c r="E176" s="3519" t="s">
        <v>1815</v>
      </c>
      <c r="F176" s="3519" t="s">
        <v>1815</v>
      </c>
      <c r="G176" s="3519" t="s">
        <v>1905</v>
      </c>
      <c r="H176" s="3520" t="s">
        <v>3960</v>
      </c>
      <c r="I176" s="3503"/>
      <c r="J176" s="3521" t="s">
        <v>3959</v>
      </c>
    </row>
    <row r="177" spans="2:10" x14ac:dyDescent="0.25">
      <c r="B177" s="3518" t="s">
        <v>1815</v>
      </c>
      <c r="C177" s="3519" t="s">
        <v>1815</v>
      </c>
      <c r="D177" s="3519" t="s">
        <v>1815</v>
      </c>
      <c r="E177" s="3519" t="s">
        <v>1815</v>
      </c>
      <c r="F177" s="3519" t="s">
        <v>1906</v>
      </c>
      <c r="G177" s="3519" t="s">
        <v>1815</v>
      </c>
      <c r="H177" s="3520" t="s">
        <v>3752</v>
      </c>
      <c r="I177" s="3503"/>
      <c r="J177" s="3521" t="s">
        <v>3961</v>
      </c>
    </row>
    <row r="178" spans="2:10" x14ac:dyDescent="0.25">
      <c r="B178" s="3518" t="s">
        <v>1815</v>
      </c>
      <c r="C178" s="3519" t="s">
        <v>1815</v>
      </c>
      <c r="D178" s="3519" t="s">
        <v>1815</v>
      </c>
      <c r="E178" s="3519" t="s">
        <v>1815</v>
      </c>
      <c r="F178" s="3519" t="s">
        <v>1815</v>
      </c>
      <c r="G178" s="3519" t="s">
        <v>1907</v>
      </c>
      <c r="H178" s="3520" t="s">
        <v>3763</v>
      </c>
      <c r="I178" s="3503"/>
      <c r="J178" s="3521" t="s">
        <v>3962</v>
      </c>
    </row>
    <row r="179" spans="2:10" x14ac:dyDescent="0.25">
      <c r="B179" s="3518" t="s">
        <v>1815</v>
      </c>
      <c r="C179" s="3519" t="s">
        <v>1815</v>
      </c>
      <c r="D179" s="3519" t="s">
        <v>1815</v>
      </c>
      <c r="E179" s="3519" t="s">
        <v>1815</v>
      </c>
      <c r="F179" s="3519" t="s">
        <v>1815</v>
      </c>
      <c r="G179" s="3519" t="s">
        <v>1908</v>
      </c>
      <c r="H179" s="3520" t="s">
        <v>3963</v>
      </c>
      <c r="I179" s="3503"/>
      <c r="J179" s="3521" t="s">
        <v>3964</v>
      </c>
    </row>
    <row r="180" spans="2:10" x14ac:dyDescent="0.25">
      <c r="B180" s="3518" t="s">
        <v>1815</v>
      </c>
      <c r="C180" s="3519" t="s">
        <v>1815</v>
      </c>
      <c r="D180" s="3519" t="s">
        <v>1815</v>
      </c>
      <c r="E180" s="3519" t="s">
        <v>1815</v>
      </c>
      <c r="F180" s="3519" t="s">
        <v>1815</v>
      </c>
      <c r="G180" s="3519" t="s">
        <v>1909</v>
      </c>
      <c r="H180" s="3520" t="s">
        <v>951</v>
      </c>
      <c r="I180" s="3503"/>
      <c r="J180" s="3521" t="s">
        <v>3965</v>
      </c>
    </row>
    <row r="181" spans="2:10" x14ac:dyDescent="0.25">
      <c r="B181" s="3518" t="s">
        <v>1815</v>
      </c>
      <c r="C181" s="3519" t="s">
        <v>1815</v>
      </c>
      <c r="D181" s="3519" t="s">
        <v>1815</v>
      </c>
      <c r="E181" s="3519" t="s">
        <v>1815</v>
      </c>
      <c r="F181" s="3519" t="s">
        <v>1912</v>
      </c>
      <c r="G181" s="3519" t="s">
        <v>1815</v>
      </c>
      <c r="H181" s="3520" t="s">
        <v>951</v>
      </c>
      <c r="I181" s="3503"/>
      <c r="J181" s="3521" t="s">
        <v>3966</v>
      </c>
    </row>
    <row r="182" spans="2:10" x14ac:dyDescent="0.25">
      <c r="B182" s="3518" t="s">
        <v>1815</v>
      </c>
      <c r="C182" s="3519" t="s">
        <v>1815</v>
      </c>
      <c r="D182" s="3519" t="s">
        <v>1815</v>
      </c>
      <c r="E182" s="3519" t="s">
        <v>1815</v>
      </c>
      <c r="F182" s="3519" t="s">
        <v>1815</v>
      </c>
      <c r="G182" s="3519" t="s">
        <v>1913</v>
      </c>
      <c r="H182" s="3520" t="s">
        <v>3884</v>
      </c>
      <c r="I182" s="3503"/>
      <c r="J182" s="3521" t="s">
        <v>3967</v>
      </c>
    </row>
    <row r="183" spans="2:10" x14ac:dyDescent="0.25">
      <c r="B183" s="3518" t="s">
        <v>1815</v>
      </c>
      <c r="C183" s="3519" t="s">
        <v>1815</v>
      </c>
      <c r="D183" s="3519" t="s">
        <v>1815</v>
      </c>
      <c r="E183" s="3519" t="s">
        <v>1815</v>
      </c>
      <c r="F183" s="3519" t="s">
        <v>1815</v>
      </c>
      <c r="G183" s="3519" t="s">
        <v>1915</v>
      </c>
      <c r="H183" s="3520" t="s">
        <v>3755</v>
      </c>
      <c r="I183" s="3503"/>
      <c r="J183" s="3521" t="s">
        <v>3968</v>
      </c>
    </row>
    <row r="184" spans="2:10" ht="30" x14ac:dyDescent="0.25">
      <c r="B184" s="3518" t="s">
        <v>1815</v>
      </c>
      <c r="C184" s="3519" t="s">
        <v>1815</v>
      </c>
      <c r="D184" s="3519" t="s">
        <v>1815</v>
      </c>
      <c r="E184" s="3519" t="s">
        <v>1815</v>
      </c>
      <c r="F184" s="3519" t="s">
        <v>1815</v>
      </c>
      <c r="G184" s="3519" t="s">
        <v>1951</v>
      </c>
      <c r="H184" s="3520" t="s">
        <v>3889</v>
      </c>
      <c r="I184" s="3503"/>
      <c r="J184" s="3521" t="s">
        <v>3969</v>
      </c>
    </row>
    <row r="185" spans="2:10" x14ac:dyDescent="0.25">
      <c r="B185" s="3518" t="s">
        <v>1815</v>
      </c>
      <c r="C185" s="3519" t="s">
        <v>1815</v>
      </c>
      <c r="D185" s="3519" t="s">
        <v>1815</v>
      </c>
      <c r="E185" s="3519" t="s">
        <v>1815</v>
      </c>
      <c r="F185" s="3519" t="s">
        <v>1815</v>
      </c>
      <c r="G185" s="3519" t="s">
        <v>1916</v>
      </c>
      <c r="H185" s="3520" t="s">
        <v>3757</v>
      </c>
      <c r="I185" s="3503"/>
      <c r="J185" s="3521" t="s">
        <v>3970</v>
      </c>
    </row>
    <row r="186" spans="2:10" x14ac:dyDescent="0.25">
      <c r="B186" s="3518" t="s">
        <v>1815</v>
      </c>
      <c r="C186" s="3519" t="s">
        <v>1815</v>
      </c>
      <c r="D186" s="3519" t="s">
        <v>1815</v>
      </c>
      <c r="E186" s="3519" t="s">
        <v>1815</v>
      </c>
      <c r="F186" s="3519" t="s">
        <v>2024</v>
      </c>
      <c r="G186" s="3519" t="s">
        <v>1815</v>
      </c>
      <c r="H186" s="3520" t="s">
        <v>3892</v>
      </c>
      <c r="I186" s="3503"/>
      <c r="J186" s="3521" t="s">
        <v>3971</v>
      </c>
    </row>
    <row r="187" spans="2:10" ht="30" x14ac:dyDescent="0.25">
      <c r="B187" s="3518" t="s">
        <v>1815</v>
      </c>
      <c r="C187" s="3519" t="s">
        <v>1815</v>
      </c>
      <c r="D187" s="3519" t="s">
        <v>1815</v>
      </c>
      <c r="E187" s="3519" t="s">
        <v>1815</v>
      </c>
      <c r="F187" s="3519" t="s">
        <v>1815</v>
      </c>
      <c r="G187" s="3519" t="s">
        <v>2025</v>
      </c>
      <c r="H187" s="3520" t="s">
        <v>3894</v>
      </c>
      <c r="I187" s="3503"/>
      <c r="J187" s="3521" t="s">
        <v>3971</v>
      </c>
    </row>
    <row r="188" spans="2:10" x14ac:dyDescent="0.25">
      <c r="B188" s="3518" t="s">
        <v>1815</v>
      </c>
      <c r="C188" s="3519" t="s">
        <v>1815</v>
      </c>
      <c r="D188" s="3519" t="s">
        <v>1815</v>
      </c>
      <c r="E188" s="3519" t="s">
        <v>1815</v>
      </c>
      <c r="F188" s="3519" t="s">
        <v>2026</v>
      </c>
      <c r="G188" s="3519" t="s">
        <v>1815</v>
      </c>
      <c r="H188" s="3520" t="s">
        <v>3895</v>
      </c>
      <c r="I188" s="3503"/>
      <c r="J188" s="3521" t="s">
        <v>3972</v>
      </c>
    </row>
    <row r="189" spans="2:10" x14ac:dyDescent="0.25">
      <c r="B189" s="3518" t="s">
        <v>1815</v>
      </c>
      <c r="C189" s="3519" t="s">
        <v>1815</v>
      </c>
      <c r="D189" s="3519" t="s">
        <v>1815</v>
      </c>
      <c r="E189" s="3519" t="s">
        <v>1815</v>
      </c>
      <c r="F189" s="3519" t="s">
        <v>1815</v>
      </c>
      <c r="G189" s="3519" t="s">
        <v>2027</v>
      </c>
      <c r="H189" s="3520" t="s">
        <v>3897</v>
      </c>
      <c r="I189" s="3503"/>
      <c r="J189" s="3521" t="s">
        <v>3973</v>
      </c>
    </row>
    <row r="190" spans="2:10" x14ac:dyDescent="0.25">
      <c r="B190" s="3518" t="s">
        <v>1815</v>
      </c>
      <c r="C190" s="3519" t="s">
        <v>1815</v>
      </c>
      <c r="D190" s="3519" t="s">
        <v>1815</v>
      </c>
      <c r="E190" s="3519" t="s">
        <v>1815</v>
      </c>
      <c r="F190" s="3519" t="s">
        <v>1815</v>
      </c>
      <c r="G190" s="3519" t="s">
        <v>2028</v>
      </c>
      <c r="H190" s="3520" t="s">
        <v>3899</v>
      </c>
      <c r="I190" s="3503"/>
      <c r="J190" s="3521" t="s">
        <v>3974</v>
      </c>
    </row>
    <row r="191" spans="2:10" x14ac:dyDescent="0.25">
      <c r="B191" s="3518" t="s">
        <v>1815</v>
      </c>
      <c r="C191" s="3519" t="s">
        <v>1815</v>
      </c>
      <c r="D191" s="3519" t="s">
        <v>1815</v>
      </c>
      <c r="E191" s="3519" t="s">
        <v>1815</v>
      </c>
      <c r="F191" s="3519" t="s">
        <v>1815</v>
      </c>
      <c r="G191" s="3519" t="s">
        <v>2029</v>
      </c>
      <c r="H191" s="3520" t="s">
        <v>951</v>
      </c>
      <c r="I191" s="3503"/>
      <c r="J191" s="3521" t="s">
        <v>3975</v>
      </c>
    </row>
    <row r="192" spans="2:10" x14ac:dyDescent="0.25">
      <c r="B192" s="3518" t="s">
        <v>1815</v>
      </c>
      <c r="C192" s="3519" t="s">
        <v>1815</v>
      </c>
      <c r="D192" s="3519" t="s">
        <v>1815</v>
      </c>
      <c r="E192" s="3519" t="s">
        <v>1954</v>
      </c>
      <c r="F192" s="3519" t="s">
        <v>1815</v>
      </c>
      <c r="G192" s="3519" t="s">
        <v>1815</v>
      </c>
      <c r="H192" s="3520" t="s">
        <v>3976</v>
      </c>
      <c r="I192" s="3503"/>
      <c r="J192" s="3521" t="s">
        <v>3977</v>
      </c>
    </row>
    <row r="193" spans="2:10" x14ac:dyDescent="0.25">
      <c r="B193" s="3518" t="s">
        <v>1815</v>
      </c>
      <c r="C193" s="3519" t="s">
        <v>1815</v>
      </c>
      <c r="D193" s="3519" t="s">
        <v>1815</v>
      </c>
      <c r="E193" s="3519" t="s">
        <v>1815</v>
      </c>
      <c r="F193" s="3519" t="s">
        <v>1848</v>
      </c>
      <c r="G193" s="3519" t="s">
        <v>1815</v>
      </c>
      <c r="H193" s="3520" t="s">
        <v>3771</v>
      </c>
      <c r="I193" s="3503"/>
      <c r="J193" s="3521" t="s">
        <v>3978</v>
      </c>
    </row>
    <row r="194" spans="2:10" x14ac:dyDescent="0.25">
      <c r="B194" s="3518" t="s">
        <v>1815</v>
      </c>
      <c r="C194" s="3519" t="s">
        <v>1815</v>
      </c>
      <c r="D194" s="3519" t="s">
        <v>1815</v>
      </c>
      <c r="E194" s="3519" t="s">
        <v>1815</v>
      </c>
      <c r="F194" s="3519" t="s">
        <v>1815</v>
      </c>
      <c r="G194" s="3519" t="s">
        <v>1849</v>
      </c>
      <c r="H194" s="3520" t="s">
        <v>3773</v>
      </c>
      <c r="I194" s="3503"/>
      <c r="J194" s="3521" t="s">
        <v>3978</v>
      </c>
    </row>
    <row r="195" spans="2:10" ht="30" x14ac:dyDescent="0.25">
      <c r="B195" s="3518" t="s">
        <v>1815</v>
      </c>
      <c r="C195" s="3519" t="s">
        <v>1815</v>
      </c>
      <c r="D195" s="3519" t="s">
        <v>1815</v>
      </c>
      <c r="E195" s="3519" t="s">
        <v>1815</v>
      </c>
      <c r="F195" s="3519" t="s">
        <v>1851</v>
      </c>
      <c r="G195" s="3519" t="s">
        <v>1815</v>
      </c>
      <c r="H195" s="3520" t="s">
        <v>3774</v>
      </c>
      <c r="I195" s="3503"/>
      <c r="J195" s="3521" t="s">
        <v>3979</v>
      </c>
    </row>
    <row r="196" spans="2:10" ht="30" x14ac:dyDescent="0.25">
      <c r="B196" s="3518" t="s">
        <v>1815</v>
      </c>
      <c r="C196" s="3519" t="s">
        <v>1815</v>
      </c>
      <c r="D196" s="3519" t="s">
        <v>1815</v>
      </c>
      <c r="E196" s="3519" t="s">
        <v>1815</v>
      </c>
      <c r="F196" s="3519" t="s">
        <v>1815</v>
      </c>
      <c r="G196" s="3519" t="s">
        <v>1852</v>
      </c>
      <c r="H196" s="3520" t="s">
        <v>3774</v>
      </c>
      <c r="I196" s="3503"/>
      <c r="J196" s="3521" t="s">
        <v>3979</v>
      </c>
    </row>
    <row r="197" spans="2:10" x14ac:dyDescent="0.25">
      <c r="B197" s="3518" t="s">
        <v>1815</v>
      </c>
      <c r="C197" s="3519" t="s">
        <v>1815</v>
      </c>
      <c r="D197" s="3519" t="s">
        <v>1815</v>
      </c>
      <c r="E197" s="3519" t="s">
        <v>1815</v>
      </c>
      <c r="F197" s="3519" t="s">
        <v>1853</v>
      </c>
      <c r="G197" s="3519" t="s">
        <v>1815</v>
      </c>
      <c r="H197" s="3520" t="s">
        <v>3732</v>
      </c>
      <c r="I197" s="3503"/>
      <c r="J197" s="3521" t="s">
        <v>3980</v>
      </c>
    </row>
    <row r="198" spans="2:10" x14ac:dyDescent="0.25">
      <c r="B198" s="3518" t="s">
        <v>1815</v>
      </c>
      <c r="C198" s="3519" t="s">
        <v>1815</v>
      </c>
      <c r="D198" s="3519" t="s">
        <v>1815</v>
      </c>
      <c r="E198" s="3519" t="s">
        <v>1815</v>
      </c>
      <c r="F198" s="3519" t="s">
        <v>1815</v>
      </c>
      <c r="G198" s="3519" t="s">
        <v>1854</v>
      </c>
      <c r="H198" s="3520" t="s">
        <v>3734</v>
      </c>
      <c r="I198" s="3503"/>
      <c r="J198" s="3521" t="s">
        <v>3981</v>
      </c>
    </row>
    <row r="199" spans="2:10" x14ac:dyDescent="0.25">
      <c r="B199" s="3518" t="s">
        <v>1815</v>
      </c>
      <c r="C199" s="3519" t="s">
        <v>1815</v>
      </c>
      <c r="D199" s="3519" t="s">
        <v>1815</v>
      </c>
      <c r="E199" s="3519" t="s">
        <v>1815</v>
      </c>
      <c r="F199" s="3519" t="s">
        <v>1815</v>
      </c>
      <c r="G199" s="3519" t="s">
        <v>1855</v>
      </c>
      <c r="H199" s="3520" t="s">
        <v>3778</v>
      </c>
      <c r="I199" s="3503"/>
      <c r="J199" s="3521" t="s">
        <v>3982</v>
      </c>
    </row>
    <row r="200" spans="2:10" x14ac:dyDescent="0.25">
      <c r="B200" s="3518" t="s">
        <v>1815</v>
      </c>
      <c r="C200" s="3519" t="s">
        <v>1815</v>
      </c>
      <c r="D200" s="3519" t="s">
        <v>1815</v>
      </c>
      <c r="E200" s="3519" t="s">
        <v>1815</v>
      </c>
      <c r="F200" s="3519" t="s">
        <v>1815</v>
      </c>
      <c r="G200" s="3519" t="s">
        <v>1935</v>
      </c>
      <c r="H200" s="3520" t="s">
        <v>3780</v>
      </c>
      <c r="I200" s="3503"/>
      <c r="J200" s="3521" t="s">
        <v>3983</v>
      </c>
    </row>
    <row r="201" spans="2:10" x14ac:dyDescent="0.25">
      <c r="B201" s="3518" t="s">
        <v>1815</v>
      </c>
      <c r="C201" s="3519" t="s">
        <v>1815</v>
      </c>
      <c r="D201" s="3519" t="s">
        <v>1815</v>
      </c>
      <c r="E201" s="3519" t="s">
        <v>1815</v>
      </c>
      <c r="F201" s="3519" t="s">
        <v>1815</v>
      </c>
      <c r="G201" s="3519" t="s">
        <v>1856</v>
      </c>
      <c r="H201" s="3520" t="s">
        <v>3736</v>
      </c>
      <c r="I201" s="3503"/>
      <c r="J201" s="3521" t="s">
        <v>3984</v>
      </c>
    </row>
    <row r="202" spans="2:10" x14ac:dyDescent="0.25">
      <c r="B202" s="3518" t="s">
        <v>1815</v>
      </c>
      <c r="C202" s="3519" t="s">
        <v>1815</v>
      </c>
      <c r="D202" s="3519" t="s">
        <v>1815</v>
      </c>
      <c r="E202" s="3519" t="s">
        <v>1815</v>
      </c>
      <c r="F202" s="3519" t="s">
        <v>1815</v>
      </c>
      <c r="G202" s="3519" t="s">
        <v>1936</v>
      </c>
      <c r="H202" s="3520" t="s">
        <v>3985</v>
      </c>
      <c r="I202" s="3503"/>
      <c r="J202" s="3521" t="s">
        <v>3986</v>
      </c>
    </row>
    <row r="203" spans="2:10" x14ac:dyDescent="0.25">
      <c r="B203" s="3518" t="s">
        <v>1815</v>
      </c>
      <c r="C203" s="3519" t="s">
        <v>1815</v>
      </c>
      <c r="D203" s="3519" t="s">
        <v>1815</v>
      </c>
      <c r="E203" s="3519" t="s">
        <v>1815</v>
      </c>
      <c r="F203" s="3519" t="s">
        <v>1815</v>
      </c>
      <c r="G203" s="3519" t="s">
        <v>1937</v>
      </c>
      <c r="H203" s="3520" t="s">
        <v>3783</v>
      </c>
      <c r="I203" s="3503"/>
      <c r="J203" s="3521" t="s">
        <v>3987</v>
      </c>
    </row>
    <row r="204" spans="2:10" x14ac:dyDescent="0.25">
      <c r="B204" s="3518" t="s">
        <v>1815</v>
      </c>
      <c r="C204" s="3519" t="s">
        <v>1815</v>
      </c>
      <c r="D204" s="3519" t="s">
        <v>1815</v>
      </c>
      <c r="E204" s="3519" t="s">
        <v>1815</v>
      </c>
      <c r="F204" s="3519" t="s">
        <v>1815</v>
      </c>
      <c r="G204" s="3519" t="s">
        <v>1858</v>
      </c>
      <c r="H204" s="3520" t="s">
        <v>3988</v>
      </c>
      <c r="I204" s="3503"/>
      <c r="J204" s="3521" t="s">
        <v>3989</v>
      </c>
    </row>
    <row r="205" spans="2:10" ht="30" x14ac:dyDescent="0.25">
      <c r="B205" s="3518" t="s">
        <v>1815</v>
      </c>
      <c r="C205" s="3519" t="s">
        <v>1815</v>
      </c>
      <c r="D205" s="3519" t="s">
        <v>1815</v>
      </c>
      <c r="E205" s="3519" t="s">
        <v>1815</v>
      </c>
      <c r="F205" s="3519" t="s">
        <v>1815</v>
      </c>
      <c r="G205" s="3519" t="s">
        <v>1929</v>
      </c>
      <c r="H205" s="3520" t="s">
        <v>3785</v>
      </c>
      <c r="I205" s="3503"/>
      <c r="J205" s="3521" t="s">
        <v>3990</v>
      </c>
    </row>
    <row r="206" spans="2:10" ht="30" x14ac:dyDescent="0.25">
      <c r="B206" s="3518" t="s">
        <v>1815</v>
      </c>
      <c r="C206" s="3519" t="s">
        <v>1815</v>
      </c>
      <c r="D206" s="3519" t="s">
        <v>1815</v>
      </c>
      <c r="E206" s="3519" t="s">
        <v>1815</v>
      </c>
      <c r="F206" s="3519" t="s">
        <v>1815</v>
      </c>
      <c r="G206" s="3519" t="s">
        <v>1938</v>
      </c>
      <c r="H206" s="3520" t="s">
        <v>3787</v>
      </c>
      <c r="I206" s="3503"/>
      <c r="J206" s="3521" t="s">
        <v>3991</v>
      </c>
    </row>
    <row r="207" spans="2:10" x14ac:dyDescent="0.25">
      <c r="B207" s="3518" t="s">
        <v>1815</v>
      </c>
      <c r="C207" s="3519" t="s">
        <v>1815</v>
      </c>
      <c r="D207" s="3519" t="s">
        <v>1815</v>
      </c>
      <c r="E207" s="3519" t="s">
        <v>1815</v>
      </c>
      <c r="F207" s="3519" t="s">
        <v>1815</v>
      </c>
      <c r="G207" s="3519" t="s">
        <v>1939</v>
      </c>
      <c r="H207" s="3520" t="s">
        <v>3789</v>
      </c>
      <c r="I207" s="3503"/>
      <c r="J207" s="3521" t="s">
        <v>3992</v>
      </c>
    </row>
    <row r="208" spans="2:10" ht="30" x14ac:dyDescent="0.25">
      <c r="B208" s="3518" t="s">
        <v>1815</v>
      </c>
      <c r="C208" s="3519" t="s">
        <v>1815</v>
      </c>
      <c r="D208" s="3519" t="s">
        <v>1815</v>
      </c>
      <c r="E208" s="3519" t="s">
        <v>1815</v>
      </c>
      <c r="F208" s="3519" t="s">
        <v>1940</v>
      </c>
      <c r="G208" s="3519" t="s">
        <v>1815</v>
      </c>
      <c r="H208" s="3520" t="s">
        <v>3791</v>
      </c>
      <c r="I208" s="3503"/>
      <c r="J208" s="3521" t="s">
        <v>3993</v>
      </c>
    </row>
    <row r="209" spans="2:10" ht="30" x14ac:dyDescent="0.25">
      <c r="B209" s="3518" t="s">
        <v>1815</v>
      </c>
      <c r="C209" s="3519" t="s">
        <v>1815</v>
      </c>
      <c r="D209" s="3519" t="s">
        <v>1815</v>
      </c>
      <c r="E209" s="3519" t="s">
        <v>1815</v>
      </c>
      <c r="F209" s="3519" t="s">
        <v>1815</v>
      </c>
      <c r="G209" s="3519" t="s">
        <v>1941</v>
      </c>
      <c r="H209" s="3520" t="s">
        <v>3916</v>
      </c>
      <c r="I209" s="3503"/>
      <c r="J209" s="3521" t="s">
        <v>3994</v>
      </c>
    </row>
    <row r="210" spans="2:10" x14ac:dyDescent="0.25">
      <c r="B210" s="3518" t="s">
        <v>1815</v>
      </c>
      <c r="C210" s="3519" t="s">
        <v>1815</v>
      </c>
      <c r="D210" s="3519" t="s">
        <v>1815</v>
      </c>
      <c r="E210" s="3519" t="s">
        <v>1815</v>
      </c>
      <c r="F210" s="3519" t="s">
        <v>1815</v>
      </c>
      <c r="G210" s="3519" t="s">
        <v>1942</v>
      </c>
      <c r="H210" s="3520" t="s">
        <v>3793</v>
      </c>
      <c r="I210" s="3503"/>
      <c r="J210" s="3521" t="s">
        <v>3995</v>
      </c>
    </row>
    <row r="211" spans="2:10" x14ac:dyDescent="0.25">
      <c r="B211" s="3518" t="s">
        <v>1815</v>
      </c>
      <c r="C211" s="3519" t="s">
        <v>1815</v>
      </c>
      <c r="D211" s="3519" t="s">
        <v>1815</v>
      </c>
      <c r="E211" s="3519" t="s">
        <v>1815</v>
      </c>
      <c r="F211" s="3519" t="s">
        <v>1815</v>
      </c>
      <c r="G211" s="3519" t="s">
        <v>1967</v>
      </c>
      <c r="H211" s="3520" t="s">
        <v>3795</v>
      </c>
      <c r="I211" s="3503"/>
      <c r="J211" s="3521" t="s">
        <v>3996</v>
      </c>
    </row>
    <row r="212" spans="2:10" x14ac:dyDescent="0.25">
      <c r="B212" s="3518" t="s">
        <v>1815</v>
      </c>
      <c r="C212" s="3519" t="s">
        <v>1815</v>
      </c>
      <c r="D212" s="3519" t="s">
        <v>1815</v>
      </c>
      <c r="E212" s="3519" t="s">
        <v>1815</v>
      </c>
      <c r="F212" s="3519" t="s">
        <v>1860</v>
      </c>
      <c r="G212" s="3519" t="s">
        <v>1815</v>
      </c>
      <c r="H212" s="3520" t="s">
        <v>3796</v>
      </c>
      <c r="I212" s="3503"/>
      <c r="J212" s="3521" t="s">
        <v>3997</v>
      </c>
    </row>
    <row r="213" spans="2:10" x14ac:dyDescent="0.25">
      <c r="B213" s="3518" t="s">
        <v>1815</v>
      </c>
      <c r="C213" s="3519" t="s">
        <v>1815</v>
      </c>
      <c r="D213" s="3519" t="s">
        <v>1815</v>
      </c>
      <c r="E213" s="3519" t="s">
        <v>1815</v>
      </c>
      <c r="F213" s="3519" t="s">
        <v>1815</v>
      </c>
      <c r="G213" s="3519" t="s">
        <v>1861</v>
      </c>
      <c r="H213" s="3520" t="s">
        <v>3798</v>
      </c>
      <c r="I213" s="3503"/>
      <c r="J213" s="3521" t="s">
        <v>3997</v>
      </c>
    </row>
    <row r="214" spans="2:10" x14ac:dyDescent="0.25">
      <c r="B214" s="3518" t="s">
        <v>1815</v>
      </c>
      <c r="C214" s="3519" t="s">
        <v>1815</v>
      </c>
      <c r="D214" s="3519" t="s">
        <v>1815</v>
      </c>
      <c r="E214" s="3519" t="s">
        <v>1815</v>
      </c>
      <c r="F214" s="3519" t="s">
        <v>1943</v>
      </c>
      <c r="G214" s="3519" t="s">
        <v>1815</v>
      </c>
      <c r="H214" s="3520" t="s">
        <v>3799</v>
      </c>
      <c r="I214" s="3503"/>
      <c r="J214" s="3521" t="s">
        <v>3998</v>
      </c>
    </row>
    <row r="215" spans="2:10" x14ac:dyDescent="0.25">
      <c r="B215" s="3518" t="s">
        <v>1815</v>
      </c>
      <c r="C215" s="3519" t="s">
        <v>1815</v>
      </c>
      <c r="D215" s="3519" t="s">
        <v>1815</v>
      </c>
      <c r="E215" s="3519" t="s">
        <v>1815</v>
      </c>
      <c r="F215" s="3519" t="s">
        <v>1815</v>
      </c>
      <c r="G215" s="3519" t="s">
        <v>3922</v>
      </c>
      <c r="H215" s="3520" t="s">
        <v>3923</v>
      </c>
      <c r="I215" s="3503"/>
      <c r="J215" s="3521" t="s">
        <v>3999</v>
      </c>
    </row>
    <row r="216" spans="2:10" x14ac:dyDescent="0.25">
      <c r="B216" s="3518" t="s">
        <v>1815</v>
      </c>
      <c r="C216" s="3519" t="s">
        <v>1815</v>
      </c>
      <c r="D216" s="3519" t="s">
        <v>1815</v>
      </c>
      <c r="E216" s="3519" t="s">
        <v>1815</v>
      </c>
      <c r="F216" s="3519" t="s">
        <v>1815</v>
      </c>
      <c r="G216" s="3519" t="s">
        <v>1980</v>
      </c>
      <c r="H216" s="3520" t="s">
        <v>951</v>
      </c>
      <c r="I216" s="3503"/>
      <c r="J216" s="3521" t="s">
        <v>4000</v>
      </c>
    </row>
    <row r="217" spans="2:10" x14ac:dyDescent="0.25">
      <c r="B217" s="3518" t="s">
        <v>1815</v>
      </c>
      <c r="C217" s="3519" t="s">
        <v>1815</v>
      </c>
      <c r="D217" s="3519" t="s">
        <v>1815</v>
      </c>
      <c r="E217" s="3519" t="s">
        <v>1815</v>
      </c>
      <c r="F217" s="3519" t="s">
        <v>1862</v>
      </c>
      <c r="G217" s="3519" t="s">
        <v>1815</v>
      </c>
      <c r="H217" s="3520" t="s">
        <v>3801</v>
      </c>
      <c r="I217" s="3503"/>
      <c r="J217" s="3521" t="s">
        <v>4001</v>
      </c>
    </row>
    <row r="218" spans="2:10" x14ac:dyDescent="0.25">
      <c r="B218" s="3518" t="s">
        <v>1815</v>
      </c>
      <c r="C218" s="3519" t="s">
        <v>1815</v>
      </c>
      <c r="D218" s="3519" t="s">
        <v>1815</v>
      </c>
      <c r="E218" s="3519" t="s">
        <v>1815</v>
      </c>
      <c r="F218" s="3519" t="s">
        <v>1815</v>
      </c>
      <c r="G218" s="3519" t="s">
        <v>1863</v>
      </c>
      <c r="H218" s="3520" t="s">
        <v>3803</v>
      </c>
      <c r="I218" s="3503"/>
      <c r="J218" s="3521" t="s">
        <v>4002</v>
      </c>
    </row>
    <row r="219" spans="2:10" x14ac:dyDescent="0.25">
      <c r="B219" s="3518" t="s">
        <v>1815</v>
      </c>
      <c r="C219" s="3519" t="s">
        <v>1815</v>
      </c>
      <c r="D219" s="3519" t="s">
        <v>1815</v>
      </c>
      <c r="E219" s="3519" t="s">
        <v>1815</v>
      </c>
      <c r="F219" s="3519" t="s">
        <v>1815</v>
      </c>
      <c r="G219" s="3519" t="s">
        <v>1864</v>
      </c>
      <c r="H219" s="3520" t="s">
        <v>3805</v>
      </c>
      <c r="I219" s="3503"/>
      <c r="J219" s="3521" t="s">
        <v>4003</v>
      </c>
    </row>
    <row r="220" spans="2:10" x14ac:dyDescent="0.25">
      <c r="B220" s="3518" t="s">
        <v>1815</v>
      </c>
      <c r="C220" s="3519" t="s">
        <v>1815</v>
      </c>
      <c r="D220" s="3519" t="s">
        <v>1815</v>
      </c>
      <c r="E220" s="3519" t="s">
        <v>1815</v>
      </c>
      <c r="F220" s="3519" t="s">
        <v>1815</v>
      </c>
      <c r="G220" s="3519" t="s">
        <v>1865</v>
      </c>
      <c r="H220" s="3520" t="s">
        <v>3807</v>
      </c>
      <c r="I220" s="3503"/>
      <c r="J220" s="3521" t="s">
        <v>4004</v>
      </c>
    </row>
    <row r="221" spans="2:10" x14ac:dyDescent="0.25">
      <c r="B221" s="3518" t="s">
        <v>1815</v>
      </c>
      <c r="C221" s="3519" t="s">
        <v>1815</v>
      </c>
      <c r="D221" s="3519" t="s">
        <v>1815</v>
      </c>
      <c r="E221" s="3519" t="s">
        <v>1815</v>
      </c>
      <c r="F221" s="3519" t="s">
        <v>1815</v>
      </c>
      <c r="G221" s="3519" t="s">
        <v>1866</v>
      </c>
      <c r="H221" s="3520" t="s">
        <v>3809</v>
      </c>
      <c r="I221" s="3503"/>
      <c r="J221" s="3521" t="s">
        <v>4005</v>
      </c>
    </row>
    <row r="222" spans="2:10" x14ac:dyDescent="0.25">
      <c r="B222" s="3518" t="s">
        <v>1815</v>
      </c>
      <c r="C222" s="3519" t="s">
        <v>1815</v>
      </c>
      <c r="D222" s="3519" t="s">
        <v>1815</v>
      </c>
      <c r="E222" s="3519" t="s">
        <v>1815</v>
      </c>
      <c r="F222" s="3519" t="s">
        <v>1867</v>
      </c>
      <c r="G222" s="3519" t="s">
        <v>1815</v>
      </c>
      <c r="H222" s="3520" t="s">
        <v>3811</v>
      </c>
      <c r="I222" s="3503"/>
      <c r="J222" s="3521" t="s">
        <v>4006</v>
      </c>
    </row>
    <row r="223" spans="2:10" x14ac:dyDescent="0.25">
      <c r="B223" s="3518" t="s">
        <v>1815</v>
      </c>
      <c r="C223" s="3519" t="s">
        <v>1815</v>
      </c>
      <c r="D223" s="3519" t="s">
        <v>1815</v>
      </c>
      <c r="E223" s="3519" t="s">
        <v>1815</v>
      </c>
      <c r="F223" s="3519" t="s">
        <v>1815</v>
      </c>
      <c r="G223" s="3519" t="s">
        <v>1946</v>
      </c>
      <c r="H223" s="3520" t="s">
        <v>3813</v>
      </c>
      <c r="I223" s="3503"/>
      <c r="J223" s="3521" t="s">
        <v>4007</v>
      </c>
    </row>
    <row r="224" spans="2:10" ht="30" x14ac:dyDescent="0.25">
      <c r="B224" s="3518" t="s">
        <v>1815</v>
      </c>
      <c r="C224" s="3519" t="s">
        <v>1815</v>
      </c>
      <c r="D224" s="3519" t="s">
        <v>1815</v>
      </c>
      <c r="E224" s="3519" t="s">
        <v>1815</v>
      </c>
      <c r="F224" s="3519" t="s">
        <v>1815</v>
      </c>
      <c r="G224" s="3519" t="s">
        <v>1868</v>
      </c>
      <c r="H224" s="3520" t="s">
        <v>3815</v>
      </c>
      <c r="I224" s="3503"/>
      <c r="J224" s="3521" t="s">
        <v>4008</v>
      </c>
    </row>
    <row r="225" spans="2:10" x14ac:dyDescent="0.25">
      <c r="B225" s="3518" t="s">
        <v>1815</v>
      </c>
      <c r="C225" s="3519" t="s">
        <v>1815</v>
      </c>
      <c r="D225" s="3519" t="s">
        <v>1815</v>
      </c>
      <c r="E225" s="3519" t="s">
        <v>1815</v>
      </c>
      <c r="F225" s="3519" t="s">
        <v>1869</v>
      </c>
      <c r="G225" s="3519" t="s">
        <v>1815</v>
      </c>
      <c r="H225" s="3520" t="s">
        <v>3817</v>
      </c>
      <c r="I225" s="3503"/>
      <c r="J225" s="3521" t="s">
        <v>4009</v>
      </c>
    </row>
    <row r="226" spans="2:10" x14ac:dyDescent="0.25">
      <c r="B226" s="3518" t="s">
        <v>1815</v>
      </c>
      <c r="C226" s="3519" t="s">
        <v>1815</v>
      </c>
      <c r="D226" s="3519" t="s">
        <v>1815</v>
      </c>
      <c r="E226" s="3519" t="s">
        <v>1815</v>
      </c>
      <c r="F226" s="3519" t="s">
        <v>1815</v>
      </c>
      <c r="G226" s="3519" t="s">
        <v>1870</v>
      </c>
      <c r="H226" s="3520" t="s">
        <v>3819</v>
      </c>
      <c r="I226" s="3503"/>
      <c r="J226" s="3521" t="s">
        <v>4010</v>
      </c>
    </row>
    <row r="227" spans="2:10" x14ac:dyDescent="0.25">
      <c r="B227" s="3518" t="s">
        <v>1815</v>
      </c>
      <c r="C227" s="3519" t="s">
        <v>1815</v>
      </c>
      <c r="D227" s="3519" t="s">
        <v>1815</v>
      </c>
      <c r="E227" s="3519" t="s">
        <v>1815</v>
      </c>
      <c r="F227" s="3519" t="s">
        <v>1815</v>
      </c>
      <c r="G227" s="3519" t="s">
        <v>3823</v>
      </c>
      <c r="H227" s="3520" t="s">
        <v>3824</v>
      </c>
      <c r="I227" s="3503"/>
      <c r="J227" s="3521" t="s">
        <v>4011</v>
      </c>
    </row>
    <row r="228" spans="2:10" x14ac:dyDescent="0.25">
      <c r="B228" s="3518" t="s">
        <v>1815</v>
      </c>
      <c r="C228" s="3519" t="s">
        <v>1815</v>
      </c>
      <c r="D228" s="3519" t="s">
        <v>1815</v>
      </c>
      <c r="E228" s="3519" t="s">
        <v>1815</v>
      </c>
      <c r="F228" s="3519" t="s">
        <v>1874</v>
      </c>
      <c r="G228" s="3519" t="s">
        <v>1815</v>
      </c>
      <c r="H228" s="3520" t="s">
        <v>3743</v>
      </c>
      <c r="I228" s="3503"/>
      <c r="J228" s="3521" t="s">
        <v>4012</v>
      </c>
    </row>
    <row r="229" spans="2:10" x14ac:dyDescent="0.25">
      <c r="B229" s="3518" t="s">
        <v>1815</v>
      </c>
      <c r="C229" s="3519" t="s">
        <v>1815</v>
      </c>
      <c r="D229" s="3519" t="s">
        <v>1815</v>
      </c>
      <c r="E229" s="3519" t="s">
        <v>1815</v>
      </c>
      <c r="F229" s="3519" t="s">
        <v>1815</v>
      </c>
      <c r="G229" s="3519" t="s">
        <v>1875</v>
      </c>
      <c r="H229" s="3520" t="s">
        <v>3745</v>
      </c>
      <c r="I229" s="3503"/>
      <c r="J229" s="3521" t="s">
        <v>4013</v>
      </c>
    </row>
    <row r="230" spans="2:10" x14ac:dyDescent="0.25">
      <c r="B230" s="3518" t="s">
        <v>1815</v>
      </c>
      <c r="C230" s="3519" t="s">
        <v>1815</v>
      </c>
      <c r="D230" s="3519" t="s">
        <v>1815</v>
      </c>
      <c r="E230" s="3519" t="s">
        <v>1815</v>
      </c>
      <c r="F230" s="3519" t="s">
        <v>1815</v>
      </c>
      <c r="G230" s="3519" t="s">
        <v>1876</v>
      </c>
      <c r="H230" s="3520" t="s">
        <v>3828</v>
      </c>
      <c r="I230" s="3503"/>
      <c r="J230" s="3521" t="s">
        <v>4014</v>
      </c>
    </row>
    <row r="231" spans="2:10" x14ac:dyDescent="0.25">
      <c r="B231" s="3518" t="s">
        <v>1815</v>
      </c>
      <c r="C231" s="3519" t="s">
        <v>1815</v>
      </c>
      <c r="D231" s="3519" t="s">
        <v>1815</v>
      </c>
      <c r="E231" s="3519" t="s">
        <v>1815</v>
      </c>
      <c r="F231" s="3519" t="s">
        <v>1815</v>
      </c>
      <c r="G231" s="3519" t="s">
        <v>2062</v>
      </c>
      <c r="H231" s="3520" t="s">
        <v>3830</v>
      </c>
      <c r="I231" s="3503"/>
      <c r="J231" s="3521" t="s">
        <v>4015</v>
      </c>
    </row>
    <row r="232" spans="2:10" x14ac:dyDescent="0.25">
      <c r="B232" s="3518" t="s">
        <v>1815</v>
      </c>
      <c r="C232" s="3519" t="s">
        <v>1815</v>
      </c>
      <c r="D232" s="3519" t="s">
        <v>1815</v>
      </c>
      <c r="E232" s="3519" t="s">
        <v>1815</v>
      </c>
      <c r="F232" s="3519" t="s">
        <v>1815</v>
      </c>
      <c r="G232" s="3519" t="s">
        <v>1877</v>
      </c>
      <c r="H232" s="3520" t="s">
        <v>3747</v>
      </c>
      <c r="I232" s="3503"/>
      <c r="J232" s="3521" t="s">
        <v>4016</v>
      </c>
    </row>
    <row r="233" spans="2:10" x14ac:dyDescent="0.25">
      <c r="B233" s="3518" t="s">
        <v>1815</v>
      </c>
      <c r="C233" s="3519" t="s">
        <v>1815</v>
      </c>
      <c r="D233" s="3519" t="s">
        <v>1815</v>
      </c>
      <c r="E233" s="3519" t="s">
        <v>1815</v>
      </c>
      <c r="F233" s="3519" t="s">
        <v>1878</v>
      </c>
      <c r="G233" s="3519" t="s">
        <v>1815</v>
      </c>
      <c r="H233" s="3520" t="s">
        <v>3833</v>
      </c>
      <c r="I233" s="3503"/>
      <c r="J233" s="3521" t="s">
        <v>4017</v>
      </c>
    </row>
    <row r="234" spans="2:10" ht="30" x14ac:dyDescent="0.25">
      <c r="B234" s="3518" t="s">
        <v>1815</v>
      </c>
      <c r="C234" s="3519" t="s">
        <v>1815</v>
      </c>
      <c r="D234" s="3519" t="s">
        <v>1815</v>
      </c>
      <c r="E234" s="3519" t="s">
        <v>1815</v>
      </c>
      <c r="F234" s="3519" t="s">
        <v>1815</v>
      </c>
      <c r="G234" s="3519" t="s">
        <v>1879</v>
      </c>
      <c r="H234" s="3520" t="s">
        <v>3835</v>
      </c>
      <c r="I234" s="3503"/>
      <c r="J234" s="3521" t="s">
        <v>4018</v>
      </c>
    </row>
    <row r="235" spans="2:10" ht="30" x14ac:dyDescent="0.25">
      <c r="B235" s="3518" t="s">
        <v>1815</v>
      </c>
      <c r="C235" s="3519" t="s">
        <v>1815</v>
      </c>
      <c r="D235" s="3519" t="s">
        <v>1815</v>
      </c>
      <c r="E235" s="3519" t="s">
        <v>1815</v>
      </c>
      <c r="F235" s="3519" t="s">
        <v>1815</v>
      </c>
      <c r="G235" s="3519" t="s">
        <v>1881</v>
      </c>
      <c r="H235" s="3520" t="s">
        <v>3837</v>
      </c>
      <c r="I235" s="3503"/>
      <c r="J235" s="3521" t="s">
        <v>4019</v>
      </c>
    </row>
    <row r="236" spans="2:10" x14ac:dyDescent="0.25">
      <c r="B236" s="3518" t="s">
        <v>1815</v>
      </c>
      <c r="C236" s="3519" t="s">
        <v>1815</v>
      </c>
      <c r="D236" s="3519" t="s">
        <v>1815</v>
      </c>
      <c r="E236" s="3519" t="s">
        <v>1815</v>
      </c>
      <c r="F236" s="3519" t="s">
        <v>1815</v>
      </c>
      <c r="G236" s="3519" t="s">
        <v>1949</v>
      </c>
      <c r="H236" s="3520" t="s">
        <v>2863</v>
      </c>
      <c r="I236" s="3503"/>
      <c r="J236" s="3521" t="s">
        <v>4020</v>
      </c>
    </row>
    <row r="237" spans="2:10" x14ac:dyDescent="0.25">
      <c r="B237" s="3518" t="s">
        <v>1815</v>
      </c>
      <c r="C237" s="3519" t="s">
        <v>1815</v>
      </c>
      <c r="D237" s="3519" t="s">
        <v>1815</v>
      </c>
      <c r="E237" s="3519" t="s">
        <v>1815</v>
      </c>
      <c r="F237" s="3519" t="s">
        <v>1885</v>
      </c>
      <c r="G237" s="3519" t="s">
        <v>1815</v>
      </c>
      <c r="H237" s="3520" t="s">
        <v>3749</v>
      </c>
      <c r="I237" s="3503"/>
      <c r="J237" s="3521" t="s">
        <v>4021</v>
      </c>
    </row>
    <row r="238" spans="2:10" x14ac:dyDescent="0.25">
      <c r="B238" s="3518" t="s">
        <v>1815</v>
      </c>
      <c r="C238" s="3519" t="s">
        <v>1815</v>
      </c>
      <c r="D238" s="3519" t="s">
        <v>1815</v>
      </c>
      <c r="E238" s="3519" t="s">
        <v>1815</v>
      </c>
      <c r="F238" s="3519" t="s">
        <v>1815</v>
      </c>
      <c r="G238" s="3519" t="s">
        <v>1886</v>
      </c>
      <c r="H238" s="3520" t="s">
        <v>4022</v>
      </c>
      <c r="I238" s="3503"/>
      <c r="J238" s="3521" t="s">
        <v>4021</v>
      </c>
    </row>
    <row r="239" spans="2:10" x14ac:dyDescent="0.25">
      <c r="B239" s="3518" t="s">
        <v>1815</v>
      </c>
      <c r="C239" s="3519" t="s">
        <v>1815</v>
      </c>
      <c r="D239" s="3519" t="s">
        <v>1815</v>
      </c>
      <c r="E239" s="3519" t="s">
        <v>1815</v>
      </c>
      <c r="F239" s="3519" t="s">
        <v>1889</v>
      </c>
      <c r="G239" s="3519" t="s">
        <v>1815</v>
      </c>
      <c r="H239" s="3520" t="s">
        <v>3844</v>
      </c>
      <c r="I239" s="3503"/>
      <c r="J239" s="3521" t="s">
        <v>4023</v>
      </c>
    </row>
    <row r="240" spans="2:10" x14ac:dyDescent="0.25">
      <c r="B240" s="3518" t="s">
        <v>1815</v>
      </c>
      <c r="C240" s="3519" t="s">
        <v>1815</v>
      </c>
      <c r="D240" s="3519" t="s">
        <v>1815</v>
      </c>
      <c r="E240" s="3519" t="s">
        <v>1815</v>
      </c>
      <c r="F240" s="3519" t="s">
        <v>1815</v>
      </c>
      <c r="G240" s="3519" t="s">
        <v>1921</v>
      </c>
      <c r="H240" s="3520" t="s">
        <v>3846</v>
      </c>
      <c r="I240" s="3503"/>
      <c r="J240" s="3521" t="s">
        <v>4024</v>
      </c>
    </row>
    <row r="241" spans="2:10" x14ac:dyDescent="0.25">
      <c r="B241" s="3518" t="s">
        <v>1815</v>
      </c>
      <c r="C241" s="3519" t="s">
        <v>1815</v>
      </c>
      <c r="D241" s="3519" t="s">
        <v>1815</v>
      </c>
      <c r="E241" s="3519" t="s">
        <v>1815</v>
      </c>
      <c r="F241" s="3519" t="s">
        <v>1815</v>
      </c>
      <c r="G241" s="3519" t="s">
        <v>1890</v>
      </c>
      <c r="H241" s="3520" t="s">
        <v>3848</v>
      </c>
      <c r="I241" s="3503"/>
      <c r="J241" s="3521" t="s">
        <v>4025</v>
      </c>
    </row>
    <row r="242" spans="2:10" x14ac:dyDescent="0.25">
      <c r="B242" s="3518" t="s">
        <v>1815</v>
      </c>
      <c r="C242" s="3519" t="s">
        <v>1815</v>
      </c>
      <c r="D242" s="3519" t="s">
        <v>1815</v>
      </c>
      <c r="E242" s="3519" t="s">
        <v>1815</v>
      </c>
      <c r="F242" s="3519" t="s">
        <v>1815</v>
      </c>
      <c r="G242" s="3519" t="s">
        <v>1891</v>
      </c>
      <c r="H242" s="3520" t="s">
        <v>3850</v>
      </c>
      <c r="I242" s="3503"/>
      <c r="J242" s="3521" t="s">
        <v>4026</v>
      </c>
    </row>
    <row r="243" spans="2:10" x14ac:dyDescent="0.25">
      <c r="B243" s="3518" t="s">
        <v>1815</v>
      </c>
      <c r="C243" s="3519" t="s">
        <v>1815</v>
      </c>
      <c r="D243" s="3519" t="s">
        <v>1815</v>
      </c>
      <c r="E243" s="3519" t="s">
        <v>1815</v>
      </c>
      <c r="F243" s="3519" t="s">
        <v>1815</v>
      </c>
      <c r="G243" s="3519" t="s">
        <v>1892</v>
      </c>
      <c r="H243" s="3520" t="s">
        <v>3852</v>
      </c>
      <c r="I243" s="3503"/>
      <c r="J243" s="3521" t="s">
        <v>4027</v>
      </c>
    </row>
    <row r="244" spans="2:10" x14ac:dyDescent="0.25">
      <c r="B244" s="3518" t="s">
        <v>1815</v>
      </c>
      <c r="C244" s="3519" t="s">
        <v>1815</v>
      </c>
      <c r="D244" s="3519" t="s">
        <v>1815</v>
      </c>
      <c r="E244" s="3519" t="s">
        <v>1815</v>
      </c>
      <c r="F244" s="3519" t="s">
        <v>1893</v>
      </c>
      <c r="G244" s="3519" t="s">
        <v>1815</v>
      </c>
      <c r="H244" s="3520" t="s">
        <v>3853</v>
      </c>
      <c r="I244" s="3503"/>
      <c r="J244" s="3521" t="s">
        <v>4028</v>
      </c>
    </row>
    <row r="245" spans="2:10" x14ac:dyDescent="0.25">
      <c r="B245" s="3518" t="s">
        <v>1815</v>
      </c>
      <c r="C245" s="3519" t="s">
        <v>1815</v>
      </c>
      <c r="D245" s="3519" t="s">
        <v>1815</v>
      </c>
      <c r="E245" s="3519" t="s">
        <v>1815</v>
      </c>
      <c r="F245" s="3519" t="s">
        <v>1815</v>
      </c>
      <c r="G245" s="3519" t="s">
        <v>1894</v>
      </c>
      <c r="H245" s="3520" t="s">
        <v>3855</v>
      </c>
      <c r="I245" s="3503"/>
      <c r="J245" s="3521" t="s">
        <v>3856</v>
      </c>
    </row>
    <row r="246" spans="2:10" x14ac:dyDescent="0.25">
      <c r="B246" s="3518" t="s">
        <v>1815</v>
      </c>
      <c r="C246" s="3519" t="s">
        <v>1815</v>
      </c>
      <c r="D246" s="3519" t="s">
        <v>1815</v>
      </c>
      <c r="E246" s="3519" t="s">
        <v>1815</v>
      </c>
      <c r="F246" s="3519" t="s">
        <v>1815</v>
      </c>
      <c r="G246" s="3519" t="s">
        <v>2051</v>
      </c>
      <c r="H246" s="3520" t="s">
        <v>3859</v>
      </c>
      <c r="I246" s="3503"/>
      <c r="J246" s="3521" t="s">
        <v>4029</v>
      </c>
    </row>
    <row r="247" spans="2:10" x14ac:dyDescent="0.25">
      <c r="B247" s="3518" t="s">
        <v>1815</v>
      </c>
      <c r="C247" s="3519" t="s">
        <v>1815</v>
      </c>
      <c r="D247" s="3519" t="s">
        <v>1815</v>
      </c>
      <c r="E247" s="3519" t="s">
        <v>1815</v>
      </c>
      <c r="F247" s="3519" t="s">
        <v>1815</v>
      </c>
      <c r="G247" s="3519" t="s">
        <v>1895</v>
      </c>
      <c r="H247" s="3520" t="s">
        <v>3861</v>
      </c>
      <c r="I247" s="3503"/>
      <c r="J247" s="3521" t="s">
        <v>4030</v>
      </c>
    </row>
    <row r="248" spans="2:10" ht="30" x14ac:dyDescent="0.25">
      <c r="B248" s="3518" t="s">
        <v>1815</v>
      </c>
      <c r="C248" s="3519" t="s">
        <v>1815</v>
      </c>
      <c r="D248" s="3519" t="s">
        <v>1815</v>
      </c>
      <c r="E248" s="3519" t="s">
        <v>1815</v>
      </c>
      <c r="F248" s="3519" t="s">
        <v>1896</v>
      </c>
      <c r="G248" s="3519" t="s">
        <v>1815</v>
      </c>
      <c r="H248" s="3520" t="s">
        <v>3863</v>
      </c>
      <c r="I248" s="3503"/>
      <c r="J248" s="3521" t="s">
        <v>4031</v>
      </c>
    </row>
    <row r="249" spans="2:10" x14ac:dyDescent="0.25">
      <c r="B249" s="3518" t="s">
        <v>1815</v>
      </c>
      <c r="C249" s="3519" t="s">
        <v>1815</v>
      </c>
      <c r="D249" s="3519" t="s">
        <v>1815</v>
      </c>
      <c r="E249" s="3519" t="s">
        <v>1815</v>
      </c>
      <c r="F249" s="3519" t="s">
        <v>1815</v>
      </c>
      <c r="G249" s="3519" t="s">
        <v>1899</v>
      </c>
      <c r="H249" s="3520" t="s">
        <v>4032</v>
      </c>
      <c r="I249" s="3503"/>
      <c r="J249" s="3521" t="s">
        <v>4033</v>
      </c>
    </row>
    <row r="250" spans="2:10" x14ac:dyDescent="0.25">
      <c r="B250" s="3518" t="s">
        <v>1815</v>
      </c>
      <c r="C250" s="3519" t="s">
        <v>1815</v>
      </c>
      <c r="D250" s="3519" t="s">
        <v>1815</v>
      </c>
      <c r="E250" s="3519" t="s">
        <v>1815</v>
      </c>
      <c r="F250" s="3519" t="s">
        <v>1815</v>
      </c>
      <c r="G250" s="3519" t="s">
        <v>1900</v>
      </c>
      <c r="H250" s="3520" t="s">
        <v>3865</v>
      </c>
      <c r="I250" s="3503"/>
      <c r="J250" s="3521" t="s">
        <v>4034</v>
      </c>
    </row>
    <row r="251" spans="2:10" x14ac:dyDescent="0.25">
      <c r="B251" s="3518" t="s">
        <v>1815</v>
      </c>
      <c r="C251" s="3519" t="s">
        <v>1815</v>
      </c>
      <c r="D251" s="3519" t="s">
        <v>1815</v>
      </c>
      <c r="E251" s="3519" t="s">
        <v>1815</v>
      </c>
      <c r="F251" s="3519" t="s">
        <v>1815</v>
      </c>
      <c r="G251" s="3519" t="s">
        <v>1902</v>
      </c>
      <c r="H251" s="3520" t="s">
        <v>3871</v>
      </c>
      <c r="I251" s="3503"/>
      <c r="J251" s="3521" t="s">
        <v>4035</v>
      </c>
    </row>
    <row r="252" spans="2:10" x14ac:dyDescent="0.25">
      <c r="B252" s="3518" t="s">
        <v>1815</v>
      </c>
      <c r="C252" s="3519" t="s">
        <v>1815</v>
      </c>
      <c r="D252" s="3519" t="s">
        <v>1815</v>
      </c>
      <c r="E252" s="3519" t="s">
        <v>1815</v>
      </c>
      <c r="F252" s="3519" t="s">
        <v>1903</v>
      </c>
      <c r="G252" s="3519" t="s">
        <v>1815</v>
      </c>
      <c r="H252" s="3520" t="s">
        <v>3873</v>
      </c>
      <c r="I252" s="3503"/>
      <c r="J252" s="3521" t="s">
        <v>4036</v>
      </c>
    </row>
    <row r="253" spans="2:10" x14ac:dyDescent="0.25">
      <c r="B253" s="3518" t="s">
        <v>1815</v>
      </c>
      <c r="C253" s="3519" t="s">
        <v>1815</v>
      </c>
      <c r="D253" s="3519" t="s">
        <v>1815</v>
      </c>
      <c r="E253" s="3519" t="s">
        <v>1815</v>
      </c>
      <c r="F253" s="3519" t="s">
        <v>1815</v>
      </c>
      <c r="G253" s="3519" t="s">
        <v>1905</v>
      </c>
      <c r="H253" s="3520" t="s">
        <v>3960</v>
      </c>
      <c r="I253" s="3503"/>
      <c r="J253" s="3521" t="s">
        <v>4036</v>
      </c>
    </row>
    <row r="254" spans="2:10" x14ac:dyDescent="0.25">
      <c r="B254" s="3518" t="s">
        <v>1815</v>
      </c>
      <c r="C254" s="3519" t="s">
        <v>1815</v>
      </c>
      <c r="D254" s="3519" t="s">
        <v>1815</v>
      </c>
      <c r="E254" s="3519" t="s">
        <v>1815</v>
      </c>
      <c r="F254" s="3519" t="s">
        <v>1906</v>
      </c>
      <c r="G254" s="3519" t="s">
        <v>1815</v>
      </c>
      <c r="H254" s="3520" t="s">
        <v>3752</v>
      </c>
      <c r="I254" s="3503"/>
      <c r="J254" s="3521" t="s">
        <v>4037</v>
      </c>
    </row>
    <row r="255" spans="2:10" x14ac:dyDescent="0.25">
      <c r="B255" s="3518" t="s">
        <v>1815</v>
      </c>
      <c r="C255" s="3519" t="s">
        <v>1815</v>
      </c>
      <c r="D255" s="3519" t="s">
        <v>1815</v>
      </c>
      <c r="E255" s="3519" t="s">
        <v>1815</v>
      </c>
      <c r="F255" s="3519" t="s">
        <v>1815</v>
      </c>
      <c r="G255" s="3519" t="s">
        <v>1907</v>
      </c>
      <c r="H255" s="3520" t="s">
        <v>3763</v>
      </c>
      <c r="I255" s="3503"/>
      <c r="J255" s="3521" t="s">
        <v>4038</v>
      </c>
    </row>
    <row r="256" spans="2:10" x14ac:dyDescent="0.25">
      <c r="B256" s="3518" t="s">
        <v>1815</v>
      </c>
      <c r="C256" s="3519" t="s">
        <v>1815</v>
      </c>
      <c r="D256" s="3519" t="s">
        <v>1815</v>
      </c>
      <c r="E256" s="3519" t="s">
        <v>1815</v>
      </c>
      <c r="F256" s="3519" t="s">
        <v>1815</v>
      </c>
      <c r="G256" s="3519" t="s">
        <v>1908</v>
      </c>
      <c r="H256" s="3520" t="s">
        <v>3963</v>
      </c>
      <c r="I256" s="3503"/>
      <c r="J256" s="3521" t="s">
        <v>4039</v>
      </c>
    </row>
    <row r="257" spans="2:10" x14ac:dyDescent="0.25">
      <c r="B257" s="3518" t="s">
        <v>1815</v>
      </c>
      <c r="C257" s="3519" t="s">
        <v>1815</v>
      </c>
      <c r="D257" s="3519" t="s">
        <v>1815</v>
      </c>
      <c r="E257" s="3519" t="s">
        <v>1815</v>
      </c>
      <c r="F257" s="3519" t="s">
        <v>1815</v>
      </c>
      <c r="G257" s="3519" t="s">
        <v>1909</v>
      </c>
      <c r="H257" s="3520" t="s">
        <v>951</v>
      </c>
      <c r="I257" s="3503"/>
      <c r="J257" s="3521" t="s">
        <v>4040</v>
      </c>
    </row>
    <row r="258" spans="2:10" x14ac:dyDescent="0.25">
      <c r="B258" s="3518" t="s">
        <v>1815</v>
      </c>
      <c r="C258" s="3519" t="s">
        <v>1815</v>
      </c>
      <c r="D258" s="3519" t="s">
        <v>1815</v>
      </c>
      <c r="E258" s="3519" t="s">
        <v>1815</v>
      </c>
      <c r="F258" s="3519" t="s">
        <v>1912</v>
      </c>
      <c r="G258" s="3519" t="s">
        <v>1815</v>
      </c>
      <c r="H258" s="3520" t="s">
        <v>951</v>
      </c>
      <c r="I258" s="3503"/>
      <c r="J258" s="3521" t="s">
        <v>4041</v>
      </c>
    </row>
    <row r="259" spans="2:10" x14ac:dyDescent="0.25">
      <c r="B259" s="3518" t="s">
        <v>1815</v>
      </c>
      <c r="C259" s="3519" t="s">
        <v>1815</v>
      </c>
      <c r="D259" s="3519" t="s">
        <v>1815</v>
      </c>
      <c r="E259" s="3519" t="s">
        <v>1815</v>
      </c>
      <c r="F259" s="3519" t="s">
        <v>1815</v>
      </c>
      <c r="G259" s="3519" t="s">
        <v>1913</v>
      </c>
      <c r="H259" s="3520" t="s">
        <v>3884</v>
      </c>
      <c r="I259" s="3503"/>
      <c r="J259" s="3521" t="s">
        <v>4042</v>
      </c>
    </row>
    <row r="260" spans="2:10" x14ac:dyDescent="0.25">
      <c r="B260" s="3518" t="s">
        <v>1815</v>
      </c>
      <c r="C260" s="3519" t="s">
        <v>1815</v>
      </c>
      <c r="D260" s="3519" t="s">
        <v>1815</v>
      </c>
      <c r="E260" s="3519" t="s">
        <v>1815</v>
      </c>
      <c r="F260" s="3519" t="s">
        <v>1815</v>
      </c>
      <c r="G260" s="3519" t="s">
        <v>1914</v>
      </c>
      <c r="H260" s="3520" t="s">
        <v>3886</v>
      </c>
      <c r="I260" s="3503"/>
      <c r="J260" s="3521" t="s">
        <v>4043</v>
      </c>
    </row>
    <row r="261" spans="2:10" ht="30" x14ac:dyDescent="0.25">
      <c r="B261" s="3518" t="s">
        <v>1815</v>
      </c>
      <c r="C261" s="3519" t="s">
        <v>1815</v>
      </c>
      <c r="D261" s="3519" t="s">
        <v>1815</v>
      </c>
      <c r="E261" s="3519" t="s">
        <v>1815</v>
      </c>
      <c r="F261" s="3519" t="s">
        <v>1815</v>
      </c>
      <c r="G261" s="3519" t="s">
        <v>1951</v>
      </c>
      <c r="H261" s="3520" t="s">
        <v>3889</v>
      </c>
      <c r="I261" s="3503"/>
      <c r="J261" s="3521" t="s">
        <v>4044</v>
      </c>
    </row>
    <row r="262" spans="2:10" x14ac:dyDescent="0.25">
      <c r="B262" s="3518" t="s">
        <v>1815</v>
      </c>
      <c r="C262" s="3519" t="s">
        <v>1815</v>
      </c>
      <c r="D262" s="3519" t="s">
        <v>1815</v>
      </c>
      <c r="E262" s="3519" t="s">
        <v>1815</v>
      </c>
      <c r="F262" s="3519" t="s">
        <v>1815</v>
      </c>
      <c r="G262" s="3519" t="s">
        <v>1916</v>
      </c>
      <c r="H262" s="3520" t="s">
        <v>3757</v>
      </c>
      <c r="I262" s="3503"/>
      <c r="J262" s="3521" t="s">
        <v>4045</v>
      </c>
    </row>
    <row r="263" spans="2:10" x14ac:dyDescent="0.25">
      <c r="B263" s="3518" t="s">
        <v>1815</v>
      </c>
      <c r="C263" s="3519" t="s">
        <v>1815</v>
      </c>
      <c r="D263" s="3519" t="s">
        <v>1815</v>
      </c>
      <c r="E263" s="3519" t="s">
        <v>4046</v>
      </c>
      <c r="F263" s="3519" t="s">
        <v>1815</v>
      </c>
      <c r="G263" s="3519" t="s">
        <v>1815</v>
      </c>
      <c r="H263" s="3520" t="s">
        <v>4047</v>
      </c>
      <c r="I263" s="3503"/>
      <c r="J263" s="3521" t="s">
        <v>4048</v>
      </c>
    </row>
    <row r="264" spans="2:10" x14ac:dyDescent="0.25">
      <c r="B264" s="3518" t="s">
        <v>1815</v>
      </c>
      <c r="C264" s="3519" t="s">
        <v>1815</v>
      </c>
      <c r="D264" s="3519" t="s">
        <v>1815</v>
      </c>
      <c r="E264" s="3519" t="s">
        <v>1815</v>
      </c>
      <c r="F264" s="3519" t="s">
        <v>1885</v>
      </c>
      <c r="G264" s="3519" t="s">
        <v>1815</v>
      </c>
      <c r="H264" s="3520" t="s">
        <v>3749</v>
      </c>
      <c r="I264" s="3503"/>
      <c r="J264" s="3521" t="s">
        <v>4049</v>
      </c>
    </row>
    <row r="265" spans="2:10" x14ac:dyDescent="0.25">
      <c r="B265" s="3518" t="s">
        <v>1815</v>
      </c>
      <c r="C265" s="3519" t="s">
        <v>1815</v>
      </c>
      <c r="D265" s="3519" t="s">
        <v>1815</v>
      </c>
      <c r="E265" s="3519" t="s">
        <v>1815</v>
      </c>
      <c r="F265" s="3519" t="s">
        <v>1815</v>
      </c>
      <c r="G265" s="3519" t="s">
        <v>1925</v>
      </c>
      <c r="H265" s="3520" t="s">
        <v>4050</v>
      </c>
      <c r="I265" s="3503"/>
      <c r="J265" s="3521" t="s">
        <v>4051</v>
      </c>
    </row>
    <row r="266" spans="2:10" x14ac:dyDescent="0.25">
      <c r="B266" s="3518" t="s">
        <v>1815</v>
      </c>
      <c r="C266" s="3519" t="s">
        <v>1815</v>
      </c>
      <c r="D266" s="3519" t="s">
        <v>1815</v>
      </c>
      <c r="E266" s="3519" t="s">
        <v>1815</v>
      </c>
      <c r="F266" s="3519" t="s">
        <v>1815</v>
      </c>
      <c r="G266" s="3519" t="s">
        <v>1886</v>
      </c>
      <c r="H266" s="3520" t="s">
        <v>4022</v>
      </c>
      <c r="I266" s="3503"/>
      <c r="J266" s="3521" t="s">
        <v>4052</v>
      </c>
    </row>
    <row r="267" spans="2:10" x14ac:dyDescent="0.25">
      <c r="B267" s="3518" t="s">
        <v>1815</v>
      </c>
      <c r="C267" s="3519" t="s">
        <v>1815</v>
      </c>
      <c r="D267" s="3519" t="s">
        <v>1815</v>
      </c>
      <c r="E267" s="3519" t="s">
        <v>1815</v>
      </c>
      <c r="F267" s="3519" t="s">
        <v>1815</v>
      </c>
      <c r="G267" s="3519" t="s">
        <v>1887</v>
      </c>
      <c r="H267" s="3520" t="s">
        <v>3751</v>
      </c>
      <c r="I267" s="3503"/>
      <c r="J267" s="3521" t="s">
        <v>4053</v>
      </c>
    </row>
    <row r="268" spans="2:10" x14ac:dyDescent="0.25">
      <c r="B268" s="3518" t="s">
        <v>1815</v>
      </c>
      <c r="C268" s="3519" t="s">
        <v>1815</v>
      </c>
      <c r="D268" s="3519" t="s">
        <v>1815</v>
      </c>
      <c r="E268" s="3519" t="s">
        <v>1815</v>
      </c>
      <c r="F268" s="3519" t="s">
        <v>1815</v>
      </c>
      <c r="G268" s="3519" t="s">
        <v>1888</v>
      </c>
      <c r="H268" s="3520" t="s">
        <v>3895</v>
      </c>
      <c r="I268" s="3503"/>
      <c r="J268" s="3521" t="s">
        <v>4054</v>
      </c>
    </row>
    <row r="269" spans="2:10" x14ac:dyDescent="0.25">
      <c r="B269" s="3518" t="s">
        <v>1815</v>
      </c>
      <c r="C269" s="3519" t="s">
        <v>1815</v>
      </c>
      <c r="D269" s="3519" t="s">
        <v>1815</v>
      </c>
      <c r="E269" s="3519" t="s">
        <v>1815</v>
      </c>
      <c r="F269" s="3519" t="s">
        <v>1889</v>
      </c>
      <c r="G269" s="3519" t="s">
        <v>1815</v>
      </c>
      <c r="H269" s="3520" t="s">
        <v>3844</v>
      </c>
      <c r="I269" s="3503"/>
      <c r="J269" s="3521" t="s">
        <v>4055</v>
      </c>
    </row>
    <row r="270" spans="2:10" x14ac:dyDescent="0.25">
      <c r="B270" s="3518" t="s">
        <v>1815</v>
      </c>
      <c r="C270" s="3519" t="s">
        <v>1815</v>
      </c>
      <c r="D270" s="3519" t="s">
        <v>1815</v>
      </c>
      <c r="E270" s="3519" t="s">
        <v>1815</v>
      </c>
      <c r="F270" s="3519" t="s">
        <v>1815</v>
      </c>
      <c r="G270" s="3519" t="s">
        <v>1890</v>
      </c>
      <c r="H270" s="3520" t="s">
        <v>3848</v>
      </c>
      <c r="I270" s="3503"/>
      <c r="J270" s="3521" t="s">
        <v>4056</v>
      </c>
    </row>
    <row r="271" spans="2:10" x14ac:dyDescent="0.25">
      <c r="B271" s="3518" t="s">
        <v>1815</v>
      </c>
      <c r="C271" s="3519" t="s">
        <v>1815</v>
      </c>
      <c r="D271" s="3519" t="s">
        <v>1815</v>
      </c>
      <c r="E271" s="3519" t="s">
        <v>1815</v>
      </c>
      <c r="F271" s="3519" t="s">
        <v>1815</v>
      </c>
      <c r="G271" s="3519" t="s">
        <v>1891</v>
      </c>
      <c r="H271" s="3520" t="s">
        <v>3850</v>
      </c>
      <c r="I271" s="3503"/>
      <c r="J271" s="3521" t="s">
        <v>4057</v>
      </c>
    </row>
    <row r="272" spans="2:10" x14ac:dyDescent="0.25">
      <c r="B272" s="3518" t="s">
        <v>1815</v>
      </c>
      <c r="C272" s="3519" t="s">
        <v>1815</v>
      </c>
      <c r="D272" s="3519" t="s">
        <v>1815</v>
      </c>
      <c r="E272" s="3519" t="s">
        <v>1815</v>
      </c>
      <c r="F272" s="3519" t="s">
        <v>1893</v>
      </c>
      <c r="G272" s="3519" t="s">
        <v>1815</v>
      </c>
      <c r="H272" s="3520" t="s">
        <v>3853</v>
      </c>
      <c r="I272" s="3503"/>
      <c r="J272" s="3521" t="s">
        <v>4058</v>
      </c>
    </row>
    <row r="273" spans="2:10" x14ac:dyDescent="0.25">
      <c r="B273" s="3518" t="s">
        <v>1815</v>
      </c>
      <c r="C273" s="3519" t="s">
        <v>1815</v>
      </c>
      <c r="D273" s="3519" t="s">
        <v>1815</v>
      </c>
      <c r="E273" s="3519" t="s">
        <v>1815</v>
      </c>
      <c r="F273" s="3519" t="s">
        <v>1815</v>
      </c>
      <c r="G273" s="3519" t="s">
        <v>1894</v>
      </c>
      <c r="H273" s="3520" t="s">
        <v>3855</v>
      </c>
      <c r="I273" s="3503"/>
      <c r="J273" s="3521" t="s">
        <v>4058</v>
      </c>
    </row>
    <row r="274" spans="2:10" x14ac:dyDescent="0.25">
      <c r="B274" s="3518" t="s">
        <v>1815</v>
      </c>
      <c r="C274" s="3519" t="s">
        <v>1815</v>
      </c>
      <c r="D274" s="3519" t="s">
        <v>1815</v>
      </c>
      <c r="E274" s="3519" t="s">
        <v>1815</v>
      </c>
      <c r="F274" s="3519" t="s">
        <v>1906</v>
      </c>
      <c r="G274" s="3519" t="s">
        <v>1815</v>
      </c>
      <c r="H274" s="3520" t="s">
        <v>3752</v>
      </c>
      <c r="I274" s="3503"/>
      <c r="J274" s="3521" t="s">
        <v>4059</v>
      </c>
    </row>
    <row r="275" spans="2:10" x14ac:dyDescent="0.25">
      <c r="B275" s="3518" t="s">
        <v>1815</v>
      </c>
      <c r="C275" s="3519" t="s">
        <v>1815</v>
      </c>
      <c r="D275" s="3519" t="s">
        <v>1815</v>
      </c>
      <c r="E275" s="3519" t="s">
        <v>1815</v>
      </c>
      <c r="F275" s="3519" t="s">
        <v>1815</v>
      </c>
      <c r="G275" s="3519" t="s">
        <v>1909</v>
      </c>
      <c r="H275" s="3520" t="s">
        <v>951</v>
      </c>
      <c r="I275" s="3503"/>
      <c r="J275" s="3521" t="s">
        <v>4059</v>
      </c>
    </row>
    <row r="276" spans="2:10" ht="30" x14ac:dyDescent="0.25">
      <c r="B276" s="3518" t="s">
        <v>1815</v>
      </c>
      <c r="C276" s="3519" t="s">
        <v>1815</v>
      </c>
      <c r="D276" s="3519" t="s">
        <v>1815</v>
      </c>
      <c r="E276" s="3519" t="s">
        <v>2035</v>
      </c>
      <c r="F276" s="3519" t="s">
        <v>1815</v>
      </c>
      <c r="G276" s="3519" t="s">
        <v>1815</v>
      </c>
      <c r="H276" s="3520" t="s">
        <v>4060</v>
      </c>
      <c r="I276" s="3503"/>
      <c r="J276" s="3521" t="s">
        <v>4061</v>
      </c>
    </row>
    <row r="277" spans="2:10" x14ac:dyDescent="0.25">
      <c r="B277" s="3518" t="s">
        <v>1815</v>
      </c>
      <c r="C277" s="3519" t="s">
        <v>1815</v>
      </c>
      <c r="D277" s="3519" t="s">
        <v>1815</v>
      </c>
      <c r="E277" s="3519" t="s">
        <v>1815</v>
      </c>
      <c r="F277" s="3519" t="s">
        <v>1906</v>
      </c>
      <c r="G277" s="3519" t="s">
        <v>1815</v>
      </c>
      <c r="H277" s="3520" t="s">
        <v>3752</v>
      </c>
      <c r="I277" s="3503"/>
      <c r="J277" s="3521" t="s">
        <v>4061</v>
      </c>
    </row>
    <row r="278" spans="2:10" x14ac:dyDescent="0.25">
      <c r="B278" s="3518" t="s">
        <v>1815</v>
      </c>
      <c r="C278" s="3519" t="s">
        <v>1815</v>
      </c>
      <c r="D278" s="3519" t="s">
        <v>1815</v>
      </c>
      <c r="E278" s="3519" t="s">
        <v>1815</v>
      </c>
      <c r="F278" s="3519" t="s">
        <v>1815</v>
      </c>
      <c r="G278" s="3519" t="s">
        <v>1907</v>
      </c>
      <c r="H278" s="3520" t="s">
        <v>3763</v>
      </c>
      <c r="I278" s="3503"/>
      <c r="J278" s="3521" t="s">
        <v>4062</v>
      </c>
    </row>
    <row r="279" spans="2:10" x14ac:dyDescent="0.25">
      <c r="B279" s="3518" t="s">
        <v>1815</v>
      </c>
      <c r="C279" s="3519" t="s">
        <v>1815</v>
      </c>
      <c r="D279" s="3519" t="s">
        <v>1815</v>
      </c>
      <c r="E279" s="3519" t="s">
        <v>1815</v>
      </c>
      <c r="F279" s="3519" t="s">
        <v>1815</v>
      </c>
      <c r="G279" s="3519" t="s">
        <v>1909</v>
      </c>
      <c r="H279" s="3520" t="s">
        <v>951</v>
      </c>
      <c r="I279" s="3503"/>
      <c r="J279" s="3521" t="s">
        <v>4063</v>
      </c>
    </row>
    <row r="280" spans="2:10" x14ac:dyDescent="0.25">
      <c r="B280" s="3518" t="s">
        <v>1815</v>
      </c>
      <c r="C280" s="3519" t="s">
        <v>1815</v>
      </c>
      <c r="D280" s="3519" t="s">
        <v>2038</v>
      </c>
      <c r="E280" s="3519" t="s">
        <v>1815</v>
      </c>
      <c r="F280" s="3519" t="s">
        <v>1815</v>
      </c>
      <c r="G280" s="3519" t="s">
        <v>1815</v>
      </c>
      <c r="H280" s="3520" t="s">
        <v>4064</v>
      </c>
      <c r="I280" s="3503"/>
      <c r="J280" s="3521" t="s">
        <v>4065</v>
      </c>
    </row>
    <row r="281" spans="2:10" x14ac:dyDescent="0.25">
      <c r="B281" s="3518" t="s">
        <v>1815</v>
      </c>
      <c r="C281" s="3519" t="s">
        <v>1815</v>
      </c>
      <c r="D281" s="3519" t="s">
        <v>1815</v>
      </c>
      <c r="E281" s="3519" t="s">
        <v>2039</v>
      </c>
      <c r="F281" s="3519" t="s">
        <v>1815</v>
      </c>
      <c r="G281" s="3519" t="s">
        <v>1815</v>
      </c>
      <c r="H281" s="3520" t="s">
        <v>3532</v>
      </c>
      <c r="I281" s="3503"/>
      <c r="J281" s="3521" t="s">
        <v>4066</v>
      </c>
    </row>
    <row r="282" spans="2:10" x14ac:dyDescent="0.25">
      <c r="B282" s="3518" t="s">
        <v>1815</v>
      </c>
      <c r="C282" s="3519" t="s">
        <v>1815</v>
      </c>
      <c r="D282" s="3519" t="s">
        <v>1815</v>
      </c>
      <c r="E282" s="3519" t="s">
        <v>1815</v>
      </c>
      <c r="F282" s="3519" t="s">
        <v>1853</v>
      </c>
      <c r="G282" s="3519" t="s">
        <v>1815</v>
      </c>
      <c r="H282" s="3520" t="s">
        <v>3732</v>
      </c>
      <c r="I282" s="3503"/>
      <c r="J282" s="3521" t="s">
        <v>4067</v>
      </c>
    </row>
    <row r="283" spans="2:10" x14ac:dyDescent="0.25">
      <c r="B283" s="3518" t="s">
        <v>1815</v>
      </c>
      <c r="C283" s="3519" t="s">
        <v>1815</v>
      </c>
      <c r="D283" s="3519" t="s">
        <v>1815</v>
      </c>
      <c r="E283" s="3519" t="s">
        <v>1815</v>
      </c>
      <c r="F283" s="3519" t="s">
        <v>1815</v>
      </c>
      <c r="G283" s="3519" t="s">
        <v>1856</v>
      </c>
      <c r="H283" s="3520" t="s">
        <v>3736</v>
      </c>
      <c r="I283" s="3503"/>
      <c r="J283" s="3521" t="s">
        <v>4067</v>
      </c>
    </row>
    <row r="284" spans="2:10" x14ac:dyDescent="0.25">
      <c r="B284" s="3518" t="s">
        <v>1815</v>
      </c>
      <c r="C284" s="3519" t="s">
        <v>1815</v>
      </c>
      <c r="D284" s="3519" t="s">
        <v>1815</v>
      </c>
      <c r="E284" s="3519" t="s">
        <v>1815</v>
      </c>
      <c r="F284" s="3519" t="s">
        <v>1874</v>
      </c>
      <c r="G284" s="3519" t="s">
        <v>1815</v>
      </c>
      <c r="H284" s="3520" t="s">
        <v>3743</v>
      </c>
      <c r="I284" s="3503"/>
      <c r="J284" s="3521" t="s">
        <v>4068</v>
      </c>
    </row>
    <row r="285" spans="2:10" x14ac:dyDescent="0.25">
      <c r="B285" s="3518" t="s">
        <v>1815</v>
      </c>
      <c r="C285" s="3519" t="s">
        <v>1815</v>
      </c>
      <c r="D285" s="3519" t="s">
        <v>1815</v>
      </c>
      <c r="E285" s="3519" t="s">
        <v>1815</v>
      </c>
      <c r="F285" s="3519" t="s">
        <v>1815</v>
      </c>
      <c r="G285" s="3519" t="s">
        <v>1876</v>
      </c>
      <c r="H285" s="3520" t="s">
        <v>3828</v>
      </c>
      <c r="I285" s="3503"/>
      <c r="J285" s="3521" t="s">
        <v>4069</v>
      </c>
    </row>
    <row r="286" spans="2:10" x14ac:dyDescent="0.25">
      <c r="B286" s="3518" t="s">
        <v>1815</v>
      </c>
      <c r="C286" s="3519" t="s">
        <v>1815</v>
      </c>
      <c r="D286" s="3519" t="s">
        <v>1815</v>
      </c>
      <c r="E286" s="3519" t="s">
        <v>1815</v>
      </c>
      <c r="F286" s="3519" t="s">
        <v>1815</v>
      </c>
      <c r="G286" s="3519" t="s">
        <v>1877</v>
      </c>
      <c r="H286" s="3520" t="s">
        <v>3747</v>
      </c>
      <c r="I286" s="3503"/>
      <c r="J286" s="3521" t="s">
        <v>4070</v>
      </c>
    </row>
    <row r="287" spans="2:10" x14ac:dyDescent="0.25">
      <c r="B287" s="3518" t="s">
        <v>1815</v>
      </c>
      <c r="C287" s="3519" t="s">
        <v>1815</v>
      </c>
      <c r="D287" s="3519" t="s">
        <v>1815</v>
      </c>
      <c r="E287" s="3519" t="s">
        <v>1815</v>
      </c>
      <c r="F287" s="3519" t="s">
        <v>1878</v>
      </c>
      <c r="G287" s="3519" t="s">
        <v>1815</v>
      </c>
      <c r="H287" s="3520" t="s">
        <v>3833</v>
      </c>
      <c r="I287" s="3503"/>
      <c r="J287" s="3521" t="s">
        <v>4071</v>
      </c>
    </row>
    <row r="288" spans="2:10" x14ac:dyDescent="0.25">
      <c r="B288" s="3518" t="s">
        <v>1815</v>
      </c>
      <c r="C288" s="3519" t="s">
        <v>1815</v>
      </c>
      <c r="D288" s="3519" t="s">
        <v>1815</v>
      </c>
      <c r="E288" s="3519" t="s">
        <v>1815</v>
      </c>
      <c r="F288" s="3519" t="s">
        <v>1815</v>
      </c>
      <c r="G288" s="3519" t="s">
        <v>1882</v>
      </c>
      <c r="H288" s="3520" t="s">
        <v>3839</v>
      </c>
      <c r="I288" s="3503"/>
      <c r="J288" s="3521" t="s">
        <v>4071</v>
      </c>
    </row>
    <row r="289" spans="2:10" x14ac:dyDescent="0.25">
      <c r="B289" s="3518" t="s">
        <v>1815</v>
      </c>
      <c r="C289" s="3519" t="s">
        <v>1815</v>
      </c>
      <c r="D289" s="3519" t="s">
        <v>1815</v>
      </c>
      <c r="E289" s="3519" t="s">
        <v>1815</v>
      </c>
      <c r="F289" s="3519" t="s">
        <v>1893</v>
      </c>
      <c r="G289" s="3519" t="s">
        <v>1815</v>
      </c>
      <c r="H289" s="3520" t="s">
        <v>3853</v>
      </c>
      <c r="I289" s="3503"/>
      <c r="J289" s="3521" t="s">
        <v>4072</v>
      </c>
    </row>
    <row r="290" spans="2:10" x14ac:dyDescent="0.25">
      <c r="B290" s="3518" t="s">
        <v>1815</v>
      </c>
      <c r="C290" s="3519" t="s">
        <v>1815</v>
      </c>
      <c r="D290" s="3519" t="s">
        <v>1815</v>
      </c>
      <c r="E290" s="3519" t="s">
        <v>1815</v>
      </c>
      <c r="F290" s="3519" t="s">
        <v>1815</v>
      </c>
      <c r="G290" s="3519" t="s">
        <v>1895</v>
      </c>
      <c r="H290" s="3520" t="s">
        <v>3861</v>
      </c>
      <c r="I290" s="3503"/>
      <c r="J290" s="3521" t="s">
        <v>4072</v>
      </c>
    </row>
    <row r="291" spans="2:10" x14ac:dyDescent="0.25">
      <c r="B291" s="3518" t="s">
        <v>1815</v>
      </c>
      <c r="C291" s="3519" t="s">
        <v>1815</v>
      </c>
      <c r="D291" s="3519" t="s">
        <v>1815</v>
      </c>
      <c r="E291" s="3519" t="s">
        <v>1815</v>
      </c>
      <c r="F291" s="3519" t="s">
        <v>1903</v>
      </c>
      <c r="G291" s="3519" t="s">
        <v>1815</v>
      </c>
      <c r="H291" s="3520" t="s">
        <v>3873</v>
      </c>
      <c r="I291" s="3503"/>
      <c r="J291" s="3521" t="s">
        <v>4073</v>
      </c>
    </row>
    <row r="292" spans="2:10" x14ac:dyDescent="0.25">
      <c r="B292" s="3518" t="s">
        <v>1815</v>
      </c>
      <c r="C292" s="3519" t="s">
        <v>1815</v>
      </c>
      <c r="D292" s="3519" t="s">
        <v>1815</v>
      </c>
      <c r="E292" s="3519" t="s">
        <v>1815</v>
      </c>
      <c r="F292" s="3519" t="s">
        <v>1815</v>
      </c>
      <c r="G292" s="3519" t="s">
        <v>1905</v>
      </c>
      <c r="H292" s="3520" t="s">
        <v>3960</v>
      </c>
      <c r="I292" s="3503"/>
      <c r="J292" s="3521" t="s">
        <v>4073</v>
      </c>
    </row>
    <row r="293" spans="2:10" x14ac:dyDescent="0.25">
      <c r="B293" s="3518" t="s">
        <v>1815</v>
      </c>
      <c r="C293" s="3519" t="s">
        <v>1815</v>
      </c>
      <c r="D293" s="3519" t="s">
        <v>1815</v>
      </c>
      <c r="E293" s="3519" t="s">
        <v>1815</v>
      </c>
      <c r="F293" s="3519" t="s">
        <v>1906</v>
      </c>
      <c r="G293" s="3519" t="s">
        <v>1815</v>
      </c>
      <c r="H293" s="3520" t="s">
        <v>3752</v>
      </c>
      <c r="I293" s="3503"/>
      <c r="J293" s="3521" t="s">
        <v>4074</v>
      </c>
    </row>
    <row r="294" spans="2:10" x14ac:dyDescent="0.25">
      <c r="B294" s="3518" t="s">
        <v>1815</v>
      </c>
      <c r="C294" s="3519" t="s">
        <v>1815</v>
      </c>
      <c r="D294" s="3519" t="s">
        <v>1815</v>
      </c>
      <c r="E294" s="3519" t="s">
        <v>1815</v>
      </c>
      <c r="F294" s="3519" t="s">
        <v>1815</v>
      </c>
      <c r="G294" s="3519" t="s">
        <v>1978</v>
      </c>
      <c r="H294" s="3520" t="s">
        <v>3880</v>
      </c>
      <c r="I294" s="3503"/>
      <c r="J294" s="3521" t="s">
        <v>4075</v>
      </c>
    </row>
    <row r="295" spans="2:10" x14ac:dyDescent="0.25">
      <c r="B295" s="3518" t="s">
        <v>1815</v>
      </c>
      <c r="C295" s="3519" t="s">
        <v>1815</v>
      </c>
      <c r="D295" s="3519" t="s">
        <v>1815</v>
      </c>
      <c r="E295" s="3519" t="s">
        <v>1815</v>
      </c>
      <c r="F295" s="3519" t="s">
        <v>1815</v>
      </c>
      <c r="G295" s="3519" t="s">
        <v>1909</v>
      </c>
      <c r="H295" s="3520" t="s">
        <v>951</v>
      </c>
      <c r="I295" s="3503"/>
      <c r="J295" s="3521" t="s">
        <v>4076</v>
      </c>
    </row>
    <row r="296" spans="2:10" x14ac:dyDescent="0.25">
      <c r="B296" s="3518" t="s">
        <v>1815</v>
      </c>
      <c r="C296" s="3519" t="s">
        <v>1815</v>
      </c>
      <c r="D296" s="3519" t="s">
        <v>1815</v>
      </c>
      <c r="E296" s="3519" t="s">
        <v>1815</v>
      </c>
      <c r="F296" s="3519" t="s">
        <v>1912</v>
      </c>
      <c r="G296" s="3519" t="s">
        <v>1815</v>
      </c>
      <c r="H296" s="3520" t="s">
        <v>951</v>
      </c>
      <c r="I296" s="3503"/>
      <c r="J296" s="3521" t="s">
        <v>4077</v>
      </c>
    </row>
    <row r="297" spans="2:10" x14ac:dyDescent="0.25">
      <c r="B297" s="3518" t="s">
        <v>1815</v>
      </c>
      <c r="C297" s="3519" t="s">
        <v>1815</v>
      </c>
      <c r="D297" s="3519" t="s">
        <v>1815</v>
      </c>
      <c r="E297" s="3519" t="s">
        <v>1815</v>
      </c>
      <c r="F297" s="3519" t="s">
        <v>1815</v>
      </c>
      <c r="G297" s="3519" t="s">
        <v>1916</v>
      </c>
      <c r="H297" s="3520" t="s">
        <v>3757</v>
      </c>
      <c r="I297" s="3503"/>
      <c r="J297" s="3521" t="s">
        <v>4077</v>
      </c>
    </row>
    <row r="298" spans="2:10" x14ac:dyDescent="0.25">
      <c r="B298" s="3518" t="s">
        <v>1815</v>
      </c>
      <c r="C298" s="3519" t="s">
        <v>1815</v>
      </c>
      <c r="D298" s="3519" t="s">
        <v>1815</v>
      </c>
      <c r="E298" s="3519" t="s">
        <v>2238</v>
      </c>
      <c r="F298" s="3519" t="s">
        <v>1815</v>
      </c>
      <c r="G298" s="3519" t="s">
        <v>1815</v>
      </c>
      <c r="H298" s="3520" t="s">
        <v>4078</v>
      </c>
      <c r="I298" s="3503"/>
      <c r="J298" s="3521" t="s">
        <v>4079</v>
      </c>
    </row>
    <row r="299" spans="2:10" x14ac:dyDescent="0.25">
      <c r="B299" s="3518" t="s">
        <v>1815</v>
      </c>
      <c r="C299" s="3519" t="s">
        <v>1815</v>
      </c>
      <c r="D299" s="3519" t="s">
        <v>1815</v>
      </c>
      <c r="E299" s="3519" t="s">
        <v>1815</v>
      </c>
      <c r="F299" s="3519" t="s">
        <v>1874</v>
      </c>
      <c r="G299" s="3519" t="s">
        <v>1815</v>
      </c>
      <c r="H299" s="3520" t="s">
        <v>3743</v>
      </c>
      <c r="I299" s="3503"/>
      <c r="J299" s="3521" t="s">
        <v>4080</v>
      </c>
    </row>
    <row r="300" spans="2:10" x14ac:dyDescent="0.25">
      <c r="B300" s="3518" t="s">
        <v>1815</v>
      </c>
      <c r="C300" s="3519" t="s">
        <v>1815</v>
      </c>
      <c r="D300" s="3519" t="s">
        <v>1815</v>
      </c>
      <c r="E300" s="3519" t="s">
        <v>1815</v>
      </c>
      <c r="F300" s="3519" t="s">
        <v>1815</v>
      </c>
      <c r="G300" s="3519" t="s">
        <v>1876</v>
      </c>
      <c r="H300" s="3520" t="s">
        <v>3828</v>
      </c>
      <c r="I300" s="3503"/>
      <c r="J300" s="3521" t="s">
        <v>4081</v>
      </c>
    </row>
    <row r="301" spans="2:10" x14ac:dyDescent="0.25">
      <c r="B301" s="3518" t="s">
        <v>1815</v>
      </c>
      <c r="C301" s="3519" t="s">
        <v>1815</v>
      </c>
      <c r="D301" s="3519" t="s">
        <v>1815</v>
      </c>
      <c r="E301" s="3519" t="s">
        <v>1815</v>
      </c>
      <c r="F301" s="3519" t="s">
        <v>1815</v>
      </c>
      <c r="G301" s="3519" t="s">
        <v>1877</v>
      </c>
      <c r="H301" s="3520" t="s">
        <v>3747</v>
      </c>
      <c r="I301" s="3503"/>
      <c r="J301" s="3521" t="s">
        <v>4082</v>
      </c>
    </row>
    <row r="302" spans="2:10" x14ac:dyDescent="0.25">
      <c r="B302" s="3518" t="s">
        <v>1815</v>
      </c>
      <c r="C302" s="3519" t="s">
        <v>1815</v>
      </c>
      <c r="D302" s="3519" t="s">
        <v>1815</v>
      </c>
      <c r="E302" s="3519" t="s">
        <v>1815</v>
      </c>
      <c r="F302" s="3519" t="s">
        <v>1893</v>
      </c>
      <c r="G302" s="3519" t="s">
        <v>1815</v>
      </c>
      <c r="H302" s="3520" t="s">
        <v>3853</v>
      </c>
      <c r="I302" s="3503"/>
      <c r="J302" s="3521" t="s">
        <v>4083</v>
      </c>
    </row>
    <row r="303" spans="2:10" x14ac:dyDescent="0.25">
      <c r="B303" s="3518" t="s">
        <v>1815</v>
      </c>
      <c r="C303" s="3519" t="s">
        <v>1815</v>
      </c>
      <c r="D303" s="3519" t="s">
        <v>1815</v>
      </c>
      <c r="E303" s="3519" t="s">
        <v>1815</v>
      </c>
      <c r="F303" s="3519" t="s">
        <v>1815</v>
      </c>
      <c r="G303" s="3519" t="s">
        <v>1895</v>
      </c>
      <c r="H303" s="3520" t="s">
        <v>3861</v>
      </c>
      <c r="I303" s="3503"/>
      <c r="J303" s="3521" t="s">
        <v>4083</v>
      </c>
    </row>
    <row r="304" spans="2:10" ht="30" x14ac:dyDescent="0.25">
      <c r="B304" s="3518" t="s">
        <v>1815</v>
      </c>
      <c r="C304" s="3519" t="s">
        <v>1815</v>
      </c>
      <c r="D304" s="3519" t="s">
        <v>1815</v>
      </c>
      <c r="E304" s="3519" t="s">
        <v>1815</v>
      </c>
      <c r="F304" s="3519" t="s">
        <v>1896</v>
      </c>
      <c r="G304" s="3519" t="s">
        <v>1815</v>
      </c>
      <c r="H304" s="3520" t="s">
        <v>3863</v>
      </c>
      <c r="I304" s="3503"/>
      <c r="J304" s="3521" t="s">
        <v>4084</v>
      </c>
    </row>
    <row r="305" spans="2:10" x14ac:dyDescent="0.25">
      <c r="B305" s="3518" t="s">
        <v>1815</v>
      </c>
      <c r="C305" s="3519" t="s">
        <v>1815</v>
      </c>
      <c r="D305" s="3519" t="s">
        <v>1815</v>
      </c>
      <c r="E305" s="3519" t="s">
        <v>1815</v>
      </c>
      <c r="F305" s="3519" t="s">
        <v>1815</v>
      </c>
      <c r="G305" s="3519" t="s">
        <v>1900</v>
      </c>
      <c r="H305" s="3520" t="s">
        <v>3865</v>
      </c>
      <c r="I305" s="3503"/>
      <c r="J305" s="3521" t="s">
        <v>4084</v>
      </c>
    </row>
    <row r="306" spans="2:10" x14ac:dyDescent="0.25">
      <c r="B306" s="3518" t="s">
        <v>1815</v>
      </c>
      <c r="C306" s="3519" t="s">
        <v>1815</v>
      </c>
      <c r="D306" s="3519" t="s">
        <v>1815</v>
      </c>
      <c r="E306" s="3519" t="s">
        <v>1815</v>
      </c>
      <c r="F306" s="3519" t="s">
        <v>1903</v>
      </c>
      <c r="G306" s="3519" t="s">
        <v>1815</v>
      </c>
      <c r="H306" s="3520" t="s">
        <v>3873</v>
      </c>
      <c r="I306" s="3503"/>
      <c r="J306" s="3521" t="s">
        <v>4085</v>
      </c>
    </row>
    <row r="307" spans="2:10" x14ac:dyDescent="0.25">
      <c r="B307" s="3518" t="s">
        <v>1815</v>
      </c>
      <c r="C307" s="3519" t="s">
        <v>1815</v>
      </c>
      <c r="D307" s="3519" t="s">
        <v>1815</v>
      </c>
      <c r="E307" s="3519" t="s">
        <v>1815</v>
      </c>
      <c r="F307" s="3519" t="s">
        <v>1815</v>
      </c>
      <c r="G307" s="3519" t="s">
        <v>2771</v>
      </c>
      <c r="H307" s="3520" t="s">
        <v>3875</v>
      </c>
      <c r="I307" s="3503"/>
      <c r="J307" s="3521" t="s">
        <v>4085</v>
      </c>
    </row>
    <row r="308" spans="2:10" x14ac:dyDescent="0.25">
      <c r="B308" s="3518" t="s">
        <v>1815</v>
      </c>
      <c r="C308" s="3519" t="s">
        <v>1815</v>
      </c>
      <c r="D308" s="3519" t="s">
        <v>1815</v>
      </c>
      <c r="E308" s="3519" t="s">
        <v>1815</v>
      </c>
      <c r="F308" s="3519" t="s">
        <v>1906</v>
      </c>
      <c r="G308" s="3519" t="s">
        <v>1815</v>
      </c>
      <c r="H308" s="3520" t="s">
        <v>3752</v>
      </c>
      <c r="I308" s="3503"/>
      <c r="J308" s="3521" t="s">
        <v>4086</v>
      </c>
    </row>
    <row r="309" spans="2:10" x14ac:dyDescent="0.25">
      <c r="B309" s="3518" t="s">
        <v>1815</v>
      </c>
      <c r="C309" s="3519" t="s">
        <v>1815</v>
      </c>
      <c r="D309" s="3519" t="s">
        <v>1815</v>
      </c>
      <c r="E309" s="3519" t="s">
        <v>1815</v>
      </c>
      <c r="F309" s="3519" t="s">
        <v>1815</v>
      </c>
      <c r="G309" s="3519" t="s">
        <v>1909</v>
      </c>
      <c r="H309" s="3520" t="s">
        <v>951</v>
      </c>
      <c r="I309" s="3503"/>
      <c r="J309" s="3521" t="s">
        <v>4086</v>
      </c>
    </row>
    <row r="310" spans="2:10" x14ac:dyDescent="0.25">
      <c r="B310" s="3518" t="s">
        <v>1815</v>
      </c>
      <c r="C310" s="3519" t="s">
        <v>1815</v>
      </c>
      <c r="D310" s="3519" t="s">
        <v>1815</v>
      </c>
      <c r="E310" s="3519" t="s">
        <v>1815</v>
      </c>
      <c r="F310" s="3519" t="s">
        <v>1912</v>
      </c>
      <c r="G310" s="3519" t="s">
        <v>1815</v>
      </c>
      <c r="H310" s="3520" t="s">
        <v>951</v>
      </c>
      <c r="I310" s="3503"/>
      <c r="J310" s="3521" t="s">
        <v>4087</v>
      </c>
    </row>
    <row r="311" spans="2:10" x14ac:dyDescent="0.25">
      <c r="B311" s="3518" t="s">
        <v>1815</v>
      </c>
      <c r="C311" s="3519" t="s">
        <v>1815</v>
      </c>
      <c r="D311" s="3519" t="s">
        <v>1815</v>
      </c>
      <c r="E311" s="3519" t="s">
        <v>1815</v>
      </c>
      <c r="F311" s="3519" t="s">
        <v>1815</v>
      </c>
      <c r="G311" s="3519" t="s">
        <v>1916</v>
      </c>
      <c r="H311" s="3520" t="s">
        <v>3757</v>
      </c>
      <c r="I311" s="3503"/>
      <c r="J311" s="3521" t="s">
        <v>4087</v>
      </c>
    </row>
    <row r="312" spans="2:10" x14ac:dyDescent="0.25">
      <c r="B312" s="3518" t="s">
        <v>1815</v>
      </c>
      <c r="C312" s="3519" t="s">
        <v>1815</v>
      </c>
      <c r="D312" s="3519" t="s">
        <v>2044</v>
      </c>
      <c r="E312" s="3519" t="s">
        <v>1815</v>
      </c>
      <c r="F312" s="3519" t="s">
        <v>1815</v>
      </c>
      <c r="G312" s="3519" t="s">
        <v>1815</v>
      </c>
      <c r="H312" s="3520" t="s">
        <v>4088</v>
      </c>
      <c r="I312" s="3503"/>
      <c r="J312" s="3521" t="s">
        <v>4089</v>
      </c>
    </row>
    <row r="313" spans="2:10" x14ac:dyDescent="0.25">
      <c r="B313" s="3518" t="s">
        <v>1815</v>
      </c>
      <c r="C313" s="3519" t="s">
        <v>1815</v>
      </c>
      <c r="D313" s="3519" t="s">
        <v>1815</v>
      </c>
      <c r="E313" s="3519" t="s">
        <v>2045</v>
      </c>
      <c r="F313" s="3519" t="s">
        <v>1815</v>
      </c>
      <c r="G313" s="3519" t="s">
        <v>1815</v>
      </c>
      <c r="H313" s="3520" t="s">
        <v>4090</v>
      </c>
      <c r="I313" s="3503"/>
      <c r="J313" s="3521" t="s">
        <v>4089</v>
      </c>
    </row>
    <row r="314" spans="2:10" x14ac:dyDescent="0.25">
      <c r="B314" s="3518" t="s">
        <v>1815</v>
      </c>
      <c r="C314" s="3519" t="s">
        <v>1815</v>
      </c>
      <c r="D314" s="3519" t="s">
        <v>1815</v>
      </c>
      <c r="E314" s="3519" t="s">
        <v>1815</v>
      </c>
      <c r="F314" s="3519" t="s">
        <v>1869</v>
      </c>
      <c r="G314" s="3519" t="s">
        <v>1815</v>
      </c>
      <c r="H314" s="3520" t="s">
        <v>3817</v>
      </c>
      <c r="I314" s="3503"/>
      <c r="J314" s="3521" t="s">
        <v>2071</v>
      </c>
    </row>
    <row r="315" spans="2:10" x14ac:dyDescent="0.25">
      <c r="B315" s="3518" t="s">
        <v>1815</v>
      </c>
      <c r="C315" s="3519" t="s">
        <v>1815</v>
      </c>
      <c r="D315" s="3519" t="s">
        <v>1815</v>
      </c>
      <c r="E315" s="3519" t="s">
        <v>1815</v>
      </c>
      <c r="F315" s="3519" t="s">
        <v>1815</v>
      </c>
      <c r="G315" s="3519" t="s">
        <v>1870</v>
      </c>
      <c r="H315" s="3520" t="s">
        <v>3819</v>
      </c>
      <c r="I315" s="3503"/>
      <c r="J315" s="3521" t="s">
        <v>2071</v>
      </c>
    </row>
    <row r="316" spans="2:10" x14ac:dyDescent="0.25">
      <c r="B316" s="3518" t="s">
        <v>1815</v>
      </c>
      <c r="C316" s="3519" t="s">
        <v>1815</v>
      </c>
      <c r="D316" s="3519" t="s">
        <v>1815</v>
      </c>
      <c r="E316" s="3519" t="s">
        <v>1815</v>
      </c>
      <c r="F316" s="3519" t="s">
        <v>1878</v>
      </c>
      <c r="G316" s="3519" t="s">
        <v>1815</v>
      </c>
      <c r="H316" s="3520" t="s">
        <v>3833</v>
      </c>
      <c r="I316" s="3503"/>
      <c r="J316" s="3521" t="s">
        <v>1919</v>
      </c>
    </row>
    <row r="317" spans="2:10" ht="30" x14ac:dyDescent="0.25">
      <c r="B317" s="3518" t="s">
        <v>1815</v>
      </c>
      <c r="C317" s="3519" t="s">
        <v>1815</v>
      </c>
      <c r="D317" s="3519" t="s">
        <v>1815</v>
      </c>
      <c r="E317" s="3519" t="s">
        <v>1815</v>
      </c>
      <c r="F317" s="3519" t="s">
        <v>1815</v>
      </c>
      <c r="G317" s="3519" t="s">
        <v>1881</v>
      </c>
      <c r="H317" s="3520" t="s">
        <v>3837</v>
      </c>
      <c r="I317" s="3503"/>
      <c r="J317" s="3521" t="s">
        <v>1919</v>
      </c>
    </row>
    <row r="318" spans="2:10" x14ac:dyDescent="0.25">
      <c r="B318" s="3518" t="s">
        <v>1815</v>
      </c>
      <c r="C318" s="3519" t="s">
        <v>1815</v>
      </c>
      <c r="D318" s="3519" t="s">
        <v>1815</v>
      </c>
      <c r="E318" s="3519" t="s">
        <v>1815</v>
      </c>
      <c r="F318" s="3519" t="s">
        <v>1906</v>
      </c>
      <c r="G318" s="3519" t="s">
        <v>1815</v>
      </c>
      <c r="H318" s="3520" t="s">
        <v>3752</v>
      </c>
      <c r="I318" s="3503"/>
      <c r="J318" s="3521" t="s">
        <v>4091</v>
      </c>
    </row>
    <row r="319" spans="2:10" x14ac:dyDescent="0.25">
      <c r="B319" s="3518" t="s">
        <v>1815</v>
      </c>
      <c r="C319" s="3519" t="s">
        <v>1815</v>
      </c>
      <c r="D319" s="3519" t="s">
        <v>1815</v>
      </c>
      <c r="E319" s="3519" t="s">
        <v>1815</v>
      </c>
      <c r="F319" s="3519" t="s">
        <v>1815</v>
      </c>
      <c r="G319" s="3519" t="s">
        <v>1909</v>
      </c>
      <c r="H319" s="3520" t="s">
        <v>951</v>
      </c>
      <c r="I319" s="3503"/>
      <c r="J319" s="3521" t="s">
        <v>4091</v>
      </c>
    </row>
    <row r="320" spans="2:10" x14ac:dyDescent="0.25">
      <c r="B320" s="3518" t="s">
        <v>1815</v>
      </c>
      <c r="C320" s="3519" t="s">
        <v>1815</v>
      </c>
      <c r="D320" s="3519" t="s">
        <v>2048</v>
      </c>
      <c r="E320" s="3519" t="s">
        <v>1815</v>
      </c>
      <c r="F320" s="3519" t="s">
        <v>1815</v>
      </c>
      <c r="G320" s="3519" t="s">
        <v>1815</v>
      </c>
      <c r="H320" s="3520" t="s">
        <v>4092</v>
      </c>
      <c r="I320" s="3503"/>
      <c r="J320" s="3521" t="s">
        <v>4093</v>
      </c>
    </row>
    <row r="321" spans="2:10" x14ac:dyDescent="0.25">
      <c r="B321" s="3518" t="s">
        <v>1815</v>
      </c>
      <c r="C321" s="3519" t="s">
        <v>1815</v>
      </c>
      <c r="D321" s="3519" t="s">
        <v>1815</v>
      </c>
      <c r="E321" s="3519" t="s">
        <v>2049</v>
      </c>
      <c r="F321" s="3519" t="s">
        <v>1815</v>
      </c>
      <c r="G321" s="3519" t="s">
        <v>1815</v>
      </c>
      <c r="H321" s="3520" t="s">
        <v>4092</v>
      </c>
      <c r="I321" s="3503"/>
      <c r="J321" s="3521" t="s">
        <v>4093</v>
      </c>
    </row>
    <row r="322" spans="2:10" x14ac:dyDescent="0.25">
      <c r="B322" s="3518" t="s">
        <v>1815</v>
      </c>
      <c r="C322" s="3519" t="s">
        <v>1815</v>
      </c>
      <c r="D322" s="3519" t="s">
        <v>1815</v>
      </c>
      <c r="E322" s="3519" t="s">
        <v>1815</v>
      </c>
      <c r="F322" s="3519" t="s">
        <v>1860</v>
      </c>
      <c r="G322" s="3519" t="s">
        <v>1815</v>
      </c>
      <c r="H322" s="3520" t="s">
        <v>3796</v>
      </c>
      <c r="I322" s="3503"/>
      <c r="J322" s="3521" t="s">
        <v>4094</v>
      </c>
    </row>
    <row r="323" spans="2:10" x14ac:dyDescent="0.25">
      <c r="B323" s="3518" t="s">
        <v>1815</v>
      </c>
      <c r="C323" s="3519" t="s">
        <v>1815</v>
      </c>
      <c r="D323" s="3519" t="s">
        <v>1815</v>
      </c>
      <c r="E323" s="3519" t="s">
        <v>1815</v>
      </c>
      <c r="F323" s="3519" t="s">
        <v>1815</v>
      </c>
      <c r="G323" s="3519" t="s">
        <v>1930</v>
      </c>
      <c r="H323" s="3520" t="s">
        <v>4095</v>
      </c>
      <c r="I323" s="3503"/>
      <c r="J323" s="3521" t="s">
        <v>4094</v>
      </c>
    </row>
    <row r="324" spans="2:10" x14ac:dyDescent="0.25">
      <c r="B324" s="3518" t="s">
        <v>1815</v>
      </c>
      <c r="C324" s="3519" t="s">
        <v>1815</v>
      </c>
      <c r="D324" s="3519" t="s">
        <v>1815</v>
      </c>
      <c r="E324" s="3519" t="s">
        <v>1815</v>
      </c>
      <c r="F324" s="3519" t="s">
        <v>1906</v>
      </c>
      <c r="G324" s="3519" t="s">
        <v>1815</v>
      </c>
      <c r="H324" s="3520" t="s">
        <v>3752</v>
      </c>
      <c r="I324" s="3503"/>
      <c r="J324" s="3521" t="s">
        <v>4096</v>
      </c>
    </row>
    <row r="325" spans="2:10" x14ac:dyDescent="0.25">
      <c r="B325" s="3518" t="s">
        <v>1815</v>
      </c>
      <c r="C325" s="3519" t="s">
        <v>1815</v>
      </c>
      <c r="D325" s="3519" t="s">
        <v>1815</v>
      </c>
      <c r="E325" s="3519" t="s">
        <v>1815</v>
      </c>
      <c r="F325" s="3519" t="s">
        <v>1815</v>
      </c>
      <c r="G325" s="3519" t="s">
        <v>1907</v>
      </c>
      <c r="H325" s="3520" t="s">
        <v>3763</v>
      </c>
      <c r="I325" s="3503"/>
      <c r="J325" s="3521" t="s">
        <v>4097</v>
      </c>
    </row>
    <row r="326" spans="2:10" x14ac:dyDescent="0.25">
      <c r="B326" s="3518" t="s">
        <v>1815</v>
      </c>
      <c r="C326" s="3519" t="s">
        <v>1815</v>
      </c>
      <c r="D326" s="3519" t="s">
        <v>1815</v>
      </c>
      <c r="E326" s="3519" t="s">
        <v>1815</v>
      </c>
      <c r="F326" s="3519" t="s">
        <v>1815</v>
      </c>
      <c r="G326" s="3519" t="s">
        <v>1908</v>
      </c>
      <c r="H326" s="3520" t="s">
        <v>3963</v>
      </c>
      <c r="I326" s="3503"/>
      <c r="J326" s="3521" t="s">
        <v>4098</v>
      </c>
    </row>
    <row r="327" spans="2:10" x14ac:dyDescent="0.25">
      <c r="B327" s="3518" t="s">
        <v>1815</v>
      </c>
      <c r="C327" s="3519" t="s">
        <v>1815</v>
      </c>
      <c r="D327" s="3519" t="s">
        <v>1815</v>
      </c>
      <c r="E327" s="3519" t="s">
        <v>1815</v>
      </c>
      <c r="F327" s="3519" t="s">
        <v>1815</v>
      </c>
      <c r="G327" s="3519" t="s">
        <v>1909</v>
      </c>
      <c r="H327" s="3520" t="s">
        <v>951</v>
      </c>
      <c r="I327" s="3503"/>
      <c r="J327" s="3521" t="s">
        <v>4099</v>
      </c>
    </row>
    <row r="328" spans="2:10" x14ac:dyDescent="0.25">
      <c r="B328" s="3518" t="s">
        <v>1815</v>
      </c>
      <c r="C328" s="3519" t="s">
        <v>1815</v>
      </c>
      <c r="D328" s="3519" t="s">
        <v>1815</v>
      </c>
      <c r="E328" s="3519" t="s">
        <v>1815</v>
      </c>
      <c r="F328" s="3519" t="s">
        <v>1912</v>
      </c>
      <c r="G328" s="3519" t="s">
        <v>1815</v>
      </c>
      <c r="H328" s="3520" t="s">
        <v>951</v>
      </c>
      <c r="I328" s="3503"/>
      <c r="J328" s="3521" t="s">
        <v>4100</v>
      </c>
    </row>
    <row r="329" spans="2:10" x14ac:dyDescent="0.25">
      <c r="B329" s="3518" t="s">
        <v>1815</v>
      </c>
      <c r="C329" s="3519" t="s">
        <v>1815</v>
      </c>
      <c r="D329" s="3519" t="s">
        <v>1815</v>
      </c>
      <c r="E329" s="3519" t="s">
        <v>1815</v>
      </c>
      <c r="F329" s="3519" t="s">
        <v>1815</v>
      </c>
      <c r="G329" s="3519" t="s">
        <v>1916</v>
      </c>
      <c r="H329" s="3520" t="s">
        <v>3757</v>
      </c>
      <c r="I329" s="3503"/>
      <c r="J329" s="3521" t="s">
        <v>4100</v>
      </c>
    </row>
    <row r="330" spans="2:10" x14ac:dyDescent="0.25">
      <c r="B330" s="3518" t="s">
        <v>1815</v>
      </c>
      <c r="C330" s="3519" t="s">
        <v>1815</v>
      </c>
      <c r="D330" s="3519" t="s">
        <v>1815</v>
      </c>
      <c r="E330" s="3519" t="s">
        <v>1815</v>
      </c>
      <c r="F330" s="3519" t="s">
        <v>2024</v>
      </c>
      <c r="G330" s="3519" t="s">
        <v>1815</v>
      </c>
      <c r="H330" s="3520" t="s">
        <v>3892</v>
      </c>
      <c r="I330" s="3503"/>
      <c r="J330" s="3521" t="s">
        <v>4101</v>
      </c>
    </row>
    <row r="331" spans="2:10" ht="30" x14ac:dyDescent="0.25">
      <c r="B331" s="3518" t="s">
        <v>1815</v>
      </c>
      <c r="C331" s="3519" t="s">
        <v>1815</v>
      </c>
      <c r="D331" s="3519" t="s">
        <v>1815</v>
      </c>
      <c r="E331" s="3519" t="s">
        <v>1815</v>
      </c>
      <c r="F331" s="3519" t="s">
        <v>1815</v>
      </c>
      <c r="G331" s="3519" t="s">
        <v>2025</v>
      </c>
      <c r="H331" s="3520" t="s">
        <v>3894</v>
      </c>
      <c r="I331" s="3503"/>
      <c r="J331" s="3521" t="s">
        <v>4101</v>
      </c>
    </row>
    <row r="332" spans="2:10" x14ac:dyDescent="0.25">
      <c r="B332" s="3518" t="s">
        <v>1815</v>
      </c>
      <c r="C332" s="3519" t="s">
        <v>1815</v>
      </c>
      <c r="D332" s="3519" t="s">
        <v>1970</v>
      </c>
      <c r="E332" s="3519" t="s">
        <v>1815</v>
      </c>
      <c r="F332" s="3519" t="s">
        <v>1815</v>
      </c>
      <c r="G332" s="3519" t="s">
        <v>1815</v>
      </c>
      <c r="H332" s="3520" t="s">
        <v>4102</v>
      </c>
      <c r="I332" s="3503"/>
      <c r="J332" s="3521" t="s">
        <v>4103</v>
      </c>
    </row>
    <row r="333" spans="2:10" x14ac:dyDescent="0.25">
      <c r="B333" s="3518" t="s">
        <v>1815</v>
      </c>
      <c r="C333" s="3519" t="s">
        <v>1815</v>
      </c>
      <c r="D333" s="3519" t="s">
        <v>1815</v>
      </c>
      <c r="E333" s="3519" t="s">
        <v>1971</v>
      </c>
      <c r="F333" s="3519" t="s">
        <v>1815</v>
      </c>
      <c r="G333" s="3519" t="s">
        <v>1815</v>
      </c>
      <c r="H333" s="3520" t="s">
        <v>4104</v>
      </c>
      <c r="I333" s="3503"/>
      <c r="J333" s="3521" t="s">
        <v>4103</v>
      </c>
    </row>
    <row r="334" spans="2:10" x14ac:dyDescent="0.25">
      <c r="B334" s="3518" t="s">
        <v>1815</v>
      </c>
      <c r="C334" s="3519" t="s">
        <v>1815</v>
      </c>
      <c r="D334" s="3519" t="s">
        <v>1815</v>
      </c>
      <c r="E334" s="3519" t="s">
        <v>1815</v>
      </c>
      <c r="F334" s="3519" t="s">
        <v>1878</v>
      </c>
      <c r="G334" s="3519" t="s">
        <v>1815</v>
      </c>
      <c r="H334" s="3520" t="s">
        <v>3833</v>
      </c>
      <c r="I334" s="3503"/>
      <c r="J334" s="3521" t="s">
        <v>4105</v>
      </c>
    </row>
    <row r="335" spans="2:10" x14ac:dyDescent="0.25">
      <c r="B335" s="3518" t="s">
        <v>1815</v>
      </c>
      <c r="C335" s="3519" t="s">
        <v>1815</v>
      </c>
      <c r="D335" s="3519" t="s">
        <v>1815</v>
      </c>
      <c r="E335" s="3519" t="s">
        <v>1815</v>
      </c>
      <c r="F335" s="3519" t="s">
        <v>1815</v>
      </c>
      <c r="G335" s="3519" t="s">
        <v>1882</v>
      </c>
      <c r="H335" s="3520" t="s">
        <v>3839</v>
      </c>
      <c r="I335" s="3503"/>
      <c r="J335" s="3521" t="s">
        <v>4105</v>
      </c>
    </row>
    <row r="336" spans="2:10" x14ac:dyDescent="0.25">
      <c r="B336" s="3518" t="s">
        <v>1815</v>
      </c>
      <c r="C336" s="3519" t="s">
        <v>1815</v>
      </c>
      <c r="D336" s="3519" t="s">
        <v>1815</v>
      </c>
      <c r="E336" s="3519" t="s">
        <v>1815</v>
      </c>
      <c r="F336" s="3519" t="s">
        <v>1912</v>
      </c>
      <c r="G336" s="3519" t="s">
        <v>1815</v>
      </c>
      <c r="H336" s="3520" t="s">
        <v>951</v>
      </c>
      <c r="I336" s="3503"/>
      <c r="J336" s="3521" t="s">
        <v>4106</v>
      </c>
    </row>
    <row r="337" spans="2:10" x14ac:dyDescent="0.25">
      <c r="B337" s="3518" t="s">
        <v>1815</v>
      </c>
      <c r="C337" s="3519" t="s">
        <v>1815</v>
      </c>
      <c r="D337" s="3519" t="s">
        <v>1815</v>
      </c>
      <c r="E337" s="3519" t="s">
        <v>1815</v>
      </c>
      <c r="F337" s="3519" t="s">
        <v>1815</v>
      </c>
      <c r="G337" s="3519" t="s">
        <v>1916</v>
      </c>
      <c r="H337" s="3520" t="s">
        <v>3757</v>
      </c>
      <c r="I337" s="3503"/>
      <c r="J337" s="3521" t="s">
        <v>4106</v>
      </c>
    </row>
    <row r="338" spans="2:10" x14ac:dyDescent="0.25">
      <c r="B338" s="3518" t="s">
        <v>1815</v>
      </c>
      <c r="C338" s="3519" t="s">
        <v>1815</v>
      </c>
      <c r="D338" s="3519" t="s">
        <v>1919</v>
      </c>
      <c r="E338" s="3519" t="s">
        <v>1815</v>
      </c>
      <c r="F338" s="3519" t="s">
        <v>1815</v>
      </c>
      <c r="G338" s="3519" t="s">
        <v>1815</v>
      </c>
      <c r="H338" s="3520" t="s">
        <v>4107</v>
      </c>
      <c r="I338" s="3503"/>
      <c r="J338" s="3521" t="s">
        <v>4108</v>
      </c>
    </row>
    <row r="339" spans="2:10" x14ac:dyDescent="0.25">
      <c r="B339" s="3518" t="s">
        <v>1815</v>
      </c>
      <c r="C339" s="3519" t="s">
        <v>1815</v>
      </c>
      <c r="D339" s="3519" t="s">
        <v>1815</v>
      </c>
      <c r="E339" s="3519" t="s">
        <v>1920</v>
      </c>
      <c r="F339" s="3519" t="s">
        <v>1815</v>
      </c>
      <c r="G339" s="3519" t="s">
        <v>1815</v>
      </c>
      <c r="H339" s="3520" t="s">
        <v>4109</v>
      </c>
      <c r="I339" s="3503"/>
      <c r="J339" s="3521" t="s">
        <v>4110</v>
      </c>
    </row>
    <row r="340" spans="2:10" x14ac:dyDescent="0.25">
      <c r="B340" s="3518" t="s">
        <v>1815</v>
      </c>
      <c r="C340" s="3519" t="s">
        <v>1815</v>
      </c>
      <c r="D340" s="3519" t="s">
        <v>1815</v>
      </c>
      <c r="E340" s="3519" t="s">
        <v>1815</v>
      </c>
      <c r="F340" s="3519" t="s">
        <v>1853</v>
      </c>
      <c r="G340" s="3519" t="s">
        <v>1815</v>
      </c>
      <c r="H340" s="3520" t="s">
        <v>3732</v>
      </c>
      <c r="I340" s="3503"/>
      <c r="J340" s="3521" t="s">
        <v>4111</v>
      </c>
    </row>
    <row r="341" spans="2:10" x14ac:dyDescent="0.25">
      <c r="B341" s="3518" t="s">
        <v>1815</v>
      </c>
      <c r="C341" s="3519" t="s">
        <v>1815</v>
      </c>
      <c r="D341" s="3519" t="s">
        <v>1815</v>
      </c>
      <c r="E341" s="3519" t="s">
        <v>1815</v>
      </c>
      <c r="F341" s="3519" t="s">
        <v>1815</v>
      </c>
      <c r="G341" s="3519" t="s">
        <v>1856</v>
      </c>
      <c r="H341" s="3520" t="s">
        <v>3736</v>
      </c>
      <c r="I341" s="3503"/>
      <c r="J341" s="3521" t="s">
        <v>4111</v>
      </c>
    </row>
    <row r="342" spans="2:10" x14ac:dyDescent="0.25">
      <c r="B342" s="3518" t="s">
        <v>1815</v>
      </c>
      <c r="C342" s="3519" t="s">
        <v>1815</v>
      </c>
      <c r="D342" s="3519" t="s">
        <v>1815</v>
      </c>
      <c r="E342" s="3519" t="s">
        <v>1815</v>
      </c>
      <c r="F342" s="3519" t="s">
        <v>1874</v>
      </c>
      <c r="G342" s="3519" t="s">
        <v>1815</v>
      </c>
      <c r="H342" s="3520" t="s">
        <v>3743</v>
      </c>
      <c r="I342" s="3503"/>
      <c r="J342" s="3521" t="s">
        <v>3856</v>
      </c>
    </row>
    <row r="343" spans="2:10" x14ac:dyDescent="0.25">
      <c r="B343" s="3518" t="s">
        <v>1815</v>
      </c>
      <c r="C343" s="3519" t="s">
        <v>1815</v>
      </c>
      <c r="D343" s="3519" t="s">
        <v>1815</v>
      </c>
      <c r="E343" s="3519" t="s">
        <v>1815</v>
      </c>
      <c r="F343" s="3519" t="s">
        <v>1815</v>
      </c>
      <c r="G343" s="3519" t="s">
        <v>1875</v>
      </c>
      <c r="H343" s="3520" t="s">
        <v>3745</v>
      </c>
      <c r="I343" s="3503"/>
      <c r="J343" s="3521" t="s">
        <v>3856</v>
      </c>
    </row>
    <row r="344" spans="2:10" x14ac:dyDescent="0.25">
      <c r="B344" s="3518" t="s">
        <v>1815</v>
      </c>
      <c r="C344" s="3519" t="s">
        <v>1815</v>
      </c>
      <c r="D344" s="3519" t="s">
        <v>1815</v>
      </c>
      <c r="E344" s="3519" t="s">
        <v>1815</v>
      </c>
      <c r="F344" s="3519" t="s">
        <v>1885</v>
      </c>
      <c r="G344" s="3519" t="s">
        <v>1815</v>
      </c>
      <c r="H344" s="3520" t="s">
        <v>3749</v>
      </c>
      <c r="I344" s="3503"/>
      <c r="J344" s="3521" t="s">
        <v>4112</v>
      </c>
    </row>
    <row r="345" spans="2:10" x14ac:dyDescent="0.25">
      <c r="B345" s="3518" t="s">
        <v>1815</v>
      </c>
      <c r="C345" s="3519" t="s">
        <v>1815</v>
      </c>
      <c r="D345" s="3519" t="s">
        <v>1815</v>
      </c>
      <c r="E345" s="3519" t="s">
        <v>1815</v>
      </c>
      <c r="F345" s="3519" t="s">
        <v>1815</v>
      </c>
      <c r="G345" s="3519" t="s">
        <v>1925</v>
      </c>
      <c r="H345" s="3520" t="s">
        <v>4050</v>
      </c>
      <c r="I345" s="3503"/>
      <c r="J345" s="3521" t="s">
        <v>2036</v>
      </c>
    </row>
    <row r="346" spans="2:10" x14ac:dyDescent="0.25">
      <c r="B346" s="3518" t="s">
        <v>1815</v>
      </c>
      <c r="C346" s="3519" t="s">
        <v>1815</v>
      </c>
      <c r="D346" s="3519" t="s">
        <v>1815</v>
      </c>
      <c r="E346" s="3519" t="s">
        <v>1815</v>
      </c>
      <c r="F346" s="3519" t="s">
        <v>1815</v>
      </c>
      <c r="G346" s="3519" t="s">
        <v>1886</v>
      </c>
      <c r="H346" s="3520" t="s">
        <v>4022</v>
      </c>
      <c r="I346" s="3503"/>
      <c r="J346" s="3521" t="s">
        <v>3856</v>
      </c>
    </row>
    <row r="347" spans="2:10" x14ac:dyDescent="0.25">
      <c r="B347" s="3518" t="s">
        <v>1815</v>
      </c>
      <c r="C347" s="3519" t="s">
        <v>1815</v>
      </c>
      <c r="D347" s="3519" t="s">
        <v>1815</v>
      </c>
      <c r="E347" s="3519" t="s">
        <v>1815</v>
      </c>
      <c r="F347" s="3519" t="s">
        <v>1815</v>
      </c>
      <c r="G347" s="3519" t="s">
        <v>1888</v>
      </c>
      <c r="H347" s="3520" t="s">
        <v>3895</v>
      </c>
      <c r="I347" s="3503"/>
      <c r="J347" s="3521" t="s">
        <v>4113</v>
      </c>
    </row>
    <row r="348" spans="2:10" x14ac:dyDescent="0.25">
      <c r="B348" s="3518" t="s">
        <v>1815</v>
      </c>
      <c r="C348" s="3519" t="s">
        <v>1815</v>
      </c>
      <c r="D348" s="3519" t="s">
        <v>1815</v>
      </c>
      <c r="E348" s="3519" t="s">
        <v>1815</v>
      </c>
      <c r="F348" s="3519" t="s">
        <v>1906</v>
      </c>
      <c r="G348" s="3519" t="s">
        <v>1815</v>
      </c>
      <c r="H348" s="3520" t="s">
        <v>3752</v>
      </c>
      <c r="I348" s="3503"/>
      <c r="J348" s="3521" t="s">
        <v>4114</v>
      </c>
    </row>
    <row r="349" spans="2:10" x14ac:dyDescent="0.25">
      <c r="B349" s="3518" t="s">
        <v>1815</v>
      </c>
      <c r="C349" s="3519" t="s">
        <v>1815</v>
      </c>
      <c r="D349" s="3519" t="s">
        <v>1815</v>
      </c>
      <c r="E349" s="3519" t="s">
        <v>1815</v>
      </c>
      <c r="F349" s="3519" t="s">
        <v>1815</v>
      </c>
      <c r="G349" s="3519" t="s">
        <v>1907</v>
      </c>
      <c r="H349" s="3520" t="s">
        <v>3763</v>
      </c>
      <c r="I349" s="3503"/>
      <c r="J349" s="3521" t="s">
        <v>4115</v>
      </c>
    </row>
    <row r="350" spans="2:10" x14ac:dyDescent="0.25">
      <c r="B350" s="3518" t="s">
        <v>1815</v>
      </c>
      <c r="C350" s="3519" t="s">
        <v>1815</v>
      </c>
      <c r="D350" s="3519" t="s">
        <v>1815</v>
      </c>
      <c r="E350" s="3519" t="s">
        <v>1815</v>
      </c>
      <c r="F350" s="3519" t="s">
        <v>1815</v>
      </c>
      <c r="G350" s="3519" t="s">
        <v>1909</v>
      </c>
      <c r="H350" s="3520" t="s">
        <v>951</v>
      </c>
      <c r="I350" s="3503"/>
      <c r="J350" s="3521" t="s">
        <v>4116</v>
      </c>
    </row>
    <row r="351" spans="2:10" x14ac:dyDescent="0.25">
      <c r="B351" s="3518" t="s">
        <v>1815</v>
      </c>
      <c r="C351" s="3519" t="s">
        <v>1815</v>
      </c>
      <c r="D351" s="3519" t="s">
        <v>1815</v>
      </c>
      <c r="E351" s="3519" t="s">
        <v>1815</v>
      </c>
      <c r="F351" s="3519" t="s">
        <v>1912</v>
      </c>
      <c r="G351" s="3519" t="s">
        <v>1815</v>
      </c>
      <c r="H351" s="3520" t="s">
        <v>951</v>
      </c>
      <c r="I351" s="3503"/>
      <c r="J351" s="3521" t="s">
        <v>4117</v>
      </c>
    </row>
    <row r="352" spans="2:10" x14ac:dyDescent="0.25">
      <c r="B352" s="3518" t="s">
        <v>1815</v>
      </c>
      <c r="C352" s="3519" t="s">
        <v>1815</v>
      </c>
      <c r="D352" s="3519" t="s">
        <v>1815</v>
      </c>
      <c r="E352" s="3519" t="s">
        <v>1815</v>
      </c>
      <c r="F352" s="3519" t="s">
        <v>1815</v>
      </c>
      <c r="G352" s="3519" t="s">
        <v>1916</v>
      </c>
      <c r="H352" s="3520" t="s">
        <v>3757</v>
      </c>
      <c r="I352" s="3503"/>
      <c r="J352" s="3521" t="s">
        <v>4117</v>
      </c>
    </row>
    <row r="353" spans="2:10" x14ac:dyDescent="0.25">
      <c r="B353" s="3518" t="s">
        <v>1815</v>
      </c>
      <c r="C353" s="3519" t="s">
        <v>1815</v>
      </c>
      <c r="D353" s="3519" t="s">
        <v>1815</v>
      </c>
      <c r="E353" s="3519" t="s">
        <v>2052</v>
      </c>
      <c r="F353" s="3519" t="s">
        <v>1815</v>
      </c>
      <c r="G353" s="3519" t="s">
        <v>1815</v>
      </c>
      <c r="H353" s="3520" t="s">
        <v>4118</v>
      </c>
      <c r="I353" s="3503"/>
      <c r="J353" s="3521" t="s">
        <v>4119</v>
      </c>
    </row>
    <row r="354" spans="2:10" x14ac:dyDescent="0.25">
      <c r="B354" s="3518" t="s">
        <v>1815</v>
      </c>
      <c r="C354" s="3519" t="s">
        <v>1815</v>
      </c>
      <c r="D354" s="3519" t="s">
        <v>1815</v>
      </c>
      <c r="E354" s="3519" t="s">
        <v>1815</v>
      </c>
      <c r="F354" s="3519" t="s">
        <v>1853</v>
      </c>
      <c r="G354" s="3519" t="s">
        <v>1815</v>
      </c>
      <c r="H354" s="3520" t="s">
        <v>3732</v>
      </c>
      <c r="I354" s="3503"/>
      <c r="J354" s="3521" t="s">
        <v>4120</v>
      </c>
    </row>
    <row r="355" spans="2:10" x14ac:dyDescent="0.25">
      <c r="B355" s="3518" t="s">
        <v>1815</v>
      </c>
      <c r="C355" s="3519" t="s">
        <v>1815</v>
      </c>
      <c r="D355" s="3519" t="s">
        <v>1815</v>
      </c>
      <c r="E355" s="3519" t="s">
        <v>1815</v>
      </c>
      <c r="F355" s="3519" t="s">
        <v>1815</v>
      </c>
      <c r="G355" s="3519" t="s">
        <v>1856</v>
      </c>
      <c r="H355" s="3520" t="s">
        <v>3736</v>
      </c>
      <c r="I355" s="3503"/>
      <c r="J355" s="3521" t="s">
        <v>4120</v>
      </c>
    </row>
    <row r="356" spans="2:10" x14ac:dyDescent="0.25">
      <c r="B356" s="3518" t="s">
        <v>1815</v>
      </c>
      <c r="C356" s="3519" t="s">
        <v>1815</v>
      </c>
      <c r="D356" s="3519" t="s">
        <v>1815</v>
      </c>
      <c r="E356" s="3519" t="s">
        <v>1815</v>
      </c>
      <c r="F356" s="3519" t="s">
        <v>1874</v>
      </c>
      <c r="G356" s="3519" t="s">
        <v>1815</v>
      </c>
      <c r="H356" s="3520" t="s">
        <v>3743</v>
      </c>
      <c r="I356" s="3503"/>
      <c r="J356" s="3521" t="s">
        <v>4121</v>
      </c>
    </row>
    <row r="357" spans="2:10" x14ac:dyDescent="0.25">
      <c r="B357" s="3518" t="s">
        <v>1815</v>
      </c>
      <c r="C357" s="3519" t="s">
        <v>1815</v>
      </c>
      <c r="D357" s="3519" t="s">
        <v>1815</v>
      </c>
      <c r="E357" s="3519" t="s">
        <v>1815</v>
      </c>
      <c r="F357" s="3519" t="s">
        <v>1815</v>
      </c>
      <c r="G357" s="3519" t="s">
        <v>1875</v>
      </c>
      <c r="H357" s="3520" t="s">
        <v>3745</v>
      </c>
      <c r="I357" s="3503"/>
      <c r="J357" s="3521" t="s">
        <v>4121</v>
      </c>
    </row>
    <row r="358" spans="2:10" x14ac:dyDescent="0.25">
      <c r="B358" s="3518" t="s">
        <v>1815</v>
      </c>
      <c r="C358" s="3519" t="s">
        <v>1815</v>
      </c>
      <c r="D358" s="3519" t="s">
        <v>1815</v>
      </c>
      <c r="E358" s="3519" t="s">
        <v>1815</v>
      </c>
      <c r="F358" s="3519" t="s">
        <v>1893</v>
      </c>
      <c r="G358" s="3519" t="s">
        <v>1815</v>
      </c>
      <c r="H358" s="3520" t="s">
        <v>3853</v>
      </c>
      <c r="I358" s="3503"/>
      <c r="J358" s="3521" t="s">
        <v>4122</v>
      </c>
    </row>
    <row r="359" spans="2:10" x14ac:dyDescent="0.25">
      <c r="B359" s="3518" t="s">
        <v>1815</v>
      </c>
      <c r="C359" s="3519" t="s">
        <v>1815</v>
      </c>
      <c r="D359" s="3519" t="s">
        <v>1815</v>
      </c>
      <c r="E359" s="3519" t="s">
        <v>1815</v>
      </c>
      <c r="F359" s="3519" t="s">
        <v>1815</v>
      </c>
      <c r="G359" s="3519" t="s">
        <v>1895</v>
      </c>
      <c r="H359" s="3520" t="s">
        <v>3861</v>
      </c>
      <c r="I359" s="3503"/>
      <c r="J359" s="3521" t="s">
        <v>4122</v>
      </c>
    </row>
    <row r="360" spans="2:10" ht="30" x14ac:dyDescent="0.25">
      <c r="B360" s="3518" t="s">
        <v>1815</v>
      </c>
      <c r="C360" s="3519" t="s">
        <v>1815</v>
      </c>
      <c r="D360" s="3519" t="s">
        <v>1815</v>
      </c>
      <c r="E360" s="3519" t="s">
        <v>1815</v>
      </c>
      <c r="F360" s="3519" t="s">
        <v>1896</v>
      </c>
      <c r="G360" s="3519" t="s">
        <v>1815</v>
      </c>
      <c r="H360" s="3520" t="s">
        <v>3863</v>
      </c>
      <c r="I360" s="3503"/>
      <c r="J360" s="3521" t="s">
        <v>4123</v>
      </c>
    </row>
    <row r="361" spans="2:10" x14ac:dyDescent="0.25">
      <c r="B361" s="3518" t="s">
        <v>1815</v>
      </c>
      <c r="C361" s="3519" t="s">
        <v>1815</v>
      </c>
      <c r="D361" s="3519" t="s">
        <v>1815</v>
      </c>
      <c r="E361" s="3519" t="s">
        <v>1815</v>
      </c>
      <c r="F361" s="3519" t="s">
        <v>1815</v>
      </c>
      <c r="G361" s="3519" t="s">
        <v>1932</v>
      </c>
      <c r="H361" s="3520" t="s">
        <v>4124</v>
      </c>
      <c r="I361" s="3503"/>
      <c r="J361" s="3521" t="s">
        <v>4123</v>
      </c>
    </row>
    <row r="362" spans="2:10" x14ac:dyDescent="0.25">
      <c r="B362" s="3518" t="s">
        <v>1815</v>
      </c>
      <c r="C362" s="3519" t="s">
        <v>1815</v>
      </c>
      <c r="D362" s="3519" t="s">
        <v>1815</v>
      </c>
      <c r="E362" s="3519" t="s">
        <v>1815</v>
      </c>
      <c r="F362" s="3519" t="s">
        <v>1906</v>
      </c>
      <c r="G362" s="3519" t="s">
        <v>1815</v>
      </c>
      <c r="H362" s="3520" t="s">
        <v>3752</v>
      </c>
      <c r="I362" s="3503"/>
      <c r="J362" s="3521" t="s">
        <v>4125</v>
      </c>
    </row>
    <row r="363" spans="2:10" x14ac:dyDescent="0.25">
      <c r="B363" s="3518" t="s">
        <v>1815</v>
      </c>
      <c r="C363" s="3519" t="s">
        <v>1815</v>
      </c>
      <c r="D363" s="3519" t="s">
        <v>1815</v>
      </c>
      <c r="E363" s="3519" t="s">
        <v>1815</v>
      </c>
      <c r="F363" s="3519" t="s">
        <v>1815</v>
      </c>
      <c r="G363" s="3519" t="s">
        <v>1907</v>
      </c>
      <c r="H363" s="3520" t="s">
        <v>3763</v>
      </c>
      <c r="I363" s="3503"/>
      <c r="J363" s="3521" t="s">
        <v>4125</v>
      </c>
    </row>
    <row r="364" spans="2:10" x14ac:dyDescent="0.25">
      <c r="B364" s="3518" t="s">
        <v>1815</v>
      </c>
      <c r="C364" s="3519" t="s">
        <v>1815</v>
      </c>
      <c r="D364" s="3519" t="s">
        <v>1815</v>
      </c>
      <c r="E364" s="3519" t="s">
        <v>1815</v>
      </c>
      <c r="F364" s="3519" t="s">
        <v>1912</v>
      </c>
      <c r="G364" s="3519" t="s">
        <v>1815</v>
      </c>
      <c r="H364" s="3520" t="s">
        <v>951</v>
      </c>
      <c r="I364" s="3503"/>
      <c r="J364" s="3521" t="s">
        <v>4126</v>
      </c>
    </row>
    <row r="365" spans="2:10" x14ac:dyDescent="0.25">
      <c r="B365" s="3518" t="s">
        <v>1815</v>
      </c>
      <c r="C365" s="3519" t="s">
        <v>1815</v>
      </c>
      <c r="D365" s="3519" t="s">
        <v>1815</v>
      </c>
      <c r="E365" s="3519" t="s">
        <v>1815</v>
      </c>
      <c r="F365" s="3519" t="s">
        <v>1815</v>
      </c>
      <c r="G365" s="3519" t="s">
        <v>1916</v>
      </c>
      <c r="H365" s="3520" t="s">
        <v>3757</v>
      </c>
      <c r="I365" s="3503"/>
      <c r="J365" s="3521" t="s">
        <v>4126</v>
      </c>
    </row>
    <row r="366" spans="2:10" x14ac:dyDescent="0.25">
      <c r="B366" s="3518" t="s">
        <v>1815</v>
      </c>
      <c r="C366" s="3519" t="s">
        <v>1815</v>
      </c>
      <c r="D366" s="3519" t="s">
        <v>1815</v>
      </c>
      <c r="E366" s="3519" t="s">
        <v>2005</v>
      </c>
      <c r="F366" s="3519" t="s">
        <v>1815</v>
      </c>
      <c r="G366" s="3519" t="s">
        <v>1815</v>
      </c>
      <c r="H366" s="3520" t="s">
        <v>4127</v>
      </c>
      <c r="I366" s="3503"/>
      <c r="J366" s="3521" t="s">
        <v>4128</v>
      </c>
    </row>
    <row r="367" spans="2:10" x14ac:dyDescent="0.25">
      <c r="B367" s="3518" t="s">
        <v>1815</v>
      </c>
      <c r="C367" s="3519" t="s">
        <v>1815</v>
      </c>
      <c r="D367" s="3519" t="s">
        <v>1815</v>
      </c>
      <c r="E367" s="3519" t="s">
        <v>1815</v>
      </c>
      <c r="F367" s="3519" t="s">
        <v>1853</v>
      </c>
      <c r="G367" s="3519" t="s">
        <v>1815</v>
      </c>
      <c r="H367" s="3520" t="s">
        <v>3732</v>
      </c>
      <c r="I367" s="3503"/>
      <c r="J367" s="3521" t="s">
        <v>4129</v>
      </c>
    </row>
    <row r="368" spans="2:10" x14ac:dyDescent="0.25">
      <c r="B368" s="3518" t="s">
        <v>1815</v>
      </c>
      <c r="C368" s="3519" t="s">
        <v>1815</v>
      </c>
      <c r="D368" s="3519" t="s">
        <v>1815</v>
      </c>
      <c r="E368" s="3519" t="s">
        <v>1815</v>
      </c>
      <c r="F368" s="3519" t="s">
        <v>1815</v>
      </c>
      <c r="G368" s="3519" t="s">
        <v>1856</v>
      </c>
      <c r="H368" s="3520" t="s">
        <v>3736</v>
      </c>
      <c r="I368" s="3503"/>
      <c r="J368" s="3521" t="s">
        <v>4129</v>
      </c>
    </row>
    <row r="369" spans="2:10" ht="30" x14ac:dyDescent="0.25">
      <c r="B369" s="3518" t="s">
        <v>1815</v>
      </c>
      <c r="C369" s="3519" t="s">
        <v>1815</v>
      </c>
      <c r="D369" s="3519" t="s">
        <v>1815</v>
      </c>
      <c r="E369" s="3519" t="s">
        <v>1815</v>
      </c>
      <c r="F369" s="3519" t="s">
        <v>1896</v>
      </c>
      <c r="G369" s="3519" t="s">
        <v>1815</v>
      </c>
      <c r="H369" s="3520" t="s">
        <v>3863</v>
      </c>
      <c r="I369" s="3503"/>
      <c r="J369" s="3521" t="s">
        <v>4130</v>
      </c>
    </row>
    <row r="370" spans="2:10" x14ac:dyDescent="0.25">
      <c r="B370" s="3518" t="s">
        <v>1815</v>
      </c>
      <c r="C370" s="3519" t="s">
        <v>1815</v>
      </c>
      <c r="D370" s="3519" t="s">
        <v>1815</v>
      </c>
      <c r="E370" s="3519" t="s">
        <v>1815</v>
      </c>
      <c r="F370" s="3519" t="s">
        <v>1815</v>
      </c>
      <c r="G370" s="3519" t="s">
        <v>1932</v>
      </c>
      <c r="H370" s="3520" t="s">
        <v>4124</v>
      </c>
      <c r="I370" s="3503"/>
      <c r="J370" s="3521" t="s">
        <v>4131</v>
      </c>
    </row>
    <row r="371" spans="2:10" x14ac:dyDescent="0.25">
      <c r="B371" s="3518" t="s">
        <v>1815</v>
      </c>
      <c r="C371" s="3519" t="s">
        <v>1815</v>
      </c>
      <c r="D371" s="3519" t="s">
        <v>1815</v>
      </c>
      <c r="E371" s="3519" t="s">
        <v>1815</v>
      </c>
      <c r="F371" s="3519" t="s">
        <v>1815</v>
      </c>
      <c r="G371" s="3519" t="s">
        <v>2006</v>
      </c>
      <c r="H371" s="3520" t="s">
        <v>4132</v>
      </c>
      <c r="I371" s="3503"/>
      <c r="J371" s="3521" t="s">
        <v>4133</v>
      </c>
    </row>
    <row r="372" spans="2:10" x14ac:dyDescent="0.25">
      <c r="B372" s="3518" t="s">
        <v>1815</v>
      </c>
      <c r="C372" s="3519" t="s">
        <v>1815</v>
      </c>
      <c r="D372" s="3519" t="s">
        <v>1815</v>
      </c>
      <c r="E372" s="3519" t="s">
        <v>1815</v>
      </c>
      <c r="F372" s="3519" t="s">
        <v>1906</v>
      </c>
      <c r="G372" s="3519" t="s">
        <v>1815</v>
      </c>
      <c r="H372" s="3520" t="s">
        <v>3752</v>
      </c>
      <c r="I372" s="3503"/>
      <c r="J372" s="3521" t="s">
        <v>4134</v>
      </c>
    </row>
    <row r="373" spans="2:10" x14ac:dyDescent="0.25">
      <c r="B373" s="3518" t="s">
        <v>1815</v>
      </c>
      <c r="C373" s="3519" t="s">
        <v>1815</v>
      </c>
      <c r="D373" s="3519" t="s">
        <v>1815</v>
      </c>
      <c r="E373" s="3519" t="s">
        <v>1815</v>
      </c>
      <c r="F373" s="3519" t="s">
        <v>1815</v>
      </c>
      <c r="G373" s="3519" t="s">
        <v>1909</v>
      </c>
      <c r="H373" s="3520" t="s">
        <v>951</v>
      </c>
      <c r="I373" s="3503"/>
      <c r="J373" s="3521" t="s">
        <v>4134</v>
      </c>
    </row>
    <row r="374" spans="2:10" x14ac:dyDescent="0.25">
      <c r="B374" s="3518" t="s">
        <v>1815</v>
      </c>
      <c r="C374" s="3519" t="s">
        <v>1815</v>
      </c>
      <c r="D374" s="3519" t="s">
        <v>1815</v>
      </c>
      <c r="E374" s="3519" t="s">
        <v>1815</v>
      </c>
      <c r="F374" s="3519" t="s">
        <v>2024</v>
      </c>
      <c r="G374" s="3519" t="s">
        <v>1815</v>
      </c>
      <c r="H374" s="3520" t="s">
        <v>3892</v>
      </c>
      <c r="I374" s="3503"/>
      <c r="J374" s="3521" t="s">
        <v>4135</v>
      </c>
    </row>
    <row r="375" spans="2:10" ht="30" x14ac:dyDescent="0.25">
      <c r="B375" s="3518" t="s">
        <v>1815</v>
      </c>
      <c r="C375" s="3519" t="s">
        <v>1815</v>
      </c>
      <c r="D375" s="3519" t="s">
        <v>1815</v>
      </c>
      <c r="E375" s="3519" t="s">
        <v>1815</v>
      </c>
      <c r="F375" s="3519" t="s">
        <v>1815</v>
      </c>
      <c r="G375" s="3519" t="s">
        <v>2025</v>
      </c>
      <c r="H375" s="3520" t="s">
        <v>3894</v>
      </c>
      <c r="I375" s="3503"/>
      <c r="J375" s="3521" t="s">
        <v>4135</v>
      </c>
    </row>
    <row r="376" spans="2:10" x14ac:dyDescent="0.25">
      <c r="B376" s="3518" t="s">
        <v>1815</v>
      </c>
      <c r="C376" s="3519" t="s">
        <v>1815</v>
      </c>
      <c r="D376" s="3519" t="s">
        <v>1815</v>
      </c>
      <c r="E376" s="3519" t="s">
        <v>1815</v>
      </c>
      <c r="F376" s="3519" t="s">
        <v>2026</v>
      </c>
      <c r="G376" s="3519" t="s">
        <v>1815</v>
      </c>
      <c r="H376" s="3520" t="s">
        <v>3895</v>
      </c>
      <c r="I376" s="3503"/>
      <c r="J376" s="3521" t="s">
        <v>4136</v>
      </c>
    </row>
    <row r="377" spans="2:10" x14ac:dyDescent="0.25">
      <c r="B377" s="3518" t="s">
        <v>1815</v>
      </c>
      <c r="C377" s="3519" t="s">
        <v>1815</v>
      </c>
      <c r="D377" s="3519" t="s">
        <v>1815</v>
      </c>
      <c r="E377" s="3519" t="s">
        <v>1815</v>
      </c>
      <c r="F377" s="3519" t="s">
        <v>1815</v>
      </c>
      <c r="G377" s="3519" t="s">
        <v>2028</v>
      </c>
      <c r="H377" s="3520" t="s">
        <v>3899</v>
      </c>
      <c r="I377" s="3503"/>
      <c r="J377" s="3521" t="s">
        <v>4136</v>
      </c>
    </row>
    <row r="378" spans="2:10" x14ac:dyDescent="0.25">
      <c r="B378" s="3518" t="s">
        <v>1815</v>
      </c>
      <c r="C378" s="3519" t="s">
        <v>1815</v>
      </c>
      <c r="D378" s="3519" t="s">
        <v>1815</v>
      </c>
      <c r="E378" s="3519" t="s">
        <v>1931</v>
      </c>
      <c r="F378" s="3519" t="s">
        <v>1815</v>
      </c>
      <c r="G378" s="3519" t="s">
        <v>1815</v>
      </c>
      <c r="H378" s="3520" t="s">
        <v>4137</v>
      </c>
      <c r="I378" s="3503"/>
      <c r="J378" s="3521" t="s">
        <v>4138</v>
      </c>
    </row>
    <row r="379" spans="2:10" ht="30" x14ac:dyDescent="0.25">
      <c r="B379" s="3518" t="s">
        <v>1815</v>
      </c>
      <c r="C379" s="3519" t="s">
        <v>1815</v>
      </c>
      <c r="D379" s="3519" t="s">
        <v>1815</v>
      </c>
      <c r="E379" s="3519" t="s">
        <v>1815</v>
      </c>
      <c r="F379" s="3519" t="s">
        <v>1896</v>
      </c>
      <c r="G379" s="3519" t="s">
        <v>1815</v>
      </c>
      <c r="H379" s="3520" t="s">
        <v>3863</v>
      </c>
      <c r="I379" s="3503"/>
      <c r="J379" s="3521" t="s">
        <v>4139</v>
      </c>
    </row>
    <row r="380" spans="2:10" x14ac:dyDescent="0.25">
      <c r="B380" s="3518" t="s">
        <v>1815</v>
      </c>
      <c r="C380" s="3519" t="s">
        <v>1815</v>
      </c>
      <c r="D380" s="3519" t="s">
        <v>1815</v>
      </c>
      <c r="E380" s="3519" t="s">
        <v>1815</v>
      </c>
      <c r="F380" s="3519" t="s">
        <v>1815</v>
      </c>
      <c r="G380" s="3519" t="s">
        <v>1932</v>
      </c>
      <c r="H380" s="3520" t="s">
        <v>4124</v>
      </c>
      <c r="I380" s="3503"/>
      <c r="J380" s="3521" t="s">
        <v>4139</v>
      </c>
    </row>
    <row r="381" spans="2:10" x14ac:dyDescent="0.25">
      <c r="B381" s="3518" t="s">
        <v>1815</v>
      </c>
      <c r="C381" s="3519" t="s">
        <v>1815</v>
      </c>
      <c r="D381" s="3519" t="s">
        <v>1815</v>
      </c>
      <c r="E381" s="3519" t="s">
        <v>1815</v>
      </c>
      <c r="F381" s="3519" t="s">
        <v>1912</v>
      </c>
      <c r="G381" s="3519" t="s">
        <v>1815</v>
      </c>
      <c r="H381" s="3520" t="s">
        <v>951</v>
      </c>
      <c r="I381" s="3503"/>
      <c r="J381" s="3521" t="s">
        <v>4140</v>
      </c>
    </row>
    <row r="382" spans="2:10" x14ac:dyDescent="0.25">
      <c r="B382" s="3518" t="s">
        <v>1815</v>
      </c>
      <c r="C382" s="3519" t="s">
        <v>1815</v>
      </c>
      <c r="D382" s="3519" t="s">
        <v>1815</v>
      </c>
      <c r="E382" s="3519" t="s">
        <v>1815</v>
      </c>
      <c r="F382" s="3519" t="s">
        <v>1815</v>
      </c>
      <c r="G382" s="3519" t="s">
        <v>1916</v>
      </c>
      <c r="H382" s="3520" t="s">
        <v>3757</v>
      </c>
      <c r="I382" s="3503"/>
      <c r="J382" s="3521" t="s">
        <v>4140</v>
      </c>
    </row>
    <row r="383" spans="2:10" x14ac:dyDescent="0.25">
      <c r="B383" s="3518" t="s">
        <v>1815</v>
      </c>
      <c r="C383" s="3519" t="s">
        <v>1815</v>
      </c>
      <c r="D383" s="3519" t="s">
        <v>1815</v>
      </c>
      <c r="E383" s="3519" t="s">
        <v>1815</v>
      </c>
      <c r="F383" s="3519" t="s">
        <v>2024</v>
      </c>
      <c r="G383" s="3519" t="s">
        <v>1815</v>
      </c>
      <c r="H383" s="3520" t="s">
        <v>3892</v>
      </c>
      <c r="I383" s="3503"/>
      <c r="J383" s="3521" t="s">
        <v>4141</v>
      </c>
    </row>
    <row r="384" spans="2:10" ht="30" x14ac:dyDescent="0.25">
      <c r="B384" s="3518" t="s">
        <v>1815</v>
      </c>
      <c r="C384" s="3519" t="s">
        <v>1815</v>
      </c>
      <c r="D384" s="3519" t="s">
        <v>1815</v>
      </c>
      <c r="E384" s="3519" t="s">
        <v>1815</v>
      </c>
      <c r="F384" s="3519" t="s">
        <v>1815</v>
      </c>
      <c r="G384" s="3519" t="s">
        <v>2025</v>
      </c>
      <c r="H384" s="3520" t="s">
        <v>3894</v>
      </c>
      <c r="I384" s="3503"/>
      <c r="J384" s="3521" t="s">
        <v>4141</v>
      </c>
    </row>
    <row r="385" spans="2:10" x14ac:dyDescent="0.25">
      <c r="B385" s="3518" t="s">
        <v>1815</v>
      </c>
      <c r="C385" s="3519" t="s">
        <v>1815</v>
      </c>
      <c r="D385" s="3519" t="s">
        <v>1815</v>
      </c>
      <c r="E385" s="3519" t="s">
        <v>3343</v>
      </c>
      <c r="F385" s="3519" t="s">
        <v>1815</v>
      </c>
      <c r="G385" s="3519" t="s">
        <v>1815</v>
      </c>
      <c r="H385" s="3520" t="s">
        <v>3553</v>
      </c>
      <c r="I385" s="3503"/>
      <c r="J385" s="3521" t="s">
        <v>4142</v>
      </c>
    </row>
    <row r="386" spans="2:10" x14ac:dyDescent="0.25">
      <c r="B386" s="3518" t="s">
        <v>1815</v>
      </c>
      <c r="C386" s="3519" t="s">
        <v>1815</v>
      </c>
      <c r="D386" s="3519" t="s">
        <v>1815</v>
      </c>
      <c r="E386" s="3519" t="s">
        <v>1815</v>
      </c>
      <c r="F386" s="3519" t="s">
        <v>1885</v>
      </c>
      <c r="G386" s="3519" t="s">
        <v>1815</v>
      </c>
      <c r="H386" s="3520" t="s">
        <v>3749</v>
      </c>
      <c r="I386" s="3503"/>
      <c r="J386" s="3521" t="s">
        <v>4142</v>
      </c>
    </row>
    <row r="387" spans="2:10" x14ac:dyDescent="0.25">
      <c r="B387" s="3518" t="s">
        <v>1815</v>
      </c>
      <c r="C387" s="3519" t="s">
        <v>1815</v>
      </c>
      <c r="D387" s="3519" t="s">
        <v>1815</v>
      </c>
      <c r="E387" s="3519" t="s">
        <v>1815</v>
      </c>
      <c r="F387" s="3519" t="s">
        <v>1815</v>
      </c>
      <c r="G387" s="3519" t="s">
        <v>1925</v>
      </c>
      <c r="H387" s="3520" t="s">
        <v>4050</v>
      </c>
      <c r="I387" s="3503"/>
      <c r="J387" s="3521" t="s">
        <v>4143</v>
      </c>
    </row>
    <row r="388" spans="2:10" x14ac:dyDescent="0.25">
      <c r="B388" s="3518" t="s">
        <v>1815</v>
      </c>
      <c r="C388" s="3519" t="s">
        <v>1815</v>
      </c>
      <c r="D388" s="3519" t="s">
        <v>1815</v>
      </c>
      <c r="E388" s="3519" t="s">
        <v>1815</v>
      </c>
      <c r="F388" s="3519" t="s">
        <v>1815</v>
      </c>
      <c r="G388" s="3519" t="s">
        <v>1886</v>
      </c>
      <c r="H388" s="3520" t="s">
        <v>4022</v>
      </c>
      <c r="I388" s="3503"/>
      <c r="J388" s="3521" t="s">
        <v>4144</v>
      </c>
    </row>
    <row r="389" spans="2:10" x14ac:dyDescent="0.25">
      <c r="B389" s="3518" t="s">
        <v>1815</v>
      </c>
      <c r="C389" s="3519" t="s">
        <v>1815</v>
      </c>
      <c r="D389" s="3519" t="s">
        <v>1815</v>
      </c>
      <c r="E389" s="3519" t="s">
        <v>1815</v>
      </c>
      <c r="F389" s="3519" t="s">
        <v>1815</v>
      </c>
      <c r="G389" s="3519" t="s">
        <v>1888</v>
      </c>
      <c r="H389" s="3520" t="s">
        <v>3895</v>
      </c>
      <c r="I389" s="3503"/>
      <c r="J389" s="3521" t="s">
        <v>4145</v>
      </c>
    </row>
    <row r="390" spans="2:10" ht="45" x14ac:dyDescent="0.25">
      <c r="B390" s="3518" t="s">
        <v>1815</v>
      </c>
      <c r="C390" s="3519" t="s">
        <v>1815</v>
      </c>
      <c r="D390" s="3519" t="s">
        <v>1815</v>
      </c>
      <c r="E390" s="3519" t="s">
        <v>1973</v>
      </c>
      <c r="F390" s="3519" t="s">
        <v>1815</v>
      </c>
      <c r="G390" s="3519" t="s">
        <v>1815</v>
      </c>
      <c r="H390" s="3520" t="s">
        <v>4146</v>
      </c>
      <c r="I390" s="3503"/>
      <c r="J390" s="3521" t="s">
        <v>4147</v>
      </c>
    </row>
    <row r="391" spans="2:10" x14ac:dyDescent="0.25">
      <c r="B391" s="3518" t="s">
        <v>1815</v>
      </c>
      <c r="C391" s="3519" t="s">
        <v>1815</v>
      </c>
      <c r="D391" s="3519" t="s">
        <v>1815</v>
      </c>
      <c r="E391" s="3519" t="s">
        <v>1815</v>
      </c>
      <c r="F391" s="3519" t="s">
        <v>1853</v>
      </c>
      <c r="G391" s="3519" t="s">
        <v>1815</v>
      </c>
      <c r="H391" s="3520" t="s">
        <v>3732</v>
      </c>
      <c r="I391" s="3503"/>
      <c r="J391" s="3521" t="s">
        <v>4148</v>
      </c>
    </row>
    <row r="392" spans="2:10" x14ac:dyDescent="0.25">
      <c r="B392" s="3518" t="s">
        <v>1815</v>
      </c>
      <c r="C392" s="3519" t="s">
        <v>1815</v>
      </c>
      <c r="D392" s="3519" t="s">
        <v>1815</v>
      </c>
      <c r="E392" s="3519" t="s">
        <v>1815</v>
      </c>
      <c r="F392" s="3519" t="s">
        <v>1815</v>
      </c>
      <c r="G392" s="3519" t="s">
        <v>1856</v>
      </c>
      <c r="H392" s="3520" t="s">
        <v>3736</v>
      </c>
      <c r="I392" s="3503"/>
      <c r="J392" s="3521" t="s">
        <v>4148</v>
      </c>
    </row>
    <row r="393" spans="2:10" x14ac:dyDescent="0.25">
      <c r="B393" s="3518" t="s">
        <v>1815</v>
      </c>
      <c r="C393" s="3519" t="s">
        <v>1815</v>
      </c>
      <c r="D393" s="3519" t="s">
        <v>1815</v>
      </c>
      <c r="E393" s="3519" t="s">
        <v>1815</v>
      </c>
      <c r="F393" s="3519" t="s">
        <v>1906</v>
      </c>
      <c r="G393" s="3519" t="s">
        <v>1815</v>
      </c>
      <c r="H393" s="3520" t="s">
        <v>3752</v>
      </c>
      <c r="I393" s="3503"/>
      <c r="J393" s="3521" t="s">
        <v>4149</v>
      </c>
    </row>
    <row r="394" spans="2:10" x14ac:dyDescent="0.25">
      <c r="B394" s="3518" t="s">
        <v>1815</v>
      </c>
      <c r="C394" s="3519" t="s">
        <v>1815</v>
      </c>
      <c r="D394" s="3519" t="s">
        <v>1815</v>
      </c>
      <c r="E394" s="3519" t="s">
        <v>1815</v>
      </c>
      <c r="F394" s="3519" t="s">
        <v>1815</v>
      </c>
      <c r="G394" s="3519" t="s">
        <v>1907</v>
      </c>
      <c r="H394" s="3520" t="s">
        <v>3763</v>
      </c>
      <c r="I394" s="3503"/>
      <c r="J394" s="3521" t="s">
        <v>4149</v>
      </c>
    </row>
    <row r="395" spans="2:10" x14ac:dyDescent="0.25">
      <c r="B395" s="3518" t="s">
        <v>1815</v>
      </c>
      <c r="C395" s="3519" t="s">
        <v>1815</v>
      </c>
      <c r="D395" s="3519" t="s">
        <v>1815</v>
      </c>
      <c r="E395" s="3519" t="s">
        <v>1815</v>
      </c>
      <c r="F395" s="3519" t="s">
        <v>1912</v>
      </c>
      <c r="G395" s="3519" t="s">
        <v>1815</v>
      </c>
      <c r="H395" s="3520" t="s">
        <v>951</v>
      </c>
      <c r="I395" s="3503"/>
      <c r="J395" s="3521" t="s">
        <v>4150</v>
      </c>
    </row>
    <row r="396" spans="2:10" x14ac:dyDescent="0.25">
      <c r="B396" s="3518" t="s">
        <v>1815</v>
      </c>
      <c r="C396" s="3519" t="s">
        <v>1815</v>
      </c>
      <c r="D396" s="3519" t="s">
        <v>1815</v>
      </c>
      <c r="E396" s="3519" t="s">
        <v>1815</v>
      </c>
      <c r="F396" s="3519" t="s">
        <v>1815</v>
      </c>
      <c r="G396" s="3519" t="s">
        <v>1916</v>
      </c>
      <c r="H396" s="3520" t="s">
        <v>3757</v>
      </c>
      <c r="I396" s="3503"/>
      <c r="J396" s="3521" t="s">
        <v>4150</v>
      </c>
    </row>
    <row r="397" spans="2:10" x14ac:dyDescent="0.25">
      <c r="B397" s="3518" t="s">
        <v>1815</v>
      </c>
      <c r="C397" s="3519" t="s">
        <v>1815</v>
      </c>
      <c r="D397" s="3519" t="s">
        <v>1815</v>
      </c>
      <c r="E397" s="3519" t="s">
        <v>1815</v>
      </c>
      <c r="F397" s="3519" t="s">
        <v>4151</v>
      </c>
      <c r="G397" s="3519" t="s">
        <v>1815</v>
      </c>
      <c r="H397" s="3520" t="s">
        <v>1815</v>
      </c>
      <c r="I397" s="3503"/>
      <c r="J397" s="3521" t="s">
        <v>4152</v>
      </c>
    </row>
    <row r="398" spans="2:10" x14ac:dyDescent="0.25">
      <c r="B398" s="3518" t="s">
        <v>1815</v>
      </c>
      <c r="C398" s="3519" t="s">
        <v>1815</v>
      </c>
      <c r="D398" s="3519" t="s">
        <v>1815</v>
      </c>
      <c r="E398" s="3519" t="s">
        <v>1815</v>
      </c>
      <c r="F398" s="3519" t="s">
        <v>1815</v>
      </c>
      <c r="G398" s="3519" t="s">
        <v>4153</v>
      </c>
      <c r="H398" s="3520" t="s">
        <v>1815</v>
      </c>
      <c r="I398" s="3503"/>
      <c r="J398" s="3521" t="s">
        <v>4152</v>
      </c>
    </row>
    <row r="399" spans="2:10" x14ac:dyDescent="0.25">
      <c r="B399" s="3518" t="s">
        <v>1815</v>
      </c>
      <c r="C399" s="3519" t="s">
        <v>1815</v>
      </c>
      <c r="D399" s="3519" t="s">
        <v>1815</v>
      </c>
      <c r="E399" s="3519" t="s">
        <v>2235</v>
      </c>
      <c r="F399" s="3519" t="s">
        <v>1815</v>
      </c>
      <c r="G399" s="3519" t="s">
        <v>1815</v>
      </c>
      <c r="H399" s="3520" t="s">
        <v>4154</v>
      </c>
      <c r="I399" s="3503"/>
      <c r="J399" s="3521" t="s">
        <v>4155</v>
      </c>
    </row>
    <row r="400" spans="2:10" ht="30" x14ac:dyDescent="0.25">
      <c r="B400" s="3518" t="s">
        <v>1815</v>
      </c>
      <c r="C400" s="3519" t="s">
        <v>1815</v>
      </c>
      <c r="D400" s="3519" t="s">
        <v>1815</v>
      </c>
      <c r="E400" s="3519" t="s">
        <v>1815</v>
      </c>
      <c r="F400" s="3519" t="s">
        <v>2041</v>
      </c>
      <c r="G400" s="3519" t="s">
        <v>1815</v>
      </c>
      <c r="H400" s="3520" t="s">
        <v>4156</v>
      </c>
      <c r="I400" s="3503"/>
      <c r="J400" s="3521" t="s">
        <v>4157</v>
      </c>
    </row>
    <row r="401" spans="2:10" ht="30" x14ac:dyDescent="0.25">
      <c r="B401" s="3518" t="s">
        <v>1815</v>
      </c>
      <c r="C401" s="3519" t="s">
        <v>1815</v>
      </c>
      <c r="D401" s="3519" t="s">
        <v>1815</v>
      </c>
      <c r="E401" s="3519" t="s">
        <v>1815</v>
      </c>
      <c r="F401" s="3519" t="s">
        <v>1815</v>
      </c>
      <c r="G401" s="3519" t="s">
        <v>2043</v>
      </c>
      <c r="H401" s="3520" t="s">
        <v>4158</v>
      </c>
      <c r="I401" s="3503"/>
      <c r="J401" s="3521" t="s">
        <v>4157</v>
      </c>
    </row>
    <row r="402" spans="2:10" x14ac:dyDescent="0.25">
      <c r="B402" s="3518" t="s">
        <v>1815</v>
      </c>
      <c r="C402" s="3519" t="s">
        <v>1815</v>
      </c>
      <c r="D402" s="3519" t="s">
        <v>1815</v>
      </c>
      <c r="E402" s="3519" t="s">
        <v>1815</v>
      </c>
      <c r="F402" s="3519" t="s">
        <v>2026</v>
      </c>
      <c r="G402" s="3519" t="s">
        <v>1815</v>
      </c>
      <c r="H402" s="3520" t="s">
        <v>3895</v>
      </c>
      <c r="I402" s="3503"/>
      <c r="J402" s="3521" t="s">
        <v>4159</v>
      </c>
    </row>
    <row r="403" spans="2:10" x14ac:dyDescent="0.25">
      <c r="B403" s="3518" t="s">
        <v>1815</v>
      </c>
      <c r="C403" s="3519" t="s">
        <v>1815</v>
      </c>
      <c r="D403" s="3519" t="s">
        <v>1815</v>
      </c>
      <c r="E403" s="3519" t="s">
        <v>1815</v>
      </c>
      <c r="F403" s="3519" t="s">
        <v>1815</v>
      </c>
      <c r="G403" s="3519" t="s">
        <v>2029</v>
      </c>
      <c r="H403" s="3520" t="s">
        <v>951</v>
      </c>
      <c r="I403" s="3503"/>
      <c r="J403" s="3521" t="s">
        <v>4159</v>
      </c>
    </row>
    <row r="404" spans="2:10" ht="30" x14ac:dyDescent="0.25">
      <c r="B404" s="3518" t="s">
        <v>1815</v>
      </c>
      <c r="C404" s="3519" t="s">
        <v>1815</v>
      </c>
      <c r="D404" s="3519" t="s">
        <v>1846</v>
      </c>
      <c r="E404" s="3519" t="s">
        <v>1815</v>
      </c>
      <c r="F404" s="3519" t="s">
        <v>1815</v>
      </c>
      <c r="G404" s="3519" t="s">
        <v>1815</v>
      </c>
      <c r="H404" s="3520" t="s">
        <v>4160</v>
      </c>
      <c r="I404" s="3503"/>
      <c r="J404" s="3521" t="s">
        <v>4161</v>
      </c>
    </row>
    <row r="405" spans="2:10" x14ac:dyDescent="0.25">
      <c r="B405" s="3518" t="s">
        <v>1815</v>
      </c>
      <c r="C405" s="3519" t="s">
        <v>1815</v>
      </c>
      <c r="D405" s="3519" t="s">
        <v>1815</v>
      </c>
      <c r="E405" s="3519" t="s">
        <v>1847</v>
      </c>
      <c r="F405" s="3519" t="s">
        <v>1815</v>
      </c>
      <c r="G405" s="3519" t="s">
        <v>1815</v>
      </c>
      <c r="H405" s="3520" t="s">
        <v>4162</v>
      </c>
      <c r="I405" s="3503"/>
      <c r="J405" s="3521" t="s">
        <v>4163</v>
      </c>
    </row>
    <row r="406" spans="2:10" x14ac:dyDescent="0.25">
      <c r="B406" s="3518" t="s">
        <v>1815</v>
      </c>
      <c r="C406" s="3519" t="s">
        <v>1815</v>
      </c>
      <c r="D406" s="3519" t="s">
        <v>1815</v>
      </c>
      <c r="E406" s="3519" t="s">
        <v>1815</v>
      </c>
      <c r="F406" s="3519" t="s">
        <v>1848</v>
      </c>
      <c r="G406" s="3519" t="s">
        <v>1815</v>
      </c>
      <c r="H406" s="3520" t="s">
        <v>3771</v>
      </c>
      <c r="I406" s="3503"/>
      <c r="J406" s="3521" t="s">
        <v>4164</v>
      </c>
    </row>
    <row r="407" spans="2:10" x14ac:dyDescent="0.25">
      <c r="B407" s="3518" t="s">
        <v>1815</v>
      </c>
      <c r="C407" s="3519" t="s">
        <v>1815</v>
      </c>
      <c r="D407" s="3519" t="s">
        <v>1815</v>
      </c>
      <c r="E407" s="3519" t="s">
        <v>1815</v>
      </c>
      <c r="F407" s="3519" t="s">
        <v>1815</v>
      </c>
      <c r="G407" s="3519" t="s">
        <v>1849</v>
      </c>
      <c r="H407" s="3520" t="s">
        <v>3773</v>
      </c>
      <c r="I407" s="3503"/>
      <c r="J407" s="3521" t="s">
        <v>4164</v>
      </c>
    </row>
    <row r="408" spans="2:10" ht="30" x14ac:dyDescent="0.25">
      <c r="B408" s="3518" t="s">
        <v>1815</v>
      </c>
      <c r="C408" s="3519" t="s">
        <v>1815</v>
      </c>
      <c r="D408" s="3519" t="s">
        <v>1815</v>
      </c>
      <c r="E408" s="3519" t="s">
        <v>1815</v>
      </c>
      <c r="F408" s="3519" t="s">
        <v>1851</v>
      </c>
      <c r="G408" s="3519" t="s">
        <v>1815</v>
      </c>
      <c r="H408" s="3520" t="s">
        <v>3774</v>
      </c>
      <c r="I408" s="3503"/>
      <c r="J408" s="3521" t="s">
        <v>4165</v>
      </c>
    </row>
    <row r="409" spans="2:10" ht="30" x14ac:dyDescent="0.25">
      <c r="B409" s="3518" t="s">
        <v>1815</v>
      </c>
      <c r="C409" s="3519" t="s">
        <v>1815</v>
      </c>
      <c r="D409" s="3519" t="s">
        <v>1815</v>
      </c>
      <c r="E409" s="3519" t="s">
        <v>1815</v>
      </c>
      <c r="F409" s="3519" t="s">
        <v>1815</v>
      </c>
      <c r="G409" s="3519" t="s">
        <v>1852</v>
      </c>
      <c r="H409" s="3520" t="s">
        <v>3774</v>
      </c>
      <c r="I409" s="3503"/>
      <c r="J409" s="3521" t="s">
        <v>4165</v>
      </c>
    </row>
    <row r="410" spans="2:10" x14ac:dyDescent="0.25">
      <c r="B410" s="3518" t="s">
        <v>1815</v>
      </c>
      <c r="C410" s="3519" t="s">
        <v>1815</v>
      </c>
      <c r="D410" s="3519" t="s">
        <v>1815</v>
      </c>
      <c r="E410" s="3519" t="s">
        <v>1815</v>
      </c>
      <c r="F410" s="3519" t="s">
        <v>1853</v>
      </c>
      <c r="G410" s="3519" t="s">
        <v>1815</v>
      </c>
      <c r="H410" s="3520" t="s">
        <v>3732</v>
      </c>
      <c r="I410" s="3503"/>
      <c r="J410" s="3521" t="s">
        <v>4166</v>
      </c>
    </row>
    <row r="411" spans="2:10" x14ac:dyDescent="0.25">
      <c r="B411" s="3518" t="s">
        <v>1815</v>
      </c>
      <c r="C411" s="3519" t="s">
        <v>1815</v>
      </c>
      <c r="D411" s="3519" t="s">
        <v>1815</v>
      </c>
      <c r="E411" s="3519" t="s">
        <v>1815</v>
      </c>
      <c r="F411" s="3519" t="s">
        <v>1815</v>
      </c>
      <c r="G411" s="3519" t="s">
        <v>1854</v>
      </c>
      <c r="H411" s="3520" t="s">
        <v>3734</v>
      </c>
      <c r="I411" s="3503"/>
      <c r="J411" s="3521" t="s">
        <v>4167</v>
      </c>
    </row>
    <row r="412" spans="2:10" x14ac:dyDescent="0.25">
      <c r="B412" s="3518" t="s">
        <v>1815</v>
      </c>
      <c r="C412" s="3519" t="s">
        <v>1815</v>
      </c>
      <c r="D412" s="3519" t="s">
        <v>1815</v>
      </c>
      <c r="E412" s="3519" t="s">
        <v>1815</v>
      </c>
      <c r="F412" s="3519" t="s">
        <v>1815</v>
      </c>
      <c r="G412" s="3519" t="s">
        <v>1855</v>
      </c>
      <c r="H412" s="3520" t="s">
        <v>3778</v>
      </c>
      <c r="I412" s="3503"/>
      <c r="J412" s="3521" t="s">
        <v>4168</v>
      </c>
    </row>
    <row r="413" spans="2:10" x14ac:dyDescent="0.25">
      <c r="B413" s="3518" t="s">
        <v>1815</v>
      </c>
      <c r="C413" s="3519" t="s">
        <v>1815</v>
      </c>
      <c r="D413" s="3519" t="s">
        <v>1815</v>
      </c>
      <c r="E413" s="3519" t="s">
        <v>1815</v>
      </c>
      <c r="F413" s="3519" t="s">
        <v>1815</v>
      </c>
      <c r="G413" s="3519" t="s">
        <v>1935</v>
      </c>
      <c r="H413" s="3520" t="s">
        <v>3780</v>
      </c>
      <c r="I413" s="3503"/>
      <c r="J413" s="3521" t="s">
        <v>4169</v>
      </c>
    </row>
    <row r="414" spans="2:10" x14ac:dyDescent="0.25">
      <c r="B414" s="3518" t="s">
        <v>1815</v>
      </c>
      <c r="C414" s="3519" t="s">
        <v>1815</v>
      </c>
      <c r="D414" s="3519" t="s">
        <v>1815</v>
      </c>
      <c r="E414" s="3519" t="s">
        <v>1815</v>
      </c>
      <c r="F414" s="3519" t="s">
        <v>1815</v>
      </c>
      <c r="G414" s="3519" t="s">
        <v>1856</v>
      </c>
      <c r="H414" s="3520" t="s">
        <v>3736</v>
      </c>
      <c r="I414" s="3503"/>
      <c r="J414" s="3521" t="s">
        <v>4170</v>
      </c>
    </row>
    <row r="415" spans="2:10" x14ac:dyDescent="0.25">
      <c r="B415" s="3518" t="s">
        <v>1815</v>
      </c>
      <c r="C415" s="3519" t="s">
        <v>1815</v>
      </c>
      <c r="D415" s="3519" t="s">
        <v>1815</v>
      </c>
      <c r="E415" s="3519" t="s">
        <v>1815</v>
      </c>
      <c r="F415" s="3519" t="s">
        <v>1815</v>
      </c>
      <c r="G415" s="3519" t="s">
        <v>1936</v>
      </c>
      <c r="H415" s="3520" t="s">
        <v>3985</v>
      </c>
      <c r="I415" s="3503"/>
      <c r="J415" s="3521" t="s">
        <v>4171</v>
      </c>
    </row>
    <row r="416" spans="2:10" ht="30" x14ac:dyDescent="0.25">
      <c r="B416" s="3518" t="s">
        <v>1815</v>
      </c>
      <c r="C416" s="3519" t="s">
        <v>1815</v>
      </c>
      <c r="D416" s="3519" t="s">
        <v>1815</v>
      </c>
      <c r="E416" s="3519" t="s">
        <v>1815</v>
      </c>
      <c r="F416" s="3519" t="s">
        <v>1815</v>
      </c>
      <c r="G416" s="3519" t="s">
        <v>1857</v>
      </c>
      <c r="H416" s="3520" t="s">
        <v>4172</v>
      </c>
      <c r="I416" s="3503"/>
      <c r="J416" s="3521" t="s">
        <v>4173</v>
      </c>
    </row>
    <row r="417" spans="2:10" x14ac:dyDescent="0.25">
      <c r="B417" s="3518" t="s">
        <v>1815</v>
      </c>
      <c r="C417" s="3519" t="s">
        <v>1815</v>
      </c>
      <c r="D417" s="3519" t="s">
        <v>1815</v>
      </c>
      <c r="E417" s="3519" t="s">
        <v>1815</v>
      </c>
      <c r="F417" s="3519" t="s">
        <v>1815</v>
      </c>
      <c r="G417" s="3519" t="s">
        <v>1858</v>
      </c>
      <c r="H417" s="3520" t="s">
        <v>3988</v>
      </c>
      <c r="I417" s="3503"/>
      <c r="J417" s="3521" t="s">
        <v>4174</v>
      </c>
    </row>
    <row r="418" spans="2:10" ht="30" x14ac:dyDescent="0.25">
      <c r="B418" s="3518" t="s">
        <v>1815</v>
      </c>
      <c r="C418" s="3519" t="s">
        <v>1815</v>
      </c>
      <c r="D418" s="3519" t="s">
        <v>1815</v>
      </c>
      <c r="E418" s="3519" t="s">
        <v>1815</v>
      </c>
      <c r="F418" s="3519" t="s">
        <v>1815</v>
      </c>
      <c r="G418" s="3519" t="s">
        <v>1929</v>
      </c>
      <c r="H418" s="3520" t="s">
        <v>3785</v>
      </c>
      <c r="I418" s="3503"/>
      <c r="J418" s="3521" t="s">
        <v>4175</v>
      </c>
    </row>
    <row r="419" spans="2:10" ht="30" x14ac:dyDescent="0.25">
      <c r="B419" s="3518" t="s">
        <v>1815</v>
      </c>
      <c r="C419" s="3519" t="s">
        <v>1815</v>
      </c>
      <c r="D419" s="3519" t="s">
        <v>1815</v>
      </c>
      <c r="E419" s="3519" t="s">
        <v>1815</v>
      </c>
      <c r="F419" s="3519" t="s">
        <v>1815</v>
      </c>
      <c r="G419" s="3519" t="s">
        <v>1938</v>
      </c>
      <c r="H419" s="3520" t="s">
        <v>3787</v>
      </c>
      <c r="I419" s="3503"/>
      <c r="J419" s="3521" t="s">
        <v>4176</v>
      </c>
    </row>
    <row r="420" spans="2:10" ht="30" x14ac:dyDescent="0.25">
      <c r="B420" s="3518" t="s">
        <v>1815</v>
      </c>
      <c r="C420" s="3519" t="s">
        <v>1815</v>
      </c>
      <c r="D420" s="3519" t="s">
        <v>1815</v>
      </c>
      <c r="E420" s="3519" t="s">
        <v>1815</v>
      </c>
      <c r="F420" s="3519" t="s">
        <v>1815</v>
      </c>
      <c r="G420" s="3519" t="s">
        <v>1977</v>
      </c>
      <c r="H420" s="3520" t="s">
        <v>4177</v>
      </c>
      <c r="I420" s="3503"/>
      <c r="J420" s="3521" t="s">
        <v>4178</v>
      </c>
    </row>
    <row r="421" spans="2:10" x14ac:dyDescent="0.25">
      <c r="B421" s="3518" t="s">
        <v>1815</v>
      </c>
      <c r="C421" s="3519" t="s">
        <v>1815</v>
      </c>
      <c r="D421" s="3519" t="s">
        <v>1815</v>
      </c>
      <c r="E421" s="3519" t="s">
        <v>1815</v>
      </c>
      <c r="F421" s="3519" t="s">
        <v>1815</v>
      </c>
      <c r="G421" s="3519" t="s">
        <v>1859</v>
      </c>
      <c r="H421" s="3520" t="s">
        <v>4179</v>
      </c>
      <c r="I421" s="3503"/>
      <c r="J421" s="3521" t="s">
        <v>4180</v>
      </c>
    </row>
    <row r="422" spans="2:10" x14ac:dyDescent="0.25">
      <c r="B422" s="3518" t="s">
        <v>1815</v>
      </c>
      <c r="C422" s="3519" t="s">
        <v>1815</v>
      </c>
      <c r="D422" s="3519" t="s">
        <v>1815</v>
      </c>
      <c r="E422" s="3519" t="s">
        <v>1815</v>
      </c>
      <c r="F422" s="3519" t="s">
        <v>1815</v>
      </c>
      <c r="G422" s="3519" t="s">
        <v>1939</v>
      </c>
      <c r="H422" s="3520" t="s">
        <v>3789</v>
      </c>
      <c r="I422" s="3503"/>
      <c r="J422" s="3521" t="s">
        <v>4181</v>
      </c>
    </row>
    <row r="423" spans="2:10" x14ac:dyDescent="0.25">
      <c r="B423" s="3518" t="s">
        <v>1815</v>
      </c>
      <c r="C423" s="3519" t="s">
        <v>1815</v>
      </c>
      <c r="D423" s="3519" t="s">
        <v>1815</v>
      </c>
      <c r="E423" s="3519" t="s">
        <v>1815</v>
      </c>
      <c r="F423" s="3519" t="s">
        <v>1860</v>
      </c>
      <c r="G423" s="3519" t="s">
        <v>1815</v>
      </c>
      <c r="H423" s="3520" t="s">
        <v>3796</v>
      </c>
      <c r="I423" s="3503"/>
      <c r="J423" s="3521" t="s">
        <v>4182</v>
      </c>
    </row>
    <row r="424" spans="2:10" x14ac:dyDescent="0.25">
      <c r="B424" s="3518" t="s">
        <v>1815</v>
      </c>
      <c r="C424" s="3519" t="s">
        <v>1815</v>
      </c>
      <c r="D424" s="3519" t="s">
        <v>1815</v>
      </c>
      <c r="E424" s="3519" t="s">
        <v>1815</v>
      </c>
      <c r="F424" s="3519" t="s">
        <v>1815</v>
      </c>
      <c r="G424" s="3519" t="s">
        <v>1861</v>
      </c>
      <c r="H424" s="3520" t="s">
        <v>3798</v>
      </c>
      <c r="I424" s="3503"/>
      <c r="J424" s="3521" t="s">
        <v>4183</v>
      </c>
    </row>
    <row r="425" spans="2:10" x14ac:dyDescent="0.25">
      <c r="B425" s="3518" t="s">
        <v>1815</v>
      </c>
      <c r="C425" s="3519" t="s">
        <v>1815</v>
      </c>
      <c r="D425" s="3519" t="s">
        <v>1815</v>
      </c>
      <c r="E425" s="3519" t="s">
        <v>1815</v>
      </c>
      <c r="F425" s="3519" t="s">
        <v>1815</v>
      </c>
      <c r="G425" s="3519" t="s">
        <v>1930</v>
      </c>
      <c r="H425" s="3520" t="s">
        <v>4095</v>
      </c>
      <c r="I425" s="3503"/>
      <c r="J425" s="3521" t="s">
        <v>4184</v>
      </c>
    </row>
    <row r="426" spans="2:10" x14ac:dyDescent="0.25">
      <c r="B426" s="3518" t="s">
        <v>1815</v>
      </c>
      <c r="C426" s="3519" t="s">
        <v>1815</v>
      </c>
      <c r="D426" s="3519" t="s">
        <v>1815</v>
      </c>
      <c r="E426" s="3519" t="s">
        <v>1815</v>
      </c>
      <c r="F426" s="3519" t="s">
        <v>1943</v>
      </c>
      <c r="G426" s="3519" t="s">
        <v>1815</v>
      </c>
      <c r="H426" s="3520" t="s">
        <v>3799</v>
      </c>
      <c r="I426" s="3503"/>
      <c r="J426" s="3521" t="s">
        <v>4185</v>
      </c>
    </row>
    <row r="427" spans="2:10" x14ac:dyDescent="0.25">
      <c r="B427" s="3518" t="s">
        <v>1815</v>
      </c>
      <c r="C427" s="3519" t="s">
        <v>1815</v>
      </c>
      <c r="D427" s="3519" t="s">
        <v>1815</v>
      </c>
      <c r="E427" s="3519" t="s">
        <v>1815</v>
      </c>
      <c r="F427" s="3519" t="s">
        <v>1815</v>
      </c>
      <c r="G427" s="3519" t="s">
        <v>1980</v>
      </c>
      <c r="H427" s="3520" t="s">
        <v>951</v>
      </c>
      <c r="I427" s="3503"/>
      <c r="J427" s="3521" t="s">
        <v>4185</v>
      </c>
    </row>
    <row r="428" spans="2:10" x14ac:dyDescent="0.25">
      <c r="B428" s="3518" t="s">
        <v>1815</v>
      </c>
      <c r="C428" s="3519" t="s">
        <v>1815</v>
      </c>
      <c r="D428" s="3519" t="s">
        <v>1815</v>
      </c>
      <c r="E428" s="3519" t="s">
        <v>1815</v>
      </c>
      <c r="F428" s="3519" t="s">
        <v>1862</v>
      </c>
      <c r="G428" s="3519" t="s">
        <v>1815</v>
      </c>
      <c r="H428" s="3520" t="s">
        <v>3801</v>
      </c>
      <c r="I428" s="3503"/>
      <c r="J428" s="3521" t="s">
        <v>4186</v>
      </c>
    </row>
    <row r="429" spans="2:10" x14ac:dyDescent="0.25">
      <c r="B429" s="3518" t="s">
        <v>1815</v>
      </c>
      <c r="C429" s="3519" t="s">
        <v>1815</v>
      </c>
      <c r="D429" s="3519" t="s">
        <v>1815</v>
      </c>
      <c r="E429" s="3519" t="s">
        <v>1815</v>
      </c>
      <c r="F429" s="3519" t="s">
        <v>1815</v>
      </c>
      <c r="G429" s="3519" t="s">
        <v>1863</v>
      </c>
      <c r="H429" s="3520" t="s">
        <v>3803</v>
      </c>
      <c r="I429" s="3503"/>
      <c r="J429" s="3521" t="s">
        <v>4187</v>
      </c>
    </row>
    <row r="430" spans="2:10" x14ac:dyDescent="0.25">
      <c r="B430" s="3518" t="s">
        <v>1815</v>
      </c>
      <c r="C430" s="3519" t="s">
        <v>1815</v>
      </c>
      <c r="D430" s="3519" t="s">
        <v>1815</v>
      </c>
      <c r="E430" s="3519" t="s">
        <v>1815</v>
      </c>
      <c r="F430" s="3519" t="s">
        <v>1815</v>
      </c>
      <c r="G430" s="3519" t="s">
        <v>1864</v>
      </c>
      <c r="H430" s="3520" t="s">
        <v>3805</v>
      </c>
      <c r="I430" s="3503"/>
      <c r="J430" s="3521" t="s">
        <v>4188</v>
      </c>
    </row>
    <row r="431" spans="2:10" x14ac:dyDescent="0.25">
      <c r="B431" s="3518" t="s">
        <v>1815</v>
      </c>
      <c r="C431" s="3519" t="s">
        <v>1815</v>
      </c>
      <c r="D431" s="3519" t="s">
        <v>1815</v>
      </c>
      <c r="E431" s="3519" t="s">
        <v>1815</v>
      </c>
      <c r="F431" s="3519" t="s">
        <v>1815</v>
      </c>
      <c r="G431" s="3519" t="s">
        <v>1865</v>
      </c>
      <c r="H431" s="3520" t="s">
        <v>3807</v>
      </c>
      <c r="I431" s="3503"/>
      <c r="J431" s="3521" t="s">
        <v>4189</v>
      </c>
    </row>
    <row r="432" spans="2:10" x14ac:dyDescent="0.25">
      <c r="B432" s="3518" t="s">
        <v>1815</v>
      </c>
      <c r="C432" s="3519" t="s">
        <v>1815</v>
      </c>
      <c r="D432" s="3519" t="s">
        <v>1815</v>
      </c>
      <c r="E432" s="3519" t="s">
        <v>1815</v>
      </c>
      <c r="F432" s="3519" t="s">
        <v>1815</v>
      </c>
      <c r="G432" s="3519" t="s">
        <v>1866</v>
      </c>
      <c r="H432" s="3520" t="s">
        <v>3809</v>
      </c>
      <c r="I432" s="3503"/>
      <c r="J432" s="3521" t="s">
        <v>4190</v>
      </c>
    </row>
    <row r="433" spans="2:10" x14ac:dyDescent="0.25">
      <c r="B433" s="3518" t="s">
        <v>1815</v>
      </c>
      <c r="C433" s="3519" t="s">
        <v>1815</v>
      </c>
      <c r="D433" s="3519" t="s">
        <v>1815</v>
      </c>
      <c r="E433" s="3519" t="s">
        <v>1815</v>
      </c>
      <c r="F433" s="3519" t="s">
        <v>2057</v>
      </c>
      <c r="G433" s="3519" t="s">
        <v>1815</v>
      </c>
      <c r="H433" s="3520" t="s">
        <v>3738</v>
      </c>
      <c r="I433" s="3503"/>
      <c r="J433" s="3521" t="s">
        <v>4191</v>
      </c>
    </row>
    <row r="434" spans="2:10" x14ac:dyDescent="0.25">
      <c r="B434" s="3518" t="s">
        <v>1815</v>
      </c>
      <c r="C434" s="3519" t="s">
        <v>1815</v>
      </c>
      <c r="D434" s="3519" t="s">
        <v>1815</v>
      </c>
      <c r="E434" s="3519" t="s">
        <v>1815</v>
      </c>
      <c r="F434" s="3519" t="s">
        <v>1815</v>
      </c>
      <c r="G434" s="3519" t="s">
        <v>2058</v>
      </c>
      <c r="H434" s="3520" t="s">
        <v>3740</v>
      </c>
      <c r="I434" s="3503"/>
      <c r="J434" s="3521" t="s">
        <v>4192</v>
      </c>
    </row>
    <row r="435" spans="2:10" x14ac:dyDescent="0.25">
      <c r="B435" s="3518" t="s">
        <v>1815</v>
      </c>
      <c r="C435" s="3519" t="s">
        <v>1815</v>
      </c>
      <c r="D435" s="3519" t="s">
        <v>1815</v>
      </c>
      <c r="E435" s="3519" t="s">
        <v>1815</v>
      </c>
      <c r="F435" s="3519" t="s">
        <v>1815</v>
      </c>
      <c r="G435" s="3519" t="s">
        <v>2059</v>
      </c>
      <c r="H435" s="3520" t="s">
        <v>951</v>
      </c>
      <c r="I435" s="3503"/>
      <c r="J435" s="3521" t="s">
        <v>4193</v>
      </c>
    </row>
    <row r="436" spans="2:10" x14ac:dyDescent="0.25">
      <c r="B436" s="3518" t="s">
        <v>1815</v>
      </c>
      <c r="C436" s="3519" t="s">
        <v>1815</v>
      </c>
      <c r="D436" s="3519" t="s">
        <v>1815</v>
      </c>
      <c r="E436" s="3519" t="s">
        <v>1815</v>
      </c>
      <c r="F436" s="3519" t="s">
        <v>1867</v>
      </c>
      <c r="G436" s="3519" t="s">
        <v>1815</v>
      </c>
      <c r="H436" s="3520" t="s">
        <v>3811</v>
      </c>
      <c r="I436" s="3503"/>
      <c r="J436" s="3521" t="s">
        <v>4194</v>
      </c>
    </row>
    <row r="437" spans="2:10" ht="30" x14ac:dyDescent="0.25">
      <c r="B437" s="3518" t="s">
        <v>1815</v>
      </c>
      <c r="C437" s="3519" t="s">
        <v>1815</v>
      </c>
      <c r="D437" s="3519" t="s">
        <v>1815</v>
      </c>
      <c r="E437" s="3519" t="s">
        <v>1815</v>
      </c>
      <c r="F437" s="3519" t="s">
        <v>1815</v>
      </c>
      <c r="G437" s="3519" t="s">
        <v>1868</v>
      </c>
      <c r="H437" s="3520" t="s">
        <v>3815</v>
      </c>
      <c r="I437" s="3503"/>
      <c r="J437" s="3521" t="s">
        <v>4195</v>
      </c>
    </row>
    <row r="438" spans="2:10" x14ac:dyDescent="0.25">
      <c r="B438" s="3518" t="s">
        <v>1815</v>
      </c>
      <c r="C438" s="3519" t="s">
        <v>1815</v>
      </c>
      <c r="D438" s="3519" t="s">
        <v>1815</v>
      </c>
      <c r="E438" s="3519" t="s">
        <v>1815</v>
      </c>
      <c r="F438" s="3519" t="s">
        <v>1815</v>
      </c>
      <c r="G438" s="3519" t="s">
        <v>1947</v>
      </c>
      <c r="H438" s="3520" t="s">
        <v>951</v>
      </c>
      <c r="I438" s="3503"/>
      <c r="J438" s="3521" t="s">
        <v>4196</v>
      </c>
    </row>
    <row r="439" spans="2:10" x14ac:dyDescent="0.25">
      <c r="B439" s="3518" t="s">
        <v>1815</v>
      </c>
      <c r="C439" s="3519" t="s">
        <v>1815</v>
      </c>
      <c r="D439" s="3519" t="s">
        <v>1815</v>
      </c>
      <c r="E439" s="3519" t="s">
        <v>1815</v>
      </c>
      <c r="F439" s="3519" t="s">
        <v>1869</v>
      </c>
      <c r="G439" s="3519" t="s">
        <v>1815</v>
      </c>
      <c r="H439" s="3520" t="s">
        <v>3817</v>
      </c>
      <c r="I439" s="3503"/>
      <c r="J439" s="3521" t="s">
        <v>4197</v>
      </c>
    </row>
    <row r="440" spans="2:10" x14ac:dyDescent="0.25">
      <c r="B440" s="3518" t="s">
        <v>1815</v>
      </c>
      <c r="C440" s="3519" t="s">
        <v>1815</v>
      </c>
      <c r="D440" s="3519" t="s">
        <v>1815</v>
      </c>
      <c r="E440" s="3519" t="s">
        <v>1815</v>
      </c>
      <c r="F440" s="3519" t="s">
        <v>1815</v>
      </c>
      <c r="G440" s="3519" t="s">
        <v>1870</v>
      </c>
      <c r="H440" s="3520" t="s">
        <v>3819</v>
      </c>
      <c r="I440" s="3503"/>
      <c r="J440" s="3521" t="s">
        <v>4198</v>
      </c>
    </row>
    <row r="441" spans="2:10" x14ac:dyDescent="0.25">
      <c r="B441" s="3518" t="s">
        <v>1815</v>
      </c>
      <c r="C441" s="3519" t="s">
        <v>1815</v>
      </c>
      <c r="D441" s="3519" t="s">
        <v>1815</v>
      </c>
      <c r="E441" s="3519" t="s">
        <v>1815</v>
      </c>
      <c r="F441" s="3519" t="s">
        <v>1815</v>
      </c>
      <c r="G441" s="3519" t="s">
        <v>1871</v>
      </c>
      <c r="H441" s="3520" t="s">
        <v>3821</v>
      </c>
      <c r="I441" s="3503"/>
      <c r="J441" s="3521" t="s">
        <v>4199</v>
      </c>
    </row>
    <row r="442" spans="2:10" x14ac:dyDescent="0.25">
      <c r="B442" s="3518" t="s">
        <v>1815</v>
      </c>
      <c r="C442" s="3519" t="s">
        <v>1815</v>
      </c>
      <c r="D442" s="3519" t="s">
        <v>1815</v>
      </c>
      <c r="E442" s="3519" t="s">
        <v>1815</v>
      </c>
      <c r="F442" s="3519" t="s">
        <v>1815</v>
      </c>
      <c r="G442" s="3519" t="s">
        <v>1872</v>
      </c>
      <c r="H442" s="3520" t="s">
        <v>4200</v>
      </c>
      <c r="I442" s="3503"/>
      <c r="J442" s="3521" t="s">
        <v>4201</v>
      </c>
    </row>
    <row r="443" spans="2:10" x14ac:dyDescent="0.25">
      <c r="B443" s="3518" t="s">
        <v>1815</v>
      </c>
      <c r="C443" s="3519" t="s">
        <v>1815</v>
      </c>
      <c r="D443" s="3519" t="s">
        <v>1815</v>
      </c>
      <c r="E443" s="3519" t="s">
        <v>1815</v>
      </c>
      <c r="F443" s="3519" t="s">
        <v>1815</v>
      </c>
      <c r="G443" s="3519" t="s">
        <v>1873</v>
      </c>
      <c r="H443" s="3520" t="s">
        <v>4202</v>
      </c>
      <c r="I443" s="3503"/>
      <c r="J443" s="3521" t="s">
        <v>4203</v>
      </c>
    </row>
    <row r="444" spans="2:10" x14ac:dyDescent="0.25">
      <c r="B444" s="3518" t="s">
        <v>1815</v>
      </c>
      <c r="C444" s="3519" t="s">
        <v>1815</v>
      </c>
      <c r="D444" s="3519" t="s">
        <v>1815</v>
      </c>
      <c r="E444" s="3519" t="s">
        <v>1815</v>
      </c>
      <c r="F444" s="3519" t="s">
        <v>1815</v>
      </c>
      <c r="G444" s="3519" t="s">
        <v>3823</v>
      </c>
      <c r="H444" s="3520" t="s">
        <v>3824</v>
      </c>
      <c r="I444" s="3503"/>
      <c r="J444" s="3521" t="s">
        <v>1919</v>
      </c>
    </row>
    <row r="445" spans="2:10" x14ac:dyDescent="0.25">
      <c r="B445" s="3518" t="s">
        <v>1815</v>
      </c>
      <c r="C445" s="3519" t="s">
        <v>1815</v>
      </c>
      <c r="D445" s="3519" t="s">
        <v>1815</v>
      </c>
      <c r="E445" s="3519" t="s">
        <v>1815</v>
      </c>
      <c r="F445" s="3519" t="s">
        <v>1874</v>
      </c>
      <c r="G445" s="3519" t="s">
        <v>1815</v>
      </c>
      <c r="H445" s="3520" t="s">
        <v>3743</v>
      </c>
      <c r="I445" s="3503"/>
      <c r="J445" s="3521" t="s">
        <v>4204</v>
      </c>
    </row>
    <row r="446" spans="2:10" x14ac:dyDescent="0.25">
      <c r="B446" s="3518" t="s">
        <v>1815</v>
      </c>
      <c r="C446" s="3519" t="s">
        <v>1815</v>
      </c>
      <c r="D446" s="3519" t="s">
        <v>1815</v>
      </c>
      <c r="E446" s="3519" t="s">
        <v>1815</v>
      </c>
      <c r="F446" s="3519" t="s">
        <v>1815</v>
      </c>
      <c r="G446" s="3519" t="s">
        <v>1875</v>
      </c>
      <c r="H446" s="3520" t="s">
        <v>3745</v>
      </c>
      <c r="I446" s="3503"/>
      <c r="J446" s="3521" t="s">
        <v>4205</v>
      </c>
    </row>
    <row r="447" spans="2:10" x14ac:dyDescent="0.25">
      <c r="B447" s="3518" t="s">
        <v>1815</v>
      </c>
      <c r="C447" s="3519" t="s">
        <v>1815</v>
      </c>
      <c r="D447" s="3519" t="s">
        <v>1815</v>
      </c>
      <c r="E447" s="3519" t="s">
        <v>1815</v>
      </c>
      <c r="F447" s="3519" t="s">
        <v>1815</v>
      </c>
      <c r="G447" s="3519" t="s">
        <v>1876</v>
      </c>
      <c r="H447" s="3520" t="s">
        <v>3828</v>
      </c>
      <c r="I447" s="3503"/>
      <c r="J447" s="3521" t="s">
        <v>4206</v>
      </c>
    </row>
    <row r="448" spans="2:10" x14ac:dyDescent="0.25">
      <c r="B448" s="3518" t="s">
        <v>1815</v>
      </c>
      <c r="C448" s="3519" t="s">
        <v>1815</v>
      </c>
      <c r="D448" s="3519" t="s">
        <v>1815</v>
      </c>
      <c r="E448" s="3519" t="s">
        <v>1815</v>
      </c>
      <c r="F448" s="3519" t="s">
        <v>1815</v>
      </c>
      <c r="G448" s="3519" t="s">
        <v>1877</v>
      </c>
      <c r="H448" s="3520" t="s">
        <v>3747</v>
      </c>
      <c r="I448" s="3503"/>
      <c r="J448" s="3521" t="s">
        <v>4207</v>
      </c>
    </row>
    <row r="449" spans="2:10" x14ac:dyDescent="0.25">
      <c r="B449" s="3518" t="s">
        <v>1815</v>
      </c>
      <c r="C449" s="3519" t="s">
        <v>1815</v>
      </c>
      <c r="D449" s="3519" t="s">
        <v>1815</v>
      </c>
      <c r="E449" s="3519" t="s">
        <v>1815</v>
      </c>
      <c r="F449" s="3519" t="s">
        <v>1878</v>
      </c>
      <c r="G449" s="3519" t="s">
        <v>1815</v>
      </c>
      <c r="H449" s="3520" t="s">
        <v>3833</v>
      </c>
      <c r="I449" s="3503"/>
      <c r="J449" s="3521" t="s">
        <v>4208</v>
      </c>
    </row>
    <row r="450" spans="2:10" ht="30" x14ac:dyDescent="0.25">
      <c r="B450" s="3518" t="s">
        <v>1815</v>
      </c>
      <c r="C450" s="3519" t="s">
        <v>1815</v>
      </c>
      <c r="D450" s="3519" t="s">
        <v>1815</v>
      </c>
      <c r="E450" s="3519" t="s">
        <v>1815</v>
      </c>
      <c r="F450" s="3519" t="s">
        <v>1815</v>
      </c>
      <c r="G450" s="3519" t="s">
        <v>1879</v>
      </c>
      <c r="H450" s="3520" t="s">
        <v>3835</v>
      </c>
      <c r="I450" s="3503"/>
      <c r="J450" s="3521" t="s">
        <v>4209</v>
      </c>
    </row>
    <row r="451" spans="2:10" x14ac:dyDescent="0.25">
      <c r="B451" s="3518" t="s">
        <v>1815</v>
      </c>
      <c r="C451" s="3519" t="s">
        <v>1815</v>
      </c>
      <c r="D451" s="3519" t="s">
        <v>1815</v>
      </c>
      <c r="E451" s="3519" t="s">
        <v>1815</v>
      </c>
      <c r="F451" s="3519" t="s">
        <v>1815</v>
      </c>
      <c r="G451" s="3519" t="s">
        <v>1880</v>
      </c>
      <c r="H451" s="3520" t="s">
        <v>4210</v>
      </c>
      <c r="I451" s="3503"/>
      <c r="J451" s="3521" t="s">
        <v>4211</v>
      </c>
    </row>
    <row r="452" spans="2:10" ht="30" x14ac:dyDescent="0.25">
      <c r="B452" s="3518" t="s">
        <v>1815</v>
      </c>
      <c r="C452" s="3519" t="s">
        <v>1815</v>
      </c>
      <c r="D452" s="3519" t="s">
        <v>1815</v>
      </c>
      <c r="E452" s="3519" t="s">
        <v>1815</v>
      </c>
      <c r="F452" s="3519" t="s">
        <v>1815</v>
      </c>
      <c r="G452" s="3519" t="s">
        <v>1881</v>
      </c>
      <c r="H452" s="3520" t="s">
        <v>3837</v>
      </c>
      <c r="I452" s="3503"/>
      <c r="J452" s="3521" t="s">
        <v>4212</v>
      </c>
    </row>
    <row r="453" spans="2:10" x14ac:dyDescent="0.25">
      <c r="B453" s="3518" t="s">
        <v>1815</v>
      </c>
      <c r="C453" s="3519" t="s">
        <v>1815</v>
      </c>
      <c r="D453" s="3519" t="s">
        <v>1815</v>
      </c>
      <c r="E453" s="3519" t="s">
        <v>1815</v>
      </c>
      <c r="F453" s="3519" t="s">
        <v>1815</v>
      </c>
      <c r="G453" s="3519" t="s">
        <v>1882</v>
      </c>
      <c r="H453" s="3520" t="s">
        <v>3839</v>
      </c>
      <c r="I453" s="3503"/>
      <c r="J453" s="3521" t="s">
        <v>4213</v>
      </c>
    </row>
    <row r="454" spans="2:10" ht="30" x14ac:dyDescent="0.25">
      <c r="B454" s="3518" t="s">
        <v>1815</v>
      </c>
      <c r="C454" s="3519" t="s">
        <v>1815</v>
      </c>
      <c r="D454" s="3519" t="s">
        <v>1815</v>
      </c>
      <c r="E454" s="3519" t="s">
        <v>1815</v>
      </c>
      <c r="F454" s="3519" t="s">
        <v>1815</v>
      </c>
      <c r="G454" s="3519" t="s">
        <v>1883</v>
      </c>
      <c r="H454" s="3520" t="s">
        <v>3841</v>
      </c>
      <c r="I454" s="3503"/>
      <c r="J454" s="3521" t="s">
        <v>4214</v>
      </c>
    </row>
    <row r="455" spans="2:10" x14ac:dyDescent="0.25">
      <c r="B455" s="3518" t="s">
        <v>1815</v>
      </c>
      <c r="C455" s="3519" t="s">
        <v>1815</v>
      </c>
      <c r="D455" s="3519" t="s">
        <v>1815</v>
      </c>
      <c r="E455" s="3519" t="s">
        <v>1815</v>
      </c>
      <c r="F455" s="3519" t="s">
        <v>1815</v>
      </c>
      <c r="G455" s="3519" t="s">
        <v>1949</v>
      </c>
      <c r="H455" s="3520" t="s">
        <v>2863</v>
      </c>
      <c r="I455" s="3503"/>
      <c r="J455" s="3521" t="s">
        <v>4215</v>
      </c>
    </row>
    <row r="456" spans="2:10" x14ac:dyDescent="0.25">
      <c r="B456" s="3518" t="s">
        <v>1815</v>
      </c>
      <c r="C456" s="3519" t="s">
        <v>1815</v>
      </c>
      <c r="D456" s="3519" t="s">
        <v>1815</v>
      </c>
      <c r="E456" s="3519" t="s">
        <v>1815</v>
      </c>
      <c r="F456" s="3519" t="s">
        <v>1885</v>
      </c>
      <c r="G456" s="3519" t="s">
        <v>1815</v>
      </c>
      <c r="H456" s="3520" t="s">
        <v>3749</v>
      </c>
      <c r="I456" s="3503"/>
      <c r="J456" s="3521" t="s">
        <v>4216</v>
      </c>
    </row>
    <row r="457" spans="2:10" x14ac:dyDescent="0.25">
      <c r="B457" s="3518" t="s">
        <v>1815</v>
      </c>
      <c r="C457" s="3519" t="s">
        <v>1815</v>
      </c>
      <c r="D457" s="3519" t="s">
        <v>1815</v>
      </c>
      <c r="E457" s="3519" t="s">
        <v>1815</v>
      </c>
      <c r="F457" s="3519" t="s">
        <v>1815</v>
      </c>
      <c r="G457" s="3519" t="s">
        <v>1925</v>
      </c>
      <c r="H457" s="3520" t="s">
        <v>4050</v>
      </c>
      <c r="I457" s="3503"/>
      <c r="J457" s="3521" t="s">
        <v>4217</v>
      </c>
    </row>
    <row r="458" spans="2:10" x14ac:dyDescent="0.25">
      <c r="B458" s="3518" t="s">
        <v>1815</v>
      </c>
      <c r="C458" s="3519" t="s">
        <v>1815</v>
      </c>
      <c r="D458" s="3519" t="s">
        <v>1815</v>
      </c>
      <c r="E458" s="3519" t="s">
        <v>1815</v>
      </c>
      <c r="F458" s="3519" t="s">
        <v>1815</v>
      </c>
      <c r="G458" s="3519" t="s">
        <v>1887</v>
      </c>
      <c r="H458" s="3520" t="s">
        <v>3751</v>
      </c>
      <c r="I458" s="3503"/>
      <c r="J458" s="3521" t="s">
        <v>4218</v>
      </c>
    </row>
    <row r="459" spans="2:10" x14ac:dyDescent="0.25">
      <c r="B459" s="3518" t="s">
        <v>1815</v>
      </c>
      <c r="C459" s="3519" t="s">
        <v>1815</v>
      </c>
      <c r="D459" s="3519" t="s">
        <v>1815</v>
      </c>
      <c r="E459" s="3519" t="s">
        <v>1815</v>
      </c>
      <c r="F459" s="3519" t="s">
        <v>1815</v>
      </c>
      <c r="G459" s="3519" t="s">
        <v>1888</v>
      </c>
      <c r="H459" s="3520" t="s">
        <v>3895</v>
      </c>
      <c r="I459" s="3503"/>
      <c r="J459" s="3521" t="s">
        <v>4219</v>
      </c>
    </row>
    <row r="460" spans="2:10" x14ac:dyDescent="0.25">
      <c r="B460" s="3518" t="s">
        <v>1815</v>
      </c>
      <c r="C460" s="3519" t="s">
        <v>1815</v>
      </c>
      <c r="D460" s="3519" t="s">
        <v>1815</v>
      </c>
      <c r="E460" s="3519" t="s">
        <v>1815</v>
      </c>
      <c r="F460" s="3519" t="s">
        <v>1889</v>
      </c>
      <c r="G460" s="3519" t="s">
        <v>1815</v>
      </c>
      <c r="H460" s="3520" t="s">
        <v>3844</v>
      </c>
      <c r="I460" s="3503"/>
      <c r="J460" s="3521" t="s">
        <v>4220</v>
      </c>
    </row>
    <row r="461" spans="2:10" x14ac:dyDescent="0.25">
      <c r="B461" s="3518" t="s">
        <v>1815</v>
      </c>
      <c r="C461" s="3519" t="s">
        <v>1815</v>
      </c>
      <c r="D461" s="3519" t="s">
        <v>1815</v>
      </c>
      <c r="E461" s="3519" t="s">
        <v>1815</v>
      </c>
      <c r="F461" s="3519" t="s">
        <v>1815</v>
      </c>
      <c r="G461" s="3519" t="s">
        <v>1921</v>
      </c>
      <c r="H461" s="3520" t="s">
        <v>3846</v>
      </c>
      <c r="I461" s="3503"/>
      <c r="J461" s="3521" t="s">
        <v>4221</v>
      </c>
    </row>
    <row r="462" spans="2:10" x14ac:dyDescent="0.25">
      <c r="B462" s="3518" t="s">
        <v>1815</v>
      </c>
      <c r="C462" s="3519" t="s">
        <v>1815</v>
      </c>
      <c r="D462" s="3519" t="s">
        <v>1815</v>
      </c>
      <c r="E462" s="3519" t="s">
        <v>1815</v>
      </c>
      <c r="F462" s="3519" t="s">
        <v>1815</v>
      </c>
      <c r="G462" s="3519" t="s">
        <v>1890</v>
      </c>
      <c r="H462" s="3520" t="s">
        <v>3848</v>
      </c>
      <c r="I462" s="3503"/>
      <c r="J462" s="3521" t="s">
        <v>4222</v>
      </c>
    </row>
    <row r="463" spans="2:10" x14ac:dyDescent="0.25">
      <c r="B463" s="3518" t="s">
        <v>1815</v>
      </c>
      <c r="C463" s="3519" t="s">
        <v>1815</v>
      </c>
      <c r="D463" s="3519" t="s">
        <v>1815</v>
      </c>
      <c r="E463" s="3519" t="s">
        <v>1815</v>
      </c>
      <c r="F463" s="3519" t="s">
        <v>1815</v>
      </c>
      <c r="G463" s="3519" t="s">
        <v>1891</v>
      </c>
      <c r="H463" s="3520" t="s">
        <v>3850</v>
      </c>
      <c r="I463" s="3503"/>
      <c r="J463" s="3521" t="s">
        <v>4223</v>
      </c>
    </row>
    <row r="464" spans="2:10" x14ac:dyDescent="0.25">
      <c r="B464" s="3518" t="s">
        <v>1815</v>
      </c>
      <c r="C464" s="3519" t="s">
        <v>1815</v>
      </c>
      <c r="D464" s="3519" t="s">
        <v>1815</v>
      </c>
      <c r="E464" s="3519" t="s">
        <v>1815</v>
      </c>
      <c r="F464" s="3519" t="s">
        <v>1815</v>
      </c>
      <c r="G464" s="3519" t="s">
        <v>1892</v>
      </c>
      <c r="H464" s="3520" t="s">
        <v>3852</v>
      </c>
      <c r="I464" s="3503"/>
      <c r="J464" s="3521" t="s">
        <v>4224</v>
      </c>
    </row>
    <row r="465" spans="2:10" x14ac:dyDescent="0.25">
      <c r="B465" s="3518" t="s">
        <v>1815</v>
      </c>
      <c r="C465" s="3519" t="s">
        <v>1815</v>
      </c>
      <c r="D465" s="3519" t="s">
        <v>1815</v>
      </c>
      <c r="E465" s="3519" t="s">
        <v>1815</v>
      </c>
      <c r="F465" s="3519" t="s">
        <v>1815</v>
      </c>
      <c r="G465" s="3519" t="s">
        <v>1922</v>
      </c>
      <c r="H465" s="3520" t="s">
        <v>951</v>
      </c>
      <c r="I465" s="3503"/>
      <c r="J465" s="3521" t="s">
        <v>2056</v>
      </c>
    </row>
    <row r="466" spans="2:10" x14ac:dyDescent="0.25">
      <c r="B466" s="3518" t="s">
        <v>1815</v>
      </c>
      <c r="C466" s="3519" t="s">
        <v>1815</v>
      </c>
      <c r="D466" s="3519" t="s">
        <v>1815</v>
      </c>
      <c r="E466" s="3519" t="s">
        <v>1815</v>
      </c>
      <c r="F466" s="3519" t="s">
        <v>1893</v>
      </c>
      <c r="G466" s="3519" t="s">
        <v>1815</v>
      </c>
      <c r="H466" s="3520" t="s">
        <v>3853</v>
      </c>
      <c r="I466" s="3503"/>
      <c r="J466" s="3521" t="s">
        <v>4225</v>
      </c>
    </row>
    <row r="467" spans="2:10" x14ac:dyDescent="0.25">
      <c r="B467" s="3518" t="s">
        <v>1815</v>
      </c>
      <c r="C467" s="3519" t="s">
        <v>1815</v>
      </c>
      <c r="D467" s="3519" t="s">
        <v>1815</v>
      </c>
      <c r="E467" s="3519" t="s">
        <v>1815</v>
      </c>
      <c r="F467" s="3519" t="s">
        <v>1815</v>
      </c>
      <c r="G467" s="3519" t="s">
        <v>1894</v>
      </c>
      <c r="H467" s="3520" t="s">
        <v>3855</v>
      </c>
      <c r="I467" s="3503"/>
      <c r="J467" s="3521" t="s">
        <v>4226</v>
      </c>
    </row>
    <row r="468" spans="2:10" x14ac:dyDescent="0.25">
      <c r="B468" s="3518" t="s">
        <v>1815</v>
      </c>
      <c r="C468" s="3519" t="s">
        <v>1815</v>
      </c>
      <c r="D468" s="3519" t="s">
        <v>1815</v>
      </c>
      <c r="E468" s="3519" t="s">
        <v>1815</v>
      </c>
      <c r="F468" s="3519" t="s">
        <v>1815</v>
      </c>
      <c r="G468" s="3519" t="s">
        <v>2051</v>
      </c>
      <c r="H468" s="3520" t="s">
        <v>3859</v>
      </c>
      <c r="I468" s="3503"/>
      <c r="J468" s="3521" t="s">
        <v>4227</v>
      </c>
    </row>
    <row r="469" spans="2:10" x14ac:dyDescent="0.25">
      <c r="B469" s="3518" t="s">
        <v>1815</v>
      </c>
      <c r="C469" s="3519" t="s">
        <v>1815</v>
      </c>
      <c r="D469" s="3519" t="s">
        <v>1815</v>
      </c>
      <c r="E469" s="3519" t="s">
        <v>1815</v>
      </c>
      <c r="F469" s="3519" t="s">
        <v>1815</v>
      </c>
      <c r="G469" s="3519" t="s">
        <v>1895</v>
      </c>
      <c r="H469" s="3520" t="s">
        <v>3861</v>
      </c>
      <c r="I469" s="3503"/>
      <c r="J469" s="3521" t="s">
        <v>4228</v>
      </c>
    </row>
    <row r="470" spans="2:10" ht="30" x14ac:dyDescent="0.25">
      <c r="B470" s="3518" t="s">
        <v>1815</v>
      </c>
      <c r="C470" s="3519" t="s">
        <v>1815</v>
      </c>
      <c r="D470" s="3519" t="s">
        <v>1815</v>
      </c>
      <c r="E470" s="3519" t="s">
        <v>1815</v>
      </c>
      <c r="F470" s="3519" t="s">
        <v>1896</v>
      </c>
      <c r="G470" s="3519" t="s">
        <v>1815</v>
      </c>
      <c r="H470" s="3520" t="s">
        <v>3863</v>
      </c>
      <c r="I470" s="3503"/>
      <c r="J470" s="3521" t="s">
        <v>4229</v>
      </c>
    </row>
    <row r="471" spans="2:10" x14ac:dyDescent="0.25">
      <c r="B471" s="3518" t="s">
        <v>1815</v>
      </c>
      <c r="C471" s="3519" t="s">
        <v>1815</v>
      </c>
      <c r="D471" s="3519" t="s">
        <v>1815</v>
      </c>
      <c r="E471" s="3519" t="s">
        <v>1815</v>
      </c>
      <c r="F471" s="3519" t="s">
        <v>1815</v>
      </c>
      <c r="G471" s="3519" t="s">
        <v>1897</v>
      </c>
      <c r="H471" s="3520" t="s">
        <v>4230</v>
      </c>
      <c r="I471" s="3503"/>
      <c r="J471" s="3521" t="s">
        <v>4231</v>
      </c>
    </row>
    <row r="472" spans="2:10" x14ac:dyDescent="0.25">
      <c r="B472" s="3518" t="s">
        <v>1815</v>
      </c>
      <c r="C472" s="3519" t="s">
        <v>1815</v>
      </c>
      <c r="D472" s="3519" t="s">
        <v>1815</v>
      </c>
      <c r="E472" s="3519" t="s">
        <v>1815</v>
      </c>
      <c r="F472" s="3519" t="s">
        <v>1815</v>
      </c>
      <c r="G472" s="3519" t="s">
        <v>1899</v>
      </c>
      <c r="H472" s="3520" t="s">
        <v>4032</v>
      </c>
      <c r="I472" s="3503"/>
      <c r="J472" s="3521" t="s">
        <v>4232</v>
      </c>
    </row>
    <row r="473" spans="2:10" x14ac:dyDescent="0.25">
      <c r="B473" s="3518" t="s">
        <v>1815</v>
      </c>
      <c r="C473" s="3519" t="s">
        <v>1815</v>
      </c>
      <c r="D473" s="3519" t="s">
        <v>1815</v>
      </c>
      <c r="E473" s="3519" t="s">
        <v>1815</v>
      </c>
      <c r="F473" s="3519" t="s">
        <v>1815</v>
      </c>
      <c r="G473" s="3519" t="s">
        <v>1900</v>
      </c>
      <c r="H473" s="3520" t="s">
        <v>3865</v>
      </c>
      <c r="I473" s="3503"/>
      <c r="J473" s="3521" t="s">
        <v>4233</v>
      </c>
    </row>
    <row r="474" spans="2:10" x14ac:dyDescent="0.25">
      <c r="B474" s="3518" t="s">
        <v>1815</v>
      </c>
      <c r="C474" s="3519" t="s">
        <v>1815</v>
      </c>
      <c r="D474" s="3519" t="s">
        <v>1815</v>
      </c>
      <c r="E474" s="3519" t="s">
        <v>1815</v>
      </c>
      <c r="F474" s="3519" t="s">
        <v>1815</v>
      </c>
      <c r="G474" s="3519" t="s">
        <v>1901</v>
      </c>
      <c r="H474" s="3520" t="s">
        <v>3867</v>
      </c>
      <c r="I474" s="3503"/>
      <c r="J474" s="3521" t="s">
        <v>4234</v>
      </c>
    </row>
    <row r="475" spans="2:10" x14ac:dyDescent="0.25">
      <c r="B475" s="3518" t="s">
        <v>1815</v>
      </c>
      <c r="C475" s="3519" t="s">
        <v>1815</v>
      </c>
      <c r="D475" s="3519" t="s">
        <v>1815</v>
      </c>
      <c r="E475" s="3519" t="s">
        <v>1815</v>
      </c>
      <c r="F475" s="3519" t="s">
        <v>1815</v>
      </c>
      <c r="G475" s="3519" t="s">
        <v>1928</v>
      </c>
      <c r="H475" s="3520" t="s">
        <v>3869</v>
      </c>
      <c r="I475" s="3503"/>
      <c r="J475" s="3521" t="s">
        <v>4235</v>
      </c>
    </row>
    <row r="476" spans="2:10" x14ac:dyDescent="0.25">
      <c r="B476" s="3518" t="s">
        <v>1815</v>
      </c>
      <c r="C476" s="3519" t="s">
        <v>1815</v>
      </c>
      <c r="D476" s="3519" t="s">
        <v>1815</v>
      </c>
      <c r="E476" s="3519" t="s">
        <v>1815</v>
      </c>
      <c r="F476" s="3519" t="s">
        <v>1815</v>
      </c>
      <c r="G476" s="3519" t="s">
        <v>1932</v>
      </c>
      <c r="H476" s="3520" t="s">
        <v>4124</v>
      </c>
      <c r="I476" s="3503"/>
      <c r="J476" s="3521" t="s">
        <v>4140</v>
      </c>
    </row>
    <row r="477" spans="2:10" x14ac:dyDescent="0.25">
      <c r="B477" s="3518" t="s">
        <v>1815</v>
      </c>
      <c r="C477" s="3519" t="s">
        <v>1815</v>
      </c>
      <c r="D477" s="3519" t="s">
        <v>1815</v>
      </c>
      <c r="E477" s="3519" t="s">
        <v>1815</v>
      </c>
      <c r="F477" s="3519" t="s">
        <v>1903</v>
      </c>
      <c r="G477" s="3519" t="s">
        <v>1815</v>
      </c>
      <c r="H477" s="3520" t="s">
        <v>3873</v>
      </c>
      <c r="I477" s="3503"/>
      <c r="J477" s="3521" t="s">
        <v>4236</v>
      </c>
    </row>
    <row r="478" spans="2:10" x14ac:dyDescent="0.25">
      <c r="B478" s="3518" t="s">
        <v>1815</v>
      </c>
      <c r="C478" s="3519" t="s">
        <v>1815</v>
      </c>
      <c r="D478" s="3519" t="s">
        <v>1815</v>
      </c>
      <c r="E478" s="3519" t="s">
        <v>1815</v>
      </c>
      <c r="F478" s="3519" t="s">
        <v>1815</v>
      </c>
      <c r="G478" s="3519" t="s">
        <v>1904</v>
      </c>
      <c r="H478" s="3520" t="s">
        <v>3865</v>
      </c>
      <c r="I478" s="3503"/>
      <c r="J478" s="3521" t="s">
        <v>4237</v>
      </c>
    </row>
    <row r="479" spans="2:10" x14ac:dyDescent="0.25">
      <c r="B479" s="3518" t="s">
        <v>1815</v>
      </c>
      <c r="C479" s="3519" t="s">
        <v>1815</v>
      </c>
      <c r="D479" s="3519" t="s">
        <v>1815</v>
      </c>
      <c r="E479" s="3519" t="s">
        <v>1815</v>
      </c>
      <c r="F479" s="3519" t="s">
        <v>1815</v>
      </c>
      <c r="G479" s="3519" t="s">
        <v>1905</v>
      </c>
      <c r="H479" s="3520" t="s">
        <v>3960</v>
      </c>
      <c r="I479" s="3503"/>
      <c r="J479" s="3521" t="s">
        <v>4238</v>
      </c>
    </row>
    <row r="480" spans="2:10" x14ac:dyDescent="0.25">
      <c r="B480" s="3518" t="s">
        <v>1815</v>
      </c>
      <c r="C480" s="3519" t="s">
        <v>1815</v>
      </c>
      <c r="D480" s="3519" t="s">
        <v>1815</v>
      </c>
      <c r="E480" s="3519" t="s">
        <v>1815</v>
      </c>
      <c r="F480" s="3519" t="s">
        <v>1906</v>
      </c>
      <c r="G480" s="3519" t="s">
        <v>1815</v>
      </c>
      <c r="H480" s="3520" t="s">
        <v>3752</v>
      </c>
      <c r="I480" s="3503"/>
      <c r="J480" s="3521" t="s">
        <v>4239</v>
      </c>
    </row>
    <row r="481" spans="2:10" x14ac:dyDescent="0.25">
      <c r="B481" s="3518" t="s">
        <v>1815</v>
      </c>
      <c r="C481" s="3519" t="s">
        <v>1815</v>
      </c>
      <c r="D481" s="3519" t="s">
        <v>1815</v>
      </c>
      <c r="E481" s="3519" t="s">
        <v>1815</v>
      </c>
      <c r="F481" s="3519" t="s">
        <v>1815</v>
      </c>
      <c r="G481" s="3519" t="s">
        <v>1907</v>
      </c>
      <c r="H481" s="3520" t="s">
        <v>3763</v>
      </c>
      <c r="I481" s="3503"/>
      <c r="J481" s="3521" t="s">
        <v>4240</v>
      </c>
    </row>
    <row r="482" spans="2:10" x14ac:dyDescent="0.25">
      <c r="B482" s="3518" t="s">
        <v>1815</v>
      </c>
      <c r="C482" s="3519" t="s">
        <v>1815</v>
      </c>
      <c r="D482" s="3519" t="s">
        <v>1815</v>
      </c>
      <c r="E482" s="3519" t="s">
        <v>1815</v>
      </c>
      <c r="F482" s="3519" t="s">
        <v>1815</v>
      </c>
      <c r="G482" s="3519" t="s">
        <v>1908</v>
      </c>
      <c r="H482" s="3520" t="s">
        <v>3963</v>
      </c>
      <c r="I482" s="3503"/>
      <c r="J482" s="3521" t="s">
        <v>4241</v>
      </c>
    </row>
    <row r="483" spans="2:10" x14ac:dyDescent="0.25">
      <c r="B483" s="3518" t="s">
        <v>1815</v>
      </c>
      <c r="C483" s="3519" t="s">
        <v>1815</v>
      </c>
      <c r="D483" s="3519" t="s">
        <v>1815</v>
      </c>
      <c r="E483" s="3519" t="s">
        <v>1815</v>
      </c>
      <c r="F483" s="3519" t="s">
        <v>1815</v>
      </c>
      <c r="G483" s="3519" t="s">
        <v>1978</v>
      </c>
      <c r="H483" s="3520" t="s">
        <v>3880</v>
      </c>
      <c r="I483" s="3503"/>
      <c r="J483" s="3521" t="s">
        <v>3800</v>
      </c>
    </row>
    <row r="484" spans="2:10" x14ac:dyDescent="0.25">
      <c r="B484" s="3518" t="s">
        <v>1815</v>
      </c>
      <c r="C484" s="3519" t="s">
        <v>1815</v>
      </c>
      <c r="D484" s="3519" t="s">
        <v>1815</v>
      </c>
      <c r="E484" s="3519" t="s">
        <v>1815</v>
      </c>
      <c r="F484" s="3519" t="s">
        <v>1815</v>
      </c>
      <c r="G484" s="3519" t="s">
        <v>1909</v>
      </c>
      <c r="H484" s="3520" t="s">
        <v>951</v>
      </c>
      <c r="I484" s="3503"/>
      <c r="J484" s="3521" t="s">
        <v>4242</v>
      </c>
    </row>
    <row r="485" spans="2:10" x14ac:dyDescent="0.25">
      <c r="B485" s="3518" t="s">
        <v>1815</v>
      </c>
      <c r="C485" s="3519" t="s">
        <v>1815</v>
      </c>
      <c r="D485" s="3519" t="s">
        <v>1815</v>
      </c>
      <c r="E485" s="3519" t="s">
        <v>1815</v>
      </c>
      <c r="F485" s="3519" t="s">
        <v>1968</v>
      </c>
      <c r="G485" s="3519" t="s">
        <v>1815</v>
      </c>
      <c r="H485" s="3520" t="s">
        <v>4243</v>
      </c>
      <c r="I485" s="3503"/>
      <c r="J485" s="3521" t="s">
        <v>4244</v>
      </c>
    </row>
    <row r="486" spans="2:10" x14ac:dyDescent="0.25">
      <c r="B486" s="3518" t="s">
        <v>1815</v>
      </c>
      <c r="C486" s="3519" t="s">
        <v>1815</v>
      </c>
      <c r="D486" s="3519" t="s">
        <v>1815</v>
      </c>
      <c r="E486" s="3519" t="s">
        <v>1815</v>
      </c>
      <c r="F486" s="3519" t="s">
        <v>1815</v>
      </c>
      <c r="G486" s="3519" t="s">
        <v>1969</v>
      </c>
      <c r="H486" s="3520" t="s">
        <v>4245</v>
      </c>
      <c r="I486" s="3503"/>
      <c r="J486" s="3521" t="s">
        <v>4244</v>
      </c>
    </row>
    <row r="487" spans="2:10" x14ac:dyDescent="0.25">
      <c r="B487" s="3518" t="s">
        <v>1815</v>
      </c>
      <c r="C487" s="3519" t="s">
        <v>1815</v>
      </c>
      <c r="D487" s="3519" t="s">
        <v>1815</v>
      </c>
      <c r="E487" s="3519" t="s">
        <v>1815</v>
      </c>
      <c r="F487" s="3519" t="s">
        <v>1923</v>
      </c>
      <c r="G487" s="3519" t="s">
        <v>1815</v>
      </c>
      <c r="H487" s="3520" t="s">
        <v>4246</v>
      </c>
      <c r="I487" s="3503"/>
      <c r="J487" s="3521" t="s">
        <v>4247</v>
      </c>
    </row>
    <row r="488" spans="2:10" x14ac:dyDescent="0.25">
      <c r="B488" s="3518" t="s">
        <v>1815</v>
      </c>
      <c r="C488" s="3519" t="s">
        <v>1815</v>
      </c>
      <c r="D488" s="3519" t="s">
        <v>1815</v>
      </c>
      <c r="E488" s="3519" t="s">
        <v>1815</v>
      </c>
      <c r="F488" s="3519" t="s">
        <v>1815</v>
      </c>
      <c r="G488" s="3519" t="s">
        <v>2007</v>
      </c>
      <c r="H488" s="3520" t="s">
        <v>951</v>
      </c>
      <c r="I488" s="3503"/>
      <c r="J488" s="3521" t="s">
        <v>4247</v>
      </c>
    </row>
    <row r="489" spans="2:10" x14ac:dyDescent="0.25">
      <c r="B489" s="3518" t="s">
        <v>1815</v>
      </c>
      <c r="C489" s="3519" t="s">
        <v>1815</v>
      </c>
      <c r="D489" s="3519" t="s">
        <v>1815</v>
      </c>
      <c r="E489" s="3519" t="s">
        <v>1815</v>
      </c>
      <c r="F489" s="3519" t="s">
        <v>1962</v>
      </c>
      <c r="G489" s="3519" t="s">
        <v>1815</v>
      </c>
      <c r="H489" s="3520" t="s">
        <v>4248</v>
      </c>
      <c r="I489" s="3503"/>
      <c r="J489" s="3521" t="s">
        <v>4249</v>
      </c>
    </row>
    <row r="490" spans="2:10" ht="30" x14ac:dyDescent="0.25">
      <c r="B490" s="3518" t="s">
        <v>1815</v>
      </c>
      <c r="C490" s="3519" t="s">
        <v>1815</v>
      </c>
      <c r="D490" s="3519" t="s">
        <v>1815</v>
      </c>
      <c r="E490" s="3519" t="s">
        <v>1815</v>
      </c>
      <c r="F490" s="3519" t="s">
        <v>1815</v>
      </c>
      <c r="G490" s="3519" t="s">
        <v>2060</v>
      </c>
      <c r="H490" s="3520" t="s">
        <v>4250</v>
      </c>
      <c r="I490" s="3503"/>
      <c r="J490" s="3521" t="s">
        <v>4249</v>
      </c>
    </row>
    <row r="491" spans="2:10" x14ac:dyDescent="0.25">
      <c r="B491" s="3518" t="s">
        <v>1815</v>
      </c>
      <c r="C491" s="3519" t="s">
        <v>1815</v>
      </c>
      <c r="D491" s="3519" t="s">
        <v>1815</v>
      </c>
      <c r="E491" s="3519" t="s">
        <v>1815</v>
      </c>
      <c r="F491" s="3519" t="s">
        <v>1834</v>
      </c>
      <c r="G491" s="3519" t="s">
        <v>1815</v>
      </c>
      <c r="H491" s="3520" t="s">
        <v>4251</v>
      </c>
      <c r="I491" s="3503"/>
      <c r="J491" s="3521" t="s">
        <v>4252</v>
      </c>
    </row>
    <row r="492" spans="2:10" ht="30" x14ac:dyDescent="0.25">
      <c r="B492" s="3518" t="s">
        <v>1815</v>
      </c>
      <c r="C492" s="3519" t="s">
        <v>1815</v>
      </c>
      <c r="D492" s="3519" t="s">
        <v>1815</v>
      </c>
      <c r="E492" s="3519" t="s">
        <v>1815</v>
      </c>
      <c r="F492" s="3519" t="s">
        <v>1815</v>
      </c>
      <c r="G492" s="3519" t="s">
        <v>1965</v>
      </c>
      <c r="H492" s="3520" t="s">
        <v>4253</v>
      </c>
      <c r="I492" s="3503"/>
      <c r="J492" s="3521" t="s">
        <v>4252</v>
      </c>
    </row>
    <row r="493" spans="2:10" x14ac:dyDescent="0.25">
      <c r="B493" s="3518" t="s">
        <v>1815</v>
      </c>
      <c r="C493" s="3519" t="s">
        <v>1815</v>
      </c>
      <c r="D493" s="3519" t="s">
        <v>1815</v>
      </c>
      <c r="E493" s="3519" t="s">
        <v>1815</v>
      </c>
      <c r="F493" s="3519" t="s">
        <v>1912</v>
      </c>
      <c r="G493" s="3519" t="s">
        <v>1815</v>
      </c>
      <c r="H493" s="3520" t="s">
        <v>951</v>
      </c>
      <c r="I493" s="3503"/>
      <c r="J493" s="3521" t="s">
        <v>4254</v>
      </c>
    </row>
    <row r="494" spans="2:10" x14ac:dyDescent="0.25">
      <c r="B494" s="3518" t="s">
        <v>1815</v>
      </c>
      <c r="C494" s="3519" t="s">
        <v>1815</v>
      </c>
      <c r="D494" s="3519" t="s">
        <v>1815</v>
      </c>
      <c r="E494" s="3519" t="s">
        <v>1815</v>
      </c>
      <c r="F494" s="3519" t="s">
        <v>1815</v>
      </c>
      <c r="G494" s="3519" t="s">
        <v>1913</v>
      </c>
      <c r="H494" s="3520" t="s">
        <v>3884</v>
      </c>
      <c r="I494" s="3503"/>
      <c r="J494" s="3521" t="s">
        <v>4255</v>
      </c>
    </row>
    <row r="495" spans="2:10" x14ac:dyDescent="0.25">
      <c r="B495" s="3518" t="s">
        <v>1815</v>
      </c>
      <c r="C495" s="3519" t="s">
        <v>1815</v>
      </c>
      <c r="D495" s="3519" t="s">
        <v>1815</v>
      </c>
      <c r="E495" s="3519" t="s">
        <v>1815</v>
      </c>
      <c r="F495" s="3519" t="s">
        <v>1815</v>
      </c>
      <c r="G495" s="3519" t="s">
        <v>1914</v>
      </c>
      <c r="H495" s="3520" t="s">
        <v>3886</v>
      </c>
      <c r="I495" s="3503"/>
      <c r="J495" s="3521" t="s">
        <v>4256</v>
      </c>
    </row>
    <row r="496" spans="2:10" x14ac:dyDescent="0.25">
      <c r="B496" s="3518" t="s">
        <v>1815</v>
      </c>
      <c r="C496" s="3519" t="s">
        <v>1815</v>
      </c>
      <c r="D496" s="3519" t="s">
        <v>1815</v>
      </c>
      <c r="E496" s="3519" t="s">
        <v>1815</v>
      </c>
      <c r="F496" s="3519" t="s">
        <v>1815</v>
      </c>
      <c r="G496" s="3519" t="s">
        <v>1915</v>
      </c>
      <c r="H496" s="3520" t="s">
        <v>3755</v>
      </c>
      <c r="I496" s="3503"/>
      <c r="J496" s="3521" t="s">
        <v>4257</v>
      </c>
    </row>
    <row r="497" spans="2:10" x14ac:dyDescent="0.25">
      <c r="B497" s="3518" t="s">
        <v>1815</v>
      </c>
      <c r="C497" s="3519" t="s">
        <v>1815</v>
      </c>
      <c r="D497" s="3519" t="s">
        <v>1815</v>
      </c>
      <c r="E497" s="3519" t="s">
        <v>1815</v>
      </c>
      <c r="F497" s="3519" t="s">
        <v>1815</v>
      </c>
      <c r="G497" s="3519" t="s">
        <v>1916</v>
      </c>
      <c r="H497" s="3520" t="s">
        <v>3757</v>
      </c>
      <c r="I497" s="3503"/>
      <c r="J497" s="3521" t="s">
        <v>4258</v>
      </c>
    </row>
    <row r="498" spans="2:10" x14ac:dyDescent="0.25">
      <c r="B498" s="3518" t="s">
        <v>1815</v>
      </c>
      <c r="C498" s="3519" t="s">
        <v>1815</v>
      </c>
      <c r="D498" s="3519" t="s">
        <v>1815</v>
      </c>
      <c r="E498" s="3519" t="s">
        <v>1815</v>
      </c>
      <c r="F498" s="3519" t="s">
        <v>1917</v>
      </c>
      <c r="G498" s="3519" t="s">
        <v>1815</v>
      </c>
      <c r="H498" s="3520" t="s">
        <v>4259</v>
      </c>
      <c r="I498" s="3503"/>
      <c r="J498" s="3521" t="s">
        <v>4260</v>
      </c>
    </row>
    <row r="499" spans="2:10" x14ac:dyDescent="0.25">
      <c r="B499" s="3518" t="s">
        <v>1815</v>
      </c>
      <c r="C499" s="3519" t="s">
        <v>1815</v>
      </c>
      <c r="D499" s="3519" t="s">
        <v>1815</v>
      </c>
      <c r="E499" s="3519" t="s">
        <v>1815</v>
      </c>
      <c r="F499" s="3519" t="s">
        <v>1815</v>
      </c>
      <c r="G499" s="3519" t="s">
        <v>1918</v>
      </c>
      <c r="H499" s="3520" t="s">
        <v>4261</v>
      </c>
      <c r="I499" s="3503"/>
      <c r="J499" s="3521" t="s">
        <v>4260</v>
      </c>
    </row>
    <row r="500" spans="2:10" x14ac:dyDescent="0.25">
      <c r="B500" s="3518" t="s">
        <v>1815</v>
      </c>
      <c r="C500" s="3519" t="s">
        <v>1815</v>
      </c>
      <c r="D500" s="3519" t="s">
        <v>1815</v>
      </c>
      <c r="E500" s="3519" t="s">
        <v>1979</v>
      </c>
      <c r="F500" s="3519" t="s">
        <v>1815</v>
      </c>
      <c r="G500" s="3519" t="s">
        <v>1815</v>
      </c>
      <c r="H500" s="3520" t="s">
        <v>4262</v>
      </c>
      <c r="I500" s="3503"/>
      <c r="J500" s="3521" t="s">
        <v>4263</v>
      </c>
    </row>
    <row r="501" spans="2:10" x14ac:dyDescent="0.25">
      <c r="B501" s="3518" t="s">
        <v>1815</v>
      </c>
      <c r="C501" s="3519" t="s">
        <v>1815</v>
      </c>
      <c r="D501" s="3519" t="s">
        <v>1815</v>
      </c>
      <c r="E501" s="3519" t="s">
        <v>1815</v>
      </c>
      <c r="F501" s="3519" t="s">
        <v>1848</v>
      </c>
      <c r="G501" s="3519" t="s">
        <v>1815</v>
      </c>
      <c r="H501" s="3520" t="s">
        <v>3771</v>
      </c>
      <c r="I501" s="3503"/>
      <c r="J501" s="3521" t="s">
        <v>4264</v>
      </c>
    </row>
    <row r="502" spans="2:10" x14ac:dyDescent="0.25">
      <c r="B502" s="3518" t="s">
        <v>1815</v>
      </c>
      <c r="C502" s="3519" t="s">
        <v>1815</v>
      </c>
      <c r="D502" s="3519" t="s">
        <v>1815</v>
      </c>
      <c r="E502" s="3519" t="s">
        <v>1815</v>
      </c>
      <c r="F502" s="3519" t="s">
        <v>1815</v>
      </c>
      <c r="G502" s="3519" t="s">
        <v>1849</v>
      </c>
      <c r="H502" s="3520" t="s">
        <v>3773</v>
      </c>
      <c r="I502" s="3503"/>
      <c r="J502" s="3521" t="s">
        <v>4264</v>
      </c>
    </row>
    <row r="503" spans="2:10" ht="30" x14ac:dyDescent="0.25">
      <c r="B503" s="3518" t="s">
        <v>1815</v>
      </c>
      <c r="C503" s="3519" t="s">
        <v>1815</v>
      </c>
      <c r="D503" s="3519" t="s">
        <v>1815</v>
      </c>
      <c r="E503" s="3519" t="s">
        <v>1815</v>
      </c>
      <c r="F503" s="3519" t="s">
        <v>1851</v>
      </c>
      <c r="G503" s="3519" t="s">
        <v>1815</v>
      </c>
      <c r="H503" s="3520" t="s">
        <v>3774</v>
      </c>
      <c r="I503" s="3503"/>
      <c r="J503" s="3521" t="s">
        <v>4265</v>
      </c>
    </row>
    <row r="504" spans="2:10" ht="30" x14ac:dyDescent="0.25">
      <c r="B504" s="3518" t="s">
        <v>1815</v>
      </c>
      <c r="C504" s="3519" t="s">
        <v>1815</v>
      </c>
      <c r="D504" s="3519" t="s">
        <v>1815</v>
      </c>
      <c r="E504" s="3519" t="s">
        <v>1815</v>
      </c>
      <c r="F504" s="3519" t="s">
        <v>1815</v>
      </c>
      <c r="G504" s="3519" t="s">
        <v>1852</v>
      </c>
      <c r="H504" s="3520" t="s">
        <v>3774</v>
      </c>
      <c r="I504" s="3503"/>
      <c r="J504" s="3521" t="s">
        <v>4265</v>
      </c>
    </row>
    <row r="505" spans="2:10" x14ac:dyDescent="0.25">
      <c r="B505" s="3518" t="s">
        <v>1815</v>
      </c>
      <c r="C505" s="3519" t="s">
        <v>1815</v>
      </c>
      <c r="D505" s="3519" t="s">
        <v>1815</v>
      </c>
      <c r="E505" s="3519" t="s">
        <v>1815</v>
      </c>
      <c r="F505" s="3519" t="s">
        <v>1853</v>
      </c>
      <c r="G505" s="3519" t="s">
        <v>1815</v>
      </c>
      <c r="H505" s="3520" t="s">
        <v>3732</v>
      </c>
      <c r="I505" s="3503"/>
      <c r="J505" s="3521" t="s">
        <v>4266</v>
      </c>
    </row>
    <row r="506" spans="2:10" x14ac:dyDescent="0.25">
      <c r="B506" s="3518" t="s">
        <v>1815</v>
      </c>
      <c r="C506" s="3519" t="s">
        <v>1815</v>
      </c>
      <c r="D506" s="3519" t="s">
        <v>1815</v>
      </c>
      <c r="E506" s="3519" t="s">
        <v>1815</v>
      </c>
      <c r="F506" s="3519" t="s">
        <v>1815</v>
      </c>
      <c r="G506" s="3519" t="s">
        <v>1854</v>
      </c>
      <c r="H506" s="3520" t="s">
        <v>3734</v>
      </c>
      <c r="I506" s="3503"/>
      <c r="J506" s="3521" t="s">
        <v>4267</v>
      </c>
    </row>
    <row r="507" spans="2:10" x14ac:dyDescent="0.25">
      <c r="B507" s="3518" t="s">
        <v>1815</v>
      </c>
      <c r="C507" s="3519" t="s">
        <v>1815</v>
      </c>
      <c r="D507" s="3519" t="s">
        <v>1815</v>
      </c>
      <c r="E507" s="3519" t="s">
        <v>1815</v>
      </c>
      <c r="F507" s="3519" t="s">
        <v>1815</v>
      </c>
      <c r="G507" s="3519" t="s">
        <v>1855</v>
      </c>
      <c r="H507" s="3520" t="s">
        <v>3778</v>
      </c>
      <c r="I507" s="3503"/>
      <c r="J507" s="3521" t="s">
        <v>4268</v>
      </c>
    </row>
    <row r="508" spans="2:10" x14ac:dyDescent="0.25">
      <c r="B508" s="3518" t="s">
        <v>1815</v>
      </c>
      <c r="C508" s="3519" t="s">
        <v>1815</v>
      </c>
      <c r="D508" s="3519" t="s">
        <v>1815</v>
      </c>
      <c r="E508" s="3519" t="s">
        <v>1815</v>
      </c>
      <c r="F508" s="3519" t="s">
        <v>1815</v>
      </c>
      <c r="G508" s="3519" t="s">
        <v>1856</v>
      </c>
      <c r="H508" s="3520" t="s">
        <v>3736</v>
      </c>
      <c r="I508" s="3503"/>
      <c r="J508" s="3521" t="s">
        <v>4269</v>
      </c>
    </row>
    <row r="509" spans="2:10" x14ac:dyDescent="0.25">
      <c r="B509" s="3518" t="s">
        <v>1815</v>
      </c>
      <c r="C509" s="3519" t="s">
        <v>1815</v>
      </c>
      <c r="D509" s="3519" t="s">
        <v>1815</v>
      </c>
      <c r="E509" s="3519" t="s">
        <v>1815</v>
      </c>
      <c r="F509" s="3519" t="s">
        <v>1815</v>
      </c>
      <c r="G509" s="3519" t="s">
        <v>1936</v>
      </c>
      <c r="H509" s="3520" t="s">
        <v>3985</v>
      </c>
      <c r="I509" s="3503"/>
      <c r="J509" s="3521" t="s">
        <v>4270</v>
      </c>
    </row>
    <row r="510" spans="2:10" x14ac:dyDescent="0.25">
      <c r="B510" s="3518" t="s">
        <v>1815</v>
      </c>
      <c r="C510" s="3519" t="s">
        <v>1815</v>
      </c>
      <c r="D510" s="3519" t="s">
        <v>1815</v>
      </c>
      <c r="E510" s="3519" t="s">
        <v>1815</v>
      </c>
      <c r="F510" s="3519" t="s">
        <v>1815</v>
      </c>
      <c r="G510" s="3519" t="s">
        <v>1858</v>
      </c>
      <c r="H510" s="3520" t="s">
        <v>3988</v>
      </c>
      <c r="I510" s="3503"/>
      <c r="J510" s="3521" t="s">
        <v>4271</v>
      </c>
    </row>
    <row r="511" spans="2:10" ht="30" x14ac:dyDescent="0.25">
      <c r="B511" s="3518" t="s">
        <v>1815</v>
      </c>
      <c r="C511" s="3519" t="s">
        <v>1815</v>
      </c>
      <c r="D511" s="3519" t="s">
        <v>1815</v>
      </c>
      <c r="E511" s="3519" t="s">
        <v>1815</v>
      </c>
      <c r="F511" s="3519" t="s">
        <v>1815</v>
      </c>
      <c r="G511" s="3519" t="s">
        <v>1929</v>
      </c>
      <c r="H511" s="3520" t="s">
        <v>3785</v>
      </c>
      <c r="I511" s="3503"/>
      <c r="J511" s="3521" t="s">
        <v>4272</v>
      </c>
    </row>
    <row r="512" spans="2:10" ht="30" x14ac:dyDescent="0.25">
      <c r="B512" s="3518" t="s">
        <v>1815</v>
      </c>
      <c r="C512" s="3519" t="s">
        <v>1815</v>
      </c>
      <c r="D512" s="3519" t="s">
        <v>1815</v>
      </c>
      <c r="E512" s="3519" t="s">
        <v>1815</v>
      </c>
      <c r="F512" s="3519" t="s">
        <v>1815</v>
      </c>
      <c r="G512" s="3519" t="s">
        <v>1938</v>
      </c>
      <c r="H512" s="3520" t="s">
        <v>3787</v>
      </c>
      <c r="I512" s="3503"/>
      <c r="J512" s="3521" t="s">
        <v>4273</v>
      </c>
    </row>
    <row r="513" spans="2:10" ht="30" x14ac:dyDescent="0.25">
      <c r="B513" s="3518" t="s">
        <v>1815</v>
      </c>
      <c r="C513" s="3519" t="s">
        <v>1815</v>
      </c>
      <c r="D513" s="3519" t="s">
        <v>1815</v>
      </c>
      <c r="E513" s="3519" t="s">
        <v>1815</v>
      </c>
      <c r="F513" s="3519" t="s">
        <v>1815</v>
      </c>
      <c r="G513" s="3519" t="s">
        <v>1977</v>
      </c>
      <c r="H513" s="3520" t="s">
        <v>4177</v>
      </c>
      <c r="I513" s="3503"/>
      <c r="J513" s="3521" t="s">
        <v>4274</v>
      </c>
    </row>
    <row r="514" spans="2:10" x14ac:dyDescent="0.25">
      <c r="B514" s="3518" t="s">
        <v>1815</v>
      </c>
      <c r="C514" s="3519" t="s">
        <v>1815</v>
      </c>
      <c r="D514" s="3519" t="s">
        <v>1815</v>
      </c>
      <c r="E514" s="3519" t="s">
        <v>1815</v>
      </c>
      <c r="F514" s="3519" t="s">
        <v>1815</v>
      </c>
      <c r="G514" s="3519" t="s">
        <v>1859</v>
      </c>
      <c r="H514" s="3520" t="s">
        <v>4179</v>
      </c>
      <c r="I514" s="3503"/>
      <c r="J514" s="3521" t="s">
        <v>4275</v>
      </c>
    </row>
    <row r="515" spans="2:10" x14ac:dyDescent="0.25">
      <c r="B515" s="3518" t="s">
        <v>1815</v>
      </c>
      <c r="C515" s="3519" t="s">
        <v>1815</v>
      </c>
      <c r="D515" s="3519" t="s">
        <v>1815</v>
      </c>
      <c r="E515" s="3519" t="s">
        <v>1815</v>
      </c>
      <c r="F515" s="3519" t="s">
        <v>1815</v>
      </c>
      <c r="G515" s="3519" t="s">
        <v>1939</v>
      </c>
      <c r="H515" s="3520" t="s">
        <v>3789</v>
      </c>
      <c r="I515" s="3503"/>
      <c r="J515" s="3521" t="s">
        <v>4276</v>
      </c>
    </row>
    <row r="516" spans="2:10" x14ac:dyDescent="0.25">
      <c r="B516" s="3518" t="s">
        <v>1815</v>
      </c>
      <c r="C516" s="3519" t="s">
        <v>1815</v>
      </c>
      <c r="D516" s="3519" t="s">
        <v>1815</v>
      </c>
      <c r="E516" s="3519" t="s">
        <v>1815</v>
      </c>
      <c r="F516" s="3519" t="s">
        <v>1860</v>
      </c>
      <c r="G516" s="3519" t="s">
        <v>1815</v>
      </c>
      <c r="H516" s="3520" t="s">
        <v>3796</v>
      </c>
      <c r="I516" s="3503"/>
      <c r="J516" s="3521" t="s">
        <v>4277</v>
      </c>
    </row>
    <row r="517" spans="2:10" x14ac:dyDescent="0.25">
      <c r="B517" s="3518" t="s">
        <v>1815</v>
      </c>
      <c r="C517" s="3519" t="s">
        <v>1815</v>
      </c>
      <c r="D517" s="3519" t="s">
        <v>1815</v>
      </c>
      <c r="E517" s="3519" t="s">
        <v>1815</v>
      </c>
      <c r="F517" s="3519" t="s">
        <v>1815</v>
      </c>
      <c r="G517" s="3519" t="s">
        <v>1861</v>
      </c>
      <c r="H517" s="3520" t="s">
        <v>3798</v>
      </c>
      <c r="I517" s="3503"/>
      <c r="J517" s="3521" t="s">
        <v>4277</v>
      </c>
    </row>
    <row r="518" spans="2:10" x14ac:dyDescent="0.25">
      <c r="B518" s="3518" t="s">
        <v>1815</v>
      </c>
      <c r="C518" s="3519" t="s">
        <v>1815</v>
      </c>
      <c r="D518" s="3519" t="s">
        <v>1815</v>
      </c>
      <c r="E518" s="3519" t="s">
        <v>1815</v>
      </c>
      <c r="F518" s="3519" t="s">
        <v>1862</v>
      </c>
      <c r="G518" s="3519" t="s">
        <v>1815</v>
      </c>
      <c r="H518" s="3520" t="s">
        <v>3801</v>
      </c>
      <c r="I518" s="3503"/>
      <c r="J518" s="3521" t="s">
        <v>4278</v>
      </c>
    </row>
    <row r="519" spans="2:10" x14ac:dyDescent="0.25">
      <c r="B519" s="3518" t="s">
        <v>1815</v>
      </c>
      <c r="C519" s="3519" t="s">
        <v>1815</v>
      </c>
      <c r="D519" s="3519" t="s">
        <v>1815</v>
      </c>
      <c r="E519" s="3519" t="s">
        <v>1815</v>
      </c>
      <c r="F519" s="3519" t="s">
        <v>1815</v>
      </c>
      <c r="G519" s="3519" t="s">
        <v>1863</v>
      </c>
      <c r="H519" s="3520" t="s">
        <v>3803</v>
      </c>
      <c r="I519" s="3503"/>
      <c r="J519" s="3521" t="s">
        <v>4279</v>
      </c>
    </row>
    <row r="520" spans="2:10" x14ac:dyDescent="0.25">
      <c r="B520" s="3518" t="s">
        <v>1815</v>
      </c>
      <c r="C520" s="3519" t="s">
        <v>1815</v>
      </c>
      <c r="D520" s="3519" t="s">
        <v>1815</v>
      </c>
      <c r="E520" s="3519" t="s">
        <v>1815</v>
      </c>
      <c r="F520" s="3519" t="s">
        <v>1815</v>
      </c>
      <c r="G520" s="3519" t="s">
        <v>1864</v>
      </c>
      <c r="H520" s="3520" t="s">
        <v>3805</v>
      </c>
      <c r="I520" s="3503"/>
      <c r="J520" s="3521" t="s">
        <v>4280</v>
      </c>
    </row>
    <row r="521" spans="2:10" x14ac:dyDescent="0.25">
      <c r="B521" s="3518" t="s">
        <v>1815</v>
      </c>
      <c r="C521" s="3519" t="s">
        <v>1815</v>
      </c>
      <c r="D521" s="3519" t="s">
        <v>1815</v>
      </c>
      <c r="E521" s="3519" t="s">
        <v>1815</v>
      </c>
      <c r="F521" s="3519" t="s">
        <v>1815</v>
      </c>
      <c r="G521" s="3519" t="s">
        <v>1866</v>
      </c>
      <c r="H521" s="3520" t="s">
        <v>3809</v>
      </c>
      <c r="I521" s="3503"/>
      <c r="J521" s="3521" t="s">
        <v>4203</v>
      </c>
    </row>
    <row r="522" spans="2:10" x14ac:dyDescent="0.25">
      <c r="B522" s="3518" t="s">
        <v>1815</v>
      </c>
      <c r="C522" s="3519" t="s">
        <v>1815</v>
      </c>
      <c r="D522" s="3519" t="s">
        <v>1815</v>
      </c>
      <c r="E522" s="3519" t="s">
        <v>1815</v>
      </c>
      <c r="F522" s="3519" t="s">
        <v>2057</v>
      </c>
      <c r="G522" s="3519" t="s">
        <v>1815</v>
      </c>
      <c r="H522" s="3520" t="s">
        <v>3738</v>
      </c>
      <c r="I522" s="3503"/>
      <c r="J522" s="3521" t="s">
        <v>4281</v>
      </c>
    </row>
    <row r="523" spans="2:10" x14ac:dyDescent="0.25">
      <c r="B523" s="3518" t="s">
        <v>1815</v>
      </c>
      <c r="C523" s="3519" t="s">
        <v>1815</v>
      </c>
      <c r="D523" s="3519" t="s">
        <v>1815</v>
      </c>
      <c r="E523" s="3519" t="s">
        <v>1815</v>
      </c>
      <c r="F523" s="3519" t="s">
        <v>1815</v>
      </c>
      <c r="G523" s="3519" t="s">
        <v>2058</v>
      </c>
      <c r="H523" s="3520" t="s">
        <v>3740</v>
      </c>
      <c r="I523" s="3503"/>
      <c r="J523" s="3521" t="s">
        <v>4281</v>
      </c>
    </row>
    <row r="524" spans="2:10" x14ac:dyDescent="0.25">
      <c r="B524" s="3518" t="s">
        <v>1815</v>
      </c>
      <c r="C524" s="3519" t="s">
        <v>1815</v>
      </c>
      <c r="D524" s="3519" t="s">
        <v>1815</v>
      </c>
      <c r="E524" s="3519" t="s">
        <v>1815</v>
      </c>
      <c r="F524" s="3519" t="s">
        <v>1869</v>
      </c>
      <c r="G524" s="3519" t="s">
        <v>1815</v>
      </c>
      <c r="H524" s="3520" t="s">
        <v>3817</v>
      </c>
      <c r="I524" s="3503"/>
      <c r="J524" s="3521" t="s">
        <v>4282</v>
      </c>
    </row>
    <row r="525" spans="2:10" x14ac:dyDescent="0.25">
      <c r="B525" s="3518" t="s">
        <v>1815</v>
      </c>
      <c r="C525" s="3519" t="s">
        <v>1815</v>
      </c>
      <c r="D525" s="3519" t="s">
        <v>1815</v>
      </c>
      <c r="E525" s="3519" t="s">
        <v>1815</v>
      </c>
      <c r="F525" s="3519" t="s">
        <v>1815</v>
      </c>
      <c r="G525" s="3519" t="s">
        <v>1870</v>
      </c>
      <c r="H525" s="3520" t="s">
        <v>3819</v>
      </c>
      <c r="I525" s="3503"/>
      <c r="J525" s="3521" t="s">
        <v>4283</v>
      </c>
    </row>
    <row r="526" spans="2:10" x14ac:dyDescent="0.25">
      <c r="B526" s="3518" t="s">
        <v>1815</v>
      </c>
      <c r="C526" s="3519" t="s">
        <v>1815</v>
      </c>
      <c r="D526" s="3519" t="s">
        <v>1815</v>
      </c>
      <c r="E526" s="3519" t="s">
        <v>1815</v>
      </c>
      <c r="F526" s="3519" t="s">
        <v>1815</v>
      </c>
      <c r="G526" s="3519" t="s">
        <v>1871</v>
      </c>
      <c r="H526" s="3520" t="s">
        <v>3821</v>
      </c>
      <c r="I526" s="3503"/>
      <c r="J526" s="3521" t="s">
        <v>3851</v>
      </c>
    </row>
    <row r="527" spans="2:10" x14ac:dyDescent="0.25">
      <c r="B527" s="3518" t="s">
        <v>1815</v>
      </c>
      <c r="C527" s="3519" t="s">
        <v>1815</v>
      </c>
      <c r="D527" s="3519" t="s">
        <v>1815</v>
      </c>
      <c r="E527" s="3519" t="s">
        <v>1815</v>
      </c>
      <c r="F527" s="3519" t="s">
        <v>1815</v>
      </c>
      <c r="G527" s="3519" t="s">
        <v>1872</v>
      </c>
      <c r="H527" s="3520" t="s">
        <v>4200</v>
      </c>
      <c r="I527" s="3503"/>
      <c r="J527" s="3521" t="s">
        <v>4284</v>
      </c>
    </row>
    <row r="528" spans="2:10" x14ac:dyDescent="0.25">
      <c r="B528" s="3518" t="s">
        <v>1815</v>
      </c>
      <c r="C528" s="3519" t="s">
        <v>1815</v>
      </c>
      <c r="D528" s="3519" t="s">
        <v>1815</v>
      </c>
      <c r="E528" s="3519" t="s">
        <v>1815</v>
      </c>
      <c r="F528" s="3519" t="s">
        <v>1815</v>
      </c>
      <c r="G528" s="3519" t="s">
        <v>3823</v>
      </c>
      <c r="H528" s="3520" t="s">
        <v>3824</v>
      </c>
      <c r="I528" s="3503"/>
      <c r="J528" s="3521" t="s">
        <v>4285</v>
      </c>
    </row>
    <row r="529" spans="2:10" x14ac:dyDescent="0.25">
      <c r="B529" s="3518" t="s">
        <v>1815</v>
      </c>
      <c r="C529" s="3519" t="s">
        <v>1815</v>
      </c>
      <c r="D529" s="3519" t="s">
        <v>1815</v>
      </c>
      <c r="E529" s="3519" t="s">
        <v>1815</v>
      </c>
      <c r="F529" s="3519" t="s">
        <v>1874</v>
      </c>
      <c r="G529" s="3519" t="s">
        <v>1815</v>
      </c>
      <c r="H529" s="3520" t="s">
        <v>3743</v>
      </c>
      <c r="I529" s="3503"/>
      <c r="J529" s="3521" t="s">
        <v>4286</v>
      </c>
    </row>
    <row r="530" spans="2:10" x14ac:dyDescent="0.25">
      <c r="B530" s="3518" t="s">
        <v>1815</v>
      </c>
      <c r="C530" s="3519" t="s">
        <v>1815</v>
      </c>
      <c r="D530" s="3519" t="s">
        <v>1815</v>
      </c>
      <c r="E530" s="3519" t="s">
        <v>1815</v>
      </c>
      <c r="F530" s="3519" t="s">
        <v>1815</v>
      </c>
      <c r="G530" s="3519" t="s">
        <v>1875</v>
      </c>
      <c r="H530" s="3520" t="s">
        <v>3745</v>
      </c>
      <c r="I530" s="3503"/>
      <c r="J530" s="3521" t="s">
        <v>4287</v>
      </c>
    </row>
    <row r="531" spans="2:10" x14ac:dyDescent="0.25">
      <c r="B531" s="3518" t="s">
        <v>1815</v>
      </c>
      <c r="C531" s="3519" t="s">
        <v>1815</v>
      </c>
      <c r="D531" s="3519" t="s">
        <v>1815</v>
      </c>
      <c r="E531" s="3519" t="s">
        <v>1815</v>
      </c>
      <c r="F531" s="3519" t="s">
        <v>1815</v>
      </c>
      <c r="G531" s="3519" t="s">
        <v>1876</v>
      </c>
      <c r="H531" s="3520" t="s">
        <v>3828</v>
      </c>
      <c r="I531" s="3503"/>
      <c r="J531" s="3521" t="s">
        <v>4288</v>
      </c>
    </row>
    <row r="532" spans="2:10" x14ac:dyDescent="0.25">
      <c r="B532" s="3518" t="s">
        <v>1815</v>
      </c>
      <c r="C532" s="3519" t="s">
        <v>1815</v>
      </c>
      <c r="D532" s="3519" t="s">
        <v>1815</v>
      </c>
      <c r="E532" s="3519" t="s">
        <v>1815</v>
      </c>
      <c r="F532" s="3519" t="s">
        <v>1815</v>
      </c>
      <c r="G532" s="3519" t="s">
        <v>2062</v>
      </c>
      <c r="H532" s="3520" t="s">
        <v>3830</v>
      </c>
      <c r="I532" s="3503"/>
      <c r="J532" s="3521" t="s">
        <v>4289</v>
      </c>
    </row>
    <row r="533" spans="2:10" x14ac:dyDescent="0.25">
      <c r="B533" s="3518" t="s">
        <v>1815</v>
      </c>
      <c r="C533" s="3519" t="s">
        <v>1815</v>
      </c>
      <c r="D533" s="3519" t="s">
        <v>1815</v>
      </c>
      <c r="E533" s="3519" t="s">
        <v>1815</v>
      </c>
      <c r="F533" s="3519" t="s">
        <v>1815</v>
      </c>
      <c r="G533" s="3519" t="s">
        <v>1877</v>
      </c>
      <c r="H533" s="3520" t="s">
        <v>3747</v>
      </c>
      <c r="I533" s="3503"/>
      <c r="J533" s="3521" t="s">
        <v>4290</v>
      </c>
    </row>
    <row r="534" spans="2:10" x14ac:dyDescent="0.25">
      <c r="B534" s="3518" t="s">
        <v>1815</v>
      </c>
      <c r="C534" s="3519" t="s">
        <v>1815</v>
      </c>
      <c r="D534" s="3519" t="s">
        <v>1815</v>
      </c>
      <c r="E534" s="3519" t="s">
        <v>1815</v>
      </c>
      <c r="F534" s="3519" t="s">
        <v>1878</v>
      </c>
      <c r="G534" s="3519" t="s">
        <v>1815</v>
      </c>
      <c r="H534" s="3520" t="s">
        <v>3833</v>
      </c>
      <c r="I534" s="3503"/>
      <c r="J534" s="3521" t="s">
        <v>4291</v>
      </c>
    </row>
    <row r="535" spans="2:10" ht="30" x14ac:dyDescent="0.25">
      <c r="B535" s="3518" t="s">
        <v>1815</v>
      </c>
      <c r="C535" s="3519" t="s">
        <v>1815</v>
      </c>
      <c r="D535" s="3519" t="s">
        <v>1815</v>
      </c>
      <c r="E535" s="3519" t="s">
        <v>1815</v>
      </c>
      <c r="F535" s="3519" t="s">
        <v>1815</v>
      </c>
      <c r="G535" s="3519" t="s">
        <v>1879</v>
      </c>
      <c r="H535" s="3520" t="s">
        <v>3835</v>
      </c>
      <c r="I535" s="3503"/>
      <c r="J535" s="3521" t="s">
        <v>2037</v>
      </c>
    </row>
    <row r="536" spans="2:10" x14ac:dyDescent="0.25">
      <c r="B536" s="3518" t="s">
        <v>1815</v>
      </c>
      <c r="C536" s="3519" t="s">
        <v>1815</v>
      </c>
      <c r="D536" s="3519" t="s">
        <v>1815</v>
      </c>
      <c r="E536" s="3519" t="s">
        <v>1815</v>
      </c>
      <c r="F536" s="3519" t="s">
        <v>1815</v>
      </c>
      <c r="G536" s="3519" t="s">
        <v>1880</v>
      </c>
      <c r="H536" s="3520" t="s">
        <v>4210</v>
      </c>
      <c r="I536" s="3503"/>
      <c r="J536" s="3521" t="s">
        <v>4292</v>
      </c>
    </row>
    <row r="537" spans="2:10" ht="30" x14ac:dyDescent="0.25">
      <c r="B537" s="3518" t="s">
        <v>1815</v>
      </c>
      <c r="C537" s="3519" t="s">
        <v>1815</v>
      </c>
      <c r="D537" s="3519" t="s">
        <v>1815</v>
      </c>
      <c r="E537" s="3519" t="s">
        <v>1815</v>
      </c>
      <c r="F537" s="3519" t="s">
        <v>1815</v>
      </c>
      <c r="G537" s="3519" t="s">
        <v>1881</v>
      </c>
      <c r="H537" s="3520" t="s">
        <v>3837</v>
      </c>
      <c r="I537" s="3503"/>
      <c r="J537" s="3521" t="s">
        <v>4293</v>
      </c>
    </row>
    <row r="538" spans="2:10" ht="30" x14ac:dyDescent="0.25">
      <c r="B538" s="3518" t="s">
        <v>1815</v>
      </c>
      <c r="C538" s="3519" t="s">
        <v>1815</v>
      </c>
      <c r="D538" s="3519" t="s">
        <v>1815</v>
      </c>
      <c r="E538" s="3519" t="s">
        <v>1815</v>
      </c>
      <c r="F538" s="3519" t="s">
        <v>1815</v>
      </c>
      <c r="G538" s="3519" t="s">
        <v>1883</v>
      </c>
      <c r="H538" s="3520" t="s">
        <v>3841</v>
      </c>
      <c r="I538" s="3503"/>
      <c r="J538" s="3521" t="s">
        <v>4294</v>
      </c>
    </row>
    <row r="539" spans="2:10" x14ac:dyDescent="0.25">
      <c r="B539" s="3518" t="s">
        <v>1815</v>
      </c>
      <c r="C539" s="3519" t="s">
        <v>1815</v>
      </c>
      <c r="D539" s="3519" t="s">
        <v>1815</v>
      </c>
      <c r="E539" s="3519" t="s">
        <v>1815</v>
      </c>
      <c r="F539" s="3519" t="s">
        <v>1815</v>
      </c>
      <c r="G539" s="3519" t="s">
        <v>1884</v>
      </c>
      <c r="H539" s="3520" t="s">
        <v>4295</v>
      </c>
      <c r="I539" s="3503"/>
      <c r="J539" s="3521" t="s">
        <v>4296</v>
      </c>
    </row>
    <row r="540" spans="2:10" x14ac:dyDescent="0.25">
      <c r="B540" s="3518" t="s">
        <v>1815</v>
      </c>
      <c r="C540" s="3519" t="s">
        <v>1815</v>
      </c>
      <c r="D540" s="3519" t="s">
        <v>1815</v>
      </c>
      <c r="E540" s="3519" t="s">
        <v>1815</v>
      </c>
      <c r="F540" s="3519" t="s">
        <v>1885</v>
      </c>
      <c r="G540" s="3519" t="s">
        <v>1815</v>
      </c>
      <c r="H540" s="3520" t="s">
        <v>3749</v>
      </c>
      <c r="I540" s="3503"/>
      <c r="J540" s="3521" t="s">
        <v>4297</v>
      </c>
    </row>
    <row r="541" spans="2:10" x14ac:dyDescent="0.25">
      <c r="B541" s="3518" t="s">
        <v>1815</v>
      </c>
      <c r="C541" s="3519" t="s">
        <v>1815</v>
      </c>
      <c r="D541" s="3519" t="s">
        <v>1815</v>
      </c>
      <c r="E541" s="3519" t="s">
        <v>1815</v>
      </c>
      <c r="F541" s="3519" t="s">
        <v>1815</v>
      </c>
      <c r="G541" s="3519" t="s">
        <v>1925</v>
      </c>
      <c r="H541" s="3520" t="s">
        <v>4050</v>
      </c>
      <c r="I541" s="3503"/>
      <c r="J541" s="3521" t="s">
        <v>4298</v>
      </c>
    </row>
    <row r="542" spans="2:10" x14ac:dyDescent="0.25">
      <c r="B542" s="3518" t="s">
        <v>1815</v>
      </c>
      <c r="C542" s="3519" t="s">
        <v>1815</v>
      </c>
      <c r="D542" s="3519" t="s">
        <v>1815</v>
      </c>
      <c r="E542" s="3519" t="s">
        <v>1815</v>
      </c>
      <c r="F542" s="3519" t="s">
        <v>1815</v>
      </c>
      <c r="G542" s="3519" t="s">
        <v>1886</v>
      </c>
      <c r="H542" s="3520" t="s">
        <v>4022</v>
      </c>
      <c r="I542" s="3503"/>
      <c r="J542" s="3521" t="s">
        <v>4299</v>
      </c>
    </row>
    <row r="543" spans="2:10" x14ac:dyDescent="0.25">
      <c r="B543" s="3518" t="s">
        <v>1815</v>
      </c>
      <c r="C543" s="3519" t="s">
        <v>1815</v>
      </c>
      <c r="D543" s="3519" t="s">
        <v>1815</v>
      </c>
      <c r="E543" s="3519" t="s">
        <v>1815</v>
      </c>
      <c r="F543" s="3519" t="s">
        <v>1815</v>
      </c>
      <c r="G543" s="3519" t="s">
        <v>1888</v>
      </c>
      <c r="H543" s="3520" t="s">
        <v>3895</v>
      </c>
      <c r="I543" s="3503"/>
      <c r="J543" s="3521" t="s">
        <v>4300</v>
      </c>
    </row>
    <row r="544" spans="2:10" x14ac:dyDescent="0.25">
      <c r="B544" s="3518" t="s">
        <v>1815</v>
      </c>
      <c r="C544" s="3519" t="s">
        <v>1815</v>
      </c>
      <c r="D544" s="3519" t="s">
        <v>1815</v>
      </c>
      <c r="E544" s="3519" t="s">
        <v>1815</v>
      </c>
      <c r="F544" s="3519" t="s">
        <v>1889</v>
      </c>
      <c r="G544" s="3519" t="s">
        <v>1815</v>
      </c>
      <c r="H544" s="3520" t="s">
        <v>3844</v>
      </c>
      <c r="I544" s="3503"/>
      <c r="J544" s="3521" t="s">
        <v>4301</v>
      </c>
    </row>
    <row r="545" spans="2:10" x14ac:dyDescent="0.25">
      <c r="B545" s="3518" t="s">
        <v>1815</v>
      </c>
      <c r="C545" s="3519" t="s">
        <v>1815</v>
      </c>
      <c r="D545" s="3519" t="s">
        <v>1815</v>
      </c>
      <c r="E545" s="3519" t="s">
        <v>1815</v>
      </c>
      <c r="F545" s="3519" t="s">
        <v>1815</v>
      </c>
      <c r="G545" s="3519" t="s">
        <v>1890</v>
      </c>
      <c r="H545" s="3520" t="s">
        <v>3848</v>
      </c>
      <c r="I545" s="3503"/>
      <c r="J545" s="3521" t="s">
        <v>4302</v>
      </c>
    </row>
    <row r="546" spans="2:10" x14ac:dyDescent="0.25">
      <c r="B546" s="3518" t="s">
        <v>1815</v>
      </c>
      <c r="C546" s="3519" t="s">
        <v>1815</v>
      </c>
      <c r="D546" s="3519" t="s">
        <v>1815</v>
      </c>
      <c r="E546" s="3519" t="s">
        <v>1815</v>
      </c>
      <c r="F546" s="3519" t="s">
        <v>1815</v>
      </c>
      <c r="G546" s="3519" t="s">
        <v>1892</v>
      </c>
      <c r="H546" s="3520" t="s">
        <v>3852</v>
      </c>
      <c r="I546" s="3503"/>
      <c r="J546" s="3521" t="s">
        <v>4303</v>
      </c>
    </row>
    <row r="547" spans="2:10" x14ac:dyDescent="0.25">
      <c r="B547" s="3518" t="s">
        <v>1815</v>
      </c>
      <c r="C547" s="3519" t="s">
        <v>1815</v>
      </c>
      <c r="D547" s="3519" t="s">
        <v>1815</v>
      </c>
      <c r="E547" s="3519" t="s">
        <v>1815</v>
      </c>
      <c r="F547" s="3519" t="s">
        <v>1893</v>
      </c>
      <c r="G547" s="3519" t="s">
        <v>1815</v>
      </c>
      <c r="H547" s="3520" t="s">
        <v>3853</v>
      </c>
      <c r="I547" s="3503"/>
      <c r="J547" s="3521" t="s">
        <v>4304</v>
      </c>
    </row>
    <row r="548" spans="2:10" x14ac:dyDescent="0.25">
      <c r="B548" s="3518" t="s">
        <v>1815</v>
      </c>
      <c r="C548" s="3519" t="s">
        <v>1815</v>
      </c>
      <c r="D548" s="3519" t="s">
        <v>1815</v>
      </c>
      <c r="E548" s="3519" t="s">
        <v>1815</v>
      </c>
      <c r="F548" s="3519" t="s">
        <v>1815</v>
      </c>
      <c r="G548" s="3519" t="s">
        <v>1894</v>
      </c>
      <c r="H548" s="3520" t="s">
        <v>3855</v>
      </c>
      <c r="I548" s="3503"/>
      <c r="J548" s="3521" t="s">
        <v>4304</v>
      </c>
    </row>
    <row r="549" spans="2:10" ht="30" x14ac:dyDescent="0.25">
      <c r="B549" s="3518" t="s">
        <v>1815</v>
      </c>
      <c r="C549" s="3519" t="s">
        <v>1815</v>
      </c>
      <c r="D549" s="3519" t="s">
        <v>1815</v>
      </c>
      <c r="E549" s="3519" t="s">
        <v>1815</v>
      </c>
      <c r="F549" s="3519" t="s">
        <v>1896</v>
      </c>
      <c r="G549" s="3519" t="s">
        <v>1815</v>
      </c>
      <c r="H549" s="3520" t="s">
        <v>3863</v>
      </c>
      <c r="I549" s="3503"/>
      <c r="J549" s="3521" t="s">
        <v>4305</v>
      </c>
    </row>
    <row r="550" spans="2:10" x14ac:dyDescent="0.25">
      <c r="B550" s="3518" t="s">
        <v>1815</v>
      </c>
      <c r="C550" s="3519" t="s">
        <v>1815</v>
      </c>
      <c r="D550" s="3519" t="s">
        <v>1815</v>
      </c>
      <c r="E550" s="3519" t="s">
        <v>1815</v>
      </c>
      <c r="F550" s="3519" t="s">
        <v>1815</v>
      </c>
      <c r="G550" s="3519" t="s">
        <v>1900</v>
      </c>
      <c r="H550" s="3520" t="s">
        <v>3865</v>
      </c>
      <c r="I550" s="3503"/>
      <c r="J550" s="3521" t="s">
        <v>4306</v>
      </c>
    </row>
    <row r="551" spans="2:10" x14ac:dyDescent="0.25">
      <c r="B551" s="3518" t="s">
        <v>1815</v>
      </c>
      <c r="C551" s="3519" t="s">
        <v>1815</v>
      </c>
      <c r="D551" s="3519" t="s">
        <v>1815</v>
      </c>
      <c r="E551" s="3519" t="s">
        <v>1815</v>
      </c>
      <c r="F551" s="3519" t="s">
        <v>1815</v>
      </c>
      <c r="G551" s="3519" t="s">
        <v>1901</v>
      </c>
      <c r="H551" s="3520" t="s">
        <v>3867</v>
      </c>
      <c r="I551" s="3503"/>
      <c r="J551" s="3521" t="s">
        <v>4307</v>
      </c>
    </row>
    <row r="552" spans="2:10" x14ac:dyDescent="0.25">
      <c r="B552" s="3518" t="s">
        <v>1815</v>
      </c>
      <c r="C552" s="3519" t="s">
        <v>1815</v>
      </c>
      <c r="D552" s="3519" t="s">
        <v>1815</v>
      </c>
      <c r="E552" s="3519" t="s">
        <v>1815</v>
      </c>
      <c r="F552" s="3519" t="s">
        <v>1815</v>
      </c>
      <c r="G552" s="3519" t="s">
        <v>1928</v>
      </c>
      <c r="H552" s="3520" t="s">
        <v>3869</v>
      </c>
      <c r="I552" s="3503"/>
      <c r="J552" s="3521" t="s">
        <v>4308</v>
      </c>
    </row>
    <row r="553" spans="2:10" x14ac:dyDescent="0.25">
      <c r="B553" s="3518" t="s">
        <v>1815</v>
      </c>
      <c r="C553" s="3519" t="s">
        <v>1815</v>
      </c>
      <c r="D553" s="3519" t="s">
        <v>1815</v>
      </c>
      <c r="E553" s="3519" t="s">
        <v>1815</v>
      </c>
      <c r="F553" s="3519" t="s">
        <v>1906</v>
      </c>
      <c r="G553" s="3519" t="s">
        <v>1815</v>
      </c>
      <c r="H553" s="3520" t="s">
        <v>3752</v>
      </c>
      <c r="I553" s="3503"/>
      <c r="J553" s="3521" t="s">
        <v>4309</v>
      </c>
    </row>
    <row r="554" spans="2:10" x14ac:dyDescent="0.25">
      <c r="B554" s="3518" t="s">
        <v>1815</v>
      </c>
      <c r="C554" s="3519" t="s">
        <v>1815</v>
      </c>
      <c r="D554" s="3519" t="s">
        <v>1815</v>
      </c>
      <c r="E554" s="3519" t="s">
        <v>1815</v>
      </c>
      <c r="F554" s="3519" t="s">
        <v>1815</v>
      </c>
      <c r="G554" s="3519" t="s">
        <v>1907</v>
      </c>
      <c r="H554" s="3520" t="s">
        <v>3763</v>
      </c>
      <c r="I554" s="3503"/>
      <c r="J554" s="3521" t="s">
        <v>4298</v>
      </c>
    </row>
    <row r="555" spans="2:10" x14ac:dyDescent="0.25">
      <c r="B555" s="3518" t="s">
        <v>1815</v>
      </c>
      <c r="C555" s="3519" t="s">
        <v>1815</v>
      </c>
      <c r="D555" s="3519" t="s">
        <v>1815</v>
      </c>
      <c r="E555" s="3519" t="s">
        <v>1815</v>
      </c>
      <c r="F555" s="3519" t="s">
        <v>1815</v>
      </c>
      <c r="G555" s="3519" t="s">
        <v>1909</v>
      </c>
      <c r="H555" s="3520" t="s">
        <v>951</v>
      </c>
      <c r="I555" s="3503"/>
      <c r="J555" s="3521" t="s">
        <v>4310</v>
      </c>
    </row>
    <row r="556" spans="2:10" x14ac:dyDescent="0.25">
      <c r="B556" s="3518" t="s">
        <v>1815</v>
      </c>
      <c r="C556" s="3519" t="s">
        <v>1815</v>
      </c>
      <c r="D556" s="3519" t="s">
        <v>1815</v>
      </c>
      <c r="E556" s="3519" t="s">
        <v>1815</v>
      </c>
      <c r="F556" s="3519" t="s">
        <v>1968</v>
      </c>
      <c r="G556" s="3519" t="s">
        <v>1815</v>
      </c>
      <c r="H556" s="3520" t="s">
        <v>4243</v>
      </c>
      <c r="I556" s="3503"/>
      <c r="J556" s="3521" t="s">
        <v>4311</v>
      </c>
    </row>
    <row r="557" spans="2:10" x14ac:dyDescent="0.25">
      <c r="B557" s="3518" t="s">
        <v>1815</v>
      </c>
      <c r="C557" s="3519" t="s">
        <v>1815</v>
      </c>
      <c r="D557" s="3519" t="s">
        <v>1815</v>
      </c>
      <c r="E557" s="3519" t="s">
        <v>1815</v>
      </c>
      <c r="F557" s="3519" t="s">
        <v>1815</v>
      </c>
      <c r="G557" s="3519" t="s">
        <v>1969</v>
      </c>
      <c r="H557" s="3520" t="s">
        <v>4245</v>
      </c>
      <c r="I557" s="3503"/>
      <c r="J557" s="3521" t="s">
        <v>4311</v>
      </c>
    </row>
    <row r="558" spans="2:10" x14ac:dyDescent="0.25">
      <c r="B558" s="3518" t="s">
        <v>1815</v>
      </c>
      <c r="C558" s="3519" t="s">
        <v>1815</v>
      </c>
      <c r="D558" s="3519" t="s">
        <v>1815</v>
      </c>
      <c r="E558" s="3519" t="s">
        <v>1815</v>
      </c>
      <c r="F558" s="3519" t="s">
        <v>1912</v>
      </c>
      <c r="G558" s="3519" t="s">
        <v>1815</v>
      </c>
      <c r="H558" s="3520" t="s">
        <v>951</v>
      </c>
      <c r="I558" s="3503"/>
      <c r="J558" s="3521" t="s">
        <v>4312</v>
      </c>
    </row>
    <row r="559" spans="2:10" x14ac:dyDescent="0.25">
      <c r="B559" s="3518" t="s">
        <v>1815</v>
      </c>
      <c r="C559" s="3519" t="s">
        <v>1815</v>
      </c>
      <c r="D559" s="3519" t="s">
        <v>1815</v>
      </c>
      <c r="E559" s="3519" t="s">
        <v>1815</v>
      </c>
      <c r="F559" s="3519" t="s">
        <v>1815</v>
      </c>
      <c r="G559" s="3519" t="s">
        <v>1913</v>
      </c>
      <c r="H559" s="3520" t="s">
        <v>3884</v>
      </c>
      <c r="I559" s="3503"/>
      <c r="J559" s="3521" t="s">
        <v>4313</v>
      </c>
    </row>
    <row r="560" spans="2:10" x14ac:dyDescent="0.25">
      <c r="B560" s="3518" t="s">
        <v>1815</v>
      </c>
      <c r="C560" s="3519" t="s">
        <v>1815</v>
      </c>
      <c r="D560" s="3519" t="s">
        <v>1815</v>
      </c>
      <c r="E560" s="3519" t="s">
        <v>1815</v>
      </c>
      <c r="F560" s="3519" t="s">
        <v>1815</v>
      </c>
      <c r="G560" s="3519" t="s">
        <v>1915</v>
      </c>
      <c r="H560" s="3520" t="s">
        <v>3755</v>
      </c>
      <c r="I560" s="3503"/>
      <c r="J560" s="3521" t="s">
        <v>4314</v>
      </c>
    </row>
    <row r="561" spans="2:10" x14ac:dyDescent="0.25">
      <c r="B561" s="3518" t="s">
        <v>1815</v>
      </c>
      <c r="C561" s="3519" t="s">
        <v>1815</v>
      </c>
      <c r="D561" s="3519" t="s">
        <v>1815</v>
      </c>
      <c r="E561" s="3519" t="s">
        <v>1815</v>
      </c>
      <c r="F561" s="3519" t="s">
        <v>1815</v>
      </c>
      <c r="G561" s="3519" t="s">
        <v>1916</v>
      </c>
      <c r="H561" s="3520" t="s">
        <v>3757</v>
      </c>
      <c r="I561" s="3503"/>
      <c r="J561" s="3521" t="s">
        <v>4315</v>
      </c>
    </row>
    <row r="562" spans="2:10" ht="45" x14ac:dyDescent="0.25">
      <c r="B562" s="3518" t="s">
        <v>1815</v>
      </c>
      <c r="C562" s="3519" t="s">
        <v>1815</v>
      </c>
      <c r="D562" s="3519" t="s">
        <v>1815</v>
      </c>
      <c r="E562" s="3519" t="s">
        <v>1815</v>
      </c>
      <c r="F562" s="3519" t="s">
        <v>1983</v>
      </c>
      <c r="G562" s="3519" t="s">
        <v>1815</v>
      </c>
      <c r="H562" s="3520" t="s">
        <v>4316</v>
      </c>
      <c r="I562" s="3503"/>
      <c r="J562" s="3521" t="s">
        <v>4317</v>
      </c>
    </row>
    <row r="563" spans="2:10" x14ac:dyDescent="0.25">
      <c r="B563" s="3518" t="s">
        <v>1815</v>
      </c>
      <c r="C563" s="3519" t="s">
        <v>1815</v>
      </c>
      <c r="D563" s="3519" t="s">
        <v>1815</v>
      </c>
      <c r="E563" s="3519" t="s">
        <v>1815</v>
      </c>
      <c r="F563" s="3519" t="s">
        <v>1815</v>
      </c>
      <c r="G563" s="3519" t="s">
        <v>2067</v>
      </c>
      <c r="H563" s="3520" t="s">
        <v>4318</v>
      </c>
      <c r="I563" s="3503"/>
      <c r="J563" s="3521" t="s">
        <v>4319</v>
      </c>
    </row>
    <row r="564" spans="2:10" x14ac:dyDescent="0.25">
      <c r="B564" s="3518" t="s">
        <v>1815</v>
      </c>
      <c r="C564" s="3519" t="s">
        <v>1815</v>
      </c>
      <c r="D564" s="3519" t="s">
        <v>1815</v>
      </c>
      <c r="E564" s="3519" t="s">
        <v>1815</v>
      </c>
      <c r="F564" s="3519" t="s">
        <v>1815</v>
      </c>
      <c r="G564" s="3519" t="s">
        <v>2240</v>
      </c>
      <c r="H564" s="3520" t="s">
        <v>4320</v>
      </c>
      <c r="I564" s="3503"/>
      <c r="J564" s="3521" t="s">
        <v>4321</v>
      </c>
    </row>
    <row r="565" spans="2:10" ht="60" x14ac:dyDescent="0.25">
      <c r="B565" s="3518" t="s">
        <v>1815</v>
      </c>
      <c r="C565" s="3519" t="s">
        <v>1815</v>
      </c>
      <c r="D565" s="3519" t="s">
        <v>1815</v>
      </c>
      <c r="E565" s="3519" t="s">
        <v>1815</v>
      </c>
      <c r="F565" s="3519" t="s">
        <v>1815</v>
      </c>
      <c r="G565" s="3519" t="s">
        <v>1984</v>
      </c>
      <c r="H565" s="3520" t="s">
        <v>4322</v>
      </c>
      <c r="I565" s="3503"/>
      <c r="J565" s="3521" t="s">
        <v>4323</v>
      </c>
    </row>
    <row r="566" spans="2:10" x14ac:dyDescent="0.25">
      <c r="B566" s="3518" t="s">
        <v>1815</v>
      </c>
      <c r="C566" s="3519" t="s">
        <v>1815</v>
      </c>
      <c r="D566" s="3519" t="s">
        <v>1815</v>
      </c>
      <c r="E566" s="3519" t="s">
        <v>1815</v>
      </c>
      <c r="F566" s="3519" t="s">
        <v>1917</v>
      </c>
      <c r="G566" s="3519" t="s">
        <v>1815</v>
      </c>
      <c r="H566" s="3520" t="s">
        <v>4259</v>
      </c>
      <c r="I566" s="3503"/>
      <c r="J566" s="3521" t="s">
        <v>4324</v>
      </c>
    </row>
    <row r="567" spans="2:10" x14ac:dyDescent="0.25">
      <c r="B567" s="3518" t="s">
        <v>1815</v>
      </c>
      <c r="C567" s="3519" t="s">
        <v>1815</v>
      </c>
      <c r="D567" s="3519" t="s">
        <v>1815</v>
      </c>
      <c r="E567" s="3519" t="s">
        <v>1815</v>
      </c>
      <c r="F567" s="3519" t="s">
        <v>1815</v>
      </c>
      <c r="G567" s="3519" t="s">
        <v>1918</v>
      </c>
      <c r="H567" s="3520" t="s">
        <v>4261</v>
      </c>
      <c r="I567" s="3503"/>
      <c r="J567" s="3521" t="s">
        <v>4324</v>
      </c>
    </row>
    <row r="568" spans="2:10" x14ac:dyDescent="0.25">
      <c r="B568" s="3518" t="s">
        <v>1815</v>
      </c>
      <c r="C568" s="3519" t="s">
        <v>1815</v>
      </c>
      <c r="D568" s="3519" t="s">
        <v>1815</v>
      </c>
      <c r="E568" s="3519" t="s">
        <v>1986</v>
      </c>
      <c r="F568" s="3519" t="s">
        <v>1815</v>
      </c>
      <c r="G568" s="3519" t="s">
        <v>1815</v>
      </c>
      <c r="H568" s="3520" t="s">
        <v>4325</v>
      </c>
      <c r="I568" s="3503"/>
      <c r="J568" s="3521" t="s">
        <v>4326</v>
      </c>
    </row>
    <row r="569" spans="2:10" x14ac:dyDescent="0.25">
      <c r="B569" s="3518" t="s">
        <v>1815</v>
      </c>
      <c r="C569" s="3519" t="s">
        <v>1815</v>
      </c>
      <c r="D569" s="3519" t="s">
        <v>1815</v>
      </c>
      <c r="E569" s="3519" t="s">
        <v>1815</v>
      </c>
      <c r="F569" s="3519" t="s">
        <v>1848</v>
      </c>
      <c r="G569" s="3519" t="s">
        <v>1815</v>
      </c>
      <c r="H569" s="3520" t="s">
        <v>3771</v>
      </c>
      <c r="I569" s="3503"/>
      <c r="J569" s="3521" t="s">
        <v>4327</v>
      </c>
    </row>
    <row r="570" spans="2:10" x14ac:dyDescent="0.25">
      <c r="B570" s="3518" t="s">
        <v>1815</v>
      </c>
      <c r="C570" s="3519" t="s">
        <v>1815</v>
      </c>
      <c r="D570" s="3519" t="s">
        <v>1815</v>
      </c>
      <c r="E570" s="3519" t="s">
        <v>1815</v>
      </c>
      <c r="F570" s="3519" t="s">
        <v>1815</v>
      </c>
      <c r="G570" s="3519" t="s">
        <v>1849</v>
      </c>
      <c r="H570" s="3520" t="s">
        <v>3773</v>
      </c>
      <c r="I570" s="3503"/>
      <c r="J570" s="3521" t="s">
        <v>4327</v>
      </c>
    </row>
    <row r="571" spans="2:10" x14ac:dyDescent="0.25">
      <c r="B571" s="3518" t="s">
        <v>1815</v>
      </c>
      <c r="C571" s="3519" t="s">
        <v>1815</v>
      </c>
      <c r="D571" s="3519" t="s">
        <v>1815</v>
      </c>
      <c r="E571" s="3519" t="s">
        <v>1815</v>
      </c>
      <c r="F571" s="3519" t="s">
        <v>1853</v>
      </c>
      <c r="G571" s="3519" t="s">
        <v>1815</v>
      </c>
      <c r="H571" s="3520" t="s">
        <v>3732</v>
      </c>
      <c r="I571" s="3503"/>
      <c r="J571" s="3521" t="s">
        <v>4328</v>
      </c>
    </row>
    <row r="572" spans="2:10" x14ac:dyDescent="0.25">
      <c r="B572" s="3518" t="s">
        <v>1815</v>
      </c>
      <c r="C572" s="3519" t="s">
        <v>1815</v>
      </c>
      <c r="D572" s="3519" t="s">
        <v>1815</v>
      </c>
      <c r="E572" s="3519" t="s">
        <v>1815</v>
      </c>
      <c r="F572" s="3519" t="s">
        <v>1815</v>
      </c>
      <c r="G572" s="3519" t="s">
        <v>1854</v>
      </c>
      <c r="H572" s="3520" t="s">
        <v>3734</v>
      </c>
      <c r="I572" s="3503"/>
      <c r="J572" s="3521" t="s">
        <v>4329</v>
      </c>
    </row>
    <row r="573" spans="2:10" x14ac:dyDescent="0.25">
      <c r="B573" s="3518" t="s">
        <v>1815</v>
      </c>
      <c r="C573" s="3519" t="s">
        <v>1815</v>
      </c>
      <c r="D573" s="3519" t="s">
        <v>1815</v>
      </c>
      <c r="E573" s="3519" t="s">
        <v>1815</v>
      </c>
      <c r="F573" s="3519" t="s">
        <v>1815</v>
      </c>
      <c r="G573" s="3519" t="s">
        <v>1855</v>
      </c>
      <c r="H573" s="3520" t="s">
        <v>3778</v>
      </c>
      <c r="I573" s="3503"/>
      <c r="J573" s="3521" t="s">
        <v>4330</v>
      </c>
    </row>
    <row r="574" spans="2:10" x14ac:dyDescent="0.25">
      <c r="B574" s="3518" t="s">
        <v>1815</v>
      </c>
      <c r="C574" s="3519" t="s">
        <v>1815</v>
      </c>
      <c r="D574" s="3519" t="s">
        <v>1815</v>
      </c>
      <c r="E574" s="3519" t="s">
        <v>1815</v>
      </c>
      <c r="F574" s="3519" t="s">
        <v>1815</v>
      </c>
      <c r="G574" s="3519" t="s">
        <v>1856</v>
      </c>
      <c r="H574" s="3520" t="s">
        <v>3736</v>
      </c>
      <c r="I574" s="3503"/>
      <c r="J574" s="3521" t="s">
        <v>4331</v>
      </c>
    </row>
    <row r="575" spans="2:10" ht="30" x14ac:dyDescent="0.25">
      <c r="B575" s="3518" t="s">
        <v>1815</v>
      </c>
      <c r="C575" s="3519" t="s">
        <v>1815</v>
      </c>
      <c r="D575" s="3519" t="s">
        <v>1815</v>
      </c>
      <c r="E575" s="3519" t="s">
        <v>1815</v>
      </c>
      <c r="F575" s="3519" t="s">
        <v>1815</v>
      </c>
      <c r="G575" s="3519" t="s">
        <v>1929</v>
      </c>
      <c r="H575" s="3520" t="s">
        <v>3785</v>
      </c>
      <c r="I575" s="3503"/>
      <c r="J575" s="3521" t="s">
        <v>4332</v>
      </c>
    </row>
    <row r="576" spans="2:10" ht="30" x14ac:dyDescent="0.25">
      <c r="B576" s="3518" t="s">
        <v>1815</v>
      </c>
      <c r="C576" s="3519" t="s">
        <v>1815</v>
      </c>
      <c r="D576" s="3519" t="s">
        <v>1815</v>
      </c>
      <c r="E576" s="3519" t="s">
        <v>1815</v>
      </c>
      <c r="F576" s="3519" t="s">
        <v>1815</v>
      </c>
      <c r="G576" s="3519" t="s">
        <v>1938</v>
      </c>
      <c r="H576" s="3520" t="s">
        <v>3787</v>
      </c>
      <c r="I576" s="3503"/>
      <c r="J576" s="3521" t="s">
        <v>4333</v>
      </c>
    </row>
    <row r="577" spans="2:10" x14ac:dyDescent="0.25">
      <c r="B577" s="3518" t="s">
        <v>1815</v>
      </c>
      <c r="C577" s="3519" t="s">
        <v>1815</v>
      </c>
      <c r="D577" s="3519" t="s">
        <v>1815</v>
      </c>
      <c r="E577" s="3519" t="s">
        <v>1815</v>
      </c>
      <c r="F577" s="3519" t="s">
        <v>1815</v>
      </c>
      <c r="G577" s="3519" t="s">
        <v>1859</v>
      </c>
      <c r="H577" s="3520" t="s">
        <v>4179</v>
      </c>
      <c r="I577" s="3503"/>
      <c r="J577" s="3521" t="s">
        <v>4334</v>
      </c>
    </row>
    <row r="578" spans="2:10" x14ac:dyDescent="0.25">
      <c r="B578" s="3518" t="s">
        <v>1815</v>
      </c>
      <c r="C578" s="3519" t="s">
        <v>1815</v>
      </c>
      <c r="D578" s="3519" t="s">
        <v>1815</v>
      </c>
      <c r="E578" s="3519" t="s">
        <v>1815</v>
      </c>
      <c r="F578" s="3519" t="s">
        <v>1815</v>
      </c>
      <c r="G578" s="3519" t="s">
        <v>1939</v>
      </c>
      <c r="H578" s="3520" t="s">
        <v>3789</v>
      </c>
      <c r="I578" s="3503"/>
      <c r="J578" s="3521" t="s">
        <v>4335</v>
      </c>
    </row>
    <row r="579" spans="2:10" x14ac:dyDescent="0.25">
      <c r="B579" s="3518" t="s">
        <v>1815</v>
      </c>
      <c r="C579" s="3519" t="s">
        <v>1815</v>
      </c>
      <c r="D579" s="3519" t="s">
        <v>1815</v>
      </c>
      <c r="E579" s="3519" t="s">
        <v>1815</v>
      </c>
      <c r="F579" s="3519" t="s">
        <v>1860</v>
      </c>
      <c r="G579" s="3519" t="s">
        <v>1815</v>
      </c>
      <c r="H579" s="3520" t="s">
        <v>3796</v>
      </c>
      <c r="I579" s="3503"/>
      <c r="J579" s="3521" t="s">
        <v>4336</v>
      </c>
    </row>
    <row r="580" spans="2:10" x14ac:dyDescent="0.25">
      <c r="B580" s="3518" t="s">
        <v>1815</v>
      </c>
      <c r="C580" s="3519" t="s">
        <v>1815</v>
      </c>
      <c r="D580" s="3519" t="s">
        <v>1815</v>
      </c>
      <c r="E580" s="3519" t="s">
        <v>1815</v>
      </c>
      <c r="F580" s="3519" t="s">
        <v>1815</v>
      </c>
      <c r="G580" s="3519" t="s">
        <v>1861</v>
      </c>
      <c r="H580" s="3520" t="s">
        <v>3798</v>
      </c>
      <c r="I580" s="3503"/>
      <c r="J580" s="3521" t="s">
        <v>4336</v>
      </c>
    </row>
    <row r="581" spans="2:10" x14ac:dyDescent="0.25">
      <c r="B581" s="3518" t="s">
        <v>1815</v>
      </c>
      <c r="C581" s="3519" t="s">
        <v>1815</v>
      </c>
      <c r="D581" s="3519" t="s">
        <v>1815</v>
      </c>
      <c r="E581" s="3519" t="s">
        <v>1815</v>
      </c>
      <c r="F581" s="3519" t="s">
        <v>1943</v>
      </c>
      <c r="G581" s="3519" t="s">
        <v>1815</v>
      </c>
      <c r="H581" s="3520" t="s">
        <v>3799</v>
      </c>
      <c r="I581" s="3503"/>
      <c r="J581" s="3521" t="s">
        <v>4337</v>
      </c>
    </row>
    <row r="582" spans="2:10" x14ac:dyDescent="0.25">
      <c r="B582" s="3518" t="s">
        <v>1815</v>
      </c>
      <c r="C582" s="3519" t="s">
        <v>1815</v>
      </c>
      <c r="D582" s="3519" t="s">
        <v>1815</v>
      </c>
      <c r="E582" s="3519" t="s">
        <v>1815</v>
      </c>
      <c r="F582" s="3519" t="s">
        <v>1815</v>
      </c>
      <c r="G582" s="3519" t="s">
        <v>1980</v>
      </c>
      <c r="H582" s="3520" t="s">
        <v>951</v>
      </c>
      <c r="I582" s="3503"/>
      <c r="J582" s="3521" t="s">
        <v>4337</v>
      </c>
    </row>
    <row r="583" spans="2:10" x14ac:dyDescent="0.25">
      <c r="B583" s="3518" t="s">
        <v>1815</v>
      </c>
      <c r="C583" s="3519" t="s">
        <v>1815</v>
      </c>
      <c r="D583" s="3519" t="s">
        <v>1815</v>
      </c>
      <c r="E583" s="3519" t="s">
        <v>1815</v>
      </c>
      <c r="F583" s="3519" t="s">
        <v>1862</v>
      </c>
      <c r="G583" s="3519" t="s">
        <v>1815</v>
      </c>
      <c r="H583" s="3520" t="s">
        <v>3801</v>
      </c>
      <c r="I583" s="3503"/>
      <c r="J583" s="3521" t="s">
        <v>4338</v>
      </c>
    </row>
    <row r="584" spans="2:10" x14ac:dyDescent="0.25">
      <c r="B584" s="3518" t="s">
        <v>1815</v>
      </c>
      <c r="C584" s="3519" t="s">
        <v>1815</v>
      </c>
      <c r="D584" s="3519" t="s">
        <v>1815</v>
      </c>
      <c r="E584" s="3519" t="s">
        <v>1815</v>
      </c>
      <c r="F584" s="3519" t="s">
        <v>1815</v>
      </c>
      <c r="G584" s="3519" t="s">
        <v>1863</v>
      </c>
      <c r="H584" s="3520" t="s">
        <v>3803</v>
      </c>
      <c r="I584" s="3503"/>
      <c r="J584" s="3521" t="s">
        <v>4339</v>
      </c>
    </row>
    <row r="585" spans="2:10" x14ac:dyDescent="0.25">
      <c r="B585" s="3518" t="s">
        <v>1815</v>
      </c>
      <c r="C585" s="3519" t="s">
        <v>1815</v>
      </c>
      <c r="D585" s="3519" t="s">
        <v>1815</v>
      </c>
      <c r="E585" s="3519" t="s">
        <v>1815</v>
      </c>
      <c r="F585" s="3519" t="s">
        <v>1815</v>
      </c>
      <c r="G585" s="3519" t="s">
        <v>1864</v>
      </c>
      <c r="H585" s="3520" t="s">
        <v>3805</v>
      </c>
      <c r="I585" s="3503"/>
      <c r="J585" s="3521" t="s">
        <v>4340</v>
      </c>
    </row>
    <row r="586" spans="2:10" x14ac:dyDescent="0.25">
      <c r="B586" s="3518" t="s">
        <v>1815</v>
      </c>
      <c r="C586" s="3519" t="s">
        <v>1815</v>
      </c>
      <c r="D586" s="3519" t="s">
        <v>1815</v>
      </c>
      <c r="E586" s="3519" t="s">
        <v>1815</v>
      </c>
      <c r="F586" s="3519" t="s">
        <v>1815</v>
      </c>
      <c r="G586" s="3519" t="s">
        <v>1865</v>
      </c>
      <c r="H586" s="3520" t="s">
        <v>3807</v>
      </c>
      <c r="I586" s="3503"/>
      <c r="J586" s="3521" t="s">
        <v>4341</v>
      </c>
    </row>
    <row r="587" spans="2:10" x14ac:dyDescent="0.25">
      <c r="B587" s="3518" t="s">
        <v>1815</v>
      </c>
      <c r="C587" s="3519" t="s">
        <v>1815</v>
      </c>
      <c r="D587" s="3519" t="s">
        <v>1815</v>
      </c>
      <c r="E587" s="3519" t="s">
        <v>1815</v>
      </c>
      <c r="F587" s="3519" t="s">
        <v>2057</v>
      </c>
      <c r="G587" s="3519" t="s">
        <v>1815</v>
      </c>
      <c r="H587" s="3520" t="s">
        <v>3738</v>
      </c>
      <c r="I587" s="3503"/>
      <c r="J587" s="3521" t="s">
        <v>4342</v>
      </c>
    </row>
    <row r="588" spans="2:10" x14ac:dyDescent="0.25">
      <c r="B588" s="3518" t="s">
        <v>1815</v>
      </c>
      <c r="C588" s="3519" t="s">
        <v>1815</v>
      </c>
      <c r="D588" s="3519" t="s">
        <v>1815</v>
      </c>
      <c r="E588" s="3519" t="s">
        <v>1815</v>
      </c>
      <c r="F588" s="3519" t="s">
        <v>1815</v>
      </c>
      <c r="G588" s="3519" t="s">
        <v>2058</v>
      </c>
      <c r="H588" s="3520" t="s">
        <v>3740</v>
      </c>
      <c r="I588" s="3503"/>
      <c r="J588" s="3521" t="s">
        <v>4342</v>
      </c>
    </row>
    <row r="589" spans="2:10" x14ac:dyDescent="0.25">
      <c r="B589" s="3518" t="s">
        <v>1815</v>
      </c>
      <c r="C589" s="3519" t="s">
        <v>1815</v>
      </c>
      <c r="D589" s="3519" t="s">
        <v>1815</v>
      </c>
      <c r="E589" s="3519" t="s">
        <v>1815</v>
      </c>
      <c r="F589" s="3519" t="s">
        <v>1867</v>
      </c>
      <c r="G589" s="3519" t="s">
        <v>1815</v>
      </c>
      <c r="H589" s="3520" t="s">
        <v>3811</v>
      </c>
      <c r="I589" s="3503"/>
      <c r="J589" s="3521" t="s">
        <v>4343</v>
      </c>
    </row>
    <row r="590" spans="2:10" ht="30" x14ac:dyDescent="0.25">
      <c r="B590" s="3518" t="s">
        <v>1815</v>
      </c>
      <c r="C590" s="3519" t="s">
        <v>1815</v>
      </c>
      <c r="D590" s="3519" t="s">
        <v>1815</v>
      </c>
      <c r="E590" s="3519" t="s">
        <v>1815</v>
      </c>
      <c r="F590" s="3519" t="s">
        <v>1815</v>
      </c>
      <c r="G590" s="3519" t="s">
        <v>1868</v>
      </c>
      <c r="H590" s="3520" t="s">
        <v>3815</v>
      </c>
      <c r="I590" s="3503"/>
      <c r="J590" s="3521" t="s">
        <v>4343</v>
      </c>
    </row>
    <row r="591" spans="2:10" x14ac:dyDescent="0.25">
      <c r="B591" s="3518" t="s">
        <v>1815</v>
      </c>
      <c r="C591" s="3519" t="s">
        <v>1815</v>
      </c>
      <c r="D591" s="3519" t="s">
        <v>1815</v>
      </c>
      <c r="E591" s="3519" t="s">
        <v>1815</v>
      </c>
      <c r="F591" s="3519" t="s">
        <v>1869</v>
      </c>
      <c r="G591" s="3519" t="s">
        <v>1815</v>
      </c>
      <c r="H591" s="3520" t="s">
        <v>3817</v>
      </c>
      <c r="I591" s="3503"/>
      <c r="J591" s="3521" t="s">
        <v>4344</v>
      </c>
    </row>
    <row r="592" spans="2:10" x14ac:dyDescent="0.25">
      <c r="B592" s="3518" t="s">
        <v>1815</v>
      </c>
      <c r="C592" s="3519" t="s">
        <v>1815</v>
      </c>
      <c r="D592" s="3519" t="s">
        <v>1815</v>
      </c>
      <c r="E592" s="3519" t="s">
        <v>1815</v>
      </c>
      <c r="F592" s="3519" t="s">
        <v>1815</v>
      </c>
      <c r="G592" s="3519" t="s">
        <v>1872</v>
      </c>
      <c r="H592" s="3520" t="s">
        <v>4200</v>
      </c>
      <c r="I592" s="3503"/>
      <c r="J592" s="3521" t="s">
        <v>4345</v>
      </c>
    </row>
    <row r="593" spans="2:10" x14ac:dyDescent="0.25">
      <c r="B593" s="3518" t="s">
        <v>1815</v>
      </c>
      <c r="C593" s="3519" t="s">
        <v>1815</v>
      </c>
      <c r="D593" s="3519" t="s">
        <v>1815</v>
      </c>
      <c r="E593" s="3519" t="s">
        <v>1815</v>
      </c>
      <c r="F593" s="3519" t="s">
        <v>1815</v>
      </c>
      <c r="G593" s="3519" t="s">
        <v>3823</v>
      </c>
      <c r="H593" s="3520" t="s">
        <v>3824</v>
      </c>
      <c r="I593" s="3503"/>
      <c r="J593" s="3521" t="s">
        <v>4346</v>
      </c>
    </row>
    <row r="594" spans="2:10" x14ac:dyDescent="0.25">
      <c r="B594" s="3518" t="s">
        <v>1815</v>
      </c>
      <c r="C594" s="3519" t="s">
        <v>1815</v>
      </c>
      <c r="D594" s="3519" t="s">
        <v>1815</v>
      </c>
      <c r="E594" s="3519" t="s">
        <v>1815</v>
      </c>
      <c r="F594" s="3519" t="s">
        <v>1874</v>
      </c>
      <c r="G594" s="3519" t="s">
        <v>1815</v>
      </c>
      <c r="H594" s="3520" t="s">
        <v>3743</v>
      </c>
      <c r="I594" s="3503"/>
      <c r="J594" s="3521" t="s">
        <v>4347</v>
      </c>
    </row>
    <row r="595" spans="2:10" x14ac:dyDescent="0.25">
      <c r="B595" s="3518" t="s">
        <v>1815</v>
      </c>
      <c r="C595" s="3519" t="s">
        <v>1815</v>
      </c>
      <c r="D595" s="3519" t="s">
        <v>1815</v>
      </c>
      <c r="E595" s="3519" t="s">
        <v>1815</v>
      </c>
      <c r="F595" s="3519" t="s">
        <v>1815</v>
      </c>
      <c r="G595" s="3519" t="s">
        <v>1875</v>
      </c>
      <c r="H595" s="3520" t="s">
        <v>3745</v>
      </c>
      <c r="I595" s="3503"/>
      <c r="J595" s="3521" t="s">
        <v>4348</v>
      </c>
    </row>
    <row r="596" spans="2:10" x14ac:dyDescent="0.25">
      <c r="B596" s="3518" t="s">
        <v>1815</v>
      </c>
      <c r="C596" s="3519" t="s">
        <v>1815</v>
      </c>
      <c r="D596" s="3519" t="s">
        <v>1815</v>
      </c>
      <c r="E596" s="3519" t="s">
        <v>1815</v>
      </c>
      <c r="F596" s="3519" t="s">
        <v>1815</v>
      </c>
      <c r="G596" s="3519" t="s">
        <v>1876</v>
      </c>
      <c r="H596" s="3520" t="s">
        <v>3828</v>
      </c>
      <c r="I596" s="3503"/>
      <c r="J596" s="3521" t="s">
        <v>4349</v>
      </c>
    </row>
    <row r="597" spans="2:10" x14ac:dyDescent="0.25">
      <c r="B597" s="3518" t="s">
        <v>1815</v>
      </c>
      <c r="C597" s="3519" t="s">
        <v>1815</v>
      </c>
      <c r="D597" s="3519" t="s">
        <v>1815</v>
      </c>
      <c r="E597" s="3519" t="s">
        <v>1815</v>
      </c>
      <c r="F597" s="3519" t="s">
        <v>1815</v>
      </c>
      <c r="G597" s="3519" t="s">
        <v>1877</v>
      </c>
      <c r="H597" s="3520" t="s">
        <v>3747</v>
      </c>
      <c r="I597" s="3503"/>
      <c r="J597" s="3521" t="s">
        <v>4350</v>
      </c>
    </row>
    <row r="598" spans="2:10" x14ac:dyDescent="0.25">
      <c r="B598" s="3518" t="s">
        <v>1815</v>
      </c>
      <c r="C598" s="3519" t="s">
        <v>1815</v>
      </c>
      <c r="D598" s="3519" t="s">
        <v>1815</v>
      </c>
      <c r="E598" s="3519" t="s">
        <v>1815</v>
      </c>
      <c r="F598" s="3519" t="s">
        <v>1885</v>
      </c>
      <c r="G598" s="3519" t="s">
        <v>1815</v>
      </c>
      <c r="H598" s="3520" t="s">
        <v>3749</v>
      </c>
      <c r="I598" s="3503"/>
      <c r="J598" s="3521" t="s">
        <v>4351</v>
      </c>
    </row>
    <row r="599" spans="2:10" x14ac:dyDescent="0.25">
      <c r="B599" s="3518" t="s">
        <v>1815</v>
      </c>
      <c r="C599" s="3519" t="s">
        <v>1815</v>
      </c>
      <c r="D599" s="3519" t="s">
        <v>1815</v>
      </c>
      <c r="E599" s="3519" t="s">
        <v>1815</v>
      </c>
      <c r="F599" s="3519" t="s">
        <v>1815</v>
      </c>
      <c r="G599" s="3519" t="s">
        <v>1925</v>
      </c>
      <c r="H599" s="3520" t="s">
        <v>4050</v>
      </c>
      <c r="I599" s="3503"/>
      <c r="J599" s="3521" t="s">
        <v>4352</v>
      </c>
    </row>
    <row r="600" spans="2:10" x14ac:dyDescent="0.25">
      <c r="B600" s="3518" t="s">
        <v>1815</v>
      </c>
      <c r="C600" s="3519" t="s">
        <v>1815</v>
      </c>
      <c r="D600" s="3519" t="s">
        <v>1815</v>
      </c>
      <c r="E600" s="3519" t="s">
        <v>1815</v>
      </c>
      <c r="F600" s="3519" t="s">
        <v>1815</v>
      </c>
      <c r="G600" s="3519" t="s">
        <v>1887</v>
      </c>
      <c r="H600" s="3520" t="s">
        <v>3751</v>
      </c>
      <c r="I600" s="3503"/>
      <c r="J600" s="3521" t="s">
        <v>3765</v>
      </c>
    </row>
    <row r="601" spans="2:10" x14ac:dyDescent="0.25">
      <c r="B601" s="3518" t="s">
        <v>1815</v>
      </c>
      <c r="C601" s="3519" t="s">
        <v>1815</v>
      </c>
      <c r="D601" s="3519" t="s">
        <v>1815</v>
      </c>
      <c r="E601" s="3519" t="s">
        <v>1815</v>
      </c>
      <c r="F601" s="3519" t="s">
        <v>1815</v>
      </c>
      <c r="G601" s="3519" t="s">
        <v>1888</v>
      </c>
      <c r="H601" s="3520" t="s">
        <v>3895</v>
      </c>
      <c r="I601" s="3503"/>
      <c r="J601" s="3521" t="s">
        <v>4353</v>
      </c>
    </row>
    <row r="602" spans="2:10" x14ac:dyDescent="0.25">
      <c r="B602" s="3518" t="s">
        <v>1815</v>
      </c>
      <c r="C602" s="3519" t="s">
        <v>1815</v>
      </c>
      <c r="D602" s="3519" t="s">
        <v>1815</v>
      </c>
      <c r="E602" s="3519" t="s">
        <v>1815</v>
      </c>
      <c r="F602" s="3519" t="s">
        <v>1889</v>
      </c>
      <c r="G602" s="3519" t="s">
        <v>1815</v>
      </c>
      <c r="H602" s="3520" t="s">
        <v>3844</v>
      </c>
      <c r="I602" s="3503"/>
      <c r="J602" s="3521" t="s">
        <v>3939</v>
      </c>
    </row>
    <row r="603" spans="2:10" x14ac:dyDescent="0.25">
      <c r="B603" s="3518" t="s">
        <v>1815</v>
      </c>
      <c r="C603" s="3519" t="s">
        <v>1815</v>
      </c>
      <c r="D603" s="3519" t="s">
        <v>1815</v>
      </c>
      <c r="E603" s="3519" t="s">
        <v>1815</v>
      </c>
      <c r="F603" s="3519" t="s">
        <v>1815</v>
      </c>
      <c r="G603" s="3519" t="s">
        <v>1890</v>
      </c>
      <c r="H603" s="3520" t="s">
        <v>3848</v>
      </c>
      <c r="I603" s="3503"/>
      <c r="J603" s="3521" t="s">
        <v>4354</v>
      </c>
    </row>
    <row r="604" spans="2:10" x14ac:dyDescent="0.25">
      <c r="B604" s="3518" t="s">
        <v>1815</v>
      </c>
      <c r="C604" s="3519" t="s">
        <v>1815</v>
      </c>
      <c r="D604" s="3519" t="s">
        <v>1815</v>
      </c>
      <c r="E604" s="3519" t="s">
        <v>1815</v>
      </c>
      <c r="F604" s="3519" t="s">
        <v>1815</v>
      </c>
      <c r="G604" s="3519" t="s">
        <v>1891</v>
      </c>
      <c r="H604" s="3520" t="s">
        <v>3850</v>
      </c>
      <c r="I604" s="3503"/>
      <c r="J604" s="3521" t="s">
        <v>4203</v>
      </c>
    </row>
    <row r="605" spans="2:10" x14ac:dyDescent="0.25">
      <c r="B605" s="3518" t="s">
        <v>1815</v>
      </c>
      <c r="C605" s="3519" t="s">
        <v>1815</v>
      </c>
      <c r="D605" s="3519" t="s">
        <v>1815</v>
      </c>
      <c r="E605" s="3519" t="s">
        <v>1815</v>
      </c>
      <c r="F605" s="3519" t="s">
        <v>1815</v>
      </c>
      <c r="G605" s="3519" t="s">
        <v>1892</v>
      </c>
      <c r="H605" s="3520" t="s">
        <v>3852</v>
      </c>
      <c r="I605" s="3503"/>
      <c r="J605" s="3521" t="s">
        <v>4313</v>
      </c>
    </row>
    <row r="606" spans="2:10" ht="30" x14ac:dyDescent="0.25">
      <c r="B606" s="3518" t="s">
        <v>1815</v>
      </c>
      <c r="C606" s="3519" t="s">
        <v>1815</v>
      </c>
      <c r="D606" s="3519" t="s">
        <v>1815</v>
      </c>
      <c r="E606" s="3519" t="s">
        <v>1815</v>
      </c>
      <c r="F606" s="3519" t="s">
        <v>1896</v>
      </c>
      <c r="G606" s="3519" t="s">
        <v>1815</v>
      </c>
      <c r="H606" s="3520" t="s">
        <v>3863</v>
      </c>
      <c r="I606" s="3503"/>
      <c r="J606" s="3521" t="s">
        <v>4355</v>
      </c>
    </row>
    <row r="607" spans="2:10" x14ac:dyDescent="0.25">
      <c r="B607" s="3518" t="s">
        <v>1815</v>
      </c>
      <c r="C607" s="3519" t="s">
        <v>1815</v>
      </c>
      <c r="D607" s="3519" t="s">
        <v>1815</v>
      </c>
      <c r="E607" s="3519" t="s">
        <v>1815</v>
      </c>
      <c r="F607" s="3519" t="s">
        <v>1815</v>
      </c>
      <c r="G607" s="3519" t="s">
        <v>1900</v>
      </c>
      <c r="H607" s="3520" t="s">
        <v>3865</v>
      </c>
      <c r="I607" s="3503"/>
      <c r="J607" s="3521" t="s">
        <v>4355</v>
      </c>
    </row>
    <row r="608" spans="2:10" x14ac:dyDescent="0.25">
      <c r="B608" s="3518" t="s">
        <v>1815</v>
      </c>
      <c r="C608" s="3519" t="s">
        <v>1815</v>
      </c>
      <c r="D608" s="3519" t="s">
        <v>1815</v>
      </c>
      <c r="E608" s="3519" t="s">
        <v>1815</v>
      </c>
      <c r="F608" s="3519" t="s">
        <v>1906</v>
      </c>
      <c r="G608" s="3519" t="s">
        <v>1815</v>
      </c>
      <c r="H608" s="3520" t="s">
        <v>3752</v>
      </c>
      <c r="I608" s="3503"/>
      <c r="J608" s="3521" t="s">
        <v>4356</v>
      </c>
    </row>
    <row r="609" spans="2:10" x14ac:dyDescent="0.25">
      <c r="B609" s="3518" t="s">
        <v>1815</v>
      </c>
      <c r="C609" s="3519" t="s">
        <v>1815</v>
      </c>
      <c r="D609" s="3519" t="s">
        <v>1815</v>
      </c>
      <c r="E609" s="3519" t="s">
        <v>1815</v>
      </c>
      <c r="F609" s="3519" t="s">
        <v>1815</v>
      </c>
      <c r="G609" s="3519" t="s">
        <v>1909</v>
      </c>
      <c r="H609" s="3520" t="s">
        <v>951</v>
      </c>
      <c r="I609" s="3503"/>
      <c r="J609" s="3521" t="s">
        <v>4356</v>
      </c>
    </row>
    <row r="610" spans="2:10" x14ac:dyDescent="0.25">
      <c r="B610" s="3518" t="s">
        <v>1815</v>
      </c>
      <c r="C610" s="3519" t="s">
        <v>1815</v>
      </c>
      <c r="D610" s="3519" t="s">
        <v>1815</v>
      </c>
      <c r="E610" s="3519" t="s">
        <v>1815</v>
      </c>
      <c r="F610" s="3519" t="s">
        <v>1968</v>
      </c>
      <c r="G610" s="3519" t="s">
        <v>1815</v>
      </c>
      <c r="H610" s="3520" t="s">
        <v>4243</v>
      </c>
      <c r="I610" s="3503"/>
      <c r="J610" s="3521" t="s">
        <v>4357</v>
      </c>
    </row>
    <row r="611" spans="2:10" x14ac:dyDescent="0.25">
      <c r="B611" s="3518" t="s">
        <v>1815</v>
      </c>
      <c r="C611" s="3519" t="s">
        <v>1815</v>
      </c>
      <c r="D611" s="3519" t="s">
        <v>1815</v>
      </c>
      <c r="E611" s="3519" t="s">
        <v>1815</v>
      </c>
      <c r="F611" s="3519" t="s">
        <v>1815</v>
      </c>
      <c r="G611" s="3519" t="s">
        <v>1969</v>
      </c>
      <c r="H611" s="3520" t="s">
        <v>4245</v>
      </c>
      <c r="I611" s="3503"/>
      <c r="J611" s="3521" t="s">
        <v>4357</v>
      </c>
    </row>
    <row r="612" spans="2:10" x14ac:dyDescent="0.25">
      <c r="B612" s="3518" t="s">
        <v>1815</v>
      </c>
      <c r="C612" s="3519" t="s">
        <v>1815</v>
      </c>
      <c r="D612" s="3519" t="s">
        <v>1815</v>
      </c>
      <c r="E612" s="3519" t="s">
        <v>1815</v>
      </c>
      <c r="F612" s="3519" t="s">
        <v>1912</v>
      </c>
      <c r="G612" s="3519" t="s">
        <v>1815</v>
      </c>
      <c r="H612" s="3520" t="s">
        <v>951</v>
      </c>
      <c r="I612" s="3503"/>
      <c r="J612" s="3521" t="s">
        <v>4358</v>
      </c>
    </row>
    <row r="613" spans="2:10" x14ac:dyDescent="0.25">
      <c r="B613" s="3518" t="s">
        <v>1815</v>
      </c>
      <c r="C613" s="3519" t="s">
        <v>1815</v>
      </c>
      <c r="D613" s="3519" t="s">
        <v>1815</v>
      </c>
      <c r="E613" s="3519" t="s">
        <v>1815</v>
      </c>
      <c r="F613" s="3519" t="s">
        <v>1815</v>
      </c>
      <c r="G613" s="3519" t="s">
        <v>1915</v>
      </c>
      <c r="H613" s="3520" t="s">
        <v>3755</v>
      </c>
      <c r="I613" s="3503"/>
      <c r="J613" s="3521" t="s">
        <v>4359</v>
      </c>
    </row>
    <row r="614" spans="2:10" x14ac:dyDescent="0.25">
      <c r="B614" s="3518" t="s">
        <v>1815</v>
      </c>
      <c r="C614" s="3519" t="s">
        <v>1815</v>
      </c>
      <c r="D614" s="3519" t="s">
        <v>1815</v>
      </c>
      <c r="E614" s="3519" t="s">
        <v>1815</v>
      </c>
      <c r="F614" s="3519" t="s">
        <v>1815</v>
      </c>
      <c r="G614" s="3519" t="s">
        <v>1916</v>
      </c>
      <c r="H614" s="3520" t="s">
        <v>3757</v>
      </c>
      <c r="I614" s="3503"/>
      <c r="J614" s="3521" t="s">
        <v>4360</v>
      </c>
    </row>
    <row r="615" spans="2:10" ht="45" x14ac:dyDescent="0.25">
      <c r="B615" s="3518" t="s">
        <v>1815</v>
      </c>
      <c r="C615" s="3519" t="s">
        <v>1815</v>
      </c>
      <c r="D615" s="3519" t="s">
        <v>1815</v>
      </c>
      <c r="E615" s="3519" t="s">
        <v>1815</v>
      </c>
      <c r="F615" s="3519" t="s">
        <v>1983</v>
      </c>
      <c r="G615" s="3519" t="s">
        <v>1815</v>
      </c>
      <c r="H615" s="3520" t="s">
        <v>4316</v>
      </c>
      <c r="I615" s="3503"/>
      <c r="J615" s="3521" t="s">
        <v>4361</v>
      </c>
    </row>
    <row r="616" spans="2:10" ht="60" x14ac:dyDescent="0.25">
      <c r="B616" s="3518" t="s">
        <v>1815</v>
      </c>
      <c r="C616" s="3519" t="s">
        <v>1815</v>
      </c>
      <c r="D616" s="3519" t="s">
        <v>1815</v>
      </c>
      <c r="E616" s="3519" t="s">
        <v>1815</v>
      </c>
      <c r="F616" s="3519" t="s">
        <v>1815</v>
      </c>
      <c r="G616" s="3519" t="s">
        <v>1984</v>
      </c>
      <c r="H616" s="3520" t="s">
        <v>4322</v>
      </c>
      <c r="I616" s="3503"/>
      <c r="J616" s="3521" t="s">
        <v>4361</v>
      </c>
    </row>
    <row r="617" spans="2:10" x14ac:dyDescent="0.25">
      <c r="B617" s="3518" t="s">
        <v>1815</v>
      </c>
      <c r="C617" s="3519" t="s">
        <v>1815</v>
      </c>
      <c r="D617" s="3519" t="s">
        <v>1815</v>
      </c>
      <c r="E617" s="3519" t="s">
        <v>1815</v>
      </c>
      <c r="F617" s="3519" t="s">
        <v>1917</v>
      </c>
      <c r="G617" s="3519" t="s">
        <v>1815</v>
      </c>
      <c r="H617" s="3520" t="s">
        <v>4259</v>
      </c>
      <c r="I617" s="3503"/>
      <c r="J617" s="3521" t="s">
        <v>4362</v>
      </c>
    </row>
    <row r="618" spans="2:10" x14ac:dyDescent="0.25">
      <c r="B618" s="3518" t="s">
        <v>1815</v>
      </c>
      <c r="C618" s="3519" t="s">
        <v>1815</v>
      </c>
      <c r="D618" s="3519" t="s">
        <v>1815</v>
      </c>
      <c r="E618" s="3519" t="s">
        <v>1815</v>
      </c>
      <c r="F618" s="3519" t="s">
        <v>1815</v>
      </c>
      <c r="G618" s="3519" t="s">
        <v>1918</v>
      </c>
      <c r="H618" s="3520" t="s">
        <v>4261</v>
      </c>
      <c r="I618" s="3503"/>
      <c r="J618" s="3521" t="s">
        <v>4362</v>
      </c>
    </row>
    <row r="619" spans="2:10" ht="45" x14ac:dyDescent="0.25">
      <c r="B619" s="3518" t="s">
        <v>1815</v>
      </c>
      <c r="C619" s="3519" t="s">
        <v>1815</v>
      </c>
      <c r="D619" s="3519" t="s">
        <v>1815</v>
      </c>
      <c r="E619" s="3519" t="s">
        <v>1993</v>
      </c>
      <c r="F619" s="3519" t="s">
        <v>1815</v>
      </c>
      <c r="G619" s="3519" t="s">
        <v>1815</v>
      </c>
      <c r="H619" s="3520" t="s">
        <v>4363</v>
      </c>
      <c r="I619" s="3503"/>
      <c r="J619" s="3521" t="s">
        <v>4364</v>
      </c>
    </row>
    <row r="620" spans="2:10" x14ac:dyDescent="0.25">
      <c r="B620" s="3518" t="s">
        <v>1815</v>
      </c>
      <c r="C620" s="3519" t="s">
        <v>1815</v>
      </c>
      <c r="D620" s="3519" t="s">
        <v>1815</v>
      </c>
      <c r="E620" s="3519" t="s">
        <v>1815</v>
      </c>
      <c r="F620" s="3519" t="s">
        <v>1862</v>
      </c>
      <c r="G620" s="3519" t="s">
        <v>1815</v>
      </c>
      <c r="H620" s="3520" t="s">
        <v>3801</v>
      </c>
      <c r="I620" s="3503"/>
      <c r="J620" s="3521" t="s">
        <v>4365</v>
      </c>
    </row>
    <row r="621" spans="2:10" x14ac:dyDescent="0.25">
      <c r="B621" s="3518" t="s">
        <v>1815</v>
      </c>
      <c r="C621" s="3519" t="s">
        <v>1815</v>
      </c>
      <c r="D621" s="3519" t="s">
        <v>1815</v>
      </c>
      <c r="E621" s="3519" t="s">
        <v>1815</v>
      </c>
      <c r="F621" s="3519" t="s">
        <v>1815</v>
      </c>
      <c r="G621" s="3519" t="s">
        <v>1863</v>
      </c>
      <c r="H621" s="3520" t="s">
        <v>3803</v>
      </c>
      <c r="I621" s="3503"/>
      <c r="J621" s="3521" t="s">
        <v>4365</v>
      </c>
    </row>
    <row r="622" spans="2:10" x14ac:dyDescent="0.25">
      <c r="B622" s="3518" t="s">
        <v>1815</v>
      </c>
      <c r="C622" s="3519" t="s">
        <v>1815</v>
      </c>
      <c r="D622" s="3519" t="s">
        <v>1815</v>
      </c>
      <c r="E622" s="3519" t="s">
        <v>1815</v>
      </c>
      <c r="F622" s="3519" t="s">
        <v>2057</v>
      </c>
      <c r="G622" s="3519" t="s">
        <v>1815</v>
      </c>
      <c r="H622" s="3520" t="s">
        <v>3738</v>
      </c>
      <c r="I622" s="3503"/>
      <c r="J622" s="3521" t="s">
        <v>4366</v>
      </c>
    </row>
    <row r="623" spans="2:10" x14ac:dyDescent="0.25">
      <c r="B623" s="3518" t="s">
        <v>1815</v>
      </c>
      <c r="C623" s="3519" t="s">
        <v>1815</v>
      </c>
      <c r="D623" s="3519" t="s">
        <v>1815</v>
      </c>
      <c r="E623" s="3519" t="s">
        <v>1815</v>
      </c>
      <c r="F623" s="3519" t="s">
        <v>1815</v>
      </c>
      <c r="G623" s="3519" t="s">
        <v>2058</v>
      </c>
      <c r="H623" s="3520" t="s">
        <v>3740</v>
      </c>
      <c r="I623" s="3503"/>
      <c r="J623" s="3521" t="s">
        <v>4366</v>
      </c>
    </row>
    <row r="624" spans="2:10" x14ac:dyDescent="0.25">
      <c r="B624" s="3518" t="s">
        <v>1815</v>
      </c>
      <c r="C624" s="3519" t="s">
        <v>1815</v>
      </c>
      <c r="D624" s="3519" t="s">
        <v>1815</v>
      </c>
      <c r="E624" s="3519" t="s">
        <v>1815</v>
      </c>
      <c r="F624" s="3519" t="s">
        <v>1874</v>
      </c>
      <c r="G624" s="3519" t="s">
        <v>1815</v>
      </c>
      <c r="H624" s="3520" t="s">
        <v>3743</v>
      </c>
      <c r="I624" s="3503"/>
      <c r="J624" s="3521" t="s">
        <v>4367</v>
      </c>
    </row>
    <row r="625" spans="2:10" x14ac:dyDescent="0.25">
      <c r="B625" s="3518" t="s">
        <v>1815</v>
      </c>
      <c r="C625" s="3519" t="s">
        <v>1815</v>
      </c>
      <c r="D625" s="3519" t="s">
        <v>1815</v>
      </c>
      <c r="E625" s="3519" t="s">
        <v>1815</v>
      </c>
      <c r="F625" s="3519" t="s">
        <v>1815</v>
      </c>
      <c r="G625" s="3519" t="s">
        <v>1875</v>
      </c>
      <c r="H625" s="3520" t="s">
        <v>3745</v>
      </c>
      <c r="I625" s="3503"/>
      <c r="J625" s="3521" t="s">
        <v>4368</v>
      </c>
    </row>
    <row r="626" spans="2:10" x14ac:dyDescent="0.25">
      <c r="B626" s="3518" t="s">
        <v>1815</v>
      </c>
      <c r="C626" s="3519" t="s">
        <v>1815</v>
      </c>
      <c r="D626" s="3519" t="s">
        <v>1815</v>
      </c>
      <c r="E626" s="3519" t="s">
        <v>1815</v>
      </c>
      <c r="F626" s="3519" t="s">
        <v>1815</v>
      </c>
      <c r="G626" s="3519" t="s">
        <v>1877</v>
      </c>
      <c r="H626" s="3520" t="s">
        <v>3747</v>
      </c>
      <c r="I626" s="3503"/>
      <c r="J626" s="3521" t="s">
        <v>4369</v>
      </c>
    </row>
    <row r="627" spans="2:10" x14ac:dyDescent="0.25">
      <c r="B627" s="3518" t="s">
        <v>1815</v>
      </c>
      <c r="C627" s="3519" t="s">
        <v>1815</v>
      </c>
      <c r="D627" s="3519" t="s">
        <v>1815</v>
      </c>
      <c r="E627" s="3519" t="s">
        <v>1815</v>
      </c>
      <c r="F627" s="3519" t="s">
        <v>1885</v>
      </c>
      <c r="G627" s="3519" t="s">
        <v>1815</v>
      </c>
      <c r="H627" s="3520" t="s">
        <v>3749</v>
      </c>
      <c r="I627" s="3503"/>
      <c r="J627" s="3521" t="s">
        <v>4370</v>
      </c>
    </row>
    <row r="628" spans="2:10" x14ac:dyDescent="0.25">
      <c r="B628" s="3518" t="s">
        <v>1815</v>
      </c>
      <c r="C628" s="3519" t="s">
        <v>1815</v>
      </c>
      <c r="D628" s="3519" t="s">
        <v>1815</v>
      </c>
      <c r="E628" s="3519" t="s">
        <v>1815</v>
      </c>
      <c r="F628" s="3519" t="s">
        <v>1815</v>
      </c>
      <c r="G628" s="3519" t="s">
        <v>1887</v>
      </c>
      <c r="H628" s="3520" t="s">
        <v>3751</v>
      </c>
      <c r="I628" s="3503"/>
      <c r="J628" s="3521" t="s">
        <v>4113</v>
      </c>
    </row>
    <row r="629" spans="2:10" x14ac:dyDescent="0.25">
      <c r="B629" s="3518" t="s">
        <v>1815</v>
      </c>
      <c r="C629" s="3519" t="s">
        <v>1815</v>
      </c>
      <c r="D629" s="3519" t="s">
        <v>1815</v>
      </c>
      <c r="E629" s="3519" t="s">
        <v>1815</v>
      </c>
      <c r="F629" s="3519" t="s">
        <v>1815</v>
      </c>
      <c r="G629" s="3519" t="s">
        <v>1888</v>
      </c>
      <c r="H629" s="3520" t="s">
        <v>3895</v>
      </c>
      <c r="I629" s="3503"/>
      <c r="J629" s="3521" t="s">
        <v>4371</v>
      </c>
    </row>
    <row r="630" spans="2:10" x14ac:dyDescent="0.25">
      <c r="B630" s="3518" t="s">
        <v>1815</v>
      </c>
      <c r="C630" s="3519" t="s">
        <v>1815</v>
      </c>
      <c r="D630" s="3519" t="s">
        <v>1815</v>
      </c>
      <c r="E630" s="3519" t="s">
        <v>1815</v>
      </c>
      <c r="F630" s="3519" t="s">
        <v>1912</v>
      </c>
      <c r="G630" s="3519" t="s">
        <v>1815</v>
      </c>
      <c r="H630" s="3520" t="s">
        <v>951</v>
      </c>
      <c r="I630" s="3503"/>
      <c r="J630" s="3521" t="s">
        <v>4372</v>
      </c>
    </row>
    <row r="631" spans="2:10" x14ac:dyDescent="0.25">
      <c r="B631" s="3518" t="s">
        <v>1815</v>
      </c>
      <c r="C631" s="3519" t="s">
        <v>1815</v>
      </c>
      <c r="D631" s="3519" t="s">
        <v>1815</v>
      </c>
      <c r="E631" s="3519" t="s">
        <v>1815</v>
      </c>
      <c r="F631" s="3519" t="s">
        <v>1815</v>
      </c>
      <c r="G631" s="3519" t="s">
        <v>1916</v>
      </c>
      <c r="H631" s="3520" t="s">
        <v>3757</v>
      </c>
      <c r="I631" s="3503"/>
      <c r="J631" s="3521" t="s">
        <v>4372</v>
      </c>
    </row>
    <row r="632" spans="2:10" x14ac:dyDescent="0.25">
      <c r="B632" s="3518" t="s">
        <v>1815</v>
      </c>
      <c r="C632" s="3519" t="s">
        <v>1815</v>
      </c>
      <c r="D632" s="3519" t="s">
        <v>1958</v>
      </c>
      <c r="E632" s="3519" t="s">
        <v>1815</v>
      </c>
      <c r="F632" s="3519" t="s">
        <v>1815</v>
      </c>
      <c r="G632" s="3519" t="s">
        <v>1815</v>
      </c>
      <c r="H632" s="3520" t="s">
        <v>4373</v>
      </c>
      <c r="I632" s="3503"/>
      <c r="J632" s="3521" t="s">
        <v>4374</v>
      </c>
    </row>
    <row r="633" spans="2:10" ht="30" x14ac:dyDescent="0.25">
      <c r="B633" s="3518" t="s">
        <v>1815</v>
      </c>
      <c r="C633" s="3519" t="s">
        <v>1815</v>
      </c>
      <c r="D633" s="3519" t="s">
        <v>1815</v>
      </c>
      <c r="E633" s="3519" t="s">
        <v>1997</v>
      </c>
      <c r="F633" s="3519" t="s">
        <v>1815</v>
      </c>
      <c r="G633" s="3519" t="s">
        <v>1815</v>
      </c>
      <c r="H633" s="3520" t="s">
        <v>4375</v>
      </c>
      <c r="I633" s="3503"/>
      <c r="J633" s="3521" t="s">
        <v>4376</v>
      </c>
    </row>
    <row r="634" spans="2:10" x14ac:dyDescent="0.25">
      <c r="B634" s="3518" t="s">
        <v>1815</v>
      </c>
      <c r="C634" s="3519" t="s">
        <v>1815</v>
      </c>
      <c r="D634" s="3519" t="s">
        <v>1815</v>
      </c>
      <c r="E634" s="3519" t="s">
        <v>1815</v>
      </c>
      <c r="F634" s="3519" t="s">
        <v>1834</v>
      </c>
      <c r="G634" s="3519" t="s">
        <v>1815</v>
      </c>
      <c r="H634" s="3520" t="s">
        <v>4251</v>
      </c>
      <c r="I634" s="3503"/>
      <c r="J634" s="3521" t="s">
        <v>4376</v>
      </c>
    </row>
    <row r="635" spans="2:10" x14ac:dyDescent="0.25">
      <c r="B635" s="3518" t="s">
        <v>1815</v>
      </c>
      <c r="C635" s="3519" t="s">
        <v>1815</v>
      </c>
      <c r="D635" s="3519" t="s">
        <v>1815</v>
      </c>
      <c r="E635" s="3519" t="s">
        <v>1815</v>
      </c>
      <c r="F635" s="3519" t="s">
        <v>1815</v>
      </c>
      <c r="G635" s="3519" t="s">
        <v>4377</v>
      </c>
      <c r="H635" s="3520" t="s">
        <v>4378</v>
      </c>
      <c r="I635" s="3503"/>
      <c r="J635" s="3521" t="s">
        <v>4379</v>
      </c>
    </row>
    <row r="636" spans="2:10" x14ac:dyDescent="0.25">
      <c r="B636" s="3518" t="s">
        <v>1815</v>
      </c>
      <c r="C636" s="3519" t="s">
        <v>1815</v>
      </c>
      <c r="D636" s="3519" t="s">
        <v>1815</v>
      </c>
      <c r="E636" s="3519" t="s">
        <v>1815</v>
      </c>
      <c r="F636" s="3519" t="s">
        <v>1815</v>
      </c>
      <c r="G636" s="3519" t="s">
        <v>1966</v>
      </c>
      <c r="H636" s="3520" t="s">
        <v>951</v>
      </c>
      <c r="I636" s="3503"/>
      <c r="J636" s="3521" t="s">
        <v>4027</v>
      </c>
    </row>
    <row r="637" spans="2:10" x14ac:dyDescent="0.25">
      <c r="B637" s="3518" t="s">
        <v>1815</v>
      </c>
      <c r="C637" s="3519" t="s">
        <v>1815</v>
      </c>
      <c r="D637" s="3519" t="s">
        <v>1815</v>
      </c>
      <c r="E637" s="3519" t="s">
        <v>2071</v>
      </c>
      <c r="F637" s="3519" t="s">
        <v>1815</v>
      </c>
      <c r="G637" s="3519" t="s">
        <v>1815</v>
      </c>
      <c r="H637" s="3520" t="s">
        <v>4380</v>
      </c>
      <c r="I637" s="3503"/>
      <c r="J637" s="3521" t="s">
        <v>4381</v>
      </c>
    </row>
    <row r="638" spans="2:10" x14ac:dyDescent="0.25">
      <c r="B638" s="3518" t="s">
        <v>1815</v>
      </c>
      <c r="C638" s="3519" t="s">
        <v>1815</v>
      </c>
      <c r="D638" s="3519" t="s">
        <v>1815</v>
      </c>
      <c r="E638" s="3519" t="s">
        <v>1815</v>
      </c>
      <c r="F638" s="3519" t="s">
        <v>1862</v>
      </c>
      <c r="G638" s="3519" t="s">
        <v>1815</v>
      </c>
      <c r="H638" s="3520" t="s">
        <v>3801</v>
      </c>
      <c r="I638" s="3503"/>
      <c r="J638" s="3521" t="s">
        <v>4382</v>
      </c>
    </row>
    <row r="639" spans="2:10" x14ac:dyDescent="0.25">
      <c r="B639" s="3518" t="s">
        <v>1815</v>
      </c>
      <c r="C639" s="3519" t="s">
        <v>1815</v>
      </c>
      <c r="D639" s="3519" t="s">
        <v>1815</v>
      </c>
      <c r="E639" s="3519" t="s">
        <v>1815</v>
      </c>
      <c r="F639" s="3519" t="s">
        <v>1815</v>
      </c>
      <c r="G639" s="3519" t="s">
        <v>1864</v>
      </c>
      <c r="H639" s="3520" t="s">
        <v>3805</v>
      </c>
      <c r="I639" s="3503"/>
      <c r="J639" s="3521" t="s">
        <v>4382</v>
      </c>
    </row>
    <row r="640" spans="2:10" x14ac:dyDescent="0.25">
      <c r="B640" s="3518" t="s">
        <v>1815</v>
      </c>
      <c r="C640" s="3519" t="s">
        <v>1815</v>
      </c>
      <c r="D640" s="3519" t="s">
        <v>1815</v>
      </c>
      <c r="E640" s="3519" t="s">
        <v>1815</v>
      </c>
      <c r="F640" s="3519" t="s">
        <v>1874</v>
      </c>
      <c r="G640" s="3519" t="s">
        <v>1815</v>
      </c>
      <c r="H640" s="3520" t="s">
        <v>3743</v>
      </c>
      <c r="I640" s="3503"/>
      <c r="J640" s="3521" t="s">
        <v>4383</v>
      </c>
    </row>
    <row r="641" spans="2:10" x14ac:dyDescent="0.25">
      <c r="B641" s="3518" t="s">
        <v>1815</v>
      </c>
      <c r="C641" s="3519" t="s">
        <v>1815</v>
      </c>
      <c r="D641" s="3519" t="s">
        <v>1815</v>
      </c>
      <c r="E641" s="3519" t="s">
        <v>1815</v>
      </c>
      <c r="F641" s="3519" t="s">
        <v>1815</v>
      </c>
      <c r="G641" s="3519" t="s">
        <v>1875</v>
      </c>
      <c r="H641" s="3520" t="s">
        <v>3745</v>
      </c>
      <c r="I641" s="3503"/>
      <c r="J641" s="3521" t="s">
        <v>4383</v>
      </c>
    </row>
    <row r="642" spans="2:10" x14ac:dyDescent="0.25">
      <c r="B642" s="3518" t="s">
        <v>1815</v>
      </c>
      <c r="C642" s="3519" t="s">
        <v>1815</v>
      </c>
      <c r="D642" s="3519" t="s">
        <v>1815</v>
      </c>
      <c r="E642" s="3519" t="s">
        <v>1815</v>
      </c>
      <c r="F642" s="3519" t="s">
        <v>1885</v>
      </c>
      <c r="G642" s="3519" t="s">
        <v>1815</v>
      </c>
      <c r="H642" s="3520" t="s">
        <v>3749</v>
      </c>
      <c r="I642" s="3503"/>
      <c r="J642" s="3521" t="s">
        <v>4384</v>
      </c>
    </row>
    <row r="643" spans="2:10" x14ac:dyDescent="0.25">
      <c r="B643" s="3518" t="s">
        <v>1815</v>
      </c>
      <c r="C643" s="3519" t="s">
        <v>1815</v>
      </c>
      <c r="D643" s="3519" t="s">
        <v>1815</v>
      </c>
      <c r="E643" s="3519" t="s">
        <v>1815</v>
      </c>
      <c r="F643" s="3519" t="s">
        <v>1815</v>
      </c>
      <c r="G643" s="3519" t="s">
        <v>1888</v>
      </c>
      <c r="H643" s="3520" t="s">
        <v>3895</v>
      </c>
      <c r="I643" s="3503"/>
      <c r="J643" s="3521" t="s">
        <v>4384</v>
      </c>
    </row>
    <row r="644" spans="2:10" x14ac:dyDescent="0.25">
      <c r="B644" s="3518" t="s">
        <v>1815</v>
      </c>
      <c r="C644" s="3519" t="s">
        <v>1815</v>
      </c>
      <c r="D644" s="3519" t="s">
        <v>1815</v>
      </c>
      <c r="E644" s="3519" t="s">
        <v>1815</v>
      </c>
      <c r="F644" s="3519" t="s">
        <v>1962</v>
      </c>
      <c r="G644" s="3519" t="s">
        <v>1815</v>
      </c>
      <c r="H644" s="3520" t="s">
        <v>4248</v>
      </c>
      <c r="I644" s="3503"/>
      <c r="J644" s="3521" t="s">
        <v>4385</v>
      </c>
    </row>
    <row r="645" spans="2:10" x14ac:dyDescent="0.25">
      <c r="B645" s="3518" t="s">
        <v>1815</v>
      </c>
      <c r="C645" s="3519" t="s">
        <v>1815</v>
      </c>
      <c r="D645" s="3519" t="s">
        <v>1815</v>
      </c>
      <c r="E645" s="3519" t="s">
        <v>1815</v>
      </c>
      <c r="F645" s="3519" t="s">
        <v>1815</v>
      </c>
      <c r="G645" s="3519" t="s">
        <v>2002</v>
      </c>
      <c r="H645" s="3520" t="s">
        <v>4386</v>
      </c>
      <c r="I645" s="3503"/>
      <c r="J645" s="3521" t="s">
        <v>4387</v>
      </c>
    </row>
    <row r="646" spans="2:10" ht="30" x14ac:dyDescent="0.25">
      <c r="B646" s="3518" t="s">
        <v>1815</v>
      </c>
      <c r="C646" s="3519" t="s">
        <v>1815</v>
      </c>
      <c r="D646" s="3519" t="s">
        <v>1815</v>
      </c>
      <c r="E646" s="3519" t="s">
        <v>1815</v>
      </c>
      <c r="F646" s="3519" t="s">
        <v>1815</v>
      </c>
      <c r="G646" s="3519" t="s">
        <v>2060</v>
      </c>
      <c r="H646" s="3520" t="s">
        <v>4250</v>
      </c>
      <c r="I646" s="3503"/>
      <c r="J646" s="3521" t="s">
        <v>4388</v>
      </c>
    </row>
    <row r="647" spans="2:10" x14ac:dyDescent="0.25">
      <c r="B647" s="3518" t="s">
        <v>1815</v>
      </c>
      <c r="C647" s="3519" t="s">
        <v>1815</v>
      </c>
      <c r="D647" s="3519" t="s">
        <v>1815</v>
      </c>
      <c r="E647" s="3519" t="s">
        <v>1815</v>
      </c>
      <c r="F647" s="3519" t="s">
        <v>1912</v>
      </c>
      <c r="G647" s="3519" t="s">
        <v>1815</v>
      </c>
      <c r="H647" s="3520" t="s">
        <v>951</v>
      </c>
      <c r="I647" s="3503"/>
      <c r="J647" s="3521" t="s">
        <v>4389</v>
      </c>
    </row>
    <row r="648" spans="2:10" x14ac:dyDescent="0.25">
      <c r="B648" s="3518" t="s">
        <v>1815</v>
      </c>
      <c r="C648" s="3519" t="s">
        <v>1815</v>
      </c>
      <c r="D648" s="3519" t="s">
        <v>1815</v>
      </c>
      <c r="E648" s="3519" t="s">
        <v>1815</v>
      </c>
      <c r="F648" s="3519" t="s">
        <v>1815</v>
      </c>
      <c r="G648" s="3519" t="s">
        <v>1916</v>
      </c>
      <c r="H648" s="3520" t="s">
        <v>3757</v>
      </c>
      <c r="I648" s="3503"/>
      <c r="J648" s="3521" t="s">
        <v>4389</v>
      </c>
    </row>
    <row r="649" spans="2:10" ht="30" x14ac:dyDescent="0.25">
      <c r="B649" s="3518" t="s">
        <v>1815</v>
      </c>
      <c r="C649" s="3519" t="s">
        <v>1815</v>
      </c>
      <c r="D649" s="3519" t="s">
        <v>1815</v>
      </c>
      <c r="E649" s="3519" t="s">
        <v>1959</v>
      </c>
      <c r="F649" s="3519" t="s">
        <v>1815</v>
      </c>
      <c r="G649" s="3519" t="s">
        <v>1815</v>
      </c>
      <c r="H649" s="3520" t="s">
        <v>4390</v>
      </c>
      <c r="I649" s="3503"/>
      <c r="J649" s="3521" t="s">
        <v>4391</v>
      </c>
    </row>
    <row r="650" spans="2:10" x14ac:dyDescent="0.25">
      <c r="B650" s="3518" t="s">
        <v>1815</v>
      </c>
      <c r="C650" s="3519" t="s">
        <v>1815</v>
      </c>
      <c r="D650" s="3519" t="s">
        <v>1815</v>
      </c>
      <c r="E650" s="3519" t="s">
        <v>1815</v>
      </c>
      <c r="F650" s="3519" t="s">
        <v>1874</v>
      </c>
      <c r="G650" s="3519" t="s">
        <v>1815</v>
      </c>
      <c r="H650" s="3520" t="s">
        <v>3743</v>
      </c>
      <c r="I650" s="3503"/>
      <c r="J650" s="3521" t="s">
        <v>4392</v>
      </c>
    </row>
    <row r="651" spans="2:10" x14ac:dyDescent="0.25">
      <c r="B651" s="3518" t="s">
        <v>1815</v>
      </c>
      <c r="C651" s="3519" t="s">
        <v>1815</v>
      </c>
      <c r="D651" s="3519" t="s">
        <v>1815</v>
      </c>
      <c r="E651" s="3519" t="s">
        <v>1815</v>
      </c>
      <c r="F651" s="3519" t="s">
        <v>1815</v>
      </c>
      <c r="G651" s="3519" t="s">
        <v>1876</v>
      </c>
      <c r="H651" s="3520" t="s">
        <v>3828</v>
      </c>
      <c r="I651" s="3503"/>
      <c r="J651" s="3521" t="s">
        <v>4393</v>
      </c>
    </row>
    <row r="652" spans="2:10" x14ac:dyDescent="0.25">
      <c r="B652" s="3518" t="s">
        <v>1815</v>
      </c>
      <c r="C652" s="3519" t="s">
        <v>1815</v>
      </c>
      <c r="D652" s="3519" t="s">
        <v>1815</v>
      </c>
      <c r="E652" s="3519" t="s">
        <v>1815</v>
      </c>
      <c r="F652" s="3519" t="s">
        <v>1815</v>
      </c>
      <c r="G652" s="3519" t="s">
        <v>1877</v>
      </c>
      <c r="H652" s="3520" t="s">
        <v>3747</v>
      </c>
      <c r="I652" s="3503"/>
      <c r="J652" s="3521" t="s">
        <v>4394</v>
      </c>
    </row>
    <row r="653" spans="2:10" x14ac:dyDescent="0.25">
      <c r="B653" s="3518" t="s">
        <v>1815</v>
      </c>
      <c r="C653" s="3519" t="s">
        <v>1815</v>
      </c>
      <c r="D653" s="3519" t="s">
        <v>1815</v>
      </c>
      <c r="E653" s="3519" t="s">
        <v>1815</v>
      </c>
      <c r="F653" s="3519" t="s">
        <v>1885</v>
      </c>
      <c r="G653" s="3519" t="s">
        <v>1815</v>
      </c>
      <c r="H653" s="3520" t="s">
        <v>3749</v>
      </c>
      <c r="I653" s="3503"/>
      <c r="J653" s="3521" t="s">
        <v>4395</v>
      </c>
    </row>
    <row r="654" spans="2:10" x14ac:dyDescent="0.25">
      <c r="B654" s="3518" t="s">
        <v>1815</v>
      </c>
      <c r="C654" s="3519" t="s">
        <v>1815</v>
      </c>
      <c r="D654" s="3519" t="s">
        <v>1815</v>
      </c>
      <c r="E654" s="3519" t="s">
        <v>1815</v>
      </c>
      <c r="F654" s="3519" t="s">
        <v>1815</v>
      </c>
      <c r="G654" s="3519" t="s">
        <v>1925</v>
      </c>
      <c r="H654" s="3520" t="s">
        <v>4050</v>
      </c>
      <c r="I654" s="3503"/>
      <c r="J654" s="3521" t="s">
        <v>4396</v>
      </c>
    </row>
    <row r="655" spans="2:10" x14ac:dyDescent="0.25">
      <c r="B655" s="3518" t="s">
        <v>1815</v>
      </c>
      <c r="C655" s="3519" t="s">
        <v>1815</v>
      </c>
      <c r="D655" s="3519" t="s">
        <v>1815</v>
      </c>
      <c r="E655" s="3519" t="s">
        <v>1815</v>
      </c>
      <c r="F655" s="3519" t="s">
        <v>1815</v>
      </c>
      <c r="G655" s="3519" t="s">
        <v>1886</v>
      </c>
      <c r="H655" s="3520" t="s">
        <v>4022</v>
      </c>
      <c r="I655" s="3503"/>
      <c r="J655" s="3521" t="s">
        <v>4397</v>
      </c>
    </row>
    <row r="656" spans="2:10" x14ac:dyDescent="0.25">
      <c r="B656" s="3518" t="s">
        <v>1815</v>
      </c>
      <c r="C656" s="3519" t="s">
        <v>1815</v>
      </c>
      <c r="D656" s="3519" t="s">
        <v>1815</v>
      </c>
      <c r="E656" s="3519" t="s">
        <v>1815</v>
      </c>
      <c r="F656" s="3519" t="s">
        <v>1815</v>
      </c>
      <c r="G656" s="3519" t="s">
        <v>1888</v>
      </c>
      <c r="H656" s="3520" t="s">
        <v>3895</v>
      </c>
      <c r="I656" s="3503"/>
      <c r="J656" s="3521" t="s">
        <v>4398</v>
      </c>
    </row>
    <row r="657" spans="2:10" x14ac:dyDescent="0.25">
      <c r="B657" s="3518" t="s">
        <v>1815</v>
      </c>
      <c r="C657" s="3519" t="s">
        <v>1815</v>
      </c>
      <c r="D657" s="3519" t="s">
        <v>1815</v>
      </c>
      <c r="E657" s="3519" t="s">
        <v>1815</v>
      </c>
      <c r="F657" s="3519" t="s">
        <v>1889</v>
      </c>
      <c r="G657" s="3519" t="s">
        <v>1815</v>
      </c>
      <c r="H657" s="3520" t="s">
        <v>3844</v>
      </c>
      <c r="I657" s="3503"/>
      <c r="J657" s="3521" t="s">
        <v>4399</v>
      </c>
    </row>
    <row r="658" spans="2:10" x14ac:dyDescent="0.25">
      <c r="B658" s="3518" t="s">
        <v>1815</v>
      </c>
      <c r="C658" s="3519" t="s">
        <v>1815</v>
      </c>
      <c r="D658" s="3519" t="s">
        <v>1815</v>
      </c>
      <c r="E658" s="3519" t="s">
        <v>1815</v>
      </c>
      <c r="F658" s="3519" t="s">
        <v>1815</v>
      </c>
      <c r="G658" s="3519" t="s">
        <v>1921</v>
      </c>
      <c r="H658" s="3520" t="s">
        <v>3846</v>
      </c>
      <c r="I658" s="3503"/>
      <c r="J658" s="3521" t="s">
        <v>4400</v>
      </c>
    </row>
    <row r="659" spans="2:10" x14ac:dyDescent="0.25">
      <c r="B659" s="3518" t="s">
        <v>1815</v>
      </c>
      <c r="C659" s="3519" t="s">
        <v>1815</v>
      </c>
      <c r="D659" s="3519" t="s">
        <v>1815</v>
      </c>
      <c r="E659" s="3519" t="s">
        <v>1815</v>
      </c>
      <c r="F659" s="3519" t="s">
        <v>1815</v>
      </c>
      <c r="G659" s="3519" t="s">
        <v>1890</v>
      </c>
      <c r="H659" s="3520" t="s">
        <v>3848</v>
      </c>
      <c r="I659" s="3503"/>
      <c r="J659" s="3521" t="s">
        <v>4401</v>
      </c>
    </row>
    <row r="660" spans="2:10" x14ac:dyDescent="0.25">
      <c r="B660" s="3518" t="s">
        <v>1815</v>
      </c>
      <c r="C660" s="3519" t="s">
        <v>1815</v>
      </c>
      <c r="D660" s="3519" t="s">
        <v>1815</v>
      </c>
      <c r="E660" s="3519" t="s">
        <v>1815</v>
      </c>
      <c r="F660" s="3519" t="s">
        <v>1903</v>
      </c>
      <c r="G660" s="3519" t="s">
        <v>1815</v>
      </c>
      <c r="H660" s="3520" t="s">
        <v>3873</v>
      </c>
      <c r="I660" s="3503"/>
      <c r="J660" s="3521" t="s">
        <v>4402</v>
      </c>
    </row>
    <row r="661" spans="2:10" x14ac:dyDescent="0.25">
      <c r="B661" s="3518" t="s">
        <v>1815</v>
      </c>
      <c r="C661" s="3519" t="s">
        <v>1815</v>
      </c>
      <c r="D661" s="3519" t="s">
        <v>1815</v>
      </c>
      <c r="E661" s="3519" t="s">
        <v>1815</v>
      </c>
      <c r="F661" s="3519" t="s">
        <v>1815</v>
      </c>
      <c r="G661" s="3519" t="s">
        <v>1905</v>
      </c>
      <c r="H661" s="3520" t="s">
        <v>3960</v>
      </c>
      <c r="I661" s="3503"/>
      <c r="J661" s="3521" t="s">
        <v>4402</v>
      </c>
    </row>
    <row r="662" spans="2:10" x14ac:dyDescent="0.25">
      <c r="B662" s="3518" t="s">
        <v>1815</v>
      </c>
      <c r="C662" s="3519" t="s">
        <v>1815</v>
      </c>
      <c r="D662" s="3519" t="s">
        <v>1815</v>
      </c>
      <c r="E662" s="3519" t="s">
        <v>1815</v>
      </c>
      <c r="F662" s="3519" t="s">
        <v>1906</v>
      </c>
      <c r="G662" s="3519" t="s">
        <v>1815</v>
      </c>
      <c r="H662" s="3520" t="s">
        <v>3752</v>
      </c>
      <c r="I662" s="3503"/>
      <c r="J662" s="3521" t="s">
        <v>4403</v>
      </c>
    </row>
    <row r="663" spans="2:10" x14ac:dyDescent="0.25">
      <c r="B663" s="3518" t="s">
        <v>1815</v>
      </c>
      <c r="C663" s="3519" t="s">
        <v>1815</v>
      </c>
      <c r="D663" s="3519" t="s">
        <v>1815</v>
      </c>
      <c r="E663" s="3519" t="s">
        <v>1815</v>
      </c>
      <c r="F663" s="3519" t="s">
        <v>1815</v>
      </c>
      <c r="G663" s="3519" t="s">
        <v>1907</v>
      </c>
      <c r="H663" s="3520" t="s">
        <v>3763</v>
      </c>
      <c r="I663" s="3503"/>
      <c r="J663" s="3521" t="s">
        <v>4404</v>
      </c>
    </row>
    <row r="664" spans="2:10" x14ac:dyDescent="0.25">
      <c r="B664" s="3518" t="s">
        <v>1815</v>
      </c>
      <c r="C664" s="3519" t="s">
        <v>1815</v>
      </c>
      <c r="D664" s="3519" t="s">
        <v>1815</v>
      </c>
      <c r="E664" s="3519" t="s">
        <v>1815</v>
      </c>
      <c r="F664" s="3519" t="s">
        <v>1815</v>
      </c>
      <c r="G664" s="3519" t="s">
        <v>1909</v>
      </c>
      <c r="H664" s="3520" t="s">
        <v>951</v>
      </c>
      <c r="I664" s="3503"/>
      <c r="J664" s="3521" t="s">
        <v>4405</v>
      </c>
    </row>
    <row r="665" spans="2:10" x14ac:dyDescent="0.25">
      <c r="B665" s="3518" t="s">
        <v>1815</v>
      </c>
      <c r="C665" s="3519" t="s">
        <v>1815</v>
      </c>
      <c r="D665" s="3519" t="s">
        <v>1815</v>
      </c>
      <c r="E665" s="3519" t="s">
        <v>1815</v>
      </c>
      <c r="F665" s="3519" t="s">
        <v>1923</v>
      </c>
      <c r="G665" s="3519" t="s">
        <v>1815</v>
      </c>
      <c r="H665" s="3520" t="s">
        <v>4246</v>
      </c>
      <c r="I665" s="3503"/>
      <c r="J665" s="3521" t="s">
        <v>4406</v>
      </c>
    </row>
    <row r="666" spans="2:10" x14ac:dyDescent="0.25">
      <c r="B666" s="3518" t="s">
        <v>1815</v>
      </c>
      <c r="C666" s="3519" t="s">
        <v>1815</v>
      </c>
      <c r="D666" s="3519" t="s">
        <v>1815</v>
      </c>
      <c r="E666" s="3519" t="s">
        <v>1815</v>
      </c>
      <c r="F666" s="3519" t="s">
        <v>1815</v>
      </c>
      <c r="G666" s="3519" t="s">
        <v>2007</v>
      </c>
      <c r="H666" s="3520" t="s">
        <v>951</v>
      </c>
      <c r="I666" s="3503"/>
      <c r="J666" s="3521" t="s">
        <v>4406</v>
      </c>
    </row>
    <row r="667" spans="2:10" x14ac:dyDescent="0.25">
      <c r="B667" s="3518" t="s">
        <v>1815</v>
      </c>
      <c r="C667" s="3519" t="s">
        <v>1815</v>
      </c>
      <c r="D667" s="3519" t="s">
        <v>1815</v>
      </c>
      <c r="E667" s="3519" t="s">
        <v>1815</v>
      </c>
      <c r="F667" s="3519" t="s">
        <v>1910</v>
      </c>
      <c r="G667" s="3519" t="s">
        <v>1815</v>
      </c>
      <c r="H667" s="3520" t="s">
        <v>4407</v>
      </c>
      <c r="I667" s="3503"/>
      <c r="J667" s="3521" t="s">
        <v>4408</v>
      </c>
    </row>
    <row r="668" spans="2:10" x14ac:dyDescent="0.25">
      <c r="B668" s="3518" t="s">
        <v>1815</v>
      </c>
      <c r="C668" s="3519" t="s">
        <v>1815</v>
      </c>
      <c r="D668" s="3519" t="s">
        <v>1815</v>
      </c>
      <c r="E668" s="3519" t="s">
        <v>1815</v>
      </c>
      <c r="F668" s="3519" t="s">
        <v>1815</v>
      </c>
      <c r="G668" s="3519" t="s">
        <v>4409</v>
      </c>
      <c r="H668" s="3520" t="s">
        <v>4410</v>
      </c>
      <c r="I668" s="3503"/>
      <c r="J668" s="3521" t="s">
        <v>4411</v>
      </c>
    </row>
    <row r="669" spans="2:10" x14ac:dyDescent="0.25">
      <c r="B669" s="3518" t="s">
        <v>1815</v>
      </c>
      <c r="C669" s="3519" t="s">
        <v>1815</v>
      </c>
      <c r="D669" s="3519" t="s">
        <v>1815</v>
      </c>
      <c r="E669" s="3519" t="s">
        <v>1815</v>
      </c>
      <c r="F669" s="3519" t="s">
        <v>1815</v>
      </c>
      <c r="G669" s="3519" t="s">
        <v>2066</v>
      </c>
      <c r="H669" s="3520" t="s">
        <v>4412</v>
      </c>
      <c r="I669" s="3503"/>
      <c r="J669" s="3521" t="s">
        <v>4379</v>
      </c>
    </row>
    <row r="670" spans="2:10" x14ac:dyDescent="0.25">
      <c r="B670" s="3518" t="s">
        <v>1815</v>
      </c>
      <c r="C670" s="3519" t="s">
        <v>1815</v>
      </c>
      <c r="D670" s="3519" t="s">
        <v>1815</v>
      </c>
      <c r="E670" s="3519" t="s">
        <v>1815</v>
      </c>
      <c r="F670" s="3519" t="s">
        <v>1815</v>
      </c>
      <c r="G670" s="3519" t="s">
        <v>1911</v>
      </c>
      <c r="H670" s="3520" t="s">
        <v>4413</v>
      </c>
      <c r="I670" s="3503"/>
      <c r="J670" s="3521" t="s">
        <v>4414</v>
      </c>
    </row>
    <row r="671" spans="2:10" x14ac:dyDescent="0.25">
      <c r="B671" s="3518" t="s">
        <v>1815</v>
      </c>
      <c r="C671" s="3519" t="s">
        <v>1815</v>
      </c>
      <c r="D671" s="3519" t="s">
        <v>1815</v>
      </c>
      <c r="E671" s="3519" t="s">
        <v>1815</v>
      </c>
      <c r="F671" s="3519" t="s">
        <v>1815</v>
      </c>
      <c r="G671" s="3519" t="s">
        <v>1961</v>
      </c>
      <c r="H671" s="3520" t="s">
        <v>951</v>
      </c>
      <c r="I671" s="3503"/>
      <c r="J671" s="3521" t="s">
        <v>3800</v>
      </c>
    </row>
    <row r="672" spans="2:10" ht="28.5" customHeight="1" x14ac:dyDescent="0.25">
      <c r="B672" s="3518" t="s">
        <v>1815</v>
      </c>
      <c r="C672" s="3519" t="s">
        <v>1815</v>
      </c>
      <c r="D672" s="3519" t="s">
        <v>1815</v>
      </c>
      <c r="E672" s="3519" t="s">
        <v>1815</v>
      </c>
      <c r="F672" s="3519" t="s">
        <v>1834</v>
      </c>
      <c r="G672" s="3519" t="s">
        <v>1815</v>
      </c>
      <c r="H672" s="3520" t="s">
        <v>4251</v>
      </c>
      <c r="I672" s="3503"/>
      <c r="J672" s="3521" t="s">
        <v>4415</v>
      </c>
    </row>
    <row r="673" spans="2:10" ht="28.5" customHeight="1" x14ac:dyDescent="0.25">
      <c r="B673" s="3518" t="s">
        <v>1815</v>
      </c>
      <c r="C673" s="3519" t="s">
        <v>1815</v>
      </c>
      <c r="D673" s="3519" t="s">
        <v>1815</v>
      </c>
      <c r="E673" s="3519" t="s">
        <v>1815</v>
      </c>
      <c r="F673" s="3519" t="s">
        <v>1815</v>
      </c>
      <c r="G673" s="3519" t="s">
        <v>1964</v>
      </c>
      <c r="H673" s="3520" t="s">
        <v>4416</v>
      </c>
      <c r="I673" s="3503"/>
      <c r="J673" s="3521" t="s">
        <v>4417</v>
      </c>
    </row>
    <row r="674" spans="2:10" ht="15.75" customHeight="1" x14ac:dyDescent="0.25">
      <c r="B674" s="3518" t="s">
        <v>1815</v>
      </c>
      <c r="C674" s="3519" t="s">
        <v>1815</v>
      </c>
      <c r="D674" s="3519" t="s">
        <v>1815</v>
      </c>
      <c r="E674" s="3519" t="s">
        <v>1815</v>
      </c>
      <c r="F674" s="3519" t="s">
        <v>1815</v>
      </c>
      <c r="G674" s="3519" t="s">
        <v>4377</v>
      </c>
      <c r="H674" s="3520" t="s">
        <v>4378</v>
      </c>
      <c r="I674" s="3503"/>
      <c r="J674" s="3521" t="s">
        <v>4418</v>
      </c>
    </row>
    <row r="675" spans="2:10" ht="30" x14ac:dyDescent="0.25">
      <c r="B675" s="3518" t="s">
        <v>1815</v>
      </c>
      <c r="C675" s="3519" t="s">
        <v>1815</v>
      </c>
      <c r="D675" s="3519" t="s">
        <v>1815</v>
      </c>
      <c r="E675" s="3519" t="s">
        <v>1815</v>
      </c>
      <c r="F675" s="3519" t="s">
        <v>1815</v>
      </c>
      <c r="G675" s="3519" t="s">
        <v>1835</v>
      </c>
      <c r="H675" s="3520" t="s">
        <v>4419</v>
      </c>
      <c r="I675" s="3503"/>
      <c r="J675" s="3521" t="s">
        <v>4420</v>
      </c>
    </row>
    <row r="676" spans="2:10" ht="30" x14ac:dyDescent="0.25">
      <c r="B676" s="3518" t="s">
        <v>1815</v>
      </c>
      <c r="C676" s="3519" t="s">
        <v>1815</v>
      </c>
      <c r="D676" s="3519" t="s">
        <v>1815</v>
      </c>
      <c r="E676" s="3519" t="s">
        <v>1815</v>
      </c>
      <c r="F676" s="3519" t="s">
        <v>1815</v>
      </c>
      <c r="G676" s="3519" t="s">
        <v>1965</v>
      </c>
      <c r="H676" s="3520" t="s">
        <v>4253</v>
      </c>
      <c r="I676" s="3503"/>
      <c r="J676" s="3521" t="s">
        <v>4008</v>
      </c>
    </row>
    <row r="677" spans="2:10" ht="20.25" customHeight="1" x14ac:dyDescent="0.25">
      <c r="B677" s="3518" t="s">
        <v>1815</v>
      </c>
      <c r="C677" s="3519" t="s">
        <v>1815</v>
      </c>
      <c r="D677" s="3519" t="s">
        <v>1815</v>
      </c>
      <c r="E677" s="3519" t="s">
        <v>1815</v>
      </c>
      <c r="F677" s="3519" t="s">
        <v>1815</v>
      </c>
      <c r="G677" s="3519" t="s">
        <v>1966</v>
      </c>
      <c r="H677" s="3520" t="s">
        <v>951</v>
      </c>
      <c r="I677" s="3503"/>
      <c r="J677" s="3521" t="s">
        <v>4421</v>
      </c>
    </row>
    <row r="678" spans="2:10" ht="20.25" customHeight="1" x14ac:dyDescent="0.25">
      <c r="B678" s="3518" t="s">
        <v>1815</v>
      </c>
      <c r="C678" s="3519" t="s">
        <v>1815</v>
      </c>
      <c r="D678" s="3519" t="s">
        <v>2011</v>
      </c>
      <c r="E678" s="3519" t="s">
        <v>1815</v>
      </c>
      <c r="F678" s="3519" t="s">
        <v>1815</v>
      </c>
      <c r="G678" s="3519" t="s">
        <v>1815</v>
      </c>
      <c r="H678" s="3520" t="s">
        <v>4422</v>
      </c>
      <c r="I678" s="3503"/>
      <c r="J678" s="3521" t="s">
        <v>4803</v>
      </c>
    </row>
    <row r="679" spans="2:10" ht="20.25" customHeight="1" x14ac:dyDescent="0.25">
      <c r="B679" s="3518" t="s">
        <v>1815</v>
      </c>
      <c r="C679" s="3519" t="s">
        <v>1815</v>
      </c>
      <c r="D679" s="3519" t="s">
        <v>1815</v>
      </c>
      <c r="E679" s="3519" t="s">
        <v>2016</v>
      </c>
      <c r="F679" s="3519" t="s">
        <v>1815</v>
      </c>
      <c r="G679" s="3519" t="s">
        <v>1815</v>
      </c>
      <c r="H679" s="3520" t="s">
        <v>4424</v>
      </c>
      <c r="I679" s="3503"/>
      <c r="J679" s="3521" t="s">
        <v>4423</v>
      </c>
    </row>
    <row r="680" spans="2:10" ht="20.25" customHeight="1" x14ac:dyDescent="0.25">
      <c r="B680" s="3518" t="s">
        <v>1815</v>
      </c>
      <c r="C680" s="3519" t="s">
        <v>1815</v>
      </c>
      <c r="D680" s="3519" t="s">
        <v>1815</v>
      </c>
      <c r="E680" s="3519" t="s">
        <v>1815</v>
      </c>
      <c r="F680" s="3519" t="s">
        <v>2017</v>
      </c>
      <c r="G680" s="3519" t="s">
        <v>1815</v>
      </c>
      <c r="H680" s="3520" t="s">
        <v>4425</v>
      </c>
      <c r="I680" s="3503"/>
      <c r="J680" s="3521" t="s">
        <v>4423</v>
      </c>
    </row>
    <row r="681" spans="2:10" ht="30" x14ac:dyDescent="0.25">
      <c r="B681" s="3518" t="s">
        <v>1815</v>
      </c>
      <c r="C681" s="3519" t="s">
        <v>1815</v>
      </c>
      <c r="D681" s="3519" t="s">
        <v>1815</v>
      </c>
      <c r="E681" s="3519" t="s">
        <v>1815</v>
      </c>
      <c r="F681" s="3519" t="s">
        <v>1815</v>
      </c>
      <c r="G681" s="3519" t="s">
        <v>2018</v>
      </c>
      <c r="H681" s="3520" t="s">
        <v>4426</v>
      </c>
      <c r="I681" s="3503"/>
      <c r="J681" s="3521" t="s">
        <v>4423</v>
      </c>
    </row>
    <row r="682" spans="2:10" ht="18.75" customHeight="1" x14ac:dyDescent="0.25">
      <c r="B682" s="3518" t="s">
        <v>1815</v>
      </c>
      <c r="C682" s="3519" t="s">
        <v>1815</v>
      </c>
      <c r="D682" s="3519" t="s">
        <v>1815</v>
      </c>
      <c r="E682" s="3519" t="s">
        <v>2019</v>
      </c>
      <c r="F682" s="3519" t="s">
        <v>1815</v>
      </c>
      <c r="G682" s="3519" t="s">
        <v>1815</v>
      </c>
      <c r="H682" s="3520" t="s">
        <v>4804</v>
      </c>
      <c r="I682" s="3503"/>
      <c r="J682" s="3521" t="s">
        <v>4805</v>
      </c>
    </row>
    <row r="683" spans="2:10" ht="30" x14ac:dyDescent="0.25">
      <c r="B683" s="3518" t="s">
        <v>1815</v>
      </c>
      <c r="C683" s="3519" t="s">
        <v>1815</v>
      </c>
      <c r="D683" s="3519" t="s">
        <v>1815</v>
      </c>
      <c r="E683" s="3519" t="s">
        <v>1815</v>
      </c>
      <c r="F683" s="3519" t="s">
        <v>2020</v>
      </c>
      <c r="G683" s="3519" t="s">
        <v>1815</v>
      </c>
      <c r="H683" s="3520" t="s">
        <v>4806</v>
      </c>
      <c r="I683" s="3503"/>
      <c r="J683" s="3521" t="s">
        <v>4805</v>
      </c>
    </row>
    <row r="684" spans="2:10" ht="45" x14ac:dyDescent="0.25">
      <c r="B684" s="3518" t="s">
        <v>1815</v>
      </c>
      <c r="C684" s="3519" t="s">
        <v>1815</v>
      </c>
      <c r="D684" s="3519" t="s">
        <v>1815</v>
      </c>
      <c r="E684" s="3519" t="s">
        <v>1815</v>
      </c>
      <c r="F684" s="3519" t="s">
        <v>1815</v>
      </c>
      <c r="G684" s="3519" t="s">
        <v>2021</v>
      </c>
      <c r="H684" s="3520" t="s">
        <v>4807</v>
      </c>
      <c r="I684" s="3503"/>
      <c r="J684" s="3521" t="s">
        <v>4808</v>
      </c>
    </row>
    <row r="685" spans="2:10" ht="60" x14ac:dyDescent="0.25">
      <c r="B685" s="3518" t="s">
        <v>1815</v>
      </c>
      <c r="C685" s="3519" t="s">
        <v>1815</v>
      </c>
      <c r="D685" s="3519" t="s">
        <v>1815</v>
      </c>
      <c r="E685" s="3519" t="s">
        <v>1815</v>
      </c>
      <c r="F685" s="3519" t="s">
        <v>1815</v>
      </c>
      <c r="G685" s="3519" t="s">
        <v>2022</v>
      </c>
      <c r="H685" s="3520" t="s">
        <v>156</v>
      </c>
      <c r="I685" s="3503"/>
      <c r="J685" s="3521" t="s">
        <v>4809</v>
      </c>
    </row>
    <row r="686" spans="2:10" ht="75" x14ac:dyDescent="0.25">
      <c r="B686" s="3518" t="s">
        <v>1815</v>
      </c>
      <c r="C686" s="3519" t="s">
        <v>1815</v>
      </c>
      <c r="D686" s="3519" t="s">
        <v>1815</v>
      </c>
      <c r="E686" s="3519" t="s">
        <v>1815</v>
      </c>
      <c r="F686" s="3519" t="s">
        <v>1815</v>
      </c>
      <c r="G686" s="3519" t="s">
        <v>2023</v>
      </c>
      <c r="H686" s="3520" t="s">
        <v>2787</v>
      </c>
      <c r="I686" s="3503"/>
      <c r="J686" s="3521" t="s">
        <v>4810</v>
      </c>
    </row>
    <row r="687" spans="2:10" ht="36" customHeight="1" x14ac:dyDescent="0.25">
      <c r="B687" s="3518" t="s">
        <v>1815</v>
      </c>
      <c r="C687" s="3519" t="s">
        <v>1815</v>
      </c>
      <c r="D687" s="3519" t="s">
        <v>1815</v>
      </c>
      <c r="E687" s="3519" t="s">
        <v>1815</v>
      </c>
      <c r="F687" s="3519" t="s">
        <v>1815</v>
      </c>
      <c r="G687" s="3519" t="s">
        <v>2075</v>
      </c>
      <c r="H687" s="3520" t="s">
        <v>4811</v>
      </c>
      <c r="I687" s="3503"/>
      <c r="J687" s="3521" t="s">
        <v>4812</v>
      </c>
    </row>
    <row r="688" spans="2:10" ht="28.5" customHeight="1" x14ac:dyDescent="0.25">
      <c r="B688" s="3523" t="s">
        <v>1815</v>
      </c>
      <c r="C688" s="3524" t="s">
        <v>1815</v>
      </c>
      <c r="D688" s="3524" t="s">
        <v>1815</v>
      </c>
      <c r="E688" s="3524" t="s">
        <v>1815</v>
      </c>
      <c r="F688" s="3524" t="s">
        <v>1815</v>
      </c>
      <c r="G688" s="3524" t="s">
        <v>2076</v>
      </c>
      <c r="H688" s="3525" t="s">
        <v>2789</v>
      </c>
      <c r="I688" s="3863"/>
      <c r="J688" s="3522" t="s">
        <v>4813</v>
      </c>
    </row>
    <row r="689" spans="1:13" ht="3" customHeight="1" x14ac:dyDescent="0.25"/>
    <row r="690" spans="1:13" s="3852" customFormat="1" ht="16.5" hidden="1" x14ac:dyDescent="0.25">
      <c r="A690" s="3851" t="s">
        <v>4796</v>
      </c>
      <c r="B690" s="4491" t="s">
        <v>4797</v>
      </c>
      <c r="C690" s="4491"/>
      <c r="D690" s="4491"/>
      <c r="E690" s="4491"/>
      <c r="F690" s="4491"/>
      <c r="G690" s="3851"/>
      <c r="H690" s="4491" t="s">
        <v>4814</v>
      </c>
      <c r="I690" s="4491"/>
      <c r="J690" s="4491"/>
      <c r="K690" s="3864"/>
      <c r="L690" s="3864"/>
      <c r="M690" s="3864"/>
    </row>
    <row r="691" spans="1:13" s="3855" customFormat="1" ht="16.5" hidden="1" x14ac:dyDescent="0.25">
      <c r="A691" s="4482" t="s">
        <v>4799</v>
      </c>
      <c r="B691" s="4482"/>
      <c r="C691" s="4482"/>
      <c r="D691" s="4482"/>
      <c r="E691" s="4482"/>
      <c r="F691" s="4482"/>
      <c r="G691" s="3854"/>
      <c r="H691" s="4490" t="s">
        <v>3573</v>
      </c>
      <c r="I691" s="4490"/>
      <c r="J691" s="4490"/>
      <c r="K691" s="3865"/>
      <c r="L691" s="3865"/>
      <c r="M691" s="3866"/>
    </row>
    <row r="692" spans="1:13" s="3855" customFormat="1" ht="16.5" hidden="1" x14ac:dyDescent="0.25">
      <c r="A692" s="4481" t="s">
        <v>867</v>
      </c>
      <c r="B692" s="4481"/>
      <c r="C692" s="4481"/>
      <c r="D692" s="4481"/>
      <c r="E692" s="4481"/>
      <c r="F692" s="4481"/>
      <c r="G692" s="3856"/>
      <c r="H692" s="4482" t="s">
        <v>807</v>
      </c>
      <c r="I692" s="4482"/>
      <c r="J692" s="4482"/>
      <c r="K692" s="3866"/>
      <c r="L692" s="3866"/>
      <c r="M692" s="3866"/>
    </row>
    <row r="693" spans="1:13" ht="16.5" hidden="1" x14ac:dyDescent="0.25">
      <c r="A693" s="3857"/>
      <c r="B693" s="3857"/>
      <c r="C693" s="3857"/>
      <c r="D693" s="3857"/>
      <c r="E693" s="3857"/>
      <c r="F693" s="3857"/>
      <c r="G693" s="3857"/>
      <c r="H693" s="3857"/>
      <c r="I693" s="3857"/>
      <c r="J693" s="3857"/>
    </row>
    <row r="694" spans="1:13" ht="16.5" hidden="1" x14ac:dyDescent="0.25">
      <c r="A694" s="3857"/>
      <c r="B694" s="3857"/>
      <c r="C694" s="3857"/>
      <c r="D694" s="3857"/>
      <c r="E694" s="3857"/>
      <c r="F694" s="3857"/>
      <c r="G694" s="3857"/>
      <c r="H694" s="3857"/>
      <c r="I694" s="3857"/>
      <c r="J694" s="3857"/>
    </row>
    <row r="695" spans="1:13" ht="16.5" hidden="1" x14ac:dyDescent="0.25">
      <c r="A695" s="3857"/>
      <c r="B695" s="3857"/>
      <c r="C695" s="3857"/>
      <c r="D695" s="3857"/>
      <c r="E695" s="3857"/>
      <c r="F695" s="3857"/>
      <c r="G695" s="3857"/>
      <c r="H695" s="3857"/>
      <c r="I695" s="3857"/>
      <c r="J695" s="3857"/>
    </row>
    <row r="696" spans="1:13" ht="16.5" hidden="1" x14ac:dyDescent="0.25">
      <c r="A696" s="3857"/>
      <c r="B696" s="3857"/>
      <c r="C696" s="3857"/>
      <c r="D696" s="3857"/>
      <c r="E696" s="3857"/>
      <c r="F696" s="3857"/>
      <c r="G696" s="3857"/>
      <c r="H696" s="3857"/>
      <c r="I696" s="3857"/>
      <c r="J696" s="3857"/>
    </row>
    <row r="697" spans="1:13" ht="16.5" hidden="1" x14ac:dyDescent="0.25">
      <c r="A697" s="3857"/>
      <c r="B697" s="3857"/>
      <c r="C697" s="3857"/>
      <c r="D697" s="3857"/>
      <c r="E697" s="3857"/>
      <c r="F697" s="3857"/>
      <c r="G697" s="3857"/>
      <c r="H697" s="3857"/>
      <c r="I697" s="3857"/>
      <c r="J697" s="3857"/>
    </row>
    <row r="698" spans="1:13" ht="16.5" hidden="1" x14ac:dyDescent="0.25">
      <c r="A698" s="3857"/>
      <c r="B698" s="3857"/>
      <c r="C698" s="3857"/>
      <c r="D698" s="3857"/>
      <c r="E698" s="3857"/>
      <c r="F698" s="3857"/>
      <c r="G698" s="3857"/>
      <c r="H698" s="4455" t="s">
        <v>3574</v>
      </c>
      <c r="I698" s="4455"/>
      <c r="J698" s="4455"/>
    </row>
    <row r="2642" ht="15" customHeight="1" x14ac:dyDescent="0.25"/>
    <row r="2803" ht="19.5" customHeight="1" x14ac:dyDescent="0.25"/>
    <row r="2804" ht="19.5" customHeight="1" x14ac:dyDescent="0.25"/>
    <row r="2805" ht="19.5" customHeight="1" x14ac:dyDescent="0.25"/>
    <row r="2806" ht="19.5" customHeight="1" x14ac:dyDescent="0.25"/>
    <row r="2807" ht="19.5" customHeight="1" x14ac:dyDescent="0.25"/>
    <row r="2808" ht="19.5" customHeight="1" x14ac:dyDescent="0.25"/>
    <row r="2809" ht="19.5" customHeight="1" x14ac:dyDescent="0.25"/>
    <row r="2810" ht="19.5" customHeight="1" x14ac:dyDescent="0.25"/>
    <row r="2811" ht="19.5" customHeight="1" x14ac:dyDescent="0.25"/>
    <row r="2812" ht="19.5" customHeight="1" x14ac:dyDescent="0.25"/>
    <row r="2813" ht="19.5" customHeight="1" x14ac:dyDescent="0.25"/>
    <row r="2814" ht="19.5" customHeight="1" x14ac:dyDescent="0.25"/>
    <row r="2815" ht="19.5" customHeight="1" x14ac:dyDescent="0.25"/>
    <row r="2816" ht="19.5" customHeight="1" x14ac:dyDescent="0.25"/>
    <row r="2817" ht="19.5" customHeight="1" x14ac:dyDescent="0.25"/>
    <row r="2818" ht="19.5" customHeight="1" x14ac:dyDescent="0.25"/>
    <row r="2819" ht="19.5" customHeight="1" x14ac:dyDescent="0.25"/>
    <row r="2820" ht="19.5" customHeight="1" x14ac:dyDescent="0.25"/>
    <row r="2821" ht="19.5" customHeight="1" x14ac:dyDescent="0.25"/>
    <row r="2823" ht="16.5" customHeight="1" x14ac:dyDescent="0.25"/>
    <row r="2824" ht="23.25" customHeight="1" x14ac:dyDescent="0.25"/>
    <row r="2825" ht="22.5" customHeight="1" x14ac:dyDescent="0.25"/>
    <row r="2826" ht="22.5" customHeight="1" x14ac:dyDescent="0.25"/>
    <row r="2828" ht="15" customHeight="1" x14ac:dyDescent="0.25"/>
    <row r="2835" ht="18.75" customHeight="1" x14ac:dyDescent="0.25"/>
    <row r="2836" ht="18.75" customHeight="1" x14ac:dyDescent="0.25"/>
  </sheetData>
  <mergeCells count="13">
    <mergeCell ref="B3:J3"/>
    <mergeCell ref="B9:H9"/>
    <mergeCell ref="B1:E2"/>
    <mergeCell ref="H2:J2"/>
    <mergeCell ref="H698:J698"/>
    <mergeCell ref="A5:J5"/>
    <mergeCell ref="A4:J4"/>
    <mergeCell ref="B690:F690"/>
    <mergeCell ref="H690:J690"/>
    <mergeCell ref="A691:F691"/>
    <mergeCell ref="H691:J691"/>
    <mergeCell ref="A692:F692"/>
    <mergeCell ref="H692:J692"/>
  </mergeCells>
  <pageMargins left="0.48" right="0.45" top="0.27" bottom="0.53" header="0.46" footer="0.3"/>
  <pageSetup paperSize="9" scale="83" orientation="portrait" useFirstPageNumber="1"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407"/>
  <sheetViews>
    <sheetView zoomScale="90" zoomScaleNormal="90" workbookViewId="0">
      <selection activeCell="A397" sqref="A397:XFD409"/>
    </sheetView>
  </sheetViews>
  <sheetFormatPr defaultRowHeight="16.5" x14ac:dyDescent="0.25"/>
  <cols>
    <col min="1" max="1" width="5.28515625" style="1976" customWidth="1"/>
    <col min="2" max="2" width="5.5703125" style="1976" customWidth="1"/>
    <col min="3" max="3" width="7.140625" style="1976" customWidth="1"/>
    <col min="4" max="4" width="7.42578125" style="1976" customWidth="1"/>
    <col min="5" max="5" width="45" style="1976" customWidth="1"/>
    <col min="6" max="6" width="18.140625" style="2004" customWidth="1"/>
    <col min="7" max="7" width="15.7109375" style="2004" customWidth="1"/>
    <col min="8" max="8" width="15" style="1976" customWidth="1"/>
    <col min="9" max="9" width="16.42578125" style="2004" customWidth="1"/>
    <col min="10" max="10" width="14.85546875" style="1976" customWidth="1"/>
    <col min="11" max="11" width="13.85546875" style="1976" hidden="1" customWidth="1"/>
    <col min="12" max="14" width="26.7109375" style="1976" hidden="1" customWidth="1"/>
    <col min="15" max="255" width="8.85546875" style="1976"/>
    <col min="256" max="259" width="8.28515625" style="1976" customWidth="1"/>
    <col min="260" max="260" width="24.7109375" style="1976" customWidth="1"/>
    <col min="261" max="264" width="16.42578125" style="1976" customWidth="1"/>
    <col min="265" max="265" width="16.7109375" style="1976" customWidth="1"/>
    <col min="266" max="266" width="13.85546875" style="1976" bestFit="1" customWidth="1"/>
    <col min="267" max="267" width="26.7109375" style="1976" customWidth="1"/>
    <col min="268" max="511" width="8.85546875" style="1976"/>
    <col min="512" max="515" width="8.28515625" style="1976" customWidth="1"/>
    <col min="516" max="516" width="24.7109375" style="1976" customWidth="1"/>
    <col min="517" max="520" width="16.42578125" style="1976" customWidth="1"/>
    <col min="521" max="521" width="16.7109375" style="1976" customWidth="1"/>
    <col min="522" max="522" width="13.85546875" style="1976" bestFit="1" customWidth="1"/>
    <col min="523" max="523" width="26.7109375" style="1976" customWidth="1"/>
    <col min="524" max="767" width="8.85546875" style="1976"/>
    <col min="768" max="771" width="8.28515625" style="1976" customWidth="1"/>
    <col min="772" max="772" width="24.7109375" style="1976" customWidth="1"/>
    <col min="773" max="776" width="16.42578125" style="1976" customWidth="1"/>
    <col min="777" max="777" width="16.7109375" style="1976" customWidth="1"/>
    <col min="778" max="778" width="13.85546875" style="1976" bestFit="1" customWidth="1"/>
    <col min="779" max="779" width="26.7109375" style="1976" customWidth="1"/>
    <col min="780" max="1023" width="8.85546875" style="1976"/>
    <col min="1024" max="1027" width="8.28515625" style="1976" customWidth="1"/>
    <col min="1028" max="1028" width="24.7109375" style="1976" customWidth="1"/>
    <col min="1029" max="1032" width="16.42578125" style="1976" customWidth="1"/>
    <col min="1033" max="1033" width="16.7109375" style="1976" customWidth="1"/>
    <col min="1034" max="1034" width="13.85546875" style="1976" bestFit="1" customWidth="1"/>
    <col min="1035" max="1035" width="26.7109375" style="1976" customWidth="1"/>
    <col min="1036" max="1279" width="8.85546875" style="1976"/>
    <col min="1280" max="1283" width="8.28515625" style="1976" customWidth="1"/>
    <col min="1284" max="1284" width="24.7109375" style="1976" customWidth="1"/>
    <col min="1285" max="1288" width="16.42578125" style="1976" customWidth="1"/>
    <col min="1289" max="1289" width="16.7109375" style="1976" customWidth="1"/>
    <col min="1290" max="1290" width="13.85546875" style="1976" bestFit="1" customWidth="1"/>
    <col min="1291" max="1291" width="26.7109375" style="1976" customWidth="1"/>
    <col min="1292" max="1535" width="8.85546875" style="1976"/>
    <col min="1536" max="1539" width="8.28515625" style="1976" customWidth="1"/>
    <col min="1540" max="1540" width="24.7109375" style="1976" customWidth="1"/>
    <col min="1541" max="1544" width="16.42578125" style="1976" customWidth="1"/>
    <col min="1545" max="1545" width="16.7109375" style="1976" customWidth="1"/>
    <col min="1546" max="1546" width="13.85546875" style="1976" bestFit="1" customWidth="1"/>
    <col min="1547" max="1547" width="26.7109375" style="1976" customWidth="1"/>
    <col min="1548" max="1791" width="8.85546875" style="1976"/>
    <col min="1792" max="1795" width="8.28515625" style="1976" customWidth="1"/>
    <col min="1796" max="1796" width="24.7109375" style="1976" customWidth="1"/>
    <col min="1797" max="1800" width="16.42578125" style="1976" customWidth="1"/>
    <col min="1801" max="1801" width="16.7109375" style="1976" customWidth="1"/>
    <col min="1802" max="1802" width="13.85546875" style="1976" bestFit="1" customWidth="1"/>
    <col min="1803" max="1803" width="26.7109375" style="1976" customWidth="1"/>
    <col min="1804" max="2047" width="8.85546875" style="1976"/>
    <col min="2048" max="2051" width="8.28515625" style="1976" customWidth="1"/>
    <col min="2052" max="2052" width="24.7109375" style="1976" customWidth="1"/>
    <col min="2053" max="2056" width="16.42578125" style="1976" customWidth="1"/>
    <col min="2057" max="2057" width="16.7109375" style="1976" customWidth="1"/>
    <col min="2058" max="2058" width="13.85546875" style="1976" bestFit="1" customWidth="1"/>
    <col min="2059" max="2059" width="26.7109375" style="1976" customWidth="1"/>
    <col min="2060" max="2303" width="8.85546875" style="1976"/>
    <col min="2304" max="2307" width="8.28515625" style="1976" customWidth="1"/>
    <col min="2308" max="2308" width="24.7109375" style="1976" customWidth="1"/>
    <col min="2309" max="2312" width="16.42578125" style="1976" customWidth="1"/>
    <col min="2313" max="2313" width="16.7109375" style="1976" customWidth="1"/>
    <col min="2314" max="2314" width="13.85546875" style="1976" bestFit="1" customWidth="1"/>
    <col min="2315" max="2315" width="26.7109375" style="1976" customWidth="1"/>
    <col min="2316" max="2559" width="8.85546875" style="1976"/>
    <col min="2560" max="2563" width="8.28515625" style="1976" customWidth="1"/>
    <col min="2564" max="2564" width="24.7109375" style="1976" customWidth="1"/>
    <col min="2565" max="2568" width="16.42578125" style="1976" customWidth="1"/>
    <col min="2569" max="2569" width="16.7109375" style="1976" customWidth="1"/>
    <col min="2570" max="2570" width="13.85546875" style="1976" bestFit="1" customWidth="1"/>
    <col min="2571" max="2571" width="26.7109375" style="1976" customWidth="1"/>
    <col min="2572" max="2815" width="8.85546875" style="1976"/>
    <col min="2816" max="2819" width="8.28515625" style="1976" customWidth="1"/>
    <col min="2820" max="2820" width="24.7109375" style="1976" customWidth="1"/>
    <col min="2821" max="2824" width="16.42578125" style="1976" customWidth="1"/>
    <col min="2825" max="2825" width="16.7109375" style="1976" customWidth="1"/>
    <col min="2826" max="2826" width="13.85546875" style="1976" bestFit="1" customWidth="1"/>
    <col min="2827" max="2827" width="26.7109375" style="1976" customWidth="1"/>
    <col min="2828" max="3071" width="8.85546875" style="1976"/>
    <col min="3072" max="3075" width="8.28515625" style="1976" customWidth="1"/>
    <col min="3076" max="3076" width="24.7109375" style="1976" customWidth="1"/>
    <col min="3077" max="3080" width="16.42578125" style="1976" customWidth="1"/>
    <col min="3081" max="3081" width="16.7109375" style="1976" customWidth="1"/>
    <col min="3082" max="3082" width="13.85546875" style="1976" bestFit="1" customWidth="1"/>
    <col min="3083" max="3083" width="26.7109375" style="1976" customWidth="1"/>
    <col min="3084" max="3327" width="8.85546875" style="1976"/>
    <col min="3328" max="3331" width="8.28515625" style="1976" customWidth="1"/>
    <col min="3332" max="3332" width="24.7109375" style="1976" customWidth="1"/>
    <col min="3333" max="3336" width="16.42578125" style="1976" customWidth="1"/>
    <col min="3337" max="3337" width="16.7109375" style="1976" customWidth="1"/>
    <col min="3338" max="3338" width="13.85546875" style="1976" bestFit="1" customWidth="1"/>
    <col min="3339" max="3339" width="26.7109375" style="1976" customWidth="1"/>
    <col min="3340" max="3583" width="8.85546875" style="1976"/>
    <col min="3584" max="3587" width="8.28515625" style="1976" customWidth="1"/>
    <col min="3588" max="3588" width="24.7109375" style="1976" customWidth="1"/>
    <col min="3589" max="3592" width="16.42578125" style="1976" customWidth="1"/>
    <col min="3593" max="3593" width="16.7109375" style="1976" customWidth="1"/>
    <col min="3594" max="3594" width="13.85546875" style="1976" bestFit="1" customWidth="1"/>
    <col min="3595" max="3595" width="26.7109375" style="1976" customWidth="1"/>
    <col min="3596" max="3839" width="8.85546875" style="1976"/>
    <col min="3840" max="3843" width="8.28515625" style="1976" customWidth="1"/>
    <col min="3844" max="3844" width="24.7109375" style="1976" customWidth="1"/>
    <col min="3845" max="3848" width="16.42578125" style="1976" customWidth="1"/>
    <col min="3849" max="3849" width="16.7109375" style="1976" customWidth="1"/>
    <col min="3850" max="3850" width="13.85546875" style="1976" bestFit="1" customWidth="1"/>
    <col min="3851" max="3851" width="26.7109375" style="1976" customWidth="1"/>
    <col min="3852" max="4095" width="8.85546875" style="1976"/>
    <col min="4096" max="4099" width="8.28515625" style="1976" customWidth="1"/>
    <col min="4100" max="4100" width="24.7109375" style="1976" customWidth="1"/>
    <col min="4101" max="4104" width="16.42578125" style="1976" customWidth="1"/>
    <col min="4105" max="4105" width="16.7109375" style="1976" customWidth="1"/>
    <col min="4106" max="4106" width="13.85546875" style="1976" bestFit="1" customWidth="1"/>
    <col min="4107" max="4107" width="26.7109375" style="1976" customWidth="1"/>
    <col min="4108" max="4351" width="8.85546875" style="1976"/>
    <col min="4352" max="4355" width="8.28515625" style="1976" customWidth="1"/>
    <col min="4356" max="4356" width="24.7109375" style="1976" customWidth="1"/>
    <col min="4357" max="4360" width="16.42578125" style="1976" customWidth="1"/>
    <col min="4361" max="4361" width="16.7109375" style="1976" customWidth="1"/>
    <col min="4362" max="4362" width="13.85546875" style="1976" bestFit="1" customWidth="1"/>
    <col min="4363" max="4363" width="26.7109375" style="1976" customWidth="1"/>
    <col min="4364" max="4607" width="8.85546875" style="1976"/>
    <col min="4608" max="4611" width="8.28515625" style="1976" customWidth="1"/>
    <col min="4612" max="4612" width="24.7109375" style="1976" customWidth="1"/>
    <col min="4613" max="4616" width="16.42578125" style="1976" customWidth="1"/>
    <col min="4617" max="4617" width="16.7109375" style="1976" customWidth="1"/>
    <col min="4618" max="4618" width="13.85546875" style="1976" bestFit="1" customWidth="1"/>
    <col min="4619" max="4619" width="26.7109375" style="1976" customWidth="1"/>
    <col min="4620" max="4863" width="8.85546875" style="1976"/>
    <col min="4864" max="4867" width="8.28515625" style="1976" customWidth="1"/>
    <col min="4868" max="4868" width="24.7109375" style="1976" customWidth="1"/>
    <col min="4869" max="4872" width="16.42578125" style="1976" customWidth="1"/>
    <col min="4873" max="4873" width="16.7109375" style="1976" customWidth="1"/>
    <col min="4874" max="4874" width="13.85546875" style="1976" bestFit="1" customWidth="1"/>
    <col min="4875" max="4875" width="26.7109375" style="1976" customWidth="1"/>
    <col min="4876" max="5119" width="8.85546875" style="1976"/>
    <col min="5120" max="5123" width="8.28515625" style="1976" customWidth="1"/>
    <col min="5124" max="5124" width="24.7109375" style="1976" customWidth="1"/>
    <col min="5125" max="5128" width="16.42578125" style="1976" customWidth="1"/>
    <col min="5129" max="5129" width="16.7109375" style="1976" customWidth="1"/>
    <col min="5130" max="5130" width="13.85546875" style="1976" bestFit="1" customWidth="1"/>
    <col min="5131" max="5131" width="26.7109375" style="1976" customWidth="1"/>
    <col min="5132" max="5375" width="8.85546875" style="1976"/>
    <col min="5376" max="5379" width="8.28515625" style="1976" customWidth="1"/>
    <col min="5380" max="5380" width="24.7109375" style="1976" customWidth="1"/>
    <col min="5381" max="5384" width="16.42578125" style="1976" customWidth="1"/>
    <col min="5385" max="5385" width="16.7109375" style="1976" customWidth="1"/>
    <col min="5386" max="5386" width="13.85546875" style="1976" bestFit="1" customWidth="1"/>
    <col min="5387" max="5387" width="26.7109375" style="1976" customWidth="1"/>
    <col min="5388" max="5631" width="8.85546875" style="1976"/>
    <col min="5632" max="5635" width="8.28515625" style="1976" customWidth="1"/>
    <col min="5636" max="5636" width="24.7109375" style="1976" customWidth="1"/>
    <col min="5637" max="5640" width="16.42578125" style="1976" customWidth="1"/>
    <col min="5641" max="5641" width="16.7109375" style="1976" customWidth="1"/>
    <col min="5642" max="5642" width="13.85546875" style="1976" bestFit="1" customWidth="1"/>
    <col min="5643" max="5643" width="26.7109375" style="1976" customWidth="1"/>
    <col min="5644" max="5887" width="8.85546875" style="1976"/>
    <col min="5888" max="5891" width="8.28515625" style="1976" customWidth="1"/>
    <col min="5892" max="5892" width="24.7109375" style="1976" customWidth="1"/>
    <col min="5893" max="5896" width="16.42578125" style="1976" customWidth="1"/>
    <col min="5897" max="5897" width="16.7109375" style="1976" customWidth="1"/>
    <col min="5898" max="5898" width="13.85546875" style="1976" bestFit="1" customWidth="1"/>
    <col min="5899" max="5899" width="26.7109375" style="1976" customWidth="1"/>
    <col min="5900" max="6143" width="8.85546875" style="1976"/>
    <col min="6144" max="6147" width="8.28515625" style="1976" customWidth="1"/>
    <col min="6148" max="6148" width="24.7109375" style="1976" customWidth="1"/>
    <col min="6149" max="6152" width="16.42578125" style="1976" customWidth="1"/>
    <col min="6153" max="6153" width="16.7109375" style="1976" customWidth="1"/>
    <col min="6154" max="6154" width="13.85546875" style="1976" bestFit="1" customWidth="1"/>
    <col min="6155" max="6155" width="26.7109375" style="1976" customWidth="1"/>
    <col min="6156" max="6399" width="8.85546875" style="1976"/>
    <col min="6400" max="6403" width="8.28515625" style="1976" customWidth="1"/>
    <col min="6404" max="6404" width="24.7109375" style="1976" customWidth="1"/>
    <col min="6405" max="6408" width="16.42578125" style="1976" customWidth="1"/>
    <col min="6409" max="6409" width="16.7109375" style="1976" customWidth="1"/>
    <col min="6410" max="6410" width="13.85546875" style="1976" bestFit="1" customWidth="1"/>
    <col min="6411" max="6411" width="26.7109375" style="1976" customWidth="1"/>
    <col min="6412" max="6655" width="8.85546875" style="1976"/>
    <col min="6656" max="6659" width="8.28515625" style="1976" customWidth="1"/>
    <col min="6660" max="6660" width="24.7109375" style="1976" customWidth="1"/>
    <col min="6661" max="6664" width="16.42578125" style="1976" customWidth="1"/>
    <col min="6665" max="6665" width="16.7109375" style="1976" customWidth="1"/>
    <col min="6666" max="6666" width="13.85546875" style="1976" bestFit="1" customWidth="1"/>
    <col min="6667" max="6667" width="26.7109375" style="1976" customWidth="1"/>
    <col min="6668" max="6911" width="8.85546875" style="1976"/>
    <col min="6912" max="6915" width="8.28515625" style="1976" customWidth="1"/>
    <col min="6916" max="6916" width="24.7109375" style="1976" customWidth="1"/>
    <col min="6917" max="6920" width="16.42578125" style="1976" customWidth="1"/>
    <col min="6921" max="6921" width="16.7109375" style="1976" customWidth="1"/>
    <col min="6922" max="6922" width="13.85546875" style="1976" bestFit="1" customWidth="1"/>
    <col min="6923" max="6923" width="26.7109375" style="1976" customWidth="1"/>
    <col min="6924" max="7167" width="8.85546875" style="1976"/>
    <col min="7168" max="7171" width="8.28515625" style="1976" customWidth="1"/>
    <col min="7172" max="7172" width="24.7109375" style="1976" customWidth="1"/>
    <col min="7173" max="7176" width="16.42578125" style="1976" customWidth="1"/>
    <col min="7177" max="7177" width="16.7109375" style="1976" customWidth="1"/>
    <col min="7178" max="7178" width="13.85546875" style="1976" bestFit="1" customWidth="1"/>
    <col min="7179" max="7179" width="26.7109375" style="1976" customWidth="1"/>
    <col min="7180" max="7423" width="8.85546875" style="1976"/>
    <col min="7424" max="7427" width="8.28515625" style="1976" customWidth="1"/>
    <col min="7428" max="7428" width="24.7109375" style="1976" customWidth="1"/>
    <col min="7429" max="7432" width="16.42578125" style="1976" customWidth="1"/>
    <col min="7433" max="7433" width="16.7109375" style="1976" customWidth="1"/>
    <col min="7434" max="7434" width="13.85546875" style="1976" bestFit="1" customWidth="1"/>
    <col min="7435" max="7435" width="26.7109375" style="1976" customWidth="1"/>
    <col min="7436" max="7679" width="8.85546875" style="1976"/>
    <col min="7680" max="7683" width="8.28515625" style="1976" customWidth="1"/>
    <col min="7684" max="7684" width="24.7109375" style="1976" customWidth="1"/>
    <col min="7685" max="7688" width="16.42578125" style="1976" customWidth="1"/>
    <col min="7689" max="7689" width="16.7109375" style="1976" customWidth="1"/>
    <col min="7690" max="7690" width="13.85546875" style="1976" bestFit="1" customWidth="1"/>
    <col min="7691" max="7691" width="26.7109375" style="1976" customWidth="1"/>
    <col min="7692" max="7935" width="8.85546875" style="1976"/>
    <col min="7936" max="7939" width="8.28515625" style="1976" customWidth="1"/>
    <col min="7940" max="7940" width="24.7109375" style="1976" customWidth="1"/>
    <col min="7941" max="7944" width="16.42578125" style="1976" customWidth="1"/>
    <col min="7945" max="7945" width="16.7109375" style="1976" customWidth="1"/>
    <col min="7946" max="7946" width="13.85546875" style="1976" bestFit="1" customWidth="1"/>
    <col min="7947" max="7947" width="26.7109375" style="1976" customWidth="1"/>
    <col min="7948" max="8191" width="8.85546875" style="1976"/>
    <col min="8192" max="8195" width="8.28515625" style="1976" customWidth="1"/>
    <col min="8196" max="8196" width="24.7109375" style="1976" customWidth="1"/>
    <col min="8197" max="8200" width="16.42578125" style="1976" customWidth="1"/>
    <col min="8201" max="8201" width="16.7109375" style="1976" customWidth="1"/>
    <col min="8202" max="8202" width="13.85546875" style="1976" bestFit="1" customWidth="1"/>
    <col min="8203" max="8203" width="26.7109375" style="1976" customWidth="1"/>
    <col min="8204" max="8447" width="8.85546875" style="1976"/>
    <col min="8448" max="8451" width="8.28515625" style="1976" customWidth="1"/>
    <col min="8452" max="8452" width="24.7109375" style="1976" customWidth="1"/>
    <col min="8453" max="8456" width="16.42578125" style="1976" customWidth="1"/>
    <col min="8457" max="8457" width="16.7109375" style="1976" customWidth="1"/>
    <col min="8458" max="8458" width="13.85546875" style="1976" bestFit="1" customWidth="1"/>
    <col min="8459" max="8459" width="26.7109375" style="1976" customWidth="1"/>
    <col min="8460" max="8703" width="8.85546875" style="1976"/>
    <col min="8704" max="8707" width="8.28515625" style="1976" customWidth="1"/>
    <col min="8708" max="8708" width="24.7109375" style="1976" customWidth="1"/>
    <col min="8709" max="8712" width="16.42578125" style="1976" customWidth="1"/>
    <col min="8713" max="8713" width="16.7109375" style="1976" customWidth="1"/>
    <col min="8714" max="8714" width="13.85546875" style="1976" bestFit="1" customWidth="1"/>
    <col min="8715" max="8715" width="26.7109375" style="1976" customWidth="1"/>
    <col min="8716" max="8959" width="8.85546875" style="1976"/>
    <col min="8960" max="8963" width="8.28515625" style="1976" customWidth="1"/>
    <col min="8964" max="8964" width="24.7109375" style="1976" customWidth="1"/>
    <col min="8965" max="8968" width="16.42578125" style="1976" customWidth="1"/>
    <col min="8969" max="8969" width="16.7109375" style="1976" customWidth="1"/>
    <col min="8970" max="8970" width="13.85546875" style="1976" bestFit="1" customWidth="1"/>
    <col min="8971" max="8971" width="26.7109375" style="1976" customWidth="1"/>
    <col min="8972" max="9215" width="8.85546875" style="1976"/>
    <col min="9216" max="9219" width="8.28515625" style="1976" customWidth="1"/>
    <col min="9220" max="9220" width="24.7109375" style="1976" customWidth="1"/>
    <col min="9221" max="9224" width="16.42578125" style="1976" customWidth="1"/>
    <col min="9225" max="9225" width="16.7109375" style="1976" customWidth="1"/>
    <col min="9226" max="9226" width="13.85546875" style="1976" bestFit="1" customWidth="1"/>
    <col min="9227" max="9227" width="26.7109375" style="1976" customWidth="1"/>
    <col min="9228" max="9471" width="8.85546875" style="1976"/>
    <col min="9472" max="9475" width="8.28515625" style="1976" customWidth="1"/>
    <col min="9476" max="9476" width="24.7109375" style="1976" customWidth="1"/>
    <col min="9477" max="9480" width="16.42578125" style="1976" customWidth="1"/>
    <col min="9481" max="9481" width="16.7109375" style="1976" customWidth="1"/>
    <col min="9482" max="9482" width="13.85546875" style="1976" bestFit="1" customWidth="1"/>
    <col min="9483" max="9483" width="26.7109375" style="1976" customWidth="1"/>
    <col min="9484" max="9727" width="8.85546875" style="1976"/>
    <col min="9728" max="9731" width="8.28515625" style="1976" customWidth="1"/>
    <col min="9732" max="9732" width="24.7109375" style="1976" customWidth="1"/>
    <col min="9733" max="9736" width="16.42578125" style="1976" customWidth="1"/>
    <col min="9737" max="9737" width="16.7109375" style="1976" customWidth="1"/>
    <col min="9738" max="9738" width="13.85546875" style="1976" bestFit="1" customWidth="1"/>
    <col min="9739" max="9739" width="26.7109375" style="1976" customWidth="1"/>
    <col min="9740" max="9983" width="8.85546875" style="1976"/>
    <col min="9984" max="9987" width="8.28515625" style="1976" customWidth="1"/>
    <col min="9988" max="9988" width="24.7109375" style="1976" customWidth="1"/>
    <col min="9989" max="9992" width="16.42578125" style="1976" customWidth="1"/>
    <col min="9993" max="9993" width="16.7109375" style="1976" customWidth="1"/>
    <col min="9994" max="9994" width="13.85546875" style="1976" bestFit="1" customWidth="1"/>
    <col min="9995" max="9995" width="26.7109375" style="1976" customWidth="1"/>
    <col min="9996" max="10239" width="8.85546875" style="1976"/>
    <col min="10240" max="10243" width="8.28515625" style="1976" customWidth="1"/>
    <col min="10244" max="10244" width="24.7109375" style="1976" customWidth="1"/>
    <col min="10245" max="10248" width="16.42578125" style="1976" customWidth="1"/>
    <col min="10249" max="10249" width="16.7109375" style="1976" customWidth="1"/>
    <col min="10250" max="10250" width="13.85546875" style="1976" bestFit="1" customWidth="1"/>
    <col min="10251" max="10251" width="26.7109375" style="1976" customWidth="1"/>
    <col min="10252" max="10495" width="8.85546875" style="1976"/>
    <col min="10496" max="10499" width="8.28515625" style="1976" customWidth="1"/>
    <col min="10500" max="10500" width="24.7109375" style="1976" customWidth="1"/>
    <col min="10501" max="10504" width="16.42578125" style="1976" customWidth="1"/>
    <col min="10505" max="10505" width="16.7109375" style="1976" customWidth="1"/>
    <col min="10506" max="10506" width="13.85546875" style="1976" bestFit="1" customWidth="1"/>
    <col min="10507" max="10507" width="26.7109375" style="1976" customWidth="1"/>
    <col min="10508" max="10751" width="8.85546875" style="1976"/>
    <col min="10752" max="10755" width="8.28515625" style="1976" customWidth="1"/>
    <col min="10756" max="10756" width="24.7109375" style="1976" customWidth="1"/>
    <col min="10757" max="10760" width="16.42578125" style="1976" customWidth="1"/>
    <col min="10761" max="10761" width="16.7109375" style="1976" customWidth="1"/>
    <col min="10762" max="10762" width="13.85546875" style="1976" bestFit="1" customWidth="1"/>
    <col min="10763" max="10763" width="26.7109375" style="1976" customWidth="1"/>
    <col min="10764" max="11007" width="8.85546875" style="1976"/>
    <col min="11008" max="11011" width="8.28515625" style="1976" customWidth="1"/>
    <col min="11012" max="11012" width="24.7109375" style="1976" customWidth="1"/>
    <col min="11013" max="11016" width="16.42578125" style="1976" customWidth="1"/>
    <col min="11017" max="11017" width="16.7109375" style="1976" customWidth="1"/>
    <col min="11018" max="11018" width="13.85546875" style="1976" bestFit="1" customWidth="1"/>
    <col min="11019" max="11019" width="26.7109375" style="1976" customWidth="1"/>
    <col min="11020" max="11263" width="8.85546875" style="1976"/>
    <col min="11264" max="11267" width="8.28515625" style="1976" customWidth="1"/>
    <col min="11268" max="11268" width="24.7109375" style="1976" customWidth="1"/>
    <col min="11269" max="11272" width="16.42578125" style="1976" customWidth="1"/>
    <col min="11273" max="11273" width="16.7109375" style="1976" customWidth="1"/>
    <col min="11274" max="11274" width="13.85546875" style="1976" bestFit="1" customWidth="1"/>
    <col min="11275" max="11275" width="26.7109375" style="1976" customWidth="1"/>
    <col min="11276" max="11519" width="8.85546875" style="1976"/>
    <col min="11520" max="11523" width="8.28515625" style="1976" customWidth="1"/>
    <col min="11524" max="11524" width="24.7109375" style="1976" customWidth="1"/>
    <col min="11525" max="11528" width="16.42578125" style="1976" customWidth="1"/>
    <col min="11529" max="11529" width="16.7109375" style="1976" customWidth="1"/>
    <col min="11530" max="11530" width="13.85546875" style="1976" bestFit="1" customWidth="1"/>
    <col min="11531" max="11531" width="26.7109375" style="1976" customWidth="1"/>
    <col min="11532" max="11775" width="8.85546875" style="1976"/>
    <col min="11776" max="11779" width="8.28515625" style="1976" customWidth="1"/>
    <col min="11780" max="11780" width="24.7109375" style="1976" customWidth="1"/>
    <col min="11781" max="11784" width="16.42578125" style="1976" customWidth="1"/>
    <col min="11785" max="11785" width="16.7109375" style="1976" customWidth="1"/>
    <col min="11786" max="11786" width="13.85546875" style="1976" bestFit="1" customWidth="1"/>
    <col min="11787" max="11787" width="26.7109375" style="1976" customWidth="1"/>
    <col min="11788" max="12031" width="8.85546875" style="1976"/>
    <col min="12032" max="12035" width="8.28515625" style="1976" customWidth="1"/>
    <col min="12036" max="12036" width="24.7109375" style="1976" customWidth="1"/>
    <col min="12037" max="12040" width="16.42578125" style="1976" customWidth="1"/>
    <col min="12041" max="12041" width="16.7109375" style="1976" customWidth="1"/>
    <col min="12042" max="12042" width="13.85546875" style="1976" bestFit="1" customWidth="1"/>
    <col min="12043" max="12043" width="26.7109375" style="1976" customWidth="1"/>
    <col min="12044" max="12287" width="8.85546875" style="1976"/>
    <col min="12288" max="12291" width="8.28515625" style="1976" customWidth="1"/>
    <col min="12292" max="12292" width="24.7109375" style="1976" customWidth="1"/>
    <col min="12293" max="12296" width="16.42578125" style="1976" customWidth="1"/>
    <col min="12297" max="12297" width="16.7109375" style="1976" customWidth="1"/>
    <col min="12298" max="12298" width="13.85546875" style="1976" bestFit="1" customWidth="1"/>
    <col min="12299" max="12299" width="26.7109375" style="1976" customWidth="1"/>
    <col min="12300" max="12543" width="8.85546875" style="1976"/>
    <col min="12544" max="12547" width="8.28515625" style="1976" customWidth="1"/>
    <col min="12548" max="12548" width="24.7109375" style="1976" customWidth="1"/>
    <col min="12549" max="12552" width="16.42578125" style="1976" customWidth="1"/>
    <col min="12553" max="12553" width="16.7109375" style="1976" customWidth="1"/>
    <col min="12554" max="12554" width="13.85546875" style="1976" bestFit="1" customWidth="1"/>
    <col min="12555" max="12555" width="26.7109375" style="1976" customWidth="1"/>
    <col min="12556" max="12799" width="8.85546875" style="1976"/>
    <col min="12800" max="12803" width="8.28515625" style="1976" customWidth="1"/>
    <col min="12804" max="12804" width="24.7109375" style="1976" customWidth="1"/>
    <col min="12805" max="12808" width="16.42578125" style="1976" customWidth="1"/>
    <col min="12809" max="12809" width="16.7109375" style="1976" customWidth="1"/>
    <col min="12810" max="12810" width="13.85546875" style="1976" bestFit="1" customWidth="1"/>
    <col min="12811" max="12811" width="26.7109375" style="1976" customWidth="1"/>
    <col min="12812" max="13055" width="8.85546875" style="1976"/>
    <col min="13056" max="13059" width="8.28515625" style="1976" customWidth="1"/>
    <col min="13060" max="13060" width="24.7109375" style="1976" customWidth="1"/>
    <col min="13061" max="13064" width="16.42578125" style="1976" customWidth="1"/>
    <col min="13065" max="13065" width="16.7109375" style="1976" customWidth="1"/>
    <col min="13066" max="13066" width="13.85546875" style="1976" bestFit="1" customWidth="1"/>
    <col min="13067" max="13067" width="26.7109375" style="1976" customWidth="1"/>
    <col min="13068" max="13311" width="8.85546875" style="1976"/>
    <col min="13312" max="13315" width="8.28515625" style="1976" customWidth="1"/>
    <col min="13316" max="13316" width="24.7109375" style="1976" customWidth="1"/>
    <col min="13317" max="13320" width="16.42578125" style="1976" customWidth="1"/>
    <col min="13321" max="13321" width="16.7109375" style="1976" customWidth="1"/>
    <col min="13322" max="13322" width="13.85546875" style="1976" bestFit="1" customWidth="1"/>
    <col min="13323" max="13323" width="26.7109375" style="1976" customWidth="1"/>
    <col min="13324" max="13567" width="8.85546875" style="1976"/>
    <col min="13568" max="13571" width="8.28515625" style="1976" customWidth="1"/>
    <col min="13572" max="13572" width="24.7109375" style="1976" customWidth="1"/>
    <col min="13573" max="13576" width="16.42578125" style="1976" customWidth="1"/>
    <col min="13577" max="13577" width="16.7109375" style="1976" customWidth="1"/>
    <col min="13578" max="13578" width="13.85546875" style="1976" bestFit="1" customWidth="1"/>
    <col min="13579" max="13579" width="26.7109375" style="1976" customWidth="1"/>
    <col min="13580" max="13823" width="8.85546875" style="1976"/>
    <col min="13824" max="13827" width="8.28515625" style="1976" customWidth="1"/>
    <col min="13828" max="13828" width="24.7109375" style="1976" customWidth="1"/>
    <col min="13829" max="13832" width="16.42578125" style="1976" customWidth="1"/>
    <col min="13833" max="13833" width="16.7109375" style="1976" customWidth="1"/>
    <col min="13834" max="13834" width="13.85546875" style="1976" bestFit="1" customWidth="1"/>
    <col min="13835" max="13835" width="26.7109375" style="1976" customWidth="1"/>
    <col min="13836" max="14079" width="8.85546875" style="1976"/>
    <col min="14080" max="14083" width="8.28515625" style="1976" customWidth="1"/>
    <col min="14084" max="14084" width="24.7109375" style="1976" customWidth="1"/>
    <col min="14085" max="14088" width="16.42578125" style="1976" customWidth="1"/>
    <col min="14089" max="14089" width="16.7109375" style="1976" customWidth="1"/>
    <col min="14090" max="14090" width="13.85546875" style="1976" bestFit="1" customWidth="1"/>
    <col min="14091" max="14091" width="26.7109375" style="1976" customWidth="1"/>
    <col min="14092" max="14335" width="8.85546875" style="1976"/>
    <col min="14336" max="14339" width="8.28515625" style="1976" customWidth="1"/>
    <col min="14340" max="14340" width="24.7109375" style="1976" customWidth="1"/>
    <col min="14341" max="14344" width="16.42578125" style="1976" customWidth="1"/>
    <col min="14345" max="14345" width="16.7109375" style="1976" customWidth="1"/>
    <col min="14346" max="14346" width="13.85546875" style="1976" bestFit="1" customWidth="1"/>
    <col min="14347" max="14347" width="26.7109375" style="1976" customWidth="1"/>
    <col min="14348" max="14591" width="8.85546875" style="1976"/>
    <col min="14592" max="14595" width="8.28515625" style="1976" customWidth="1"/>
    <col min="14596" max="14596" width="24.7109375" style="1976" customWidth="1"/>
    <col min="14597" max="14600" width="16.42578125" style="1976" customWidth="1"/>
    <col min="14601" max="14601" width="16.7109375" style="1976" customWidth="1"/>
    <col min="14602" max="14602" width="13.85546875" style="1976" bestFit="1" customWidth="1"/>
    <col min="14603" max="14603" width="26.7109375" style="1976" customWidth="1"/>
    <col min="14604" max="14847" width="8.85546875" style="1976"/>
    <col min="14848" max="14851" width="8.28515625" style="1976" customWidth="1"/>
    <col min="14852" max="14852" width="24.7109375" style="1976" customWidth="1"/>
    <col min="14853" max="14856" width="16.42578125" style="1976" customWidth="1"/>
    <col min="14857" max="14857" width="16.7109375" style="1976" customWidth="1"/>
    <col min="14858" max="14858" width="13.85546875" style="1976" bestFit="1" customWidth="1"/>
    <col min="14859" max="14859" width="26.7109375" style="1976" customWidth="1"/>
    <col min="14860" max="15103" width="8.85546875" style="1976"/>
    <col min="15104" max="15107" width="8.28515625" style="1976" customWidth="1"/>
    <col min="15108" max="15108" width="24.7109375" style="1976" customWidth="1"/>
    <col min="15109" max="15112" width="16.42578125" style="1976" customWidth="1"/>
    <col min="15113" max="15113" width="16.7109375" style="1976" customWidth="1"/>
    <col min="15114" max="15114" width="13.85546875" style="1976" bestFit="1" customWidth="1"/>
    <col min="15115" max="15115" width="26.7109375" style="1976" customWidth="1"/>
    <col min="15116" max="15359" width="8.85546875" style="1976"/>
    <col min="15360" max="15363" width="8.28515625" style="1976" customWidth="1"/>
    <col min="15364" max="15364" width="24.7109375" style="1976" customWidth="1"/>
    <col min="15365" max="15368" width="16.42578125" style="1976" customWidth="1"/>
    <col min="15369" max="15369" width="16.7109375" style="1976" customWidth="1"/>
    <col min="15370" max="15370" width="13.85546875" style="1976" bestFit="1" customWidth="1"/>
    <col min="15371" max="15371" width="26.7109375" style="1976" customWidth="1"/>
    <col min="15372" max="15615" width="8.85546875" style="1976"/>
    <col min="15616" max="15619" width="8.28515625" style="1976" customWidth="1"/>
    <col min="15620" max="15620" width="24.7109375" style="1976" customWidth="1"/>
    <col min="15621" max="15624" width="16.42578125" style="1976" customWidth="1"/>
    <col min="15625" max="15625" width="16.7109375" style="1976" customWidth="1"/>
    <col min="15626" max="15626" width="13.85546875" style="1976" bestFit="1" customWidth="1"/>
    <col min="15627" max="15627" width="26.7109375" style="1976" customWidth="1"/>
    <col min="15628" max="15871" width="8.85546875" style="1976"/>
    <col min="15872" max="15875" width="8.28515625" style="1976" customWidth="1"/>
    <col min="15876" max="15876" width="24.7109375" style="1976" customWidth="1"/>
    <col min="15877" max="15880" width="16.42578125" style="1976" customWidth="1"/>
    <col min="15881" max="15881" width="16.7109375" style="1976" customWidth="1"/>
    <col min="15882" max="15882" width="13.85546875" style="1976" bestFit="1" customWidth="1"/>
    <col min="15883" max="15883" width="26.7109375" style="1976" customWidth="1"/>
    <col min="15884" max="16127" width="8.85546875" style="1976"/>
    <col min="16128" max="16131" width="8.28515625" style="1976" customWidth="1"/>
    <col min="16132" max="16132" width="24.7109375" style="1976" customWidth="1"/>
    <col min="16133" max="16136" width="16.42578125" style="1976" customWidth="1"/>
    <col min="16137" max="16137" width="16.7109375" style="1976" customWidth="1"/>
    <col min="16138" max="16138" width="13.85546875" style="1976" bestFit="1" customWidth="1"/>
    <col min="16139" max="16139" width="26.7109375" style="1976" customWidth="1"/>
    <col min="16140" max="16382" width="8.85546875" style="1976"/>
    <col min="16383" max="16384" width="8.85546875" style="1976" customWidth="1"/>
  </cols>
  <sheetData>
    <row r="1" spans="1:12" s="1971" customFormat="1" x14ac:dyDescent="0.25">
      <c r="A1" s="4236" t="s">
        <v>842</v>
      </c>
      <c r="B1" s="4236"/>
      <c r="C1" s="4236"/>
      <c r="D1" s="4236"/>
      <c r="E1" s="4236"/>
      <c r="F1" s="2005"/>
      <c r="G1" s="4504" t="s">
        <v>2954</v>
      </c>
      <c r="H1" s="4504"/>
      <c r="I1" s="4504"/>
    </row>
    <row r="2" spans="1:12" s="1971" customFormat="1" x14ac:dyDescent="0.25">
      <c r="A2" s="4236" t="s">
        <v>3142</v>
      </c>
      <c r="B2" s="4236"/>
      <c r="C2" s="4236"/>
      <c r="D2" s="4236"/>
      <c r="E2" s="4236"/>
      <c r="F2" s="4236"/>
      <c r="G2" s="4236"/>
      <c r="H2" s="4236"/>
      <c r="I2" s="4236"/>
      <c r="J2" s="4236"/>
    </row>
    <row r="3" spans="1:12" s="1971" customFormat="1" x14ac:dyDescent="0.25">
      <c r="A3" s="4238" t="str">
        <f>'B49'!A4:E4</f>
        <v>(Kèm theo Quyết định số         /QĐ-UBND ngày      tháng 4 năm 2026 của UBND xã Phong Quang)</v>
      </c>
      <c r="B3" s="4238"/>
      <c r="C3" s="4238"/>
      <c r="D3" s="4238"/>
      <c r="E3" s="4238"/>
      <c r="F3" s="4238"/>
      <c r="G3" s="4238"/>
      <c r="H3" s="4238"/>
      <c r="I3" s="4238"/>
      <c r="J3" s="4238"/>
    </row>
    <row r="4" spans="1:12" s="1971" customFormat="1" x14ac:dyDescent="0.25">
      <c r="A4" s="2006" t="s">
        <v>1815</v>
      </c>
      <c r="F4" s="1995"/>
      <c r="G4" s="1995"/>
      <c r="I4" s="1995"/>
    </row>
    <row r="5" spans="1:12" s="1971" customFormat="1" x14ac:dyDescent="0.25">
      <c r="B5" s="2007"/>
      <c r="C5" s="2007"/>
      <c r="D5" s="2007"/>
      <c r="E5" s="2007"/>
      <c r="F5" s="2008"/>
      <c r="G5" s="2008"/>
      <c r="H5" s="2007"/>
      <c r="I5" s="2008" t="s">
        <v>192</v>
      </c>
    </row>
    <row r="6" spans="1:12" s="1971" customFormat="1" x14ac:dyDescent="0.25">
      <c r="A6" s="2006" t="s">
        <v>1815</v>
      </c>
      <c r="F6" s="1995"/>
      <c r="G6" s="1995"/>
      <c r="I6" s="1995"/>
    </row>
    <row r="7" spans="1:12" s="2017" customFormat="1" ht="49.5" x14ac:dyDescent="0.25">
      <c r="A7" s="2015" t="s">
        <v>2556</v>
      </c>
      <c r="B7" s="2015" t="s">
        <v>494</v>
      </c>
      <c r="C7" s="2015" t="s">
        <v>495</v>
      </c>
      <c r="D7" s="2015" t="s">
        <v>496</v>
      </c>
      <c r="E7" s="2015" t="s">
        <v>2782</v>
      </c>
      <c r="F7" s="2016" t="s">
        <v>497</v>
      </c>
      <c r="G7" s="2016" t="s">
        <v>916</v>
      </c>
      <c r="H7" s="2015" t="s">
        <v>498</v>
      </c>
      <c r="I7" s="2016" t="s">
        <v>499</v>
      </c>
      <c r="J7" s="2015" t="s">
        <v>2783</v>
      </c>
    </row>
    <row r="8" spans="1:12" ht="30" customHeight="1" x14ac:dyDescent="0.25">
      <c r="A8" s="4505" t="s">
        <v>1580</v>
      </c>
      <c r="B8" s="4506"/>
      <c r="C8" s="4506"/>
      <c r="D8" s="4506"/>
      <c r="E8" s="4507"/>
      <c r="F8" s="2009">
        <v>587402.65050700004</v>
      </c>
      <c r="G8" s="2009">
        <v>2069.9106649999999</v>
      </c>
      <c r="H8" s="2009">
        <v>13746.125700000001</v>
      </c>
      <c r="I8" s="2009">
        <v>452399.42076800001</v>
      </c>
      <c r="J8" s="2010">
        <v>119187.19337399999</v>
      </c>
    </row>
    <row r="9" spans="1:12" ht="30" customHeight="1" x14ac:dyDescent="0.25">
      <c r="A9" s="4495" t="s">
        <v>1773</v>
      </c>
      <c r="B9" s="4501" t="s">
        <v>1815</v>
      </c>
      <c r="C9" s="4502"/>
      <c r="D9" s="4502"/>
      <c r="E9" s="4503"/>
      <c r="F9" s="2011">
        <v>69120.292717000004</v>
      </c>
      <c r="G9" s="2011">
        <v>2019.714663</v>
      </c>
      <c r="H9" s="2011">
        <v>272.39218699999998</v>
      </c>
      <c r="I9" s="2011">
        <v>66800.987701000005</v>
      </c>
      <c r="J9" s="2012">
        <v>27.198166000000001</v>
      </c>
      <c r="L9" s="2013"/>
    </row>
    <row r="10" spans="1:12" ht="24" customHeight="1" x14ac:dyDescent="0.25">
      <c r="A10" s="4500"/>
      <c r="B10" s="4495" t="s">
        <v>2559</v>
      </c>
      <c r="C10" s="4501" t="s">
        <v>1815</v>
      </c>
      <c r="D10" s="4503"/>
      <c r="E10" s="2014" t="s">
        <v>3087</v>
      </c>
      <c r="F10" s="2011">
        <v>1303.7952499999999</v>
      </c>
      <c r="G10" s="2011">
        <v>1303.7952499999999</v>
      </c>
      <c r="H10" s="2011">
        <v>0</v>
      </c>
      <c r="I10" s="2011">
        <v>0</v>
      </c>
      <c r="J10" s="2012">
        <v>0</v>
      </c>
      <c r="L10" s="2001"/>
    </row>
    <row r="11" spans="1:12" ht="22.5" customHeight="1" x14ac:dyDescent="0.25">
      <c r="A11" s="4500"/>
      <c r="B11" s="4500"/>
      <c r="C11" s="4495" t="s">
        <v>1116</v>
      </c>
      <c r="D11" s="2014" t="s">
        <v>1815</v>
      </c>
      <c r="E11" s="2014" t="s">
        <v>2825</v>
      </c>
      <c r="F11" s="2011">
        <v>0.09</v>
      </c>
      <c r="G11" s="2011">
        <v>0.09</v>
      </c>
      <c r="H11" s="2011">
        <v>0</v>
      </c>
      <c r="I11" s="2011">
        <v>0</v>
      </c>
      <c r="J11" s="2012">
        <v>0</v>
      </c>
    </row>
    <row r="12" spans="1:12" ht="41.25" customHeight="1" x14ac:dyDescent="0.25">
      <c r="A12" s="4500"/>
      <c r="B12" s="4500"/>
      <c r="C12" s="4496"/>
      <c r="D12" s="2014" t="s">
        <v>1117</v>
      </c>
      <c r="E12" s="2014" t="s">
        <v>2826</v>
      </c>
      <c r="F12" s="2011">
        <v>0.09</v>
      </c>
      <c r="G12" s="2011">
        <v>0.09</v>
      </c>
      <c r="H12" s="2011">
        <v>0</v>
      </c>
      <c r="I12" s="2011">
        <v>0</v>
      </c>
      <c r="J12" s="2012">
        <v>0</v>
      </c>
      <c r="L12" s="2002"/>
    </row>
    <row r="13" spans="1:12" ht="39.75" customHeight="1" x14ac:dyDescent="0.25">
      <c r="A13" s="4500"/>
      <c r="B13" s="4500"/>
      <c r="C13" s="4495" t="s">
        <v>1144</v>
      </c>
      <c r="D13" s="2014" t="s">
        <v>1815</v>
      </c>
      <c r="E13" s="2014" t="s">
        <v>2840</v>
      </c>
      <c r="F13" s="2011">
        <v>301.64999999999998</v>
      </c>
      <c r="G13" s="2011">
        <v>301.64999999999998</v>
      </c>
      <c r="H13" s="2011">
        <v>0</v>
      </c>
      <c r="I13" s="2011">
        <v>0</v>
      </c>
      <c r="J13" s="2012">
        <v>0</v>
      </c>
      <c r="L13" s="2002"/>
    </row>
    <row r="14" spans="1:12" ht="39.75" customHeight="1" x14ac:dyDescent="0.25">
      <c r="A14" s="4500"/>
      <c r="B14" s="4500"/>
      <c r="C14" s="4496"/>
      <c r="D14" s="2014" t="s">
        <v>1824</v>
      </c>
      <c r="E14" s="2014" t="s">
        <v>2841</v>
      </c>
      <c r="F14" s="2011">
        <v>301.64999999999998</v>
      </c>
      <c r="G14" s="2011">
        <v>301.64999999999998</v>
      </c>
      <c r="H14" s="2011">
        <v>0</v>
      </c>
      <c r="I14" s="2011">
        <v>0</v>
      </c>
      <c r="J14" s="2012">
        <v>0</v>
      </c>
      <c r="L14" s="2003"/>
    </row>
    <row r="15" spans="1:12" ht="25.5" customHeight="1" x14ac:dyDescent="0.25">
      <c r="A15" s="4500"/>
      <c r="B15" s="4500"/>
      <c r="C15" s="4495" t="s">
        <v>1118</v>
      </c>
      <c r="D15" s="2014" t="s">
        <v>1815</v>
      </c>
      <c r="E15" s="2014" t="s">
        <v>2864</v>
      </c>
      <c r="F15" s="2011">
        <v>1002.05525</v>
      </c>
      <c r="G15" s="2011">
        <v>1002.05525</v>
      </c>
      <c r="H15" s="2011">
        <v>0</v>
      </c>
      <c r="I15" s="2011">
        <v>0</v>
      </c>
      <c r="J15" s="2012">
        <v>0</v>
      </c>
    </row>
    <row r="16" spans="1:12" ht="43.5" customHeight="1" x14ac:dyDescent="0.25">
      <c r="A16" s="4500"/>
      <c r="B16" s="4500"/>
      <c r="C16" s="4500"/>
      <c r="D16" s="2014" t="s">
        <v>1119</v>
      </c>
      <c r="E16" s="2014" t="s">
        <v>2865</v>
      </c>
      <c r="F16" s="2011">
        <v>930.59900000000005</v>
      </c>
      <c r="G16" s="2011">
        <v>930.59900000000005</v>
      </c>
      <c r="H16" s="2011">
        <v>0</v>
      </c>
      <c r="I16" s="2011">
        <v>0</v>
      </c>
      <c r="J16" s="2012">
        <v>0</v>
      </c>
    </row>
    <row r="17" spans="1:10" ht="43.5" customHeight="1" x14ac:dyDescent="0.25">
      <c r="A17" s="4500"/>
      <c r="B17" s="4500"/>
      <c r="C17" s="4500"/>
      <c r="D17" s="2014" t="s">
        <v>1120</v>
      </c>
      <c r="E17" s="2014" t="s">
        <v>2869</v>
      </c>
      <c r="F17" s="2011">
        <v>57.325000000000003</v>
      </c>
      <c r="G17" s="2011">
        <v>57.325000000000003</v>
      </c>
      <c r="H17" s="2011">
        <v>0</v>
      </c>
      <c r="I17" s="2011">
        <v>0</v>
      </c>
      <c r="J17" s="2012">
        <v>0</v>
      </c>
    </row>
    <row r="18" spans="1:10" ht="62.25" customHeight="1" x14ac:dyDescent="0.25">
      <c r="A18" s="4500"/>
      <c r="B18" s="4500"/>
      <c r="C18" s="4500"/>
      <c r="D18" s="2014" t="s">
        <v>2874</v>
      </c>
      <c r="E18" s="2014" t="s">
        <v>2875</v>
      </c>
      <c r="F18" s="2011">
        <v>1.3712500000000001</v>
      </c>
      <c r="G18" s="2011">
        <v>1.3712500000000001</v>
      </c>
      <c r="H18" s="2011">
        <v>0</v>
      </c>
      <c r="I18" s="2011">
        <v>0</v>
      </c>
      <c r="J18" s="2012">
        <v>0</v>
      </c>
    </row>
    <row r="19" spans="1:10" ht="24.75" customHeight="1" x14ac:dyDescent="0.25">
      <c r="A19" s="4500"/>
      <c r="B19" s="4496"/>
      <c r="C19" s="4496"/>
      <c r="D19" s="2014" t="s">
        <v>1180</v>
      </c>
      <c r="E19" s="2014" t="s">
        <v>2878</v>
      </c>
      <c r="F19" s="2011">
        <v>12.76</v>
      </c>
      <c r="G19" s="2011">
        <v>12.76</v>
      </c>
      <c r="H19" s="2011">
        <v>0</v>
      </c>
      <c r="I19" s="2011">
        <v>0</v>
      </c>
      <c r="J19" s="2012">
        <v>0</v>
      </c>
    </row>
    <row r="20" spans="1:10" ht="24.75" customHeight="1" x14ac:dyDescent="0.25">
      <c r="A20" s="4500"/>
      <c r="B20" s="4495" t="s">
        <v>336</v>
      </c>
      <c r="C20" s="4501" t="s">
        <v>1815</v>
      </c>
      <c r="D20" s="4503"/>
      <c r="E20" s="2014" t="s">
        <v>3088</v>
      </c>
      <c r="F20" s="2011">
        <v>403.54058300000003</v>
      </c>
      <c r="G20" s="2011">
        <v>403.54058300000003</v>
      </c>
      <c r="H20" s="2011">
        <v>0</v>
      </c>
      <c r="I20" s="2011">
        <v>0</v>
      </c>
      <c r="J20" s="2012">
        <v>0</v>
      </c>
    </row>
    <row r="21" spans="1:10" ht="24.75" customHeight="1" x14ac:dyDescent="0.25">
      <c r="A21" s="4500"/>
      <c r="B21" s="4500"/>
      <c r="C21" s="4495" t="s">
        <v>1121</v>
      </c>
      <c r="D21" s="2014" t="s">
        <v>1815</v>
      </c>
      <c r="E21" s="2014" t="s">
        <v>2834</v>
      </c>
      <c r="F21" s="2011">
        <v>403.54058300000003</v>
      </c>
      <c r="G21" s="2011">
        <v>403.54058300000003</v>
      </c>
      <c r="H21" s="2011">
        <v>0</v>
      </c>
      <c r="I21" s="2011">
        <v>0</v>
      </c>
      <c r="J21" s="2012">
        <v>0</v>
      </c>
    </row>
    <row r="22" spans="1:10" ht="24.75" customHeight="1" x14ac:dyDescent="0.25">
      <c r="A22" s="4500"/>
      <c r="B22" s="4500"/>
      <c r="C22" s="4500"/>
      <c r="D22" s="2014" t="s">
        <v>1122</v>
      </c>
      <c r="E22" s="2014" t="s">
        <v>2835</v>
      </c>
      <c r="F22" s="2011">
        <v>398.87260700000002</v>
      </c>
      <c r="G22" s="2011">
        <v>398.87260700000002</v>
      </c>
      <c r="H22" s="2011">
        <v>0</v>
      </c>
      <c r="I22" s="2011">
        <v>0</v>
      </c>
      <c r="J22" s="2012">
        <v>0</v>
      </c>
    </row>
    <row r="23" spans="1:10" ht="24.75" customHeight="1" x14ac:dyDescent="0.25">
      <c r="A23" s="4500"/>
      <c r="B23" s="4496"/>
      <c r="C23" s="4496"/>
      <c r="D23" s="2014" t="s">
        <v>2836</v>
      </c>
      <c r="E23" s="2014" t="s">
        <v>2837</v>
      </c>
      <c r="F23" s="2011">
        <v>4.6679760000000003</v>
      </c>
      <c r="G23" s="2011">
        <v>4.6679760000000003</v>
      </c>
      <c r="H23" s="2011">
        <v>0</v>
      </c>
      <c r="I23" s="2011">
        <v>0</v>
      </c>
      <c r="J23" s="2012">
        <v>0</v>
      </c>
    </row>
    <row r="24" spans="1:10" ht="24.75" customHeight="1" x14ac:dyDescent="0.25">
      <c r="A24" s="4500"/>
      <c r="B24" s="4495" t="s">
        <v>324</v>
      </c>
      <c r="C24" s="4501" t="s">
        <v>1815</v>
      </c>
      <c r="D24" s="4503"/>
      <c r="E24" s="2014" t="s">
        <v>3089</v>
      </c>
      <c r="F24" s="2011">
        <v>75.75</v>
      </c>
      <c r="G24" s="2011">
        <v>75.75</v>
      </c>
      <c r="H24" s="2011">
        <v>0</v>
      </c>
      <c r="I24" s="2011">
        <v>0</v>
      </c>
      <c r="J24" s="2012">
        <v>0</v>
      </c>
    </row>
    <row r="25" spans="1:10" ht="24.75" customHeight="1" x14ac:dyDescent="0.25">
      <c r="A25" s="4500"/>
      <c r="B25" s="4500"/>
      <c r="C25" s="4495" t="s">
        <v>1118</v>
      </c>
      <c r="D25" s="2014" t="s">
        <v>1815</v>
      </c>
      <c r="E25" s="2014" t="s">
        <v>2864</v>
      </c>
      <c r="F25" s="2011">
        <v>75.75</v>
      </c>
      <c r="G25" s="2011">
        <v>75.75</v>
      </c>
      <c r="H25" s="2011">
        <v>0</v>
      </c>
      <c r="I25" s="2011">
        <v>0</v>
      </c>
      <c r="J25" s="2012">
        <v>0</v>
      </c>
    </row>
    <row r="26" spans="1:10" ht="40.5" customHeight="1" x14ac:dyDescent="0.25">
      <c r="A26" s="4500"/>
      <c r="B26" s="4500"/>
      <c r="C26" s="4500"/>
      <c r="D26" s="2014" t="s">
        <v>2872</v>
      </c>
      <c r="E26" s="2014" t="s">
        <v>2873</v>
      </c>
      <c r="F26" s="2011">
        <v>8.6999999999999993</v>
      </c>
      <c r="G26" s="2011">
        <v>8.6999999999999993</v>
      </c>
      <c r="H26" s="2011">
        <v>0</v>
      </c>
      <c r="I26" s="2011">
        <v>0</v>
      </c>
      <c r="J26" s="2012">
        <v>0</v>
      </c>
    </row>
    <row r="27" spans="1:10" ht="40.5" customHeight="1" x14ac:dyDescent="0.25">
      <c r="A27" s="4500"/>
      <c r="B27" s="4500"/>
      <c r="C27" s="4500"/>
      <c r="D27" s="2014" t="s">
        <v>1841</v>
      </c>
      <c r="E27" s="2014" t="s">
        <v>2876</v>
      </c>
      <c r="F27" s="2011">
        <v>55.8</v>
      </c>
      <c r="G27" s="2011">
        <v>55.8</v>
      </c>
      <c r="H27" s="2011">
        <v>0</v>
      </c>
      <c r="I27" s="2011">
        <v>0</v>
      </c>
      <c r="J27" s="2012">
        <v>0</v>
      </c>
    </row>
    <row r="28" spans="1:10" ht="28.5" customHeight="1" x14ac:dyDescent="0.25">
      <c r="A28" s="4500"/>
      <c r="B28" s="4496"/>
      <c r="C28" s="4496"/>
      <c r="D28" s="2014" t="s">
        <v>1180</v>
      </c>
      <c r="E28" s="2014" t="s">
        <v>2878</v>
      </c>
      <c r="F28" s="2011">
        <v>11.25</v>
      </c>
      <c r="G28" s="2011">
        <v>11.25</v>
      </c>
      <c r="H28" s="2011">
        <v>0</v>
      </c>
      <c r="I28" s="2011">
        <v>0</v>
      </c>
      <c r="J28" s="2012">
        <v>0</v>
      </c>
    </row>
    <row r="29" spans="1:10" ht="23.25" customHeight="1" x14ac:dyDescent="0.25">
      <c r="A29" s="4500"/>
      <c r="B29" s="4495" t="s">
        <v>3090</v>
      </c>
      <c r="C29" s="4501" t="s">
        <v>1815</v>
      </c>
      <c r="D29" s="4503"/>
      <c r="E29" s="2014" t="s">
        <v>3091</v>
      </c>
      <c r="F29" s="2011">
        <v>11.54583</v>
      </c>
      <c r="G29" s="2011">
        <v>11.54583</v>
      </c>
      <c r="H29" s="2011">
        <v>0</v>
      </c>
      <c r="I29" s="2011">
        <v>0</v>
      </c>
      <c r="J29" s="2012">
        <v>0</v>
      </c>
    </row>
    <row r="30" spans="1:10" ht="41.25" customHeight="1" x14ac:dyDescent="0.25">
      <c r="A30" s="4500"/>
      <c r="B30" s="4500"/>
      <c r="C30" s="4495" t="s">
        <v>2830</v>
      </c>
      <c r="D30" s="2014" t="s">
        <v>1815</v>
      </c>
      <c r="E30" s="2014" t="s">
        <v>2831</v>
      </c>
      <c r="F30" s="2011">
        <v>5.5458299999999996</v>
      </c>
      <c r="G30" s="2011">
        <v>5.5458299999999996</v>
      </c>
      <c r="H30" s="2011">
        <v>0</v>
      </c>
      <c r="I30" s="2011">
        <v>0</v>
      </c>
      <c r="J30" s="2012">
        <v>0</v>
      </c>
    </row>
    <row r="31" spans="1:10" ht="41.25" customHeight="1" x14ac:dyDescent="0.25">
      <c r="A31" s="4500"/>
      <c r="B31" s="4500"/>
      <c r="C31" s="4496"/>
      <c r="D31" s="2014" t="s">
        <v>2832</v>
      </c>
      <c r="E31" s="2014" t="s">
        <v>2833</v>
      </c>
      <c r="F31" s="2011">
        <v>5.5458299999999996</v>
      </c>
      <c r="G31" s="2011">
        <v>5.5458299999999996</v>
      </c>
      <c r="H31" s="2011">
        <v>0</v>
      </c>
      <c r="I31" s="2011">
        <v>0</v>
      </c>
      <c r="J31" s="2012">
        <v>0</v>
      </c>
    </row>
    <row r="32" spans="1:10" ht="21" customHeight="1" x14ac:dyDescent="0.25">
      <c r="A32" s="4500"/>
      <c r="B32" s="4500"/>
      <c r="C32" s="4495" t="s">
        <v>1118</v>
      </c>
      <c r="D32" s="2014" t="s">
        <v>1815</v>
      </c>
      <c r="E32" s="2014" t="s">
        <v>2864</v>
      </c>
      <c r="F32" s="2011">
        <v>6</v>
      </c>
      <c r="G32" s="2011">
        <v>6</v>
      </c>
      <c r="H32" s="2011">
        <v>0</v>
      </c>
      <c r="I32" s="2011">
        <v>0</v>
      </c>
      <c r="J32" s="2012">
        <v>0</v>
      </c>
    </row>
    <row r="33" spans="1:10" ht="21" customHeight="1" x14ac:dyDescent="0.25">
      <c r="A33" s="4500"/>
      <c r="B33" s="4496"/>
      <c r="C33" s="4496"/>
      <c r="D33" s="2014" t="s">
        <v>1180</v>
      </c>
      <c r="E33" s="2014" t="s">
        <v>2878</v>
      </c>
      <c r="F33" s="2011">
        <v>6</v>
      </c>
      <c r="G33" s="2011">
        <v>6</v>
      </c>
      <c r="H33" s="2011">
        <v>0</v>
      </c>
      <c r="I33" s="2011">
        <v>0</v>
      </c>
      <c r="J33" s="2012">
        <v>0</v>
      </c>
    </row>
    <row r="34" spans="1:10" ht="23.25" customHeight="1" x14ac:dyDescent="0.25">
      <c r="A34" s="4500"/>
      <c r="B34" s="4495" t="s">
        <v>2560</v>
      </c>
      <c r="C34" s="4501" t="s">
        <v>1815</v>
      </c>
      <c r="D34" s="4503"/>
      <c r="E34" s="2014" t="s">
        <v>3092</v>
      </c>
      <c r="F34" s="2011">
        <v>0.91100000000000003</v>
      </c>
      <c r="G34" s="2011">
        <v>0.91100000000000003</v>
      </c>
      <c r="H34" s="2011">
        <v>0</v>
      </c>
      <c r="I34" s="2011">
        <v>0</v>
      </c>
      <c r="J34" s="2012">
        <v>0</v>
      </c>
    </row>
    <row r="35" spans="1:10" ht="23.25" customHeight="1" x14ac:dyDescent="0.25">
      <c r="A35" s="4500"/>
      <c r="B35" s="4500"/>
      <c r="C35" s="4495" t="s">
        <v>1137</v>
      </c>
      <c r="D35" s="2014" t="s">
        <v>1815</v>
      </c>
      <c r="E35" s="2014" t="s">
        <v>2892</v>
      </c>
      <c r="F35" s="2011">
        <v>0.91100000000000003</v>
      </c>
      <c r="G35" s="2011">
        <v>0.91100000000000003</v>
      </c>
      <c r="H35" s="2011">
        <v>0</v>
      </c>
      <c r="I35" s="2011">
        <v>0</v>
      </c>
      <c r="J35" s="2012">
        <v>0</v>
      </c>
    </row>
    <row r="36" spans="1:10" ht="23.25" customHeight="1" x14ac:dyDescent="0.25">
      <c r="A36" s="4500"/>
      <c r="B36" s="4496"/>
      <c r="C36" s="4496"/>
      <c r="D36" s="2014" t="s">
        <v>1138</v>
      </c>
      <c r="E36" s="2014" t="s">
        <v>2893</v>
      </c>
      <c r="F36" s="2011">
        <v>0.91100000000000003</v>
      </c>
      <c r="G36" s="2011">
        <v>0.91100000000000003</v>
      </c>
      <c r="H36" s="2011">
        <v>0</v>
      </c>
      <c r="I36" s="2011">
        <v>0</v>
      </c>
      <c r="J36" s="2012">
        <v>0</v>
      </c>
    </row>
    <row r="37" spans="1:10" ht="21" customHeight="1" x14ac:dyDescent="0.25">
      <c r="A37" s="4500"/>
      <c r="B37" s="4495" t="s">
        <v>2561</v>
      </c>
      <c r="C37" s="4501" t="s">
        <v>1815</v>
      </c>
      <c r="D37" s="4503"/>
      <c r="E37" s="2014" t="s">
        <v>3093</v>
      </c>
      <c r="F37" s="2011">
        <v>0.32400000000000001</v>
      </c>
      <c r="G37" s="2011">
        <v>0</v>
      </c>
      <c r="H37" s="2011">
        <v>0</v>
      </c>
      <c r="I37" s="2011">
        <v>0</v>
      </c>
      <c r="J37" s="2012">
        <v>0.32400000000000001</v>
      </c>
    </row>
    <row r="38" spans="1:10" ht="21" customHeight="1" x14ac:dyDescent="0.25">
      <c r="A38" s="4500"/>
      <c r="B38" s="4500"/>
      <c r="C38" s="4495" t="s">
        <v>1194</v>
      </c>
      <c r="D38" s="2014" t="s">
        <v>1815</v>
      </c>
      <c r="E38" s="2014" t="s">
        <v>874</v>
      </c>
      <c r="F38" s="2011">
        <v>0.32400000000000001</v>
      </c>
      <c r="G38" s="2011">
        <v>0</v>
      </c>
      <c r="H38" s="2011">
        <v>0</v>
      </c>
      <c r="I38" s="2011">
        <v>0</v>
      </c>
      <c r="J38" s="2012">
        <v>0.32400000000000001</v>
      </c>
    </row>
    <row r="39" spans="1:10" ht="33" x14ac:dyDescent="0.25">
      <c r="A39" s="4500"/>
      <c r="B39" s="4496"/>
      <c r="C39" s="4496"/>
      <c r="D39" s="2014" t="s">
        <v>1197</v>
      </c>
      <c r="E39" s="2014" t="s">
        <v>2808</v>
      </c>
      <c r="F39" s="2011">
        <v>0.32400000000000001</v>
      </c>
      <c r="G39" s="2011">
        <v>0</v>
      </c>
      <c r="H39" s="2011">
        <v>0</v>
      </c>
      <c r="I39" s="2011">
        <v>0</v>
      </c>
      <c r="J39" s="2012">
        <v>0.32400000000000001</v>
      </c>
    </row>
    <row r="40" spans="1:10" x14ac:dyDescent="0.25">
      <c r="A40" s="4500"/>
      <c r="B40" s="4495" t="s">
        <v>2562</v>
      </c>
      <c r="C40" s="4501" t="s">
        <v>1815</v>
      </c>
      <c r="D40" s="4503"/>
      <c r="E40" s="2014" t="s">
        <v>3094</v>
      </c>
      <c r="F40" s="2011">
        <v>1.5249520000000001</v>
      </c>
      <c r="G40" s="2011">
        <v>0</v>
      </c>
      <c r="H40" s="2011">
        <v>0</v>
      </c>
      <c r="I40" s="2011">
        <v>2.0000000000000001E-4</v>
      </c>
      <c r="J40" s="2012">
        <v>1.5247520000000001</v>
      </c>
    </row>
    <row r="41" spans="1:10" ht="30" customHeight="1" x14ac:dyDescent="0.25">
      <c r="A41" s="4500"/>
      <c r="B41" s="4500"/>
      <c r="C41" s="4495" t="s">
        <v>1194</v>
      </c>
      <c r="D41" s="2014" t="s">
        <v>1815</v>
      </c>
      <c r="E41" s="2014" t="s">
        <v>874</v>
      </c>
      <c r="F41" s="2011">
        <v>1.5247520000000001</v>
      </c>
      <c r="G41" s="2011">
        <v>0</v>
      </c>
      <c r="H41" s="2011">
        <v>0</v>
      </c>
      <c r="I41" s="2011">
        <v>0</v>
      </c>
      <c r="J41" s="2012">
        <v>1.5247520000000001</v>
      </c>
    </row>
    <row r="42" spans="1:10" ht="39.75" customHeight="1" x14ac:dyDescent="0.25">
      <c r="A42" s="4500"/>
      <c r="B42" s="4500"/>
      <c r="C42" s="4496"/>
      <c r="D42" s="2014" t="s">
        <v>1197</v>
      </c>
      <c r="E42" s="2014" t="s">
        <v>2808</v>
      </c>
      <c r="F42" s="2011">
        <v>1.5247520000000001</v>
      </c>
      <c r="G42" s="2011">
        <v>0</v>
      </c>
      <c r="H42" s="2011">
        <v>0</v>
      </c>
      <c r="I42" s="2011">
        <v>0</v>
      </c>
      <c r="J42" s="2012">
        <v>1.5247520000000001</v>
      </c>
    </row>
    <row r="43" spans="1:10" ht="22.5" customHeight="1" x14ac:dyDescent="0.25">
      <c r="A43" s="4500"/>
      <c r="B43" s="4500"/>
      <c r="C43" s="4495" t="s">
        <v>1137</v>
      </c>
      <c r="D43" s="2014" t="s">
        <v>1815</v>
      </c>
      <c r="E43" s="2014" t="s">
        <v>2892</v>
      </c>
      <c r="F43" s="2011">
        <v>2.0000000000000001E-4</v>
      </c>
      <c r="G43" s="2011">
        <v>0</v>
      </c>
      <c r="H43" s="2011">
        <v>0</v>
      </c>
      <c r="I43" s="2011">
        <v>2.0000000000000001E-4</v>
      </c>
      <c r="J43" s="2012">
        <v>0</v>
      </c>
    </row>
    <row r="44" spans="1:10" ht="67.5" customHeight="1" x14ac:dyDescent="0.25">
      <c r="A44" s="4500"/>
      <c r="B44" s="4496"/>
      <c r="C44" s="4496"/>
      <c r="D44" s="2014" t="s">
        <v>1170</v>
      </c>
      <c r="E44" s="2014" t="s">
        <v>2901</v>
      </c>
      <c r="F44" s="2011">
        <v>2.0000000000000001E-4</v>
      </c>
      <c r="G44" s="2011">
        <v>0</v>
      </c>
      <c r="H44" s="2011">
        <v>0</v>
      </c>
      <c r="I44" s="2011">
        <v>2.0000000000000001E-4</v>
      </c>
      <c r="J44" s="2012">
        <v>0</v>
      </c>
    </row>
    <row r="45" spans="1:10" ht="48" customHeight="1" x14ac:dyDescent="0.25">
      <c r="A45" s="4500"/>
      <c r="B45" s="4495" t="s">
        <v>2563</v>
      </c>
      <c r="C45" s="4501" t="s">
        <v>1815</v>
      </c>
      <c r="D45" s="4503"/>
      <c r="E45" s="2014" t="s">
        <v>3095</v>
      </c>
      <c r="F45" s="2011">
        <v>277.85205500000001</v>
      </c>
      <c r="G45" s="2011">
        <v>0</v>
      </c>
      <c r="H45" s="2011">
        <v>272.39218699999998</v>
      </c>
      <c r="I45" s="2011">
        <v>4.2269399999999999</v>
      </c>
      <c r="J45" s="2012">
        <v>1.232928</v>
      </c>
    </row>
    <row r="46" spans="1:10" ht="24.75" customHeight="1" x14ac:dyDescent="0.25">
      <c r="A46" s="4500"/>
      <c r="B46" s="4500"/>
      <c r="C46" s="4495" t="s">
        <v>1194</v>
      </c>
      <c r="D46" s="2014" t="s">
        <v>1815</v>
      </c>
      <c r="E46" s="2014" t="s">
        <v>874</v>
      </c>
      <c r="F46" s="2011">
        <v>1.232928</v>
      </c>
      <c r="G46" s="2011">
        <v>0</v>
      </c>
      <c r="H46" s="2011">
        <v>0</v>
      </c>
      <c r="I46" s="2011">
        <v>0</v>
      </c>
      <c r="J46" s="2012">
        <v>1.232928</v>
      </c>
    </row>
    <row r="47" spans="1:10" ht="41.25" customHeight="1" x14ac:dyDescent="0.25">
      <c r="A47" s="4500"/>
      <c r="B47" s="4500"/>
      <c r="C47" s="4496"/>
      <c r="D47" s="2014" t="s">
        <v>1197</v>
      </c>
      <c r="E47" s="2014" t="s">
        <v>2808</v>
      </c>
      <c r="F47" s="2011">
        <v>1.232928</v>
      </c>
      <c r="G47" s="2011">
        <v>0</v>
      </c>
      <c r="H47" s="2011">
        <v>0</v>
      </c>
      <c r="I47" s="2011">
        <v>0</v>
      </c>
      <c r="J47" s="2012">
        <v>1.232928</v>
      </c>
    </row>
    <row r="48" spans="1:10" ht="25.5" customHeight="1" x14ac:dyDescent="0.25">
      <c r="A48" s="4500"/>
      <c r="B48" s="4500"/>
      <c r="C48" s="4495" t="s">
        <v>1125</v>
      </c>
      <c r="D48" s="2014" t="s">
        <v>1815</v>
      </c>
      <c r="E48" s="2014" t="s">
        <v>2809</v>
      </c>
      <c r="F48" s="2011">
        <v>272.39218699999998</v>
      </c>
      <c r="G48" s="2011">
        <v>0</v>
      </c>
      <c r="H48" s="2011">
        <v>272.39218699999998</v>
      </c>
      <c r="I48" s="2011">
        <v>0</v>
      </c>
      <c r="J48" s="2012">
        <v>0</v>
      </c>
    </row>
    <row r="49" spans="1:10" ht="64.5" customHeight="1" x14ac:dyDescent="0.25">
      <c r="A49" s="4500"/>
      <c r="B49" s="4500"/>
      <c r="C49" s="4496"/>
      <c r="D49" s="2014" t="s">
        <v>1126</v>
      </c>
      <c r="E49" s="2014" t="s">
        <v>2810</v>
      </c>
      <c r="F49" s="2011">
        <v>272.39218699999998</v>
      </c>
      <c r="G49" s="2011">
        <v>0</v>
      </c>
      <c r="H49" s="2011">
        <v>272.39218699999998</v>
      </c>
      <c r="I49" s="2011">
        <v>0</v>
      </c>
      <c r="J49" s="2012">
        <v>0</v>
      </c>
    </row>
    <row r="50" spans="1:10" ht="39.75" customHeight="1" x14ac:dyDescent="0.25">
      <c r="A50" s="4500"/>
      <c r="B50" s="4500"/>
      <c r="C50" s="4495" t="s">
        <v>1127</v>
      </c>
      <c r="D50" s="2014" t="s">
        <v>1815</v>
      </c>
      <c r="E50" s="2014" t="s">
        <v>2848</v>
      </c>
      <c r="F50" s="2011">
        <v>1</v>
      </c>
      <c r="G50" s="2011">
        <v>0</v>
      </c>
      <c r="H50" s="2011">
        <v>0</v>
      </c>
      <c r="I50" s="2011">
        <v>1</v>
      </c>
      <c r="J50" s="2012">
        <v>0</v>
      </c>
    </row>
    <row r="51" spans="1:10" ht="24.75" customHeight="1" x14ac:dyDescent="0.25">
      <c r="A51" s="4500"/>
      <c r="B51" s="4500"/>
      <c r="C51" s="4496"/>
      <c r="D51" s="2014" t="s">
        <v>1128</v>
      </c>
      <c r="E51" s="2014" t="s">
        <v>2853</v>
      </c>
      <c r="F51" s="2011">
        <v>1</v>
      </c>
      <c r="G51" s="2011">
        <v>0</v>
      </c>
      <c r="H51" s="2011">
        <v>0</v>
      </c>
      <c r="I51" s="2011">
        <v>1</v>
      </c>
      <c r="J51" s="2012">
        <v>0</v>
      </c>
    </row>
    <row r="52" spans="1:10" ht="24.75" customHeight="1" x14ac:dyDescent="0.25">
      <c r="A52" s="4500"/>
      <c r="B52" s="4500"/>
      <c r="C52" s="4495" t="s">
        <v>1137</v>
      </c>
      <c r="D52" s="2014" t="s">
        <v>1815</v>
      </c>
      <c r="E52" s="2014" t="s">
        <v>2892</v>
      </c>
      <c r="F52" s="2011">
        <v>3.2269399999999999</v>
      </c>
      <c r="G52" s="2011">
        <v>0</v>
      </c>
      <c r="H52" s="2011">
        <v>0</v>
      </c>
      <c r="I52" s="2011">
        <v>3.2269399999999999</v>
      </c>
      <c r="J52" s="2012">
        <v>0</v>
      </c>
    </row>
    <row r="53" spans="1:10" ht="66.75" customHeight="1" x14ac:dyDescent="0.25">
      <c r="A53" s="4500"/>
      <c r="B53" s="4496"/>
      <c r="C53" s="4496"/>
      <c r="D53" s="2014" t="s">
        <v>1170</v>
      </c>
      <c r="E53" s="2014" t="s">
        <v>2901</v>
      </c>
      <c r="F53" s="2011">
        <v>3.2269399999999999</v>
      </c>
      <c r="G53" s="2011">
        <v>0</v>
      </c>
      <c r="H53" s="2011">
        <v>0</v>
      </c>
      <c r="I53" s="2011">
        <v>3.2269399999999999</v>
      </c>
      <c r="J53" s="2012">
        <v>0</v>
      </c>
    </row>
    <row r="54" spans="1:10" ht="60" customHeight="1" x14ac:dyDescent="0.25">
      <c r="A54" s="4500"/>
      <c r="B54" s="4495" t="s">
        <v>2564</v>
      </c>
      <c r="C54" s="4501" t="s">
        <v>1815</v>
      </c>
      <c r="D54" s="4503"/>
      <c r="E54" s="2014" t="s">
        <v>3096</v>
      </c>
      <c r="F54" s="2011">
        <v>59629.675670999997</v>
      </c>
      <c r="G54" s="2011">
        <v>224.172</v>
      </c>
      <c r="H54" s="2011">
        <v>0</v>
      </c>
      <c r="I54" s="2011">
        <v>59382.012531</v>
      </c>
      <c r="J54" s="2012">
        <v>23.491140000000001</v>
      </c>
    </row>
    <row r="55" spans="1:10" ht="26.25" customHeight="1" x14ac:dyDescent="0.25">
      <c r="A55" s="4500"/>
      <c r="B55" s="4500"/>
      <c r="C55" s="4495" t="s">
        <v>1129</v>
      </c>
      <c r="D55" s="2014" t="s">
        <v>1815</v>
      </c>
      <c r="E55" s="2014" t="s">
        <v>871</v>
      </c>
      <c r="F55" s="2011">
        <v>24564.477791000001</v>
      </c>
      <c r="G55" s="2011">
        <v>0</v>
      </c>
      <c r="H55" s="2011">
        <v>0</v>
      </c>
      <c r="I55" s="2011">
        <v>24564.477791000001</v>
      </c>
      <c r="J55" s="2012">
        <v>0</v>
      </c>
    </row>
    <row r="56" spans="1:10" ht="26.25" customHeight="1" x14ac:dyDescent="0.25">
      <c r="A56" s="4500"/>
      <c r="B56" s="4500"/>
      <c r="C56" s="4500"/>
      <c r="D56" s="2014" t="s">
        <v>1130</v>
      </c>
      <c r="E56" s="2014" t="s">
        <v>2801</v>
      </c>
      <c r="F56" s="2011">
        <v>24060.606959000001</v>
      </c>
      <c r="G56" s="2011">
        <v>0</v>
      </c>
      <c r="H56" s="2011">
        <v>0</v>
      </c>
      <c r="I56" s="2011">
        <v>24060.606959000001</v>
      </c>
      <c r="J56" s="2012">
        <v>0</v>
      </c>
    </row>
    <row r="57" spans="1:10" ht="26.25" customHeight="1" x14ac:dyDescent="0.25">
      <c r="A57" s="4500"/>
      <c r="B57" s="4500"/>
      <c r="C57" s="4496"/>
      <c r="D57" s="2014" t="s">
        <v>1133</v>
      </c>
      <c r="E57" s="2014" t="s">
        <v>2804</v>
      </c>
      <c r="F57" s="2011">
        <v>503.87083200000001</v>
      </c>
      <c r="G57" s="2011">
        <v>0</v>
      </c>
      <c r="H57" s="2011">
        <v>0</v>
      </c>
      <c r="I57" s="2011">
        <v>503.87083200000001</v>
      </c>
      <c r="J57" s="2012">
        <v>0</v>
      </c>
    </row>
    <row r="58" spans="1:10" ht="26.25" customHeight="1" x14ac:dyDescent="0.25">
      <c r="A58" s="4500"/>
      <c r="B58" s="4500"/>
      <c r="C58" s="4495" t="s">
        <v>1194</v>
      </c>
      <c r="D58" s="2014" t="s">
        <v>1815</v>
      </c>
      <c r="E58" s="2014" t="s">
        <v>874</v>
      </c>
      <c r="F58" s="2011">
        <v>23.491140000000001</v>
      </c>
      <c r="G58" s="2011">
        <v>0</v>
      </c>
      <c r="H58" s="2011">
        <v>0</v>
      </c>
      <c r="I58" s="2011">
        <v>0</v>
      </c>
      <c r="J58" s="2012">
        <v>23.491140000000001</v>
      </c>
    </row>
    <row r="59" spans="1:10" ht="38.25" customHeight="1" x14ac:dyDescent="0.25">
      <c r="A59" s="4500"/>
      <c r="B59" s="4500"/>
      <c r="C59" s="4496"/>
      <c r="D59" s="2014" t="s">
        <v>1197</v>
      </c>
      <c r="E59" s="2014" t="s">
        <v>2808</v>
      </c>
      <c r="F59" s="2011">
        <v>23.491140000000001</v>
      </c>
      <c r="G59" s="2011">
        <v>0</v>
      </c>
      <c r="H59" s="2011">
        <v>0</v>
      </c>
      <c r="I59" s="2011">
        <v>0</v>
      </c>
      <c r="J59" s="2012">
        <v>23.491140000000001</v>
      </c>
    </row>
    <row r="60" spans="1:10" ht="38.25" customHeight="1" x14ac:dyDescent="0.25">
      <c r="A60" s="4500"/>
      <c r="B60" s="4500"/>
      <c r="C60" s="4495" t="s">
        <v>1131</v>
      </c>
      <c r="D60" s="2014" t="s">
        <v>1815</v>
      </c>
      <c r="E60" s="2014" t="s">
        <v>2827</v>
      </c>
      <c r="F60" s="2011">
        <v>34749.162279999997</v>
      </c>
      <c r="G60" s="2011">
        <v>0</v>
      </c>
      <c r="H60" s="2011">
        <v>0</v>
      </c>
      <c r="I60" s="2011">
        <v>34749.162279999997</v>
      </c>
      <c r="J60" s="2012">
        <v>0</v>
      </c>
    </row>
    <row r="61" spans="1:10" ht="38.25" customHeight="1" x14ac:dyDescent="0.25">
      <c r="A61" s="4500"/>
      <c r="B61" s="4500"/>
      <c r="C61" s="4496"/>
      <c r="D61" s="2014" t="s">
        <v>1132</v>
      </c>
      <c r="E61" s="2014" t="s">
        <v>2829</v>
      </c>
      <c r="F61" s="2011">
        <v>34749.162279999997</v>
      </c>
      <c r="G61" s="2011">
        <v>0</v>
      </c>
      <c r="H61" s="2011">
        <v>0</v>
      </c>
      <c r="I61" s="2011">
        <v>34749.162279999997</v>
      </c>
      <c r="J61" s="2012">
        <v>0</v>
      </c>
    </row>
    <row r="62" spans="1:10" ht="22.5" customHeight="1" x14ac:dyDescent="0.25">
      <c r="A62" s="4500"/>
      <c r="B62" s="4500"/>
      <c r="C62" s="4495" t="s">
        <v>1118</v>
      </c>
      <c r="D62" s="2014" t="s">
        <v>1815</v>
      </c>
      <c r="E62" s="2014" t="s">
        <v>2864</v>
      </c>
      <c r="F62" s="2011">
        <v>224.172</v>
      </c>
      <c r="G62" s="2011">
        <v>224.172</v>
      </c>
      <c r="H62" s="2011">
        <v>0</v>
      </c>
      <c r="I62" s="2011">
        <v>0</v>
      </c>
      <c r="J62" s="2012">
        <v>0</v>
      </c>
    </row>
    <row r="63" spans="1:10" ht="91.5" customHeight="1" x14ac:dyDescent="0.25">
      <c r="A63" s="4500"/>
      <c r="B63" s="4500"/>
      <c r="C63" s="4496"/>
      <c r="D63" s="2014" t="s">
        <v>1164</v>
      </c>
      <c r="E63" s="2014" t="s">
        <v>2866</v>
      </c>
      <c r="F63" s="2011">
        <v>224.172</v>
      </c>
      <c r="G63" s="2011">
        <v>224.172</v>
      </c>
      <c r="H63" s="2011">
        <v>0</v>
      </c>
      <c r="I63" s="2011">
        <v>0</v>
      </c>
      <c r="J63" s="2012">
        <v>0</v>
      </c>
    </row>
    <row r="64" spans="1:10" ht="26.25" customHeight="1" x14ac:dyDescent="0.25">
      <c r="A64" s="4500"/>
      <c r="B64" s="4500"/>
      <c r="C64" s="4495" t="s">
        <v>1137</v>
      </c>
      <c r="D64" s="2014" t="s">
        <v>1815</v>
      </c>
      <c r="E64" s="2014" t="s">
        <v>2892</v>
      </c>
      <c r="F64" s="2011">
        <v>68.372460000000004</v>
      </c>
      <c r="G64" s="2011">
        <v>0</v>
      </c>
      <c r="H64" s="2011">
        <v>0</v>
      </c>
      <c r="I64" s="2011">
        <v>68.372460000000004</v>
      </c>
      <c r="J64" s="2012">
        <v>0</v>
      </c>
    </row>
    <row r="65" spans="1:10" ht="61.5" customHeight="1" x14ac:dyDescent="0.25">
      <c r="A65" s="4500"/>
      <c r="B65" s="4496"/>
      <c r="C65" s="4496"/>
      <c r="D65" s="2014" t="s">
        <v>1170</v>
      </c>
      <c r="E65" s="2014" t="s">
        <v>2901</v>
      </c>
      <c r="F65" s="2011">
        <v>68.372460000000004</v>
      </c>
      <c r="G65" s="2011">
        <v>0</v>
      </c>
      <c r="H65" s="2011">
        <v>0</v>
      </c>
      <c r="I65" s="2011">
        <v>68.372460000000004</v>
      </c>
      <c r="J65" s="2012">
        <v>0</v>
      </c>
    </row>
    <row r="66" spans="1:10" ht="80.25" customHeight="1" x14ac:dyDescent="0.25">
      <c r="A66" s="4500"/>
      <c r="B66" s="4495" t="s">
        <v>2565</v>
      </c>
      <c r="C66" s="4501" t="s">
        <v>1815</v>
      </c>
      <c r="D66" s="4503"/>
      <c r="E66" s="2014" t="s">
        <v>3097</v>
      </c>
      <c r="F66" s="2011">
        <v>7415.3733759999996</v>
      </c>
      <c r="G66" s="2011">
        <v>0</v>
      </c>
      <c r="H66" s="2011">
        <v>0</v>
      </c>
      <c r="I66" s="2011">
        <v>7414.7480299999997</v>
      </c>
      <c r="J66" s="2012">
        <v>0.62534599999999996</v>
      </c>
    </row>
    <row r="67" spans="1:10" ht="23.25" customHeight="1" x14ac:dyDescent="0.25">
      <c r="A67" s="4500"/>
      <c r="B67" s="4500"/>
      <c r="C67" s="4495" t="s">
        <v>1129</v>
      </c>
      <c r="D67" s="2014" t="s">
        <v>1815</v>
      </c>
      <c r="E67" s="2014" t="s">
        <v>871</v>
      </c>
      <c r="F67" s="2011">
        <v>3029.6730899999998</v>
      </c>
      <c r="G67" s="2011">
        <v>0</v>
      </c>
      <c r="H67" s="2011">
        <v>0</v>
      </c>
      <c r="I67" s="2011">
        <v>3029.6730899999998</v>
      </c>
      <c r="J67" s="2012">
        <v>0</v>
      </c>
    </row>
    <row r="68" spans="1:10" ht="23.25" customHeight="1" x14ac:dyDescent="0.25">
      <c r="A68" s="4500"/>
      <c r="B68" s="4500"/>
      <c r="C68" s="4500"/>
      <c r="D68" s="2014" t="s">
        <v>1130</v>
      </c>
      <c r="E68" s="2014" t="s">
        <v>2801</v>
      </c>
      <c r="F68" s="2011">
        <v>2953.7336770000002</v>
      </c>
      <c r="G68" s="2011">
        <v>0</v>
      </c>
      <c r="H68" s="2011">
        <v>0</v>
      </c>
      <c r="I68" s="2011">
        <v>2953.7336770000002</v>
      </c>
      <c r="J68" s="2012">
        <v>0</v>
      </c>
    </row>
    <row r="69" spans="1:10" ht="23.25" customHeight="1" x14ac:dyDescent="0.25">
      <c r="A69" s="4500"/>
      <c r="B69" s="4500"/>
      <c r="C69" s="4496"/>
      <c r="D69" s="2014" t="s">
        <v>1133</v>
      </c>
      <c r="E69" s="2014" t="s">
        <v>2804</v>
      </c>
      <c r="F69" s="2011">
        <v>75.939413000000002</v>
      </c>
      <c r="G69" s="2011">
        <v>0</v>
      </c>
      <c r="H69" s="2011">
        <v>0</v>
      </c>
      <c r="I69" s="2011">
        <v>75.939413000000002</v>
      </c>
      <c r="J69" s="2012">
        <v>0</v>
      </c>
    </row>
    <row r="70" spans="1:10" ht="23.25" customHeight="1" x14ac:dyDescent="0.25">
      <c r="A70" s="4500"/>
      <c r="B70" s="4500"/>
      <c r="C70" s="4495" t="s">
        <v>1194</v>
      </c>
      <c r="D70" s="2014" t="s">
        <v>1815</v>
      </c>
      <c r="E70" s="2014" t="s">
        <v>874</v>
      </c>
      <c r="F70" s="2011">
        <v>0.62534599999999996</v>
      </c>
      <c r="G70" s="2011">
        <v>0</v>
      </c>
      <c r="H70" s="2011">
        <v>0</v>
      </c>
      <c r="I70" s="2011">
        <v>0</v>
      </c>
      <c r="J70" s="2012">
        <v>0.62534599999999996</v>
      </c>
    </row>
    <row r="71" spans="1:10" ht="42" customHeight="1" x14ac:dyDescent="0.25">
      <c r="A71" s="4500"/>
      <c r="B71" s="4500"/>
      <c r="C71" s="4496"/>
      <c r="D71" s="2014" t="s">
        <v>1197</v>
      </c>
      <c r="E71" s="2014" t="s">
        <v>2808</v>
      </c>
      <c r="F71" s="2011">
        <v>0.62534599999999996</v>
      </c>
      <c r="G71" s="2011">
        <v>0</v>
      </c>
      <c r="H71" s="2011">
        <v>0</v>
      </c>
      <c r="I71" s="2011">
        <v>0</v>
      </c>
      <c r="J71" s="2012">
        <v>0.62534599999999996</v>
      </c>
    </row>
    <row r="72" spans="1:10" ht="42" customHeight="1" x14ac:dyDescent="0.25">
      <c r="A72" s="4500"/>
      <c r="B72" s="4500"/>
      <c r="C72" s="4495" t="s">
        <v>1131</v>
      </c>
      <c r="D72" s="2014" t="s">
        <v>1815</v>
      </c>
      <c r="E72" s="2014" t="s">
        <v>2827</v>
      </c>
      <c r="F72" s="2011">
        <v>4385.073316</v>
      </c>
      <c r="G72" s="2011">
        <v>0</v>
      </c>
      <c r="H72" s="2011">
        <v>0</v>
      </c>
      <c r="I72" s="2011">
        <v>4385.073316</v>
      </c>
      <c r="J72" s="2012">
        <v>0</v>
      </c>
    </row>
    <row r="73" spans="1:10" ht="42" customHeight="1" x14ac:dyDescent="0.25">
      <c r="A73" s="4500"/>
      <c r="B73" s="4500"/>
      <c r="C73" s="4496"/>
      <c r="D73" s="2014" t="s">
        <v>1132</v>
      </c>
      <c r="E73" s="2014" t="s">
        <v>2829</v>
      </c>
      <c r="F73" s="2011">
        <v>4385.073316</v>
      </c>
      <c r="G73" s="2011">
        <v>0</v>
      </c>
      <c r="H73" s="2011">
        <v>0</v>
      </c>
      <c r="I73" s="2011">
        <v>4385.073316</v>
      </c>
      <c r="J73" s="2012">
        <v>0</v>
      </c>
    </row>
    <row r="74" spans="1:10" ht="24.75" customHeight="1" x14ac:dyDescent="0.25">
      <c r="A74" s="4500"/>
      <c r="B74" s="4500"/>
      <c r="C74" s="4495" t="s">
        <v>1137</v>
      </c>
      <c r="D74" s="2014" t="s">
        <v>1815</v>
      </c>
      <c r="E74" s="2014" t="s">
        <v>2892</v>
      </c>
      <c r="F74" s="2011">
        <v>1.624E-3</v>
      </c>
      <c r="G74" s="2011">
        <v>0</v>
      </c>
      <c r="H74" s="2011">
        <v>0</v>
      </c>
      <c r="I74" s="2011">
        <v>1.624E-3</v>
      </c>
      <c r="J74" s="2012">
        <v>0</v>
      </c>
    </row>
    <row r="75" spans="1:10" ht="62.25" customHeight="1" x14ac:dyDescent="0.25">
      <c r="A75" s="4496"/>
      <c r="B75" s="4496"/>
      <c r="C75" s="4496"/>
      <c r="D75" s="2014" t="s">
        <v>1170</v>
      </c>
      <c r="E75" s="2014" t="s">
        <v>2901</v>
      </c>
      <c r="F75" s="2011">
        <v>1.624E-3</v>
      </c>
      <c r="G75" s="2011">
        <v>0</v>
      </c>
      <c r="H75" s="2011">
        <v>0</v>
      </c>
      <c r="I75" s="2011">
        <v>1.624E-3</v>
      </c>
      <c r="J75" s="2012">
        <v>0</v>
      </c>
    </row>
    <row r="76" spans="1:10" ht="33.75" customHeight="1" x14ac:dyDescent="0.25">
      <c r="A76" s="4495" t="s">
        <v>1774</v>
      </c>
      <c r="B76" s="4501" t="s">
        <v>1815</v>
      </c>
      <c r="C76" s="4502"/>
      <c r="D76" s="4502"/>
      <c r="E76" s="4503"/>
      <c r="F76" s="2011">
        <v>29686.999481999999</v>
      </c>
      <c r="G76" s="2011">
        <v>0</v>
      </c>
      <c r="H76" s="2011">
        <v>11573.798096</v>
      </c>
      <c r="I76" s="2011">
        <v>18038.261716000001</v>
      </c>
      <c r="J76" s="2012">
        <v>74.939670000000007</v>
      </c>
    </row>
    <row r="77" spans="1:10" ht="27" customHeight="1" x14ac:dyDescent="0.25">
      <c r="A77" s="4500"/>
      <c r="B77" s="4495" t="s">
        <v>2567</v>
      </c>
      <c r="C77" s="4501" t="s">
        <v>1815</v>
      </c>
      <c r="D77" s="4503"/>
      <c r="E77" s="2014" t="s">
        <v>3098</v>
      </c>
      <c r="F77" s="2011">
        <v>405.76784300000003</v>
      </c>
      <c r="G77" s="2011">
        <v>0</v>
      </c>
      <c r="H77" s="2011">
        <v>403.28</v>
      </c>
      <c r="I77" s="2011">
        <v>2.4878429999999998</v>
      </c>
      <c r="J77" s="2012">
        <v>0</v>
      </c>
    </row>
    <row r="78" spans="1:10" ht="46.5" customHeight="1" x14ac:dyDescent="0.25">
      <c r="A78" s="4500"/>
      <c r="B78" s="4500"/>
      <c r="C78" s="4495" t="s">
        <v>2254</v>
      </c>
      <c r="D78" s="2014" t="s">
        <v>1815</v>
      </c>
      <c r="E78" s="2014" t="s">
        <v>2815</v>
      </c>
      <c r="F78" s="2011">
        <v>2.4500000000000002</v>
      </c>
      <c r="G78" s="2011">
        <v>0</v>
      </c>
      <c r="H78" s="2011">
        <v>0</v>
      </c>
      <c r="I78" s="2011">
        <v>2.4500000000000002</v>
      </c>
      <c r="J78" s="2012">
        <v>0</v>
      </c>
    </row>
    <row r="79" spans="1:10" ht="26.25" customHeight="1" x14ac:dyDescent="0.25">
      <c r="A79" s="4500"/>
      <c r="B79" s="4500"/>
      <c r="C79" s="4496"/>
      <c r="D79" s="2014" t="s">
        <v>2255</v>
      </c>
      <c r="E79" s="2014" t="s">
        <v>2816</v>
      </c>
      <c r="F79" s="2011">
        <v>2.4500000000000002</v>
      </c>
      <c r="G79" s="2011">
        <v>0</v>
      </c>
      <c r="H79" s="2011">
        <v>0</v>
      </c>
      <c r="I79" s="2011">
        <v>2.4500000000000002</v>
      </c>
      <c r="J79" s="2012">
        <v>0</v>
      </c>
    </row>
    <row r="80" spans="1:10" ht="26.25" customHeight="1" x14ac:dyDescent="0.25">
      <c r="A80" s="4500"/>
      <c r="B80" s="4500"/>
      <c r="C80" s="4495" t="s">
        <v>1118</v>
      </c>
      <c r="D80" s="2014" t="s">
        <v>1815</v>
      </c>
      <c r="E80" s="2014" t="s">
        <v>2864</v>
      </c>
      <c r="F80" s="2011">
        <v>403.28</v>
      </c>
      <c r="G80" s="2011">
        <v>0</v>
      </c>
      <c r="H80" s="2011">
        <v>403.28</v>
      </c>
      <c r="I80" s="2011">
        <v>0</v>
      </c>
      <c r="J80" s="2012">
        <v>0</v>
      </c>
    </row>
    <row r="81" spans="1:10" ht="64.5" customHeight="1" x14ac:dyDescent="0.25">
      <c r="A81" s="4500"/>
      <c r="B81" s="4500"/>
      <c r="C81" s="4500"/>
      <c r="D81" s="2014" t="s">
        <v>2874</v>
      </c>
      <c r="E81" s="2014" t="s">
        <v>2875</v>
      </c>
      <c r="F81" s="2011">
        <v>0.03</v>
      </c>
      <c r="G81" s="2011">
        <v>0</v>
      </c>
      <c r="H81" s="2011">
        <v>0.03</v>
      </c>
      <c r="I81" s="2011">
        <v>0</v>
      </c>
      <c r="J81" s="2012">
        <v>0</v>
      </c>
    </row>
    <row r="82" spans="1:10" ht="33" x14ac:dyDescent="0.25">
      <c r="A82" s="4500"/>
      <c r="B82" s="4500"/>
      <c r="C82" s="4500"/>
      <c r="D82" s="2014" t="s">
        <v>1841</v>
      </c>
      <c r="E82" s="2014" t="s">
        <v>2876</v>
      </c>
      <c r="F82" s="2011">
        <v>397.5</v>
      </c>
      <c r="G82" s="2011">
        <v>0</v>
      </c>
      <c r="H82" s="2011">
        <v>397.5</v>
      </c>
      <c r="I82" s="2011">
        <v>0</v>
      </c>
      <c r="J82" s="2012">
        <v>0</v>
      </c>
    </row>
    <row r="83" spans="1:10" ht="23.25" customHeight="1" x14ac:dyDescent="0.25">
      <c r="A83" s="4500"/>
      <c r="B83" s="4500"/>
      <c r="C83" s="4496"/>
      <c r="D83" s="2014" t="s">
        <v>1180</v>
      </c>
      <c r="E83" s="2014" t="s">
        <v>2878</v>
      </c>
      <c r="F83" s="2011">
        <v>5.75</v>
      </c>
      <c r="G83" s="2011">
        <v>0</v>
      </c>
      <c r="H83" s="2011">
        <v>5.75</v>
      </c>
      <c r="I83" s="2011">
        <v>0</v>
      </c>
      <c r="J83" s="2012">
        <v>0</v>
      </c>
    </row>
    <row r="84" spans="1:10" ht="33" customHeight="1" x14ac:dyDescent="0.25">
      <c r="A84" s="4500"/>
      <c r="B84" s="4500"/>
      <c r="C84" s="4495" t="s">
        <v>1137</v>
      </c>
      <c r="D84" s="2014" t="s">
        <v>1815</v>
      </c>
      <c r="E84" s="2014" t="s">
        <v>2892</v>
      </c>
      <c r="F84" s="2011">
        <v>3.7843000000000002E-2</v>
      </c>
      <c r="G84" s="2011">
        <v>0</v>
      </c>
      <c r="H84" s="2011">
        <v>0</v>
      </c>
      <c r="I84" s="2011">
        <v>3.7843000000000002E-2</v>
      </c>
      <c r="J84" s="2012">
        <v>0</v>
      </c>
    </row>
    <row r="85" spans="1:10" ht="61.5" customHeight="1" x14ac:dyDescent="0.25">
      <c r="A85" s="4500"/>
      <c r="B85" s="4496"/>
      <c r="C85" s="4496"/>
      <c r="D85" s="2014" t="s">
        <v>1170</v>
      </c>
      <c r="E85" s="2014" t="s">
        <v>2901</v>
      </c>
      <c r="F85" s="2011">
        <v>3.7843000000000002E-2</v>
      </c>
      <c r="G85" s="2011">
        <v>0</v>
      </c>
      <c r="H85" s="2011">
        <v>0</v>
      </c>
      <c r="I85" s="2011">
        <v>3.7843000000000002E-2</v>
      </c>
      <c r="J85" s="2012">
        <v>0</v>
      </c>
    </row>
    <row r="86" spans="1:10" ht="29.25" customHeight="1" x14ac:dyDescent="0.25">
      <c r="A86" s="4500"/>
      <c r="B86" s="4495" t="s">
        <v>2568</v>
      </c>
      <c r="C86" s="4501" t="s">
        <v>1815</v>
      </c>
      <c r="D86" s="4503"/>
      <c r="E86" s="2014" t="s">
        <v>3099</v>
      </c>
      <c r="F86" s="2011">
        <v>93.168499999999995</v>
      </c>
      <c r="G86" s="2011">
        <v>0</v>
      </c>
      <c r="H86" s="2011">
        <v>0</v>
      </c>
      <c r="I86" s="2011">
        <v>93.168499999999995</v>
      </c>
      <c r="J86" s="2012">
        <v>0</v>
      </c>
    </row>
    <row r="87" spans="1:10" ht="29.25" customHeight="1" x14ac:dyDescent="0.25">
      <c r="A87" s="4500"/>
      <c r="B87" s="4500"/>
      <c r="C87" s="4495" t="s">
        <v>1121</v>
      </c>
      <c r="D87" s="2014" t="s">
        <v>1815</v>
      </c>
      <c r="E87" s="2014" t="s">
        <v>2834</v>
      </c>
      <c r="F87" s="2011">
        <v>93.168499999999995</v>
      </c>
      <c r="G87" s="2011">
        <v>0</v>
      </c>
      <c r="H87" s="2011">
        <v>0</v>
      </c>
      <c r="I87" s="2011">
        <v>93.168499999999995</v>
      </c>
      <c r="J87" s="2012">
        <v>0</v>
      </c>
    </row>
    <row r="88" spans="1:10" ht="29.25" customHeight="1" x14ac:dyDescent="0.25">
      <c r="A88" s="4500"/>
      <c r="B88" s="4500"/>
      <c r="C88" s="4500"/>
      <c r="D88" s="2014" t="s">
        <v>1199</v>
      </c>
      <c r="E88" s="2014" t="s">
        <v>2838</v>
      </c>
      <c r="F88" s="2011">
        <v>88.523499999999999</v>
      </c>
      <c r="G88" s="2011">
        <v>0</v>
      </c>
      <c r="H88" s="2011">
        <v>0</v>
      </c>
      <c r="I88" s="2011">
        <v>88.523499999999999</v>
      </c>
      <c r="J88" s="2012">
        <v>0</v>
      </c>
    </row>
    <row r="89" spans="1:10" ht="29.25" customHeight="1" x14ac:dyDescent="0.25">
      <c r="A89" s="4500"/>
      <c r="B89" s="4496"/>
      <c r="C89" s="4496"/>
      <c r="D89" s="2014" t="s">
        <v>1143</v>
      </c>
      <c r="E89" s="2014" t="s">
        <v>2839</v>
      </c>
      <c r="F89" s="2011">
        <v>4.6449999999999996</v>
      </c>
      <c r="G89" s="2011">
        <v>0</v>
      </c>
      <c r="H89" s="2011">
        <v>0</v>
      </c>
      <c r="I89" s="2011">
        <v>4.6449999999999996</v>
      </c>
      <c r="J89" s="2012">
        <v>0</v>
      </c>
    </row>
    <row r="90" spans="1:10" ht="29.25" customHeight="1" x14ac:dyDescent="0.25">
      <c r="A90" s="4500"/>
      <c r="B90" s="4495" t="s">
        <v>2570</v>
      </c>
      <c r="C90" s="4501" t="s">
        <v>1815</v>
      </c>
      <c r="D90" s="4503"/>
      <c r="E90" s="2014" t="s">
        <v>1622</v>
      </c>
      <c r="F90" s="2011">
        <v>23.105035999999998</v>
      </c>
      <c r="G90" s="2011">
        <v>0</v>
      </c>
      <c r="H90" s="2011">
        <v>0</v>
      </c>
      <c r="I90" s="2011">
        <v>23.105035999999998</v>
      </c>
      <c r="J90" s="2012">
        <v>0</v>
      </c>
    </row>
    <row r="91" spans="1:10" ht="29.25" customHeight="1" x14ac:dyDescent="0.25">
      <c r="A91" s="4500"/>
      <c r="B91" s="4500"/>
      <c r="C91" s="4495" t="s">
        <v>1135</v>
      </c>
      <c r="D91" s="2014" t="s">
        <v>1815</v>
      </c>
      <c r="E91" s="2014" t="s">
        <v>870</v>
      </c>
      <c r="F91" s="2011">
        <v>17.218337999999999</v>
      </c>
      <c r="G91" s="2011">
        <v>0</v>
      </c>
      <c r="H91" s="2011">
        <v>0</v>
      </c>
      <c r="I91" s="2011">
        <v>17.218337999999999</v>
      </c>
      <c r="J91" s="2012">
        <v>0</v>
      </c>
    </row>
    <row r="92" spans="1:10" ht="60" customHeight="1" x14ac:dyDescent="0.25">
      <c r="A92" s="4500"/>
      <c r="B92" s="4500"/>
      <c r="C92" s="4496"/>
      <c r="D92" s="2014" t="s">
        <v>1136</v>
      </c>
      <c r="E92" s="2014" t="s">
        <v>2795</v>
      </c>
      <c r="F92" s="2011">
        <v>17.218337999999999</v>
      </c>
      <c r="G92" s="2011">
        <v>0</v>
      </c>
      <c r="H92" s="2011">
        <v>0</v>
      </c>
      <c r="I92" s="2011">
        <v>17.218337999999999</v>
      </c>
      <c r="J92" s="2012">
        <v>0</v>
      </c>
    </row>
    <row r="93" spans="1:10" ht="27" customHeight="1" x14ac:dyDescent="0.25">
      <c r="A93" s="4500"/>
      <c r="B93" s="4500"/>
      <c r="C93" s="4495" t="s">
        <v>1125</v>
      </c>
      <c r="D93" s="2014" t="s">
        <v>1815</v>
      </c>
      <c r="E93" s="2014" t="s">
        <v>2809</v>
      </c>
      <c r="F93" s="2011">
        <v>4.886698</v>
      </c>
      <c r="G93" s="2011">
        <v>0</v>
      </c>
      <c r="H93" s="2011">
        <v>0</v>
      </c>
      <c r="I93" s="2011">
        <v>4.886698</v>
      </c>
      <c r="J93" s="2012">
        <v>0</v>
      </c>
    </row>
    <row r="94" spans="1:10" ht="57" customHeight="1" x14ac:dyDescent="0.25">
      <c r="A94" s="4500"/>
      <c r="B94" s="4500"/>
      <c r="C94" s="4496"/>
      <c r="D94" s="2014" t="s">
        <v>1126</v>
      </c>
      <c r="E94" s="2014" t="s">
        <v>2810</v>
      </c>
      <c r="F94" s="2011">
        <v>4.886698</v>
      </c>
      <c r="G94" s="2011">
        <v>0</v>
      </c>
      <c r="H94" s="2011">
        <v>0</v>
      </c>
      <c r="I94" s="2011">
        <v>4.886698</v>
      </c>
      <c r="J94" s="2012">
        <v>0</v>
      </c>
    </row>
    <row r="95" spans="1:10" ht="43.5" customHeight="1" x14ac:dyDescent="0.25">
      <c r="A95" s="4500"/>
      <c r="B95" s="4500"/>
      <c r="C95" s="4495" t="s">
        <v>1127</v>
      </c>
      <c r="D95" s="2014" t="s">
        <v>1815</v>
      </c>
      <c r="E95" s="2014" t="s">
        <v>2848</v>
      </c>
      <c r="F95" s="2011">
        <v>1</v>
      </c>
      <c r="G95" s="2011">
        <v>0</v>
      </c>
      <c r="H95" s="2011">
        <v>0</v>
      </c>
      <c r="I95" s="2011">
        <v>1</v>
      </c>
      <c r="J95" s="2012">
        <v>0</v>
      </c>
    </row>
    <row r="96" spans="1:10" ht="24" customHeight="1" x14ac:dyDescent="0.25">
      <c r="A96" s="4500"/>
      <c r="B96" s="4496"/>
      <c r="C96" s="4496"/>
      <c r="D96" s="2014" t="s">
        <v>1128</v>
      </c>
      <c r="E96" s="2014" t="s">
        <v>2853</v>
      </c>
      <c r="F96" s="2011">
        <v>1</v>
      </c>
      <c r="G96" s="2011">
        <v>0</v>
      </c>
      <c r="H96" s="2011">
        <v>0</v>
      </c>
      <c r="I96" s="2011">
        <v>1</v>
      </c>
      <c r="J96" s="2012">
        <v>0</v>
      </c>
    </row>
    <row r="97" spans="1:10" ht="24" customHeight="1" x14ac:dyDescent="0.25">
      <c r="A97" s="4500"/>
      <c r="B97" s="4495" t="s">
        <v>2571</v>
      </c>
      <c r="C97" s="4501" t="s">
        <v>1815</v>
      </c>
      <c r="D97" s="4503"/>
      <c r="E97" s="2014" t="s">
        <v>3100</v>
      </c>
      <c r="F97" s="2011">
        <v>48.584000000000003</v>
      </c>
      <c r="G97" s="2011">
        <v>0</v>
      </c>
      <c r="H97" s="2011">
        <v>0</v>
      </c>
      <c r="I97" s="2011">
        <v>48.584000000000003</v>
      </c>
      <c r="J97" s="2012">
        <v>0</v>
      </c>
    </row>
    <row r="98" spans="1:10" ht="56.25" customHeight="1" x14ac:dyDescent="0.25">
      <c r="A98" s="4500"/>
      <c r="B98" s="4500"/>
      <c r="C98" s="4495" t="s">
        <v>1139</v>
      </c>
      <c r="D98" s="2014" t="s">
        <v>1815</v>
      </c>
      <c r="E98" s="2014" t="s">
        <v>2843</v>
      </c>
      <c r="F98" s="2011">
        <v>48.584000000000003</v>
      </c>
      <c r="G98" s="2011">
        <v>0</v>
      </c>
      <c r="H98" s="2011">
        <v>0</v>
      </c>
      <c r="I98" s="2011">
        <v>48.584000000000003</v>
      </c>
      <c r="J98" s="2012">
        <v>0</v>
      </c>
    </row>
    <row r="99" spans="1:10" ht="56.25" customHeight="1" x14ac:dyDescent="0.25">
      <c r="A99" s="4500"/>
      <c r="B99" s="4496"/>
      <c r="C99" s="4496"/>
      <c r="D99" s="2014" t="s">
        <v>1140</v>
      </c>
      <c r="E99" s="2014" t="s">
        <v>2846</v>
      </c>
      <c r="F99" s="2011">
        <v>48.584000000000003</v>
      </c>
      <c r="G99" s="2011">
        <v>0</v>
      </c>
      <c r="H99" s="2011">
        <v>0</v>
      </c>
      <c r="I99" s="2011">
        <v>48.584000000000003</v>
      </c>
      <c r="J99" s="2012">
        <v>0</v>
      </c>
    </row>
    <row r="100" spans="1:10" ht="33" x14ac:dyDescent="0.25">
      <c r="A100" s="4500"/>
      <c r="B100" s="4495" t="s">
        <v>3101</v>
      </c>
      <c r="C100" s="4501" t="s">
        <v>1815</v>
      </c>
      <c r="D100" s="4503"/>
      <c r="E100" s="2014" t="s">
        <v>3102</v>
      </c>
      <c r="F100" s="2011">
        <v>0.38808700000000002</v>
      </c>
      <c r="G100" s="2011">
        <v>0</v>
      </c>
      <c r="H100" s="2011">
        <v>0</v>
      </c>
      <c r="I100" s="2011">
        <v>0</v>
      </c>
      <c r="J100" s="2012">
        <v>0.38808700000000002</v>
      </c>
    </row>
    <row r="101" spans="1:10" ht="29.25" customHeight="1" x14ac:dyDescent="0.25">
      <c r="A101" s="4500"/>
      <c r="B101" s="4500"/>
      <c r="C101" s="4495" t="s">
        <v>1194</v>
      </c>
      <c r="D101" s="2014" t="s">
        <v>1815</v>
      </c>
      <c r="E101" s="2014" t="s">
        <v>874</v>
      </c>
      <c r="F101" s="2011">
        <v>0.38808700000000002</v>
      </c>
      <c r="G101" s="2011">
        <v>0</v>
      </c>
      <c r="H101" s="2011">
        <v>0</v>
      </c>
      <c r="I101" s="2011">
        <v>0</v>
      </c>
      <c r="J101" s="2012">
        <v>0.38808700000000002</v>
      </c>
    </row>
    <row r="102" spans="1:10" ht="45.75" customHeight="1" x14ac:dyDescent="0.25">
      <c r="A102" s="4500"/>
      <c r="B102" s="4496"/>
      <c r="C102" s="4496"/>
      <c r="D102" s="2014" t="s">
        <v>1197</v>
      </c>
      <c r="E102" s="2014" t="s">
        <v>2808</v>
      </c>
      <c r="F102" s="2011">
        <v>0.38808700000000002</v>
      </c>
      <c r="G102" s="2011">
        <v>0</v>
      </c>
      <c r="H102" s="2011">
        <v>0</v>
      </c>
      <c r="I102" s="2011">
        <v>0</v>
      </c>
      <c r="J102" s="2012">
        <v>0.38808700000000002</v>
      </c>
    </row>
    <row r="103" spans="1:10" ht="28.5" customHeight="1" x14ac:dyDescent="0.25">
      <c r="A103" s="4500"/>
      <c r="B103" s="4495" t="s">
        <v>2572</v>
      </c>
      <c r="C103" s="4501" t="s">
        <v>1815</v>
      </c>
      <c r="D103" s="4503"/>
      <c r="E103" s="2014" t="s">
        <v>3103</v>
      </c>
      <c r="F103" s="2011">
        <v>3244.1198340000001</v>
      </c>
      <c r="G103" s="2011">
        <v>0</v>
      </c>
      <c r="H103" s="2011">
        <v>0</v>
      </c>
      <c r="I103" s="2011">
        <v>3219.7769870000002</v>
      </c>
      <c r="J103" s="2012">
        <v>24.342846999999999</v>
      </c>
    </row>
    <row r="104" spans="1:10" ht="28.5" customHeight="1" x14ac:dyDescent="0.25">
      <c r="A104" s="4500"/>
      <c r="B104" s="4500"/>
      <c r="C104" s="4495" t="s">
        <v>1129</v>
      </c>
      <c r="D104" s="2014" t="s">
        <v>1815</v>
      </c>
      <c r="E104" s="2014" t="s">
        <v>871</v>
      </c>
      <c r="F104" s="2011">
        <v>1142.785351</v>
      </c>
      <c r="G104" s="2011">
        <v>0</v>
      </c>
      <c r="H104" s="2011">
        <v>0</v>
      </c>
      <c r="I104" s="2011">
        <v>1142.785351</v>
      </c>
      <c r="J104" s="2012">
        <v>0</v>
      </c>
    </row>
    <row r="105" spans="1:10" ht="28.5" customHeight="1" x14ac:dyDescent="0.25">
      <c r="A105" s="4500"/>
      <c r="B105" s="4500"/>
      <c r="C105" s="4496"/>
      <c r="D105" s="2014" t="s">
        <v>1130</v>
      </c>
      <c r="E105" s="2014" t="s">
        <v>2801</v>
      </c>
      <c r="F105" s="2011">
        <v>1142.785351</v>
      </c>
      <c r="G105" s="2011">
        <v>0</v>
      </c>
      <c r="H105" s="2011">
        <v>0</v>
      </c>
      <c r="I105" s="2011">
        <v>1142.785351</v>
      </c>
      <c r="J105" s="2012">
        <v>0</v>
      </c>
    </row>
    <row r="106" spans="1:10" ht="28.5" customHeight="1" x14ac:dyDescent="0.25">
      <c r="A106" s="4500"/>
      <c r="B106" s="4500"/>
      <c r="C106" s="4495" t="s">
        <v>1194</v>
      </c>
      <c r="D106" s="2014" t="s">
        <v>1815</v>
      </c>
      <c r="E106" s="2014" t="s">
        <v>874</v>
      </c>
      <c r="F106" s="2011">
        <v>24.342846999999999</v>
      </c>
      <c r="G106" s="2011">
        <v>0</v>
      </c>
      <c r="H106" s="2011">
        <v>0</v>
      </c>
      <c r="I106" s="2011">
        <v>0</v>
      </c>
      <c r="J106" s="2012">
        <v>24.342846999999999</v>
      </c>
    </row>
    <row r="107" spans="1:10" ht="47.25" customHeight="1" x14ac:dyDescent="0.25">
      <c r="A107" s="4500"/>
      <c r="B107" s="4500"/>
      <c r="C107" s="4496"/>
      <c r="D107" s="2014" t="s">
        <v>1197</v>
      </c>
      <c r="E107" s="2014" t="s">
        <v>2808</v>
      </c>
      <c r="F107" s="2011">
        <v>24.342846999999999</v>
      </c>
      <c r="G107" s="2011">
        <v>0</v>
      </c>
      <c r="H107" s="2011">
        <v>0</v>
      </c>
      <c r="I107" s="2011">
        <v>0</v>
      </c>
      <c r="J107" s="2012">
        <v>24.342846999999999</v>
      </c>
    </row>
    <row r="108" spans="1:10" ht="47.25" customHeight="1" x14ac:dyDescent="0.25">
      <c r="A108" s="4500"/>
      <c r="B108" s="4500"/>
      <c r="C108" s="4495" t="s">
        <v>1125</v>
      </c>
      <c r="D108" s="2014" t="s">
        <v>1815</v>
      </c>
      <c r="E108" s="2014" t="s">
        <v>2809</v>
      </c>
      <c r="F108" s="2011">
        <v>193.470573</v>
      </c>
      <c r="G108" s="2011">
        <v>0</v>
      </c>
      <c r="H108" s="2011">
        <v>0</v>
      </c>
      <c r="I108" s="2011">
        <v>193.470573</v>
      </c>
      <c r="J108" s="2012">
        <v>0</v>
      </c>
    </row>
    <row r="109" spans="1:10" ht="62.25" customHeight="1" x14ac:dyDescent="0.25">
      <c r="A109" s="4500"/>
      <c r="B109" s="4500"/>
      <c r="C109" s="4496"/>
      <c r="D109" s="2014" t="s">
        <v>1126</v>
      </c>
      <c r="E109" s="2014" t="s">
        <v>2810</v>
      </c>
      <c r="F109" s="2011">
        <v>193.470573</v>
      </c>
      <c r="G109" s="2011">
        <v>0</v>
      </c>
      <c r="H109" s="2011">
        <v>0</v>
      </c>
      <c r="I109" s="2011">
        <v>193.470573</v>
      </c>
      <c r="J109" s="2012">
        <v>0</v>
      </c>
    </row>
    <row r="110" spans="1:10" ht="48" customHeight="1" x14ac:dyDescent="0.25">
      <c r="A110" s="4500"/>
      <c r="B110" s="4500"/>
      <c r="C110" s="4495" t="s">
        <v>1131</v>
      </c>
      <c r="D110" s="2014" t="s">
        <v>1815</v>
      </c>
      <c r="E110" s="2014" t="s">
        <v>2827</v>
      </c>
      <c r="F110" s="2011">
        <v>1882.54</v>
      </c>
      <c r="G110" s="2011">
        <v>0</v>
      </c>
      <c r="H110" s="2011">
        <v>0</v>
      </c>
      <c r="I110" s="2011">
        <v>1882.54</v>
      </c>
      <c r="J110" s="2012">
        <v>0</v>
      </c>
    </row>
    <row r="111" spans="1:10" ht="48" customHeight="1" x14ac:dyDescent="0.25">
      <c r="A111" s="4500"/>
      <c r="B111" s="4500"/>
      <c r="C111" s="4496"/>
      <c r="D111" s="2014" t="s">
        <v>1132</v>
      </c>
      <c r="E111" s="2014" t="s">
        <v>2829</v>
      </c>
      <c r="F111" s="2011">
        <v>1882.54</v>
      </c>
      <c r="G111" s="2011">
        <v>0</v>
      </c>
      <c r="H111" s="2011">
        <v>0</v>
      </c>
      <c r="I111" s="2011">
        <v>1882.54</v>
      </c>
      <c r="J111" s="2012">
        <v>0</v>
      </c>
    </row>
    <row r="112" spans="1:10" x14ac:dyDescent="0.25">
      <c r="A112" s="4500"/>
      <c r="B112" s="4500"/>
      <c r="C112" s="4495" t="s">
        <v>1137</v>
      </c>
      <c r="D112" s="2014" t="s">
        <v>1815</v>
      </c>
      <c r="E112" s="2014" t="s">
        <v>2892</v>
      </c>
      <c r="F112" s="2011">
        <v>0.98106300000000002</v>
      </c>
      <c r="G112" s="2011">
        <v>0</v>
      </c>
      <c r="H112" s="2011">
        <v>0</v>
      </c>
      <c r="I112" s="2011">
        <v>0.98106300000000002</v>
      </c>
      <c r="J112" s="2012">
        <v>0</v>
      </c>
    </row>
    <row r="113" spans="1:10" ht="66.75" customHeight="1" x14ac:dyDescent="0.25">
      <c r="A113" s="4500"/>
      <c r="B113" s="4496"/>
      <c r="C113" s="4496"/>
      <c r="D113" s="2014" t="s">
        <v>1170</v>
      </c>
      <c r="E113" s="2014" t="s">
        <v>2901</v>
      </c>
      <c r="F113" s="2011">
        <v>0.98106300000000002</v>
      </c>
      <c r="G113" s="2011">
        <v>0</v>
      </c>
      <c r="H113" s="2011">
        <v>0</v>
      </c>
      <c r="I113" s="2011">
        <v>0.98106300000000002</v>
      </c>
      <c r="J113" s="2012">
        <v>0</v>
      </c>
    </row>
    <row r="114" spans="1:10" ht="24.75" customHeight="1" x14ac:dyDescent="0.25">
      <c r="A114" s="4500"/>
      <c r="B114" s="4495" t="s">
        <v>2573</v>
      </c>
      <c r="C114" s="4501" t="s">
        <v>1815</v>
      </c>
      <c r="D114" s="4503"/>
      <c r="E114" s="2014" t="s">
        <v>3104</v>
      </c>
      <c r="F114" s="2011">
        <v>14439.102150000001</v>
      </c>
      <c r="G114" s="2011">
        <v>0</v>
      </c>
      <c r="H114" s="2011">
        <v>0</v>
      </c>
      <c r="I114" s="2011">
        <v>14388.893414</v>
      </c>
      <c r="J114" s="2012">
        <v>50.208736000000002</v>
      </c>
    </row>
    <row r="115" spans="1:10" ht="24.75" customHeight="1" x14ac:dyDescent="0.25">
      <c r="A115" s="4500"/>
      <c r="B115" s="4500"/>
      <c r="C115" s="4495" t="s">
        <v>1129</v>
      </c>
      <c r="D115" s="2014" t="s">
        <v>1815</v>
      </c>
      <c r="E115" s="2014" t="s">
        <v>871</v>
      </c>
      <c r="F115" s="2011">
        <v>7861.1961140000003</v>
      </c>
      <c r="G115" s="2011">
        <v>0</v>
      </c>
      <c r="H115" s="2011">
        <v>0</v>
      </c>
      <c r="I115" s="2011">
        <v>7861.1961140000003</v>
      </c>
      <c r="J115" s="2012">
        <v>0</v>
      </c>
    </row>
    <row r="116" spans="1:10" ht="24.75" customHeight="1" x14ac:dyDescent="0.25">
      <c r="A116" s="4500"/>
      <c r="B116" s="4500"/>
      <c r="C116" s="4500"/>
      <c r="D116" s="2014" t="s">
        <v>1130</v>
      </c>
      <c r="E116" s="2014" t="s">
        <v>2801</v>
      </c>
      <c r="F116" s="2011">
        <v>7540.6222349999998</v>
      </c>
      <c r="G116" s="2011">
        <v>0</v>
      </c>
      <c r="H116" s="2011">
        <v>0</v>
      </c>
      <c r="I116" s="2011">
        <v>7540.6222349999998</v>
      </c>
      <c r="J116" s="2012">
        <v>0</v>
      </c>
    </row>
    <row r="117" spans="1:10" ht="24.75" customHeight="1" x14ac:dyDescent="0.25">
      <c r="A117" s="4500"/>
      <c r="B117" s="4500"/>
      <c r="C117" s="4500"/>
      <c r="D117" s="2014" t="s">
        <v>1159</v>
      </c>
      <c r="E117" s="2014" t="s">
        <v>2802</v>
      </c>
      <c r="F117" s="2011">
        <v>307.36987900000003</v>
      </c>
      <c r="G117" s="2011">
        <v>0</v>
      </c>
      <c r="H117" s="2011">
        <v>0</v>
      </c>
      <c r="I117" s="2011">
        <v>307.36987900000003</v>
      </c>
      <c r="J117" s="2012">
        <v>0</v>
      </c>
    </row>
    <row r="118" spans="1:10" ht="24.75" customHeight="1" x14ac:dyDescent="0.25">
      <c r="A118" s="4500"/>
      <c r="B118" s="4500"/>
      <c r="C118" s="4496"/>
      <c r="D118" s="2014" t="s">
        <v>1133</v>
      </c>
      <c r="E118" s="2014" t="s">
        <v>2804</v>
      </c>
      <c r="F118" s="2011">
        <v>13.204000000000001</v>
      </c>
      <c r="G118" s="2011">
        <v>0</v>
      </c>
      <c r="H118" s="2011">
        <v>0</v>
      </c>
      <c r="I118" s="2011">
        <v>13.204000000000001</v>
      </c>
      <c r="J118" s="2012">
        <v>0</v>
      </c>
    </row>
    <row r="119" spans="1:10" ht="24.75" customHeight="1" x14ac:dyDescent="0.25">
      <c r="A119" s="4500"/>
      <c r="B119" s="4500"/>
      <c r="C119" s="4495" t="s">
        <v>1194</v>
      </c>
      <c r="D119" s="2014" t="s">
        <v>1815</v>
      </c>
      <c r="E119" s="2014" t="s">
        <v>874</v>
      </c>
      <c r="F119" s="2011">
        <v>50.208736000000002</v>
      </c>
      <c r="G119" s="2011">
        <v>0</v>
      </c>
      <c r="H119" s="2011">
        <v>0</v>
      </c>
      <c r="I119" s="2011">
        <v>0</v>
      </c>
      <c r="J119" s="2012">
        <v>50.208736000000002</v>
      </c>
    </row>
    <row r="120" spans="1:10" ht="48.75" customHeight="1" x14ac:dyDescent="0.25">
      <c r="A120" s="4500"/>
      <c r="B120" s="4500"/>
      <c r="C120" s="4496"/>
      <c r="D120" s="2014" t="s">
        <v>1197</v>
      </c>
      <c r="E120" s="2014" t="s">
        <v>2808</v>
      </c>
      <c r="F120" s="2011">
        <v>50.208736000000002</v>
      </c>
      <c r="G120" s="2011">
        <v>0</v>
      </c>
      <c r="H120" s="2011">
        <v>0</v>
      </c>
      <c r="I120" s="2011">
        <v>0</v>
      </c>
      <c r="J120" s="2012">
        <v>50.208736000000002</v>
      </c>
    </row>
    <row r="121" spans="1:10" ht="29.25" customHeight="1" x14ac:dyDescent="0.25">
      <c r="A121" s="4500"/>
      <c r="B121" s="4500"/>
      <c r="C121" s="4495" t="s">
        <v>1125</v>
      </c>
      <c r="D121" s="2014" t="s">
        <v>1815</v>
      </c>
      <c r="E121" s="2014" t="s">
        <v>2809</v>
      </c>
      <c r="F121" s="2011">
        <v>69.717200000000005</v>
      </c>
      <c r="G121" s="2011">
        <v>0</v>
      </c>
      <c r="H121" s="2011">
        <v>0</v>
      </c>
      <c r="I121" s="2011">
        <v>69.717200000000005</v>
      </c>
      <c r="J121" s="2012">
        <v>0</v>
      </c>
    </row>
    <row r="122" spans="1:10" ht="62.25" customHeight="1" x14ac:dyDescent="0.25">
      <c r="A122" s="4500"/>
      <c r="B122" s="4500"/>
      <c r="C122" s="4496"/>
      <c r="D122" s="2014" t="s">
        <v>1126</v>
      </c>
      <c r="E122" s="2014" t="s">
        <v>2810</v>
      </c>
      <c r="F122" s="2011">
        <v>69.717200000000005</v>
      </c>
      <c r="G122" s="2011">
        <v>0</v>
      </c>
      <c r="H122" s="2011">
        <v>0</v>
      </c>
      <c r="I122" s="2011">
        <v>69.717200000000005</v>
      </c>
      <c r="J122" s="2012">
        <v>0</v>
      </c>
    </row>
    <row r="123" spans="1:10" ht="42.75" customHeight="1" x14ac:dyDescent="0.25">
      <c r="A123" s="4500"/>
      <c r="B123" s="4500"/>
      <c r="C123" s="4495" t="s">
        <v>1131</v>
      </c>
      <c r="D123" s="2014" t="s">
        <v>1815</v>
      </c>
      <c r="E123" s="2014" t="s">
        <v>2827</v>
      </c>
      <c r="F123" s="2011">
        <v>5789.8151070000004</v>
      </c>
      <c r="G123" s="2011">
        <v>0</v>
      </c>
      <c r="H123" s="2011">
        <v>0</v>
      </c>
      <c r="I123" s="2011">
        <v>5789.8151070000004</v>
      </c>
      <c r="J123" s="2012">
        <v>0</v>
      </c>
    </row>
    <row r="124" spans="1:10" ht="45.75" customHeight="1" x14ac:dyDescent="0.25">
      <c r="A124" s="4500"/>
      <c r="B124" s="4500"/>
      <c r="C124" s="4496"/>
      <c r="D124" s="2014" t="s">
        <v>1132</v>
      </c>
      <c r="E124" s="2014" t="s">
        <v>2829</v>
      </c>
      <c r="F124" s="2011">
        <v>5789.8151070000004</v>
      </c>
      <c r="G124" s="2011">
        <v>0</v>
      </c>
      <c r="H124" s="2011">
        <v>0</v>
      </c>
      <c r="I124" s="2011">
        <v>5789.8151070000004</v>
      </c>
      <c r="J124" s="2012">
        <v>0</v>
      </c>
    </row>
    <row r="125" spans="1:10" ht="36.75" customHeight="1" x14ac:dyDescent="0.25">
      <c r="A125" s="4500"/>
      <c r="B125" s="4500"/>
      <c r="C125" s="4495" t="s">
        <v>1118</v>
      </c>
      <c r="D125" s="2014" t="s">
        <v>1815</v>
      </c>
      <c r="E125" s="2014" t="s">
        <v>2864</v>
      </c>
      <c r="F125" s="2011">
        <v>667</v>
      </c>
      <c r="G125" s="2011">
        <v>0</v>
      </c>
      <c r="H125" s="2011">
        <v>0</v>
      </c>
      <c r="I125" s="2011">
        <v>667</v>
      </c>
      <c r="J125" s="2012">
        <v>0</v>
      </c>
    </row>
    <row r="126" spans="1:10" ht="42.75" customHeight="1" x14ac:dyDescent="0.25">
      <c r="A126" s="4500"/>
      <c r="B126" s="4500"/>
      <c r="C126" s="4496"/>
      <c r="D126" s="2014" t="s">
        <v>2867</v>
      </c>
      <c r="E126" s="2014" t="s">
        <v>2868</v>
      </c>
      <c r="F126" s="2011">
        <v>667</v>
      </c>
      <c r="G126" s="2011">
        <v>0</v>
      </c>
      <c r="H126" s="2011">
        <v>0</v>
      </c>
      <c r="I126" s="2011">
        <v>667</v>
      </c>
      <c r="J126" s="2012">
        <v>0</v>
      </c>
    </row>
    <row r="127" spans="1:10" x14ac:dyDescent="0.25">
      <c r="A127" s="4500"/>
      <c r="B127" s="4500"/>
      <c r="C127" s="4495" t="s">
        <v>1137</v>
      </c>
      <c r="D127" s="2014" t="s">
        <v>1815</v>
      </c>
      <c r="E127" s="2014" t="s">
        <v>2892</v>
      </c>
      <c r="F127" s="2011">
        <v>1.1649929999999999</v>
      </c>
      <c r="G127" s="2011">
        <v>0</v>
      </c>
      <c r="H127" s="2011">
        <v>0</v>
      </c>
      <c r="I127" s="2011">
        <v>1.1649929999999999</v>
      </c>
      <c r="J127" s="2012">
        <v>0</v>
      </c>
    </row>
    <row r="128" spans="1:10" ht="60" customHeight="1" x14ac:dyDescent="0.25">
      <c r="A128" s="4500"/>
      <c r="B128" s="4496"/>
      <c r="C128" s="4496"/>
      <c r="D128" s="2014" t="s">
        <v>1170</v>
      </c>
      <c r="E128" s="2014" t="s">
        <v>2901</v>
      </c>
      <c r="F128" s="2011">
        <v>1.1649929999999999</v>
      </c>
      <c r="G128" s="2011">
        <v>0</v>
      </c>
      <c r="H128" s="2011">
        <v>0</v>
      </c>
      <c r="I128" s="2011">
        <v>1.1649929999999999</v>
      </c>
      <c r="J128" s="2012">
        <v>0</v>
      </c>
    </row>
    <row r="129" spans="1:10" ht="62.25" customHeight="1" x14ac:dyDescent="0.25">
      <c r="A129" s="4500"/>
      <c r="B129" s="4495" t="s">
        <v>2574</v>
      </c>
      <c r="C129" s="4501" t="s">
        <v>1815</v>
      </c>
      <c r="D129" s="4503"/>
      <c r="E129" s="2014" t="s">
        <v>3105</v>
      </c>
      <c r="F129" s="2011">
        <v>262.24593599999997</v>
      </c>
      <c r="G129" s="2011">
        <v>0</v>
      </c>
      <c r="H129" s="2011">
        <v>0</v>
      </c>
      <c r="I129" s="2011">
        <v>262.24593599999997</v>
      </c>
      <c r="J129" s="2012">
        <v>0</v>
      </c>
    </row>
    <row r="130" spans="1:10" ht="24" customHeight="1" x14ac:dyDescent="0.25">
      <c r="A130" s="4500"/>
      <c r="B130" s="4500"/>
      <c r="C130" s="4495" t="s">
        <v>1129</v>
      </c>
      <c r="D130" s="2014" t="s">
        <v>1815</v>
      </c>
      <c r="E130" s="2014" t="s">
        <v>871</v>
      </c>
      <c r="F130" s="2011">
        <v>17.383209999999998</v>
      </c>
      <c r="G130" s="2011">
        <v>0</v>
      </c>
      <c r="H130" s="2011">
        <v>0</v>
      </c>
      <c r="I130" s="2011">
        <v>17.383209999999998</v>
      </c>
      <c r="J130" s="2012">
        <v>0</v>
      </c>
    </row>
    <row r="131" spans="1:10" ht="24" customHeight="1" x14ac:dyDescent="0.25">
      <c r="A131" s="4500"/>
      <c r="B131" s="4500"/>
      <c r="C131" s="4496"/>
      <c r="D131" s="2014" t="s">
        <v>1133</v>
      </c>
      <c r="E131" s="2014" t="s">
        <v>2804</v>
      </c>
      <c r="F131" s="2011">
        <v>17.383209999999998</v>
      </c>
      <c r="G131" s="2011">
        <v>0</v>
      </c>
      <c r="H131" s="2011">
        <v>0</v>
      </c>
      <c r="I131" s="2011">
        <v>17.383209999999998</v>
      </c>
      <c r="J131" s="2012">
        <v>0</v>
      </c>
    </row>
    <row r="132" spans="1:10" x14ac:dyDescent="0.25">
      <c r="A132" s="4500"/>
      <c r="B132" s="4500"/>
      <c r="C132" s="4495" t="s">
        <v>1131</v>
      </c>
      <c r="D132" s="2014" t="s">
        <v>1815</v>
      </c>
      <c r="E132" s="2014" t="s">
        <v>2827</v>
      </c>
      <c r="F132" s="2011">
        <v>244.86272600000001</v>
      </c>
      <c r="G132" s="2011">
        <v>0</v>
      </c>
      <c r="H132" s="2011">
        <v>0</v>
      </c>
      <c r="I132" s="2011">
        <v>244.86272600000001</v>
      </c>
      <c r="J132" s="2012">
        <v>0</v>
      </c>
    </row>
    <row r="133" spans="1:10" ht="33" x14ac:dyDescent="0.25">
      <c r="A133" s="4500"/>
      <c r="B133" s="4496"/>
      <c r="C133" s="4496"/>
      <c r="D133" s="2014" t="s">
        <v>1177</v>
      </c>
      <c r="E133" s="2014" t="s">
        <v>2828</v>
      </c>
      <c r="F133" s="2011">
        <v>244.86272600000001</v>
      </c>
      <c r="G133" s="2011">
        <v>0</v>
      </c>
      <c r="H133" s="2011">
        <v>0</v>
      </c>
      <c r="I133" s="2011">
        <v>244.86272600000001</v>
      </c>
      <c r="J133" s="2012">
        <v>0</v>
      </c>
    </row>
    <row r="134" spans="1:10" x14ac:dyDescent="0.25">
      <c r="A134" s="4500"/>
      <c r="B134" s="4495" t="s">
        <v>2575</v>
      </c>
      <c r="C134" s="4501" t="s">
        <v>1815</v>
      </c>
      <c r="D134" s="4503"/>
      <c r="E134" s="2014" t="s">
        <v>1809</v>
      </c>
      <c r="F134" s="2011">
        <v>11170.518096</v>
      </c>
      <c r="G134" s="2011">
        <v>0</v>
      </c>
      <c r="H134" s="2011">
        <v>11170.518096</v>
      </c>
      <c r="I134" s="2011">
        <v>0</v>
      </c>
      <c r="J134" s="2012">
        <v>0</v>
      </c>
    </row>
    <row r="135" spans="1:10" ht="33" x14ac:dyDescent="0.25">
      <c r="A135" s="4500"/>
      <c r="B135" s="4500"/>
      <c r="C135" s="4495" t="s">
        <v>1184</v>
      </c>
      <c r="D135" s="2014" t="s">
        <v>1815</v>
      </c>
      <c r="E135" s="2014" t="s">
        <v>2887</v>
      </c>
      <c r="F135" s="2011">
        <v>11147.2659</v>
      </c>
      <c r="G135" s="2011">
        <v>0</v>
      </c>
      <c r="H135" s="2011">
        <v>11147.2659</v>
      </c>
      <c r="I135" s="2011">
        <v>0</v>
      </c>
      <c r="J135" s="2012">
        <v>0</v>
      </c>
    </row>
    <row r="136" spans="1:10" ht="33" x14ac:dyDescent="0.25">
      <c r="A136" s="4500"/>
      <c r="B136" s="4500"/>
      <c r="C136" s="4496"/>
      <c r="D136" s="2014" t="s">
        <v>1186</v>
      </c>
      <c r="E136" s="2014" t="s">
        <v>2889</v>
      </c>
      <c r="F136" s="2011">
        <v>11147.2659</v>
      </c>
      <c r="G136" s="2011">
        <v>0</v>
      </c>
      <c r="H136" s="2011">
        <v>11147.2659</v>
      </c>
      <c r="I136" s="2011">
        <v>0</v>
      </c>
      <c r="J136" s="2012">
        <v>0</v>
      </c>
    </row>
    <row r="137" spans="1:10" x14ac:dyDescent="0.25">
      <c r="A137" s="4500"/>
      <c r="B137" s="4500"/>
      <c r="C137" s="4495" t="s">
        <v>1137</v>
      </c>
      <c r="D137" s="2014" t="s">
        <v>1815</v>
      </c>
      <c r="E137" s="2014" t="s">
        <v>2892</v>
      </c>
      <c r="F137" s="2011">
        <v>23.252196000000001</v>
      </c>
      <c r="G137" s="2011">
        <v>0</v>
      </c>
      <c r="H137" s="2011">
        <v>23.252196000000001</v>
      </c>
      <c r="I137" s="2011">
        <v>0</v>
      </c>
      <c r="J137" s="2012">
        <v>0</v>
      </c>
    </row>
    <row r="138" spans="1:10" ht="49.5" x14ac:dyDescent="0.25">
      <c r="A138" s="4496"/>
      <c r="B138" s="4496"/>
      <c r="C138" s="4496"/>
      <c r="D138" s="2014" t="s">
        <v>1157</v>
      </c>
      <c r="E138" s="2014" t="s">
        <v>2902</v>
      </c>
      <c r="F138" s="2011">
        <v>23.252196000000001</v>
      </c>
      <c r="G138" s="2011">
        <v>0</v>
      </c>
      <c r="H138" s="2011">
        <v>23.252196000000001</v>
      </c>
      <c r="I138" s="2011">
        <v>0</v>
      </c>
      <c r="J138" s="2012">
        <v>0</v>
      </c>
    </row>
    <row r="139" spans="1:10" x14ac:dyDescent="0.25">
      <c r="A139" s="4495" t="s">
        <v>1776</v>
      </c>
      <c r="B139" s="4501" t="s">
        <v>1815</v>
      </c>
      <c r="C139" s="4502"/>
      <c r="D139" s="4502"/>
      <c r="E139" s="4503"/>
      <c r="F139" s="2011">
        <v>371707.90968899999</v>
      </c>
      <c r="G139" s="2011">
        <v>50.196002</v>
      </c>
      <c r="H139" s="2011">
        <v>1898.5682220000001</v>
      </c>
      <c r="I139" s="2011">
        <v>367558.537946</v>
      </c>
      <c r="J139" s="2012">
        <v>2200.6075190000001</v>
      </c>
    </row>
    <row r="140" spans="1:10" ht="37.5" customHeight="1" x14ac:dyDescent="0.25">
      <c r="A140" s="4500"/>
      <c r="B140" s="4495" t="s">
        <v>1141</v>
      </c>
      <c r="C140" s="4501" t="s">
        <v>1815</v>
      </c>
      <c r="D140" s="4503"/>
      <c r="E140" s="2014" t="s">
        <v>1791</v>
      </c>
      <c r="F140" s="2011">
        <v>15.1732</v>
      </c>
      <c r="G140" s="2011">
        <v>0</v>
      </c>
      <c r="H140" s="2011">
        <v>0</v>
      </c>
      <c r="I140" s="2011">
        <v>15.1732</v>
      </c>
      <c r="J140" s="2012">
        <v>0</v>
      </c>
    </row>
    <row r="141" spans="1:10" ht="23.25" customHeight="1" x14ac:dyDescent="0.25">
      <c r="A141" s="4500"/>
      <c r="B141" s="4500"/>
      <c r="C141" s="4495" t="s">
        <v>1118</v>
      </c>
      <c r="D141" s="2014" t="s">
        <v>1815</v>
      </c>
      <c r="E141" s="2014" t="s">
        <v>2864</v>
      </c>
      <c r="F141" s="2011">
        <v>15.1008</v>
      </c>
      <c r="G141" s="2011">
        <v>0</v>
      </c>
      <c r="H141" s="2011">
        <v>0</v>
      </c>
      <c r="I141" s="2011">
        <v>15.1008</v>
      </c>
      <c r="J141" s="2012">
        <v>0</v>
      </c>
    </row>
    <row r="142" spans="1:10" ht="40.5" customHeight="1" x14ac:dyDescent="0.25">
      <c r="A142" s="4500"/>
      <c r="B142" s="4500"/>
      <c r="C142" s="4500"/>
      <c r="D142" s="2014" t="s">
        <v>1119</v>
      </c>
      <c r="E142" s="2014" t="s">
        <v>2865</v>
      </c>
      <c r="F142" s="2011">
        <v>0</v>
      </c>
      <c r="G142" s="2011">
        <v>0</v>
      </c>
      <c r="H142" s="2011">
        <v>0</v>
      </c>
      <c r="I142" s="2011">
        <v>0</v>
      </c>
      <c r="J142" s="2012">
        <v>0</v>
      </c>
    </row>
    <row r="143" spans="1:10" ht="23.25" customHeight="1" x14ac:dyDescent="0.25">
      <c r="A143" s="4500"/>
      <c r="B143" s="4500"/>
      <c r="C143" s="4496"/>
      <c r="D143" s="2014" t="s">
        <v>1180</v>
      </c>
      <c r="E143" s="2014" t="s">
        <v>2878</v>
      </c>
      <c r="F143" s="2011">
        <v>15.1008</v>
      </c>
      <c r="G143" s="2011">
        <v>0</v>
      </c>
      <c r="H143" s="2011">
        <v>0</v>
      </c>
      <c r="I143" s="2011">
        <v>15.1008</v>
      </c>
      <c r="J143" s="2012">
        <v>0</v>
      </c>
    </row>
    <row r="144" spans="1:10" ht="23.25" customHeight="1" x14ac:dyDescent="0.25">
      <c r="A144" s="4500"/>
      <c r="B144" s="4500"/>
      <c r="C144" s="4495" t="s">
        <v>1137</v>
      </c>
      <c r="D144" s="2014" t="s">
        <v>1815</v>
      </c>
      <c r="E144" s="2014" t="s">
        <v>2892</v>
      </c>
      <c r="F144" s="2011">
        <v>7.2400000000000006E-2</v>
      </c>
      <c r="G144" s="2011">
        <v>0</v>
      </c>
      <c r="H144" s="2011">
        <v>0</v>
      </c>
      <c r="I144" s="2011">
        <v>7.2400000000000006E-2</v>
      </c>
      <c r="J144" s="2012">
        <v>0</v>
      </c>
    </row>
    <row r="145" spans="1:10" ht="78.75" customHeight="1" x14ac:dyDescent="0.25">
      <c r="A145" s="4500"/>
      <c r="B145" s="4500"/>
      <c r="C145" s="4500"/>
      <c r="D145" s="2014" t="s">
        <v>1167</v>
      </c>
      <c r="E145" s="2014" t="s">
        <v>2896</v>
      </c>
      <c r="F145" s="2011">
        <v>4.8300000000000003E-2</v>
      </c>
      <c r="G145" s="2011">
        <v>0</v>
      </c>
      <c r="H145" s="2011">
        <v>0</v>
      </c>
      <c r="I145" s="2011">
        <v>4.8300000000000003E-2</v>
      </c>
      <c r="J145" s="2012">
        <v>0</v>
      </c>
    </row>
    <row r="146" spans="1:10" ht="61.5" customHeight="1" x14ac:dyDescent="0.25">
      <c r="A146" s="4500"/>
      <c r="B146" s="4496"/>
      <c r="C146" s="4496"/>
      <c r="D146" s="2014" t="s">
        <v>1169</v>
      </c>
      <c r="E146" s="2014" t="s">
        <v>2899</v>
      </c>
      <c r="F146" s="2011">
        <v>2.41E-2</v>
      </c>
      <c r="G146" s="2011">
        <v>0</v>
      </c>
      <c r="H146" s="2011">
        <v>0</v>
      </c>
      <c r="I146" s="2011">
        <v>2.41E-2</v>
      </c>
      <c r="J146" s="2012">
        <v>0</v>
      </c>
    </row>
    <row r="147" spans="1:10" ht="25.5" customHeight="1" x14ac:dyDescent="0.25">
      <c r="A147" s="4500"/>
      <c r="B147" s="4495" t="s">
        <v>1142</v>
      </c>
      <c r="C147" s="4501" t="s">
        <v>1815</v>
      </c>
      <c r="D147" s="4503"/>
      <c r="E147" s="2014" t="s">
        <v>1793</v>
      </c>
      <c r="F147" s="2011">
        <v>4.4509999999999996</v>
      </c>
      <c r="G147" s="2011">
        <v>0</v>
      </c>
      <c r="H147" s="2011">
        <v>0</v>
      </c>
      <c r="I147" s="2011">
        <v>4.4509999999999996</v>
      </c>
      <c r="J147" s="2012">
        <v>0</v>
      </c>
    </row>
    <row r="148" spans="1:10" ht="25.5" customHeight="1" x14ac:dyDescent="0.25">
      <c r="A148" s="4500"/>
      <c r="B148" s="4500"/>
      <c r="C148" s="4495" t="s">
        <v>1121</v>
      </c>
      <c r="D148" s="2014" t="s">
        <v>1815</v>
      </c>
      <c r="E148" s="2014" t="s">
        <v>2834</v>
      </c>
      <c r="F148" s="2011">
        <v>3.0409999999999999</v>
      </c>
      <c r="G148" s="2011">
        <v>0</v>
      </c>
      <c r="H148" s="2011">
        <v>0</v>
      </c>
      <c r="I148" s="2011">
        <v>3.0409999999999999</v>
      </c>
      <c r="J148" s="2012">
        <v>0</v>
      </c>
    </row>
    <row r="149" spans="1:10" ht="25.5" customHeight="1" x14ac:dyDescent="0.25">
      <c r="A149" s="4500"/>
      <c r="B149" s="4500"/>
      <c r="C149" s="4496"/>
      <c r="D149" s="2014" t="s">
        <v>1143</v>
      </c>
      <c r="E149" s="2014" t="s">
        <v>2839</v>
      </c>
      <c r="F149" s="2011">
        <v>3.0409999999999999</v>
      </c>
      <c r="G149" s="2011">
        <v>0</v>
      </c>
      <c r="H149" s="2011">
        <v>0</v>
      </c>
      <c r="I149" s="2011">
        <v>3.0409999999999999</v>
      </c>
      <c r="J149" s="2012">
        <v>0</v>
      </c>
    </row>
    <row r="150" spans="1:10" ht="43.5" customHeight="1" x14ac:dyDescent="0.25">
      <c r="A150" s="4500"/>
      <c r="B150" s="4500"/>
      <c r="C150" s="4495" t="s">
        <v>1144</v>
      </c>
      <c r="D150" s="2014" t="s">
        <v>1815</v>
      </c>
      <c r="E150" s="2014" t="s">
        <v>2840</v>
      </c>
      <c r="F150" s="2011">
        <v>1.41</v>
      </c>
      <c r="G150" s="2011">
        <v>0</v>
      </c>
      <c r="H150" s="2011">
        <v>0</v>
      </c>
      <c r="I150" s="2011">
        <v>1.41</v>
      </c>
      <c r="J150" s="2012">
        <v>0</v>
      </c>
    </row>
    <row r="151" spans="1:10" ht="27" customHeight="1" x14ac:dyDescent="0.25">
      <c r="A151" s="4500"/>
      <c r="B151" s="4496"/>
      <c r="C151" s="4496"/>
      <c r="D151" s="2014" t="s">
        <v>1145</v>
      </c>
      <c r="E151" s="2014" t="s">
        <v>2842</v>
      </c>
      <c r="F151" s="2011">
        <v>1.41</v>
      </c>
      <c r="G151" s="2011">
        <v>0</v>
      </c>
      <c r="H151" s="2011">
        <v>0</v>
      </c>
      <c r="I151" s="2011">
        <v>1.41</v>
      </c>
      <c r="J151" s="2012">
        <v>0</v>
      </c>
    </row>
    <row r="152" spans="1:10" ht="27" customHeight="1" x14ac:dyDescent="0.25">
      <c r="A152" s="4500"/>
      <c r="B152" s="4495" t="s">
        <v>1146</v>
      </c>
      <c r="C152" s="4501" t="s">
        <v>1815</v>
      </c>
      <c r="D152" s="4503"/>
      <c r="E152" s="2014" t="s">
        <v>986</v>
      </c>
      <c r="F152" s="2011">
        <v>55.216799999999999</v>
      </c>
      <c r="G152" s="2011">
        <v>0</v>
      </c>
      <c r="H152" s="2011">
        <v>0</v>
      </c>
      <c r="I152" s="2011">
        <v>55.216799999999999</v>
      </c>
      <c r="J152" s="2012">
        <v>0</v>
      </c>
    </row>
    <row r="153" spans="1:10" ht="40.5" customHeight="1" x14ac:dyDescent="0.25">
      <c r="A153" s="4500"/>
      <c r="B153" s="4500"/>
      <c r="C153" s="4495" t="s">
        <v>1127</v>
      </c>
      <c r="D153" s="2014" t="s">
        <v>1815</v>
      </c>
      <c r="E153" s="2014" t="s">
        <v>2848</v>
      </c>
      <c r="F153" s="2011">
        <v>21.59</v>
      </c>
      <c r="G153" s="2011">
        <v>0</v>
      </c>
      <c r="H153" s="2011">
        <v>0</v>
      </c>
      <c r="I153" s="2011">
        <v>21.59</v>
      </c>
      <c r="J153" s="2012">
        <v>0</v>
      </c>
    </row>
    <row r="154" spans="1:10" ht="27" customHeight="1" x14ac:dyDescent="0.25">
      <c r="A154" s="4500"/>
      <c r="B154" s="4500"/>
      <c r="C154" s="4496"/>
      <c r="D154" s="2014" t="s">
        <v>1147</v>
      </c>
      <c r="E154" s="2014" t="s">
        <v>2849</v>
      </c>
      <c r="F154" s="2011">
        <v>21.59</v>
      </c>
      <c r="G154" s="2011">
        <v>0</v>
      </c>
      <c r="H154" s="2011">
        <v>0</v>
      </c>
      <c r="I154" s="2011">
        <v>21.59</v>
      </c>
      <c r="J154" s="2012">
        <v>0</v>
      </c>
    </row>
    <row r="155" spans="1:10" ht="27" customHeight="1" x14ac:dyDescent="0.25">
      <c r="A155" s="4500"/>
      <c r="B155" s="4500"/>
      <c r="C155" s="4495" t="s">
        <v>1148</v>
      </c>
      <c r="D155" s="2014" t="s">
        <v>1815</v>
      </c>
      <c r="E155" s="2014" t="s">
        <v>2854</v>
      </c>
      <c r="F155" s="2011">
        <v>12.555</v>
      </c>
      <c r="G155" s="2011">
        <v>0</v>
      </c>
      <c r="H155" s="2011">
        <v>0</v>
      </c>
      <c r="I155" s="2011">
        <v>12.555</v>
      </c>
      <c r="J155" s="2012">
        <v>0</v>
      </c>
    </row>
    <row r="156" spans="1:10" ht="27" customHeight="1" x14ac:dyDescent="0.25">
      <c r="A156" s="4500"/>
      <c r="B156" s="4500"/>
      <c r="C156" s="4496"/>
      <c r="D156" s="2014" t="s">
        <v>1149</v>
      </c>
      <c r="E156" s="2014" t="s">
        <v>2855</v>
      </c>
      <c r="F156" s="2011">
        <v>12.555</v>
      </c>
      <c r="G156" s="2011">
        <v>0</v>
      </c>
      <c r="H156" s="2011">
        <v>0</v>
      </c>
      <c r="I156" s="2011">
        <v>12.555</v>
      </c>
      <c r="J156" s="2012">
        <v>0</v>
      </c>
    </row>
    <row r="157" spans="1:10" ht="27" customHeight="1" x14ac:dyDescent="0.25">
      <c r="A157" s="4500"/>
      <c r="B157" s="4500"/>
      <c r="C157" s="4495" t="s">
        <v>1137</v>
      </c>
      <c r="D157" s="2014" t="s">
        <v>1815</v>
      </c>
      <c r="E157" s="2014" t="s">
        <v>2892</v>
      </c>
      <c r="F157" s="2011">
        <v>21.0718</v>
      </c>
      <c r="G157" s="2011">
        <v>0</v>
      </c>
      <c r="H157" s="2011">
        <v>0</v>
      </c>
      <c r="I157" s="2011">
        <v>21.0718</v>
      </c>
      <c r="J157" s="2012">
        <v>0</v>
      </c>
    </row>
    <row r="158" spans="1:10" ht="84.75" customHeight="1" x14ac:dyDescent="0.25">
      <c r="A158" s="4500"/>
      <c r="B158" s="4496"/>
      <c r="C158" s="4496"/>
      <c r="D158" s="2014" t="s">
        <v>1157</v>
      </c>
      <c r="E158" s="2014" t="s">
        <v>2902</v>
      </c>
      <c r="F158" s="2011">
        <v>21.0718</v>
      </c>
      <c r="G158" s="2011">
        <v>0</v>
      </c>
      <c r="H158" s="2011">
        <v>0</v>
      </c>
      <c r="I158" s="2011">
        <v>21.0718</v>
      </c>
      <c r="J158" s="2012">
        <v>0</v>
      </c>
    </row>
    <row r="159" spans="1:10" ht="23.25" customHeight="1" x14ac:dyDescent="0.25">
      <c r="A159" s="4500"/>
      <c r="B159" s="4495" t="s">
        <v>1151</v>
      </c>
      <c r="C159" s="4501" t="s">
        <v>1815</v>
      </c>
      <c r="D159" s="4503"/>
      <c r="E159" s="2014" t="s">
        <v>1794</v>
      </c>
      <c r="F159" s="2011">
        <v>12.552967000000001</v>
      </c>
      <c r="G159" s="2011">
        <v>0</v>
      </c>
      <c r="H159" s="2011">
        <v>0</v>
      </c>
      <c r="I159" s="2011">
        <v>12.552967000000001</v>
      </c>
      <c r="J159" s="2012">
        <v>0</v>
      </c>
    </row>
    <row r="160" spans="1:10" ht="44.25" customHeight="1" x14ac:dyDescent="0.25">
      <c r="A160" s="4500"/>
      <c r="B160" s="4500"/>
      <c r="C160" s="4495" t="s">
        <v>2817</v>
      </c>
      <c r="D160" s="2014" t="s">
        <v>1815</v>
      </c>
      <c r="E160" s="2014" t="s">
        <v>2818</v>
      </c>
      <c r="F160" s="2011">
        <v>8.8249669999999991</v>
      </c>
      <c r="G160" s="2011">
        <v>0</v>
      </c>
      <c r="H160" s="2011">
        <v>0</v>
      </c>
      <c r="I160" s="2011">
        <v>8.8249669999999991</v>
      </c>
      <c r="J160" s="2012">
        <v>0</v>
      </c>
    </row>
    <row r="161" spans="1:10" ht="48.75" customHeight="1" x14ac:dyDescent="0.25">
      <c r="A161" s="4500"/>
      <c r="B161" s="4500"/>
      <c r="C161" s="4500"/>
      <c r="D161" s="2014" t="s">
        <v>2819</v>
      </c>
      <c r="E161" s="2014" t="s">
        <v>2820</v>
      </c>
      <c r="F161" s="2011">
        <v>6.3499670000000004</v>
      </c>
      <c r="G161" s="2011">
        <v>0</v>
      </c>
      <c r="H161" s="2011">
        <v>0</v>
      </c>
      <c r="I161" s="2011">
        <v>6.3499670000000004</v>
      </c>
      <c r="J161" s="2012">
        <v>0</v>
      </c>
    </row>
    <row r="162" spans="1:10" ht="57.75" customHeight="1" x14ac:dyDescent="0.25">
      <c r="A162" s="4500"/>
      <c r="B162" s="4500"/>
      <c r="C162" s="4496"/>
      <c r="D162" s="2014" t="s">
        <v>2821</v>
      </c>
      <c r="E162" s="2014" t="s">
        <v>2822</v>
      </c>
      <c r="F162" s="2011">
        <v>2.4750000000000001</v>
      </c>
      <c r="G162" s="2011">
        <v>0</v>
      </c>
      <c r="H162" s="2011">
        <v>0</v>
      </c>
      <c r="I162" s="2011">
        <v>2.4750000000000001</v>
      </c>
      <c r="J162" s="2012">
        <v>0</v>
      </c>
    </row>
    <row r="163" spans="1:10" ht="48.75" customHeight="1" x14ac:dyDescent="0.25">
      <c r="A163" s="4500"/>
      <c r="B163" s="4500"/>
      <c r="C163" s="4495" t="s">
        <v>1127</v>
      </c>
      <c r="D163" s="2014" t="s">
        <v>1815</v>
      </c>
      <c r="E163" s="2014" t="s">
        <v>2848</v>
      </c>
      <c r="F163" s="2011">
        <v>3.7280000000000002</v>
      </c>
      <c r="G163" s="2011">
        <v>0</v>
      </c>
      <c r="H163" s="2011">
        <v>0</v>
      </c>
      <c r="I163" s="2011">
        <v>3.7280000000000002</v>
      </c>
      <c r="J163" s="2012">
        <v>0</v>
      </c>
    </row>
    <row r="164" spans="1:10" ht="102" customHeight="1" x14ac:dyDescent="0.25">
      <c r="A164" s="4500"/>
      <c r="B164" s="4496"/>
      <c r="C164" s="4496"/>
      <c r="D164" s="2014" t="s">
        <v>1152</v>
      </c>
      <c r="E164" s="2014" t="s">
        <v>2850</v>
      </c>
      <c r="F164" s="2011">
        <v>3.7280000000000002</v>
      </c>
      <c r="G164" s="2011">
        <v>0</v>
      </c>
      <c r="H164" s="2011">
        <v>0</v>
      </c>
      <c r="I164" s="2011">
        <v>3.7280000000000002</v>
      </c>
      <c r="J164" s="2012">
        <v>0</v>
      </c>
    </row>
    <row r="165" spans="1:10" ht="23.25" customHeight="1" x14ac:dyDescent="0.25">
      <c r="A165" s="4500"/>
      <c r="B165" s="4495" t="s">
        <v>1153</v>
      </c>
      <c r="C165" s="4501" t="s">
        <v>1815</v>
      </c>
      <c r="D165" s="4503"/>
      <c r="E165" s="2014" t="s">
        <v>1795</v>
      </c>
      <c r="F165" s="2011">
        <v>5.8873090000000001</v>
      </c>
      <c r="G165" s="2011">
        <v>0</v>
      </c>
      <c r="H165" s="2011">
        <v>0</v>
      </c>
      <c r="I165" s="2011">
        <v>5.8873090000000001</v>
      </c>
      <c r="J165" s="2012">
        <v>0</v>
      </c>
    </row>
    <row r="166" spans="1:10" ht="23.25" customHeight="1" x14ac:dyDescent="0.25">
      <c r="A166" s="4500"/>
      <c r="B166" s="4500"/>
      <c r="C166" s="4495" t="s">
        <v>1148</v>
      </c>
      <c r="D166" s="2014" t="s">
        <v>1815</v>
      </c>
      <c r="E166" s="2014" t="s">
        <v>2854</v>
      </c>
      <c r="F166" s="2011">
        <v>5.8239999999999998</v>
      </c>
      <c r="G166" s="2011">
        <v>0</v>
      </c>
      <c r="H166" s="2011">
        <v>0</v>
      </c>
      <c r="I166" s="2011">
        <v>5.8239999999999998</v>
      </c>
      <c r="J166" s="2012">
        <v>0</v>
      </c>
    </row>
    <row r="167" spans="1:10" ht="23.25" customHeight="1" x14ac:dyDescent="0.25">
      <c r="A167" s="4500"/>
      <c r="B167" s="4500"/>
      <c r="C167" s="4496"/>
      <c r="D167" s="2014" t="s">
        <v>1149</v>
      </c>
      <c r="E167" s="2014" t="s">
        <v>2855</v>
      </c>
      <c r="F167" s="2011">
        <v>5.8239999999999998</v>
      </c>
      <c r="G167" s="2011">
        <v>0</v>
      </c>
      <c r="H167" s="2011">
        <v>0</v>
      </c>
      <c r="I167" s="2011">
        <v>5.8239999999999998</v>
      </c>
      <c r="J167" s="2012">
        <v>0</v>
      </c>
    </row>
    <row r="168" spans="1:10" ht="23.25" customHeight="1" x14ac:dyDescent="0.25">
      <c r="A168" s="4500"/>
      <c r="B168" s="4500"/>
      <c r="C168" s="4495" t="s">
        <v>1137</v>
      </c>
      <c r="D168" s="2014" t="s">
        <v>1815</v>
      </c>
      <c r="E168" s="2014" t="s">
        <v>2892</v>
      </c>
      <c r="F168" s="2011">
        <v>6.3309000000000004E-2</v>
      </c>
      <c r="G168" s="2011">
        <v>0</v>
      </c>
      <c r="H168" s="2011">
        <v>0</v>
      </c>
      <c r="I168" s="2011">
        <v>6.3309000000000004E-2</v>
      </c>
      <c r="J168" s="2012">
        <v>0</v>
      </c>
    </row>
    <row r="169" spans="1:10" ht="23.25" customHeight="1" x14ac:dyDescent="0.25">
      <c r="A169" s="4500"/>
      <c r="B169" s="4496"/>
      <c r="C169" s="4496"/>
      <c r="D169" s="2014" t="s">
        <v>1150</v>
      </c>
      <c r="E169" s="2014" t="s">
        <v>2895</v>
      </c>
      <c r="F169" s="2011">
        <v>6.3309000000000004E-2</v>
      </c>
      <c r="G169" s="2011">
        <v>0</v>
      </c>
      <c r="H169" s="2011">
        <v>0</v>
      </c>
      <c r="I169" s="2011">
        <v>6.3309000000000004E-2</v>
      </c>
      <c r="J169" s="2012">
        <v>0</v>
      </c>
    </row>
    <row r="170" spans="1:10" ht="23.25" customHeight="1" x14ac:dyDescent="0.25">
      <c r="A170" s="4500"/>
      <c r="B170" s="4495" t="s">
        <v>1154</v>
      </c>
      <c r="C170" s="4501" t="s">
        <v>1815</v>
      </c>
      <c r="D170" s="4503"/>
      <c r="E170" s="2014" t="s">
        <v>1796</v>
      </c>
      <c r="F170" s="2011">
        <v>15.66</v>
      </c>
      <c r="G170" s="2011">
        <v>0</v>
      </c>
      <c r="H170" s="2011">
        <v>0</v>
      </c>
      <c r="I170" s="2011">
        <v>15.66</v>
      </c>
      <c r="J170" s="2012">
        <v>0</v>
      </c>
    </row>
    <row r="171" spans="1:10" ht="23.25" customHeight="1" x14ac:dyDescent="0.25">
      <c r="A171" s="4500"/>
      <c r="B171" s="4500"/>
      <c r="C171" s="4495" t="s">
        <v>1137</v>
      </c>
      <c r="D171" s="2014" t="s">
        <v>1815</v>
      </c>
      <c r="E171" s="2014" t="s">
        <v>2892</v>
      </c>
      <c r="F171" s="2011">
        <v>15.66</v>
      </c>
      <c r="G171" s="2011">
        <v>0</v>
      </c>
      <c r="H171" s="2011">
        <v>0</v>
      </c>
      <c r="I171" s="2011">
        <v>15.66</v>
      </c>
      <c r="J171" s="2012">
        <v>0</v>
      </c>
    </row>
    <row r="172" spans="1:10" ht="23.25" customHeight="1" x14ac:dyDescent="0.25">
      <c r="A172" s="4500"/>
      <c r="B172" s="4496"/>
      <c r="C172" s="4496"/>
      <c r="D172" s="2014" t="s">
        <v>1138</v>
      </c>
      <c r="E172" s="2014" t="s">
        <v>2893</v>
      </c>
      <c r="F172" s="2011">
        <v>15.66</v>
      </c>
      <c r="G172" s="2011">
        <v>0</v>
      </c>
      <c r="H172" s="2011">
        <v>0</v>
      </c>
      <c r="I172" s="2011">
        <v>15.66</v>
      </c>
      <c r="J172" s="2012">
        <v>0</v>
      </c>
    </row>
    <row r="173" spans="1:10" ht="23.25" customHeight="1" x14ac:dyDescent="0.25">
      <c r="A173" s="4500"/>
      <c r="B173" s="4495" t="s">
        <v>1158</v>
      </c>
      <c r="C173" s="4501" t="s">
        <v>1815</v>
      </c>
      <c r="D173" s="4503"/>
      <c r="E173" s="2014" t="s">
        <v>985</v>
      </c>
      <c r="F173" s="2011">
        <v>136.69107199999999</v>
      </c>
      <c r="G173" s="2011">
        <v>0</v>
      </c>
      <c r="H173" s="2011">
        <v>0</v>
      </c>
      <c r="I173" s="2011">
        <v>136.69107199999999</v>
      </c>
      <c r="J173" s="2012">
        <v>0</v>
      </c>
    </row>
    <row r="174" spans="1:10" ht="23.25" customHeight="1" x14ac:dyDescent="0.25">
      <c r="A174" s="4500"/>
      <c r="B174" s="4500"/>
      <c r="C174" s="4495" t="s">
        <v>1137</v>
      </c>
      <c r="D174" s="2014" t="s">
        <v>1815</v>
      </c>
      <c r="E174" s="2014" t="s">
        <v>2892</v>
      </c>
      <c r="F174" s="2011">
        <v>136.69107199999999</v>
      </c>
      <c r="G174" s="2011">
        <v>0</v>
      </c>
      <c r="H174" s="2011">
        <v>0</v>
      </c>
      <c r="I174" s="2011">
        <v>136.69107199999999</v>
      </c>
      <c r="J174" s="2012">
        <v>0</v>
      </c>
    </row>
    <row r="175" spans="1:10" ht="23.25" customHeight="1" x14ac:dyDescent="0.25">
      <c r="A175" s="4500"/>
      <c r="B175" s="4496"/>
      <c r="C175" s="4496"/>
      <c r="D175" s="2014" t="s">
        <v>1138</v>
      </c>
      <c r="E175" s="2014" t="s">
        <v>2893</v>
      </c>
      <c r="F175" s="2011">
        <v>136.69107199999999</v>
      </c>
      <c r="G175" s="2011">
        <v>0</v>
      </c>
      <c r="H175" s="2011">
        <v>0</v>
      </c>
      <c r="I175" s="2011">
        <v>136.69107199999999</v>
      </c>
      <c r="J175" s="2012">
        <v>0</v>
      </c>
    </row>
    <row r="176" spans="1:10" ht="23.25" customHeight="1" x14ac:dyDescent="0.25">
      <c r="A176" s="4500"/>
      <c r="B176" s="4495" t="s">
        <v>1826</v>
      </c>
      <c r="C176" s="4501" t="s">
        <v>1815</v>
      </c>
      <c r="D176" s="4503"/>
      <c r="E176" s="2014" t="s">
        <v>988</v>
      </c>
      <c r="F176" s="2011">
        <v>4.2400000000000001E-4</v>
      </c>
      <c r="G176" s="2011">
        <v>0</v>
      </c>
      <c r="H176" s="2011">
        <v>0</v>
      </c>
      <c r="I176" s="2011">
        <v>4.2400000000000001E-4</v>
      </c>
      <c r="J176" s="2012">
        <v>0</v>
      </c>
    </row>
    <row r="177" spans="1:10" ht="23.25" customHeight="1" x14ac:dyDescent="0.25">
      <c r="A177" s="4500"/>
      <c r="B177" s="4500"/>
      <c r="C177" s="4495" t="s">
        <v>1137</v>
      </c>
      <c r="D177" s="2014" t="s">
        <v>1815</v>
      </c>
      <c r="E177" s="2014" t="s">
        <v>2892</v>
      </c>
      <c r="F177" s="2011">
        <v>4.2400000000000001E-4</v>
      </c>
      <c r="G177" s="2011">
        <v>0</v>
      </c>
      <c r="H177" s="2011">
        <v>0</v>
      </c>
      <c r="I177" s="2011">
        <v>4.2400000000000001E-4</v>
      </c>
      <c r="J177" s="2012">
        <v>0</v>
      </c>
    </row>
    <row r="178" spans="1:10" ht="54.75" customHeight="1" x14ac:dyDescent="0.25">
      <c r="A178" s="4500"/>
      <c r="B178" s="4496"/>
      <c r="C178" s="4496"/>
      <c r="D178" s="2014" t="s">
        <v>1157</v>
      </c>
      <c r="E178" s="2014" t="s">
        <v>2902</v>
      </c>
      <c r="F178" s="2011">
        <v>4.2400000000000001E-4</v>
      </c>
      <c r="G178" s="2011">
        <v>0</v>
      </c>
      <c r="H178" s="2011">
        <v>0</v>
      </c>
      <c r="I178" s="2011">
        <v>4.2400000000000001E-4</v>
      </c>
      <c r="J178" s="2012">
        <v>0</v>
      </c>
    </row>
    <row r="179" spans="1:10" ht="23.25" customHeight="1" x14ac:dyDescent="0.25">
      <c r="A179" s="4500"/>
      <c r="B179" s="4495" t="s">
        <v>2577</v>
      </c>
      <c r="C179" s="4501" t="s">
        <v>1815</v>
      </c>
      <c r="D179" s="4503"/>
      <c r="E179" s="2014" t="s">
        <v>3103</v>
      </c>
      <c r="F179" s="2011">
        <v>480.85145799999998</v>
      </c>
      <c r="G179" s="2011">
        <v>8.0622919999999993</v>
      </c>
      <c r="H179" s="2011">
        <v>0</v>
      </c>
      <c r="I179" s="2011">
        <v>472.20416599999999</v>
      </c>
      <c r="J179" s="2012">
        <v>0.58499999999999996</v>
      </c>
    </row>
    <row r="180" spans="1:10" ht="23.25" customHeight="1" x14ac:dyDescent="0.25">
      <c r="A180" s="4500"/>
      <c r="B180" s="4500"/>
      <c r="C180" s="4495" t="s">
        <v>1135</v>
      </c>
      <c r="D180" s="2014" t="s">
        <v>1815</v>
      </c>
      <c r="E180" s="2014" t="s">
        <v>870</v>
      </c>
      <c r="F180" s="2011">
        <v>21.507232999999999</v>
      </c>
      <c r="G180" s="2011">
        <v>0</v>
      </c>
      <c r="H180" s="2011">
        <v>0</v>
      </c>
      <c r="I180" s="2011">
        <v>21.507232999999999</v>
      </c>
      <c r="J180" s="2012">
        <v>0</v>
      </c>
    </row>
    <row r="181" spans="1:10" ht="56.25" customHeight="1" x14ac:dyDescent="0.25">
      <c r="A181" s="4500"/>
      <c r="B181" s="4500"/>
      <c r="C181" s="4496"/>
      <c r="D181" s="2014" t="s">
        <v>1136</v>
      </c>
      <c r="E181" s="2014" t="s">
        <v>2795</v>
      </c>
      <c r="F181" s="2011">
        <v>21.507232999999999</v>
      </c>
      <c r="G181" s="2011">
        <v>0</v>
      </c>
      <c r="H181" s="2011">
        <v>0</v>
      </c>
      <c r="I181" s="2011">
        <v>21.507232999999999</v>
      </c>
      <c r="J181" s="2012">
        <v>0</v>
      </c>
    </row>
    <row r="182" spans="1:10" ht="23.25" customHeight="1" x14ac:dyDescent="0.25">
      <c r="A182" s="4500"/>
      <c r="B182" s="4500"/>
      <c r="C182" s="4495" t="s">
        <v>1174</v>
      </c>
      <c r="D182" s="2014" t="s">
        <v>1815</v>
      </c>
      <c r="E182" s="2014" t="s">
        <v>876</v>
      </c>
      <c r="F182" s="2011">
        <v>0</v>
      </c>
      <c r="G182" s="2011">
        <v>0</v>
      </c>
      <c r="H182" s="2011">
        <v>0</v>
      </c>
      <c r="I182" s="2011">
        <v>0</v>
      </c>
      <c r="J182" s="2012">
        <v>0</v>
      </c>
    </row>
    <row r="183" spans="1:10" ht="23.25" customHeight="1" x14ac:dyDescent="0.25">
      <c r="A183" s="4500"/>
      <c r="B183" s="4500"/>
      <c r="C183" s="4496"/>
      <c r="D183" s="2014" t="s">
        <v>1175</v>
      </c>
      <c r="E183" s="2014" t="s">
        <v>2799</v>
      </c>
      <c r="F183" s="2011">
        <v>0</v>
      </c>
      <c r="G183" s="2011">
        <v>0</v>
      </c>
      <c r="H183" s="2011">
        <v>0</v>
      </c>
      <c r="I183" s="2011">
        <v>0</v>
      </c>
      <c r="J183" s="2012">
        <v>0</v>
      </c>
    </row>
    <row r="184" spans="1:10" ht="23.25" customHeight="1" x14ac:dyDescent="0.25">
      <c r="A184" s="4500"/>
      <c r="B184" s="4500"/>
      <c r="C184" s="4495" t="s">
        <v>1129</v>
      </c>
      <c r="D184" s="2014" t="s">
        <v>1815</v>
      </c>
      <c r="E184" s="2014" t="s">
        <v>871</v>
      </c>
      <c r="F184" s="2011">
        <v>242.69795500000001</v>
      </c>
      <c r="G184" s="2011">
        <v>0</v>
      </c>
      <c r="H184" s="2011">
        <v>0</v>
      </c>
      <c r="I184" s="2011">
        <v>242.69795500000001</v>
      </c>
      <c r="J184" s="2012">
        <v>0</v>
      </c>
    </row>
    <row r="185" spans="1:10" ht="23.25" customHeight="1" x14ac:dyDescent="0.25">
      <c r="A185" s="4500"/>
      <c r="B185" s="4500"/>
      <c r="C185" s="4496"/>
      <c r="D185" s="2014" t="s">
        <v>1159</v>
      </c>
      <c r="E185" s="2014" t="s">
        <v>2802</v>
      </c>
      <c r="F185" s="2011">
        <v>242.69795500000001</v>
      </c>
      <c r="G185" s="2011">
        <v>0</v>
      </c>
      <c r="H185" s="2011">
        <v>0</v>
      </c>
      <c r="I185" s="2011">
        <v>242.69795500000001</v>
      </c>
      <c r="J185" s="2012">
        <v>0</v>
      </c>
    </row>
    <row r="186" spans="1:10" ht="23.25" customHeight="1" x14ac:dyDescent="0.25">
      <c r="A186" s="4500"/>
      <c r="B186" s="4500"/>
      <c r="C186" s="4495" t="s">
        <v>1194</v>
      </c>
      <c r="D186" s="2014" t="s">
        <v>1815</v>
      </c>
      <c r="E186" s="2014" t="s">
        <v>874</v>
      </c>
      <c r="F186" s="2011">
        <v>0.58499999999999996</v>
      </c>
      <c r="G186" s="2011">
        <v>0</v>
      </c>
      <c r="H186" s="2011">
        <v>0</v>
      </c>
      <c r="I186" s="2011">
        <v>0</v>
      </c>
      <c r="J186" s="2012">
        <v>0.58499999999999996</v>
      </c>
    </row>
    <row r="187" spans="1:10" ht="40.5" customHeight="1" x14ac:dyDescent="0.25">
      <c r="A187" s="4500"/>
      <c r="B187" s="4500"/>
      <c r="C187" s="4496"/>
      <c r="D187" s="2014" t="s">
        <v>1197</v>
      </c>
      <c r="E187" s="2014" t="s">
        <v>2808</v>
      </c>
      <c r="F187" s="2011">
        <v>0.58499999999999996</v>
      </c>
      <c r="G187" s="2011">
        <v>0</v>
      </c>
      <c r="H187" s="2011">
        <v>0</v>
      </c>
      <c r="I187" s="2011">
        <v>0</v>
      </c>
      <c r="J187" s="2012">
        <v>0.58499999999999996</v>
      </c>
    </row>
    <row r="188" spans="1:10" ht="51.75" customHeight="1" x14ac:dyDescent="0.25">
      <c r="A188" s="4500"/>
      <c r="B188" s="4500"/>
      <c r="C188" s="4495" t="s">
        <v>1125</v>
      </c>
      <c r="D188" s="2014" t="s">
        <v>1815</v>
      </c>
      <c r="E188" s="2014" t="s">
        <v>2809</v>
      </c>
      <c r="F188" s="2011">
        <v>141.61414099999999</v>
      </c>
      <c r="G188" s="2011">
        <v>0</v>
      </c>
      <c r="H188" s="2011">
        <v>0</v>
      </c>
      <c r="I188" s="2011">
        <v>141.61414099999999</v>
      </c>
      <c r="J188" s="2012">
        <v>0</v>
      </c>
    </row>
    <row r="189" spans="1:10" ht="51.75" customHeight="1" x14ac:dyDescent="0.25">
      <c r="A189" s="4500"/>
      <c r="B189" s="4500"/>
      <c r="C189" s="4496"/>
      <c r="D189" s="2014" t="s">
        <v>1126</v>
      </c>
      <c r="E189" s="2014" t="s">
        <v>2810</v>
      </c>
      <c r="F189" s="2011">
        <v>141.61414099999999</v>
      </c>
      <c r="G189" s="2011">
        <v>0</v>
      </c>
      <c r="H189" s="2011">
        <v>0</v>
      </c>
      <c r="I189" s="2011">
        <v>141.61414099999999</v>
      </c>
      <c r="J189" s="2012">
        <v>0</v>
      </c>
    </row>
    <row r="190" spans="1:10" ht="51.75" customHeight="1" x14ac:dyDescent="0.25">
      <c r="A190" s="4500"/>
      <c r="B190" s="4500"/>
      <c r="C190" s="4495" t="s">
        <v>1131</v>
      </c>
      <c r="D190" s="2014" t="s">
        <v>1815</v>
      </c>
      <c r="E190" s="2014" t="s">
        <v>2827</v>
      </c>
      <c r="F190" s="2011">
        <v>52.846200000000003</v>
      </c>
      <c r="G190" s="2011">
        <v>0</v>
      </c>
      <c r="H190" s="2011">
        <v>0</v>
      </c>
      <c r="I190" s="2011">
        <v>52.846200000000003</v>
      </c>
      <c r="J190" s="2012">
        <v>0</v>
      </c>
    </row>
    <row r="191" spans="1:10" ht="51.75" customHeight="1" x14ac:dyDescent="0.25">
      <c r="A191" s="4500"/>
      <c r="B191" s="4500"/>
      <c r="C191" s="4496"/>
      <c r="D191" s="2014" t="s">
        <v>1132</v>
      </c>
      <c r="E191" s="2014" t="s">
        <v>2829</v>
      </c>
      <c r="F191" s="2011">
        <v>52.846200000000003</v>
      </c>
      <c r="G191" s="2011">
        <v>0</v>
      </c>
      <c r="H191" s="2011">
        <v>0</v>
      </c>
      <c r="I191" s="2011">
        <v>52.846200000000003</v>
      </c>
      <c r="J191" s="2012">
        <v>0</v>
      </c>
    </row>
    <row r="192" spans="1:10" ht="51.75" customHeight="1" x14ac:dyDescent="0.25">
      <c r="A192" s="4500"/>
      <c r="B192" s="4500"/>
      <c r="C192" s="4495" t="s">
        <v>1127</v>
      </c>
      <c r="D192" s="2014" t="s">
        <v>1815</v>
      </c>
      <c r="E192" s="2014" t="s">
        <v>2848</v>
      </c>
      <c r="F192" s="2011">
        <v>7</v>
      </c>
      <c r="G192" s="2011">
        <v>0</v>
      </c>
      <c r="H192" s="2011">
        <v>0</v>
      </c>
      <c r="I192" s="2011">
        <v>7</v>
      </c>
      <c r="J192" s="2012">
        <v>0</v>
      </c>
    </row>
    <row r="193" spans="1:10" ht="23.25" customHeight="1" x14ac:dyDescent="0.25">
      <c r="A193" s="4500"/>
      <c r="B193" s="4500"/>
      <c r="C193" s="4500"/>
      <c r="D193" s="2014" t="s">
        <v>1163</v>
      </c>
      <c r="E193" s="2014" t="s">
        <v>2852</v>
      </c>
      <c r="F193" s="2011">
        <v>4</v>
      </c>
      <c r="G193" s="2011">
        <v>0</v>
      </c>
      <c r="H193" s="2011">
        <v>0</v>
      </c>
      <c r="I193" s="2011">
        <v>4</v>
      </c>
      <c r="J193" s="2012">
        <v>0</v>
      </c>
    </row>
    <row r="194" spans="1:10" ht="23.25" customHeight="1" x14ac:dyDescent="0.25">
      <c r="A194" s="4500"/>
      <c r="B194" s="4500"/>
      <c r="C194" s="4496"/>
      <c r="D194" s="2014" t="s">
        <v>1128</v>
      </c>
      <c r="E194" s="2014" t="s">
        <v>2853</v>
      </c>
      <c r="F194" s="2011">
        <v>3</v>
      </c>
      <c r="G194" s="2011">
        <v>0</v>
      </c>
      <c r="H194" s="2011">
        <v>0</v>
      </c>
      <c r="I194" s="2011">
        <v>3</v>
      </c>
      <c r="J194" s="2012">
        <v>0</v>
      </c>
    </row>
    <row r="195" spans="1:10" ht="23.25" customHeight="1" x14ac:dyDescent="0.25">
      <c r="A195" s="4500"/>
      <c r="B195" s="4500"/>
      <c r="C195" s="4495" t="s">
        <v>1118</v>
      </c>
      <c r="D195" s="2014" t="s">
        <v>1815</v>
      </c>
      <c r="E195" s="2014" t="s">
        <v>2864</v>
      </c>
      <c r="F195" s="2011">
        <v>8.0622919999999993</v>
      </c>
      <c r="G195" s="2011">
        <v>8.0622919999999993</v>
      </c>
      <c r="H195" s="2011">
        <v>0</v>
      </c>
      <c r="I195" s="2011">
        <v>0</v>
      </c>
      <c r="J195" s="2012">
        <v>0</v>
      </c>
    </row>
    <row r="196" spans="1:10" ht="90.75" customHeight="1" x14ac:dyDescent="0.25">
      <c r="A196" s="4500"/>
      <c r="B196" s="4500"/>
      <c r="C196" s="4500"/>
      <c r="D196" s="2014" t="s">
        <v>1164</v>
      </c>
      <c r="E196" s="2014" t="s">
        <v>2866</v>
      </c>
      <c r="F196" s="2011">
        <v>6.322438</v>
      </c>
      <c r="G196" s="2011">
        <v>6.322438</v>
      </c>
      <c r="H196" s="2011">
        <v>0</v>
      </c>
      <c r="I196" s="2011">
        <v>0</v>
      </c>
      <c r="J196" s="2012">
        <v>0</v>
      </c>
    </row>
    <row r="197" spans="1:10" ht="57.75" customHeight="1" x14ac:dyDescent="0.25">
      <c r="A197" s="4500"/>
      <c r="B197" s="4500"/>
      <c r="C197" s="4496"/>
      <c r="D197" s="2014" t="s">
        <v>1165</v>
      </c>
      <c r="E197" s="2014" t="s">
        <v>2870</v>
      </c>
      <c r="F197" s="2011">
        <v>1.739854</v>
      </c>
      <c r="G197" s="2011">
        <v>1.739854</v>
      </c>
      <c r="H197" s="2011">
        <v>0</v>
      </c>
      <c r="I197" s="2011">
        <v>0</v>
      </c>
      <c r="J197" s="2012">
        <v>0</v>
      </c>
    </row>
    <row r="198" spans="1:10" ht="23.25" customHeight="1" x14ac:dyDescent="0.25">
      <c r="A198" s="4500"/>
      <c r="B198" s="4500"/>
      <c r="C198" s="4495" t="s">
        <v>1137</v>
      </c>
      <c r="D198" s="2014" t="s">
        <v>1815</v>
      </c>
      <c r="E198" s="2014" t="s">
        <v>2892</v>
      </c>
      <c r="F198" s="2011">
        <v>6.5386369999999996</v>
      </c>
      <c r="G198" s="2011">
        <v>0</v>
      </c>
      <c r="H198" s="2011">
        <v>0</v>
      </c>
      <c r="I198" s="2011">
        <v>6.5386369999999996</v>
      </c>
      <c r="J198" s="2012">
        <v>0</v>
      </c>
    </row>
    <row r="199" spans="1:10" ht="51.75" customHeight="1" x14ac:dyDescent="0.25">
      <c r="A199" s="4500"/>
      <c r="B199" s="4500"/>
      <c r="C199" s="4500"/>
      <c r="D199" s="2014" t="s">
        <v>1150</v>
      </c>
      <c r="E199" s="2014" t="s">
        <v>2895</v>
      </c>
      <c r="F199" s="2011">
        <v>0.85251500000000002</v>
      </c>
      <c r="G199" s="2011">
        <v>0</v>
      </c>
      <c r="H199" s="2011">
        <v>0</v>
      </c>
      <c r="I199" s="2011">
        <v>0.85251500000000002</v>
      </c>
      <c r="J199" s="2012">
        <v>0</v>
      </c>
    </row>
    <row r="200" spans="1:10" ht="51.75" customHeight="1" x14ac:dyDescent="0.25">
      <c r="A200" s="4500"/>
      <c r="B200" s="4500"/>
      <c r="C200" s="4500"/>
      <c r="D200" s="2014" t="s">
        <v>1167</v>
      </c>
      <c r="E200" s="2014" t="s">
        <v>2896</v>
      </c>
      <c r="F200" s="2011">
        <v>1.92292</v>
      </c>
      <c r="G200" s="2011">
        <v>0</v>
      </c>
      <c r="H200" s="2011">
        <v>0</v>
      </c>
      <c r="I200" s="2011">
        <v>1.92292</v>
      </c>
      <c r="J200" s="2012">
        <v>0</v>
      </c>
    </row>
    <row r="201" spans="1:10" ht="51.75" customHeight="1" x14ac:dyDescent="0.25">
      <c r="A201" s="4500"/>
      <c r="B201" s="4500"/>
      <c r="C201" s="4500"/>
      <c r="D201" s="2014" t="s">
        <v>1168</v>
      </c>
      <c r="E201" s="2014" t="s">
        <v>2898</v>
      </c>
      <c r="F201" s="2011">
        <v>2.3108200000000001</v>
      </c>
      <c r="G201" s="2011">
        <v>0</v>
      </c>
      <c r="H201" s="2011">
        <v>0</v>
      </c>
      <c r="I201" s="2011">
        <v>2.3108200000000001</v>
      </c>
      <c r="J201" s="2012">
        <v>0</v>
      </c>
    </row>
    <row r="202" spans="1:10" ht="51.75" customHeight="1" x14ac:dyDescent="0.25">
      <c r="A202" s="4500"/>
      <c r="B202" s="4500"/>
      <c r="C202" s="4500"/>
      <c r="D202" s="2014" t="s">
        <v>1169</v>
      </c>
      <c r="E202" s="2014" t="s">
        <v>2899</v>
      </c>
      <c r="F202" s="2011">
        <v>0.73421800000000004</v>
      </c>
      <c r="G202" s="2011">
        <v>0</v>
      </c>
      <c r="H202" s="2011">
        <v>0</v>
      </c>
      <c r="I202" s="2011">
        <v>0.73421800000000004</v>
      </c>
      <c r="J202" s="2012">
        <v>0</v>
      </c>
    </row>
    <row r="203" spans="1:10" ht="51.75" customHeight="1" x14ac:dyDescent="0.25">
      <c r="A203" s="4500"/>
      <c r="B203" s="4496"/>
      <c r="C203" s="4496"/>
      <c r="D203" s="2014" t="s">
        <v>1170</v>
      </c>
      <c r="E203" s="2014" t="s">
        <v>2901</v>
      </c>
      <c r="F203" s="2011">
        <v>0.71816400000000002</v>
      </c>
      <c r="G203" s="2011">
        <v>0</v>
      </c>
      <c r="H203" s="2011">
        <v>0</v>
      </c>
      <c r="I203" s="2011">
        <v>0.71816400000000002</v>
      </c>
      <c r="J203" s="2012">
        <v>0</v>
      </c>
    </row>
    <row r="204" spans="1:10" ht="51.75" customHeight="1" x14ac:dyDescent="0.25">
      <c r="A204" s="4500"/>
      <c r="B204" s="4495" t="s">
        <v>2578</v>
      </c>
      <c r="C204" s="4501" t="s">
        <v>1815</v>
      </c>
      <c r="D204" s="4503"/>
      <c r="E204" s="2014" t="s">
        <v>3104</v>
      </c>
      <c r="F204" s="2011">
        <v>23208.450843999999</v>
      </c>
      <c r="G204" s="2011">
        <v>35.124023000000001</v>
      </c>
      <c r="H204" s="2011">
        <v>1685.6159439999999</v>
      </c>
      <c r="I204" s="2011">
        <v>21321.885313999999</v>
      </c>
      <c r="J204" s="2012">
        <v>165.82556299999999</v>
      </c>
    </row>
    <row r="205" spans="1:10" ht="51.75" customHeight="1" x14ac:dyDescent="0.25">
      <c r="A205" s="4500"/>
      <c r="B205" s="4500"/>
      <c r="C205" s="4495" t="s">
        <v>1135</v>
      </c>
      <c r="D205" s="2014" t="s">
        <v>1815</v>
      </c>
      <c r="E205" s="2014" t="s">
        <v>870</v>
      </c>
      <c r="F205" s="2011">
        <v>973.01281500000005</v>
      </c>
      <c r="G205" s="2011">
        <v>0</v>
      </c>
      <c r="H205" s="2011">
        <v>0</v>
      </c>
      <c r="I205" s="2011">
        <v>973.01281500000005</v>
      </c>
      <c r="J205" s="2012">
        <v>0</v>
      </c>
    </row>
    <row r="206" spans="1:10" ht="51.75" customHeight="1" x14ac:dyDescent="0.25">
      <c r="A206" s="4500"/>
      <c r="B206" s="4500"/>
      <c r="C206" s="4496"/>
      <c r="D206" s="2014" t="s">
        <v>1136</v>
      </c>
      <c r="E206" s="2014" t="s">
        <v>2795</v>
      </c>
      <c r="F206" s="2011">
        <v>973.01281500000005</v>
      </c>
      <c r="G206" s="2011">
        <v>0</v>
      </c>
      <c r="H206" s="2011">
        <v>0</v>
      </c>
      <c r="I206" s="2011">
        <v>973.01281500000005</v>
      </c>
      <c r="J206" s="2012">
        <v>0</v>
      </c>
    </row>
    <row r="207" spans="1:10" ht="51.75" customHeight="1" x14ac:dyDescent="0.25">
      <c r="A207" s="4500"/>
      <c r="B207" s="4500"/>
      <c r="C207" s="4495" t="s">
        <v>1830</v>
      </c>
      <c r="D207" s="2014" t="s">
        <v>1815</v>
      </c>
      <c r="E207" s="2014" t="s">
        <v>2796</v>
      </c>
      <c r="F207" s="2011">
        <v>0</v>
      </c>
      <c r="G207" s="2011">
        <v>0</v>
      </c>
      <c r="H207" s="2011">
        <v>0</v>
      </c>
      <c r="I207" s="2011">
        <v>0</v>
      </c>
      <c r="J207" s="2012">
        <v>0</v>
      </c>
    </row>
    <row r="208" spans="1:10" ht="59.25" customHeight="1" x14ac:dyDescent="0.25">
      <c r="A208" s="4500"/>
      <c r="B208" s="4500"/>
      <c r="C208" s="4496"/>
      <c r="D208" s="2014" t="s">
        <v>1831</v>
      </c>
      <c r="E208" s="2014" t="s">
        <v>2797</v>
      </c>
      <c r="F208" s="2011">
        <v>0</v>
      </c>
      <c r="G208" s="2011">
        <v>0</v>
      </c>
      <c r="H208" s="2011">
        <v>0</v>
      </c>
      <c r="I208" s="2011">
        <v>0</v>
      </c>
      <c r="J208" s="2012">
        <v>0</v>
      </c>
    </row>
    <row r="209" spans="1:10" ht="23.25" customHeight="1" x14ac:dyDescent="0.25">
      <c r="A209" s="4500"/>
      <c r="B209" s="4500"/>
      <c r="C209" s="4495" t="s">
        <v>1174</v>
      </c>
      <c r="D209" s="2014" t="s">
        <v>1815</v>
      </c>
      <c r="E209" s="2014" t="s">
        <v>876</v>
      </c>
      <c r="F209" s="2011">
        <v>16842.487499999999</v>
      </c>
      <c r="G209" s="2011">
        <v>0</v>
      </c>
      <c r="H209" s="2011">
        <v>1685.6159439999999</v>
      </c>
      <c r="I209" s="2011">
        <v>15156.871556</v>
      </c>
      <c r="J209" s="2012">
        <v>0</v>
      </c>
    </row>
    <row r="210" spans="1:10" ht="23.25" customHeight="1" x14ac:dyDescent="0.25">
      <c r="A210" s="4500"/>
      <c r="B210" s="4500"/>
      <c r="C210" s="4496"/>
      <c r="D210" s="2014" t="s">
        <v>1175</v>
      </c>
      <c r="E210" s="2014" t="s">
        <v>2799</v>
      </c>
      <c r="F210" s="2011">
        <v>16842.487499999999</v>
      </c>
      <c r="G210" s="2011">
        <v>0</v>
      </c>
      <c r="H210" s="2011">
        <v>1685.6159439999999</v>
      </c>
      <c r="I210" s="2011">
        <v>15156.871556</v>
      </c>
      <c r="J210" s="2012">
        <v>0</v>
      </c>
    </row>
    <row r="211" spans="1:10" ht="23.25" customHeight="1" x14ac:dyDescent="0.25">
      <c r="A211" s="4500"/>
      <c r="B211" s="4500"/>
      <c r="C211" s="4495" t="s">
        <v>1129</v>
      </c>
      <c r="D211" s="2014" t="s">
        <v>1815</v>
      </c>
      <c r="E211" s="2014" t="s">
        <v>871</v>
      </c>
      <c r="F211" s="2011">
        <v>1453.732788</v>
      </c>
      <c r="G211" s="2011">
        <v>0</v>
      </c>
      <c r="H211" s="2011">
        <v>0</v>
      </c>
      <c r="I211" s="2011">
        <v>1453.732788</v>
      </c>
      <c r="J211" s="2012">
        <v>0</v>
      </c>
    </row>
    <row r="212" spans="1:10" ht="23.25" customHeight="1" x14ac:dyDescent="0.25">
      <c r="A212" s="4500"/>
      <c r="B212" s="4500"/>
      <c r="C212" s="4500"/>
      <c r="D212" s="2014" t="s">
        <v>1130</v>
      </c>
      <c r="E212" s="2014" t="s">
        <v>2801</v>
      </c>
      <c r="F212" s="2011">
        <v>282.18082800000002</v>
      </c>
      <c r="G212" s="2011">
        <v>0</v>
      </c>
      <c r="H212" s="2011">
        <v>0</v>
      </c>
      <c r="I212" s="2011">
        <v>282.18082800000002</v>
      </c>
      <c r="J212" s="2012">
        <v>0</v>
      </c>
    </row>
    <row r="213" spans="1:10" ht="23.25" customHeight="1" x14ac:dyDescent="0.25">
      <c r="A213" s="4500"/>
      <c r="B213" s="4500"/>
      <c r="C213" s="4500"/>
      <c r="D213" s="2014" t="s">
        <v>1159</v>
      </c>
      <c r="E213" s="2014" t="s">
        <v>2802</v>
      </c>
      <c r="F213" s="2011">
        <v>1011.275384</v>
      </c>
      <c r="G213" s="2011">
        <v>0</v>
      </c>
      <c r="H213" s="2011">
        <v>0</v>
      </c>
      <c r="I213" s="2011">
        <v>1011.275384</v>
      </c>
      <c r="J213" s="2012">
        <v>0</v>
      </c>
    </row>
    <row r="214" spans="1:10" ht="23.25" customHeight="1" x14ac:dyDescent="0.25">
      <c r="A214" s="4500"/>
      <c r="B214" s="4500"/>
      <c r="C214" s="4500"/>
      <c r="D214" s="2014" t="s">
        <v>1160</v>
      </c>
      <c r="E214" s="2014" t="s">
        <v>2803</v>
      </c>
      <c r="F214" s="2011">
        <v>135.74950000000001</v>
      </c>
      <c r="G214" s="2011">
        <v>0</v>
      </c>
      <c r="H214" s="2011">
        <v>0</v>
      </c>
      <c r="I214" s="2011">
        <v>135.74950000000001</v>
      </c>
      <c r="J214" s="2012">
        <v>0</v>
      </c>
    </row>
    <row r="215" spans="1:10" ht="23.25" customHeight="1" x14ac:dyDescent="0.25">
      <c r="A215" s="4500"/>
      <c r="B215" s="4500"/>
      <c r="C215" s="4500"/>
      <c r="D215" s="2014" t="s">
        <v>1133</v>
      </c>
      <c r="E215" s="2014" t="s">
        <v>2804</v>
      </c>
      <c r="F215" s="2011">
        <v>24.527076000000001</v>
      </c>
      <c r="G215" s="2011">
        <v>0</v>
      </c>
      <c r="H215" s="2011">
        <v>0</v>
      </c>
      <c r="I215" s="2011">
        <v>24.527076000000001</v>
      </c>
      <c r="J215" s="2012">
        <v>0</v>
      </c>
    </row>
    <row r="216" spans="1:10" ht="23.25" customHeight="1" x14ac:dyDescent="0.25">
      <c r="A216" s="4500"/>
      <c r="B216" s="4500"/>
      <c r="C216" s="4496"/>
      <c r="D216" s="2014" t="s">
        <v>1134</v>
      </c>
      <c r="E216" s="2014" t="s">
        <v>2805</v>
      </c>
      <c r="F216" s="2011">
        <v>0</v>
      </c>
      <c r="G216" s="2011">
        <v>0</v>
      </c>
      <c r="H216" s="2011">
        <v>0</v>
      </c>
      <c r="I216" s="2011">
        <v>0</v>
      </c>
      <c r="J216" s="2012">
        <v>0</v>
      </c>
    </row>
    <row r="217" spans="1:10" ht="23.25" customHeight="1" x14ac:dyDescent="0.25">
      <c r="A217" s="4500"/>
      <c r="B217" s="4500"/>
      <c r="C217" s="4495" t="s">
        <v>1194</v>
      </c>
      <c r="D217" s="2014" t="s">
        <v>1815</v>
      </c>
      <c r="E217" s="2014" t="s">
        <v>874</v>
      </c>
      <c r="F217" s="2011">
        <v>25.849163000000001</v>
      </c>
      <c r="G217" s="2011">
        <v>0</v>
      </c>
      <c r="H217" s="2011">
        <v>0</v>
      </c>
      <c r="I217" s="2011">
        <v>0</v>
      </c>
      <c r="J217" s="2012">
        <v>25.849163000000001</v>
      </c>
    </row>
    <row r="218" spans="1:10" ht="23.25" customHeight="1" x14ac:dyDescent="0.25">
      <c r="A218" s="4500"/>
      <c r="B218" s="4500"/>
      <c r="C218" s="4500"/>
      <c r="D218" s="2014" t="s">
        <v>1195</v>
      </c>
      <c r="E218" s="2014" t="s">
        <v>2807</v>
      </c>
      <c r="F218" s="2011">
        <v>3.3366959999999999</v>
      </c>
      <c r="G218" s="2011">
        <v>0</v>
      </c>
      <c r="H218" s="2011">
        <v>0</v>
      </c>
      <c r="I218" s="2011">
        <v>0</v>
      </c>
      <c r="J218" s="2012">
        <v>3.3366959999999999</v>
      </c>
    </row>
    <row r="219" spans="1:10" ht="51.75" customHeight="1" x14ac:dyDescent="0.25">
      <c r="A219" s="4500"/>
      <c r="B219" s="4500"/>
      <c r="C219" s="4496"/>
      <c r="D219" s="2014" t="s">
        <v>1197</v>
      </c>
      <c r="E219" s="2014" t="s">
        <v>2808</v>
      </c>
      <c r="F219" s="2011">
        <v>22.512467000000001</v>
      </c>
      <c r="G219" s="2011">
        <v>0</v>
      </c>
      <c r="H219" s="2011">
        <v>0</v>
      </c>
      <c r="I219" s="2011">
        <v>0</v>
      </c>
      <c r="J219" s="2012">
        <v>22.512467000000001</v>
      </c>
    </row>
    <row r="220" spans="1:10" ht="41.25" customHeight="1" x14ac:dyDescent="0.25">
      <c r="A220" s="4500"/>
      <c r="B220" s="4500"/>
      <c r="C220" s="4495" t="s">
        <v>1125</v>
      </c>
      <c r="D220" s="2014" t="s">
        <v>1815</v>
      </c>
      <c r="E220" s="2014" t="s">
        <v>2809</v>
      </c>
      <c r="F220" s="2011">
        <v>2680.9462410000001</v>
      </c>
      <c r="G220" s="2011">
        <v>0</v>
      </c>
      <c r="H220" s="2011">
        <v>0</v>
      </c>
      <c r="I220" s="2011">
        <v>2680.9462410000001</v>
      </c>
      <c r="J220" s="2012">
        <v>0</v>
      </c>
    </row>
    <row r="221" spans="1:10" ht="68.25" customHeight="1" x14ac:dyDescent="0.25">
      <c r="A221" s="4500"/>
      <c r="B221" s="4500"/>
      <c r="C221" s="4496"/>
      <c r="D221" s="2014" t="s">
        <v>1126</v>
      </c>
      <c r="E221" s="2014" t="s">
        <v>2810</v>
      </c>
      <c r="F221" s="2011">
        <v>2680.9462410000001</v>
      </c>
      <c r="G221" s="2011">
        <v>0</v>
      </c>
      <c r="H221" s="2011">
        <v>0</v>
      </c>
      <c r="I221" s="2011">
        <v>2680.9462410000001</v>
      </c>
      <c r="J221" s="2012">
        <v>0</v>
      </c>
    </row>
    <row r="222" spans="1:10" ht="41.25" customHeight="1" x14ac:dyDescent="0.25">
      <c r="A222" s="4500"/>
      <c r="B222" s="4500"/>
      <c r="C222" s="4495" t="s">
        <v>1131</v>
      </c>
      <c r="D222" s="2014" t="s">
        <v>1815</v>
      </c>
      <c r="E222" s="2014" t="s">
        <v>2827</v>
      </c>
      <c r="F222" s="2011">
        <v>777.92664500000001</v>
      </c>
      <c r="G222" s="2011">
        <v>0</v>
      </c>
      <c r="H222" s="2011">
        <v>0</v>
      </c>
      <c r="I222" s="2011">
        <v>777.92664500000001</v>
      </c>
      <c r="J222" s="2012">
        <v>0</v>
      </c>
    </row>
    <row r="223" spans="1:10" ht="41.25" customHeight="1" x14ac:dyDescent="0.25">
      <c r="A223" s="4500"/>
      <c r="B223" s="4500"/>
      <c r="C223" s="4496"/>
      <c r="D223" s="2014" t="s">
        <v>1132</v>
      </c>
      <c r="E223" s="2014" t="s">
        <v>2829</v>
      </c>
      <c r="F223" s="2011">
        <v>777.92664500000001</v>
      </c>
      <c r="G223" s="2011">
        <v>0</v>
      </c>
      <c r="H223" s="2011">
        <v>0</v>
      </c>
      <c r="I223" s="2011">
        <v>777.92664500000001</v>
      </c>
      <c r="J223" s="2012">
        <v>0</v>
      </c>
    </row>
    <row r="224" spans="1:10" ht="41.25" customHeight="1" x14ac:dyDescent="0.25">
      <c r="A224" s="4500"/>
      <c r="B224" s="4500"/>
      <c r="C224" s="4495" t="s">
        <v>1139</v>
      </c>
      <c r="D224" s="2014" t="s">
        <v>1815</v>
      </c>
      <c r="E224" s="2014" t="s">
        <v>2843</v>
      </c>
      <c r="F224" s="2011">
        <v>139.97640000000001</v>
      </c>
      <c r="G224" s="2011">
        <v>0</v>
      </c>
      <c r="H224" s="2011">
        <v>0</v>
      </c>
      <c r="I224" s="2011">
        <v>0</v>
      </c>
      <c r="J224" s="2012">
        <v>139.97640000000001</v>
      </c>
    </row>
    <row r="225" spans="1:10" ht="41.25" customHeight="1" x14ac:dyDescent="0.25">
      <c r="A225" s="4500"/>
      <c r="B225" s="4500"/>
      <c r="C225" s="4496"/>
      <c r="D225" s="2014" t="s">
        <v>1196</v>
      </c>
      <c r="E225" s="2014" t="s">
        <v>2844</v>
      </c>
      <c r="F225" s="2011">
        <v>139.97640000000001</v>
      </c>
      <c r="G225" s="2011">
        <v>0</v>
      </c>
      <c r="H225" s="2011">
        <v>0</v>
      </c>
      <c r="I225" s="2011">
        <v>0</v>
      </c>
      <c r="J225" s="2012">
        <v>139.97640000000001</v>
      </c>
    </row>
    <row r="226" spans="1:10" ht="41.25" customHeight="1" x14ac:dyDescent="0.25">
      <c r="A226" s="4500"/>
      <c r="B226" s="4500"/>
      <c r="C226" s="4495" t="s">
        <v>1127</v>
      </c>
      <c r="D226" s="2014" t="s">
        <v>1815</v>
      </c>
      <c r="E226" s="2014" t="s">
        <v>2848</v>
      </c>
      <c r="F226" s="2011">
        <v>80.5</v>
      </c>
      <c r="G226" s="2011">
        <v>0</v>
      </c>
      <c r="H226" s="2011">
        <v>0</v>
      </c>
      <c r="I226" s="2011">
        <v>80.5</v>
      </c>
      <c r="J226" s="2012">
        <v>0</v>
      </c>
    </row>
    <row r="227" spans="1:10" ht="23.25" customHeight="1" x14ac:dyDescent="0.25">
      <c r="A227" s="4500"/>
      <c r="B227" s="4500"/>
      <c r="C227" s="4500"/>
      <c r="D227" s="2014" t="s">
        <v>1162</v>
      </c>
      <c r="E227" s="2014" t="s">
        <v>2851</v>
      </c>
      <c r="F227" s="2011">
        <v>6</v>
      </c>
      <c r="G227" s="2011">
        <v>0</v>
      </c>
      <c r="H227" s="2011">
        <v>0</v>
      </c>
      <c r="I227" s="2011">
        <v>6</v>
      </c>
      <c r="J227" s="2012">
        <v>0</v>
      </c>
    </row>
    <row r="228" spans="1:10" ht="23.25" customHeight="1" x14ac:dyDescent="0.25">
      <c r="A228" s="4500"/>
      <c r="B228" s="4500"/>
      <c r="C228" s="4500"/>
      <c r="D228" s="2014" t="s">
        <v>1163</v>
      </c>
      <c r="E228" s="2014" t="s">
        <v>2852</v>
      </c>
      <c r="F228" s="2011">
        <v>74</v>
      </c>
      <c r="G228" s="2011">
        <v>0</v>
      </c>
      <c r="H228" s="2011">
        <v>0</v>
      </c>
      <c r="I228" s="2011">
        <v>74</v>
      </c>
      <c r="J228" s="2012">
        <v>0</v>
      </c>
    </row>
    <row r="229" spans="1:10" ht="23.25" customHeight="1" x14ac:dyDescent="0.25">
      <c r="A229" s="4500"/>
      <c r="B229" s="4500"/>
      <c r="C229" s="4496"/>
      <c r="D229" s="2014" t="s">
        <v>1128</v>
      </c>
      <c r="E229" s="2014" t="s">
        <v>2853</v>
      </c>
      <c r="F229" s="2011">
        <v>0.5</v>
      </c>
      <c r="G229" s="2011">
        <v>0</v>
      </c>
      <c r="H229" s="2011">
        <v>0</v>
      </c>
      <c r="I229" s="2011">
        <v>0.5</v>
      </c>
      <c r="J229" s="2012">
        <v>0</v>
      </c>
    </row>
    <row r="230" spans="1:10" ht="23.25" customHeight="1" x14ac:dyDescent="0.25">
      <c r="A230" s="4500"/>
      <c r="B230" s="4500"/>
      <c r="C230" s="4495" t="s">
        <v>2856</v>
      </c>
      <c r="D230" s="2014" t="s">
        <v>1815</v>
      </c>
      <c r="E230" s="2014" t="s">
        <v>2857</v>
      </c>
      <c r="F230" s="2011">
        <v>0</v>
      </c>
      <c r="G230" s="2011">
        <v>0</v>
      </c>
      <c r="H230" s="2011">
        <v>0</v>
      </c>
      <c r="I230" s="2011">
        <v>0</v>
      </c>
      <c r="J230" s="2012">
        <v>0</v>
      </c>
    </row>
    <row r="231" spans="1:10" ht="23.25" customHeight="1" x14ac:dyDescent="0.25">
      <c r="A231" s="4500"/>
      <c r="B231" s="4500"/>
      <c r="C231" s="4496"/>
      <c r="D231" s="2014" t="s">
        <v>2858</v>
      </c>
      <c r="E231" s="2014" t="s">
        <v>2859</v>
      </c>
      <c r="F231" s="2011">
        <v>0</v>
      </c>
      <c r="G231" s="2011">
        <v>0</v>
      </c>
      <c r="H231" s="2011">
        <v>0</v>
      </c>
      <c r="I231" s="2011">
        <v>0</v>
      </c>
      <c r="J231" s="2012">
        <v>0</v>
      </c>
    </row>
    <row r="232" spans="1:10" ht="23.25" customHeight="1" x14ac:dyDescent="0.25">
      <c r="A232" s="4500"/>
      <c r="B232" s="4500"/>
      <c r="C232" s="4495" t="s">
        <v>1118</v>
      </c>
      <c r="D232" s="2014" t="s">
        <v>1815</v>
      </c>
      <c r="E232" s="2014" t="s">
        <v>2864</v>
      </c>
      <c r="F232" s="2011">
        <v>35.124023000000001</v>
      </c>
      <c r="G232" s="2011">
        <v>35.124023000000001</v>
      </c>
      <c r="H232" s="2011">
        <v>0</v>
      </c>
      <c r="I232" s="2011">
        <v>0</v>
      </c>
      <c r="J232" s="2012">
        <v>0</v>
      </c>
    </row>
    <row r="233" spans="1:10" ht="69.75" customHeight="1" x14ac:dyDescent="0.25">
      <c r="A233" s="4500"/>
      <c r="B233" s="4500"/>
      <c r="C233" s="4500"/>
      <c r="D233" s="2014" t="s">
        <v>1164</v>
      </c>
      <c r="E233" s="2014" t="s">
        <v>2866</v>
      </c>
      <c r="F233" s="2011">
        <v>28.055225</v>
      </c>
      <c r="G233" s="2011">
        <v>28.055225</v>
      </c>
      <c r="H233" s="2011">
        <v>0</v>
      </c>
      <c r="I233" s="2011">
        <v>0</v>
      </c>
      <c r="J233" s="2012">
        <v>0</v>
      </c>
    </row>
    <row r="234" spans="1:10" ht="44.25" customHeight="1" x14ac:dyDescent="0.25">
      <c r="A234" s="4500"/>
      <c r="B234" s="4500"/>
      <c r="C234" s="4500"/>
      <c r="D234" s="2014" t="s">
        <v>1165</v>
      </c>
      <c r="E234" s="2014" t="s">
        <v>2870</v>
      </c>
      <c r="F234" s="2011">
        <v>6.8788939999999998</v>
      </c>
      <c r="G234" s="2011">
        <v>6.8788939999999998</v>
      </c>
      <c r="H234" s="2011">
        <v>0</v>
      </c>
      <c r="I234" s="2011">
        <v>0</v>
      </c>
      <c r="J234" s="2012">
        <v>0</v>
      </c>
    </row>
    <row r="235" spans="1:10" ht="44.25" customHeight="1" x14ac:dyDescent="0.25">
      <c r="A235" s="4500"/>
      <c r="B235" s="4500"/>
      <c r="C235" s="4496"/>
      <c r="D235" s="2014" t="s">
        <v>1166</v>
      </c>
      <c r="E235" s="2014" t="s">
        <v>2871</v>
      </c>
      <c r="F235" s="2011">
        <v>0.18990399999999999</v>
      </c>
      <c r="G235" s="2011">
        <v>0.18990399999999999</v>
      </c>
      <c r="H235" s="2011">
        <v>0</v>
      </c>
      <c r="I235" s="2011">
        <v>0</v>
      </c>
      <c r="J235" s="2012">
        <v>0</v>
      </c>
    </row>
    <row r="236" spans="1:10" ht="44.25" customHeight="1" x14ac:dyDescent="0.25">
      <c r="A236" s="4500"/>
      <c r="B236" s="4500"/>
      <c r="C236" s="4495" t="s">
        <v>1137</v>
      </c>
      <c r="D236" s="2014" t="s">
        <v>1815</v>
      </c>
      <c r="E236" s="2014" t="s">
        <v>2892</v>
      </c>
      <c r="F236" s="2011">
        <v>198.89526900000001</v>
      </c>
      <c r="G236" s="2011">
        <v>0</v>
      </c>
      <c r="H236" s="2011">
        <v>0</v>
      </c>
      <c r="I236" s="2011">
        <v>198.89526900000001</v>
      </c>
      <c r="J236" s="2012">
        <v>0</v>
      </c>
    </row>
    <row r="237" spans="1:10" ht="44.25" customHeight="1" x14ac:dyDescent="0.25">
      <c r="A237" s="4500"/>
      <c r="B237" s="4500"/>
      <c r="C237" s="4500"/>
      <c r="D237" s="2014" t="s">
        <v>1150</v>
      </c>
      <c r="E237" s="2014" t="s">
        <v>2895</v>
      </c>
      <c r="F237" s="2011">
        <v>0.56054800000000005</v>
      </c>
      <c r="G237" s="2011">
        <v>0</v>
      </c>
      <c r="H237" s="2011">
        <v>0</v>
      </c>
      <c r="I237" s="2011">
        <v>0.56054800000000005</v>
      </c>
      <c r="J237" s="2012">
        <v>0</v>
      </c>
    </row>
    <row r="238" spans="1:10" ht="96" customHeight="1" x14ac:dyDescent="0.25">
      <c r="A238" s="4500"/>
      <c r="B238" s="4500"/>
      <c r="C238" s="4500"/>
      <c r="D238" s="2014" t="s">
        <v>1167</v>
      </c>
      <c r="E238" s="2014" t="s">
        <v>2896</v>
      </c>
      <c r="F238" s="2011">
        <v>121.255303</v>
      </c>
      <c r="G238" s="2011">
        <v>0</v>
      </c>
      <c r="H238" s="2011">
        <v>0</v>
      </c>
      <c r="I238" s="2011">
        <v>121.255303</v>
      </c>
      <c r="J238" s="2012">
        <v>0</v>
      </c>
    </row>
    <row r="239" spans="1:10" ht="96" customHeight="1" x14ac:dyDescent="0.25">
      <c r="A239" s="4500"/>
      <c r="B239" s="4500"/>
      <c r="C239" s="4500"/>
      <c r="D239" s="2014" t="s">
        <v>2264</v>
      </c>
      <c r="E239" s="2014" t="s">
        <v>2897</v>
      </c>
      <c r="F239" s="2011">
        <v>0</v>
      </c>
      <c r="G239" s="2011">
        <v>0</v>
      </c>
      <c r="H239" s="2011">
        <v>0</v>
      </c>
      <c r="I239" s="2011">
        <v>0</v>
      </c>
      <c r="J239" s="2012">
        <v>0</v>
      </c>
    </row>
    <row r="240" spans="1:10" ht="48" customHeight="1" x14ac:dyDescent="0.25">
      <c r="A240" s="4500"/>
      <c r="B240" s="4500"/>
      <c r="C240" s="4500"/>
      <c r="D240" s="2014" t="s">
        <v>1168</v>
      </c>
      <c r="E240" s="2014" t="s">
        <v>2898</v>
      </c>
      <c r="F240" s="2011">
        <v>4.3990600000000004</v>
      </c>
      <c r="G240" s="2011">
        <v>0</v>
      </c>
      <c r="H240" s="2011">
        <v>0</v>
      </c>
      <c r="I240" s="2011">
        <v>4.3990600000000004</v>
      </c>
      <c r="J240" s="2012">
        <v>0</v>
      </c>
    </row>
    <row r="241" spans="1:10" ht="96" customHeight="1" x14ac:dyDescent="0.25">
      <c r="A241" s="4500"/>
      <c r="B241" s="4500"/>
      <c r="C241" s="4500"/>
      <c r="D241" s="2014" t="s">
        <v>1169</v>
      </c>
      <c r="E241" s="2014" t="s">
        <v>2899</v>
      </c>
      <c r="F241" s="2011">
        <v>31.422357999999999</v>
      </c>
      <c r="G241" s="2011">
        <v>0</v>
      </c>
      <c r="H241" s="2011">
        <v>0</v>
      </c>
      <c r="I241" s="2011">
        <v>31.422357999999999</v>
      </c>
      <c r="J241" s="2012">
        <v>0</v>
      </c>
    </row>
    <row r="242" spans="1:10" ht="96" customHeight="1" x14ac:dyDescent="0.25">
      <c r="A242" s="4500"/>
      <c r="B242" s="4500"/>
      <c r="C242" s="4500"/>
      <c r="D242" s="2014" t="s">
        <v>1170</v>
      </c>
      <c r="E242" s="2014" t="s">
        <v>2901</v>
      </c>
      <c r="F242" s="2011">
        <v>35.423000000000002</v>
      </c>
      <c r="G242" s="2011">
        <v>0</v>
      </c>
      <c r="H242" s="2011">
        <v>0</v>
      </c>
      <c r="I242" s="2011">
        <v>35.423000000000002</v>
      </c>
      <c r="J242" s="2012">
        <v>0</v>
      </c>
    </row>
    <row r="243" spans="1:10" ht="96" customHeight="1" x14ac:dyDescent="0.25">
      <c r="A243" s="4500"/>
      <c r="B243" s="4496"/>
      <c r="C243" s="4496"/>
      <c r="D243" s="2014" t="s">
        <v>1157</v>
      </c>
      <c r="E243" s="2014" t="s">
        <v>2902</v>
      </c>
      <c r="F243" s="2011">
        <v>5.835</v>
      </c>
      <c r="G243" s="2011">
        <v>0</v>
      </c>
      <c r="H243" s="2011">
        <v>0</v>
      </c>
      <c r="I243" s="2011">
        <v>5.835</v>
      </c>
      <c r="J243" s="2012">
        <v>0</v>
      </c>
    </row>
    <row r="244" spans="1:10" ht="23.25" customHeight="1" x14ac:dyDescent="0.25">
      <c r="A244" s="4500"/>
      <c r="B244" s="4495" t="s">
        <v>1171</v>
      </c>
      <c r="C244" s="4501" t="s">
        <v>1815</v>
      </c>
      <c r="D244" s="4503"/>
      <c r="E244" s="2014" t="s">
        <v>1808</v>
      </c>
      <c r="F244" s="2011">
        <v>243.16752700000001</v>
      </c>
      <c r="G244" s="2011">
        <v>7.0096869999999996</v>
      </c>
      <c r="H244" s="2011">
        <v>16.948267000000001</v>
      </c>
      <c r="I244" s="2011">
        <v>217.20957300000001</v>
      </c>
      <c r="J244" s="2012">
        <v>2</v>
      </c>
    </row>
    <row r="245" spans="1:10" ht="59.25" customHeight="1" x14ac:dyDescent="0.25">
      <c r="A245" s="4500"/>
      <c r="B245" s="4500"/>
      <c r="C245" s="4495" t="s">
        <v>1135</v>
      </c>
      <c r="D245" s="2014" t="s">
        <v>1815</v>
      </c>
      <c r="E245" s="2014" t="s">
        <v>870</v>
      </c>
      <c r="F245" s="2011">
        <v>19.454301000000001</v>
      </c>
      <c r="G245" s="2011">
        <v>0</v>
      </c>
      <c r="H245" s="2011">
        <v>0</v>
      </c>
      <c r="I245" s="2011">
        <v>19.454301000000001</v>
      </c>
      <c r="J245" s="2012">
        <v>0</v>
      </c>
    </row>
    <row r="246" spans="1:10" ht="59.25" customHeight="1" x14ac:dyDescent="0.25">
      <c r="A246" s="4500"/>
      <c r="B246" s="4500"/>
      <c r="C246" s="4496"/>
      <c r="D246" s="2014" t="s">
        <v>1136</v>
      </c>
      <c r="E246" s="2014" t="s">
        <v>2795</v>
      </c>
      <c r="F246" s="2011">
        <v>19.454301000000001</v>
      </c>
      <c r="G246" s="2011">
        <v>0</v>
      </c>
      <c r="H246" s="2011">
        <v>0</v>
      </c>
      <c r="I246" s="2011">
        <v>19.454301000000001</v>
      </c>
      <c r="J246" s="2012">
        <v>0</v>
      </c>
    </row>
    <row r="247" spans="1:10" ht="59.25" customHeight="1" x14ac:dyDescent="0.25">
      <c r="A247" s="4500"/>
      <c r="B247" s="4500"/>
      <c r="C247" s="4495" t="s">
        <v>1125</v>
      </c>
      <c r="D247" s="2014" t="s">
        <v>1815</v>
      </c>
      <c r="E247" s="2014" t="s">
        <v>2809</v>
      </c>
      <c r="F247" s="2011">
        <v>159.98681500000001</v>
      </c>
      <c r="G247" s="2011">
        <v>0</v>
      </c>
      <c r="H247" s="2011">
        <v>0</v>
      </c>
      <c r="I247" s="2011">
        <v>159.98681500000001</v>
      </c>
      <c r="J247" s="2012">
        <v>0</v>
      </c>
    </row>
    <row r="248" spans="1:10" ht="59.25" customHeight="1" x14ac:dyDescent="0.25">
      <c r="A248" s="4500"/>
      <c r="B248" s="4500"/>
      <c r="C248" s="4500"/>
      <c r="D248" s="2014" t="s">
        <v>1126</v>
      </c>
      <c r="E248" s="2014" t="s">
        <v>2810</v>
      </c>
      <c r="F248" s="2011">
        <v>159.98681500000001</v>
      </c>
      <c r="G248" s="2011">
        <v>0</v>
      </c>
      <c r="H248" s="2011">
        <v>0</v>
      </c>
      <c r="I248" s="2011">
        <v>159.98681500000001</v>
      </c>
      <c r="J248" s="2012">
        <v>0</v>
      </c>
    </row>
    <row r="249" spans="1:10" ht="59.25" customHeight="1" x14ac:dyDescent="0.25">
      <c r="A249" s="4500"/>
      <c r="B249" s="4500"/>
      <c r="C249" s="4496"/>
      <c r="D249" s="2014" t="s">
        <v>2253</v>
      </c>
      <c r="E249" s="2014" t="s">
        <v>2811</v>
      </c>
      <c r="F249" s="2011">
        <v>0</v>
      </c>
      <c r="G249" s="2011">
        <v>0</v>
      </c>
      <c r="H249" s="2011">
        <v>0</v>
      </c>
      <c r="I249" s="2011">
        <v>0</v>
      </c>
      <c r="J249" s="2012">
        <v>0</v>
      </c>
    </row>
    <row r="250" spans="1:10" ht="59.25" customHeight="1" x14ac:dyDescent="0.25">
      <c r="A250" s="4500"/>
      <c r="B250" s="4500"/>
      <c r="C250" s="4495" t="s">
        <v>1827</v>
      </c>
      <c r="D250" s="2014" t="s">
        <v>1815</v>
      </c>
      <c r="E250" s="2014" t="s">
        <v>2812</v>
      </c>
      <c r="F250" s="2011">
        <v>16.304559000000001</v>
      </c>
      <c r="G250" s="2011">
        <v>0</v>
      </c>
      <c r="H250" s="2011">
        <v>16.304559000000001</v>
      </c>
      <c r="I250" s="2011">
        <v>0</v>
      </c>
      <c r="J250" s="2012">
        <v>0</v>
      </c>
    </row>
    <row r="251" spans="1:10" ht="23.25" customHeight="1" x14ac:dyDescent="0.25">
      <c r="A251" s="4500"/>
      <c r="B251" s="4500"/>
      <c r="C251" s="4496"/>
      <c r="D251" s="2014" t="s">
        <v>1828</v>
      </c>
      <c r="E251" s="2014" t="s">
        <v>2813</v>
      </c>
      <c r="F251" s="2011">
        <v>16.304559000000001</v>
      </c>
      <c r="G251" s="2011">
        <v>0</v>
      </c>
      <c r="H251" s="2011">
        <v>16.304559000000001</v>
      </c>
      <c r="I251" s="2011">
        <v>0</v>
      </c>
      <c r="J251" s="2012">
        <v>0</v>
      </c>
    </row>
    <row r="252" spans="1:10" ht="48" customHeight="1" x14ac:dyDescent="0.25">
      <c r="A252" s="4500"/>
      <c r="B252" s="4500"/>
      <c r="C252" s="4495" t="s">
        <v>1127</v>
      </c>
      <c r="D252" s="2014" t="s">
        <v>1815</v>
      </c>
      <c r="E252" s="2014" t="s">
        <v>2848</v>
      </c>
      <c r="F252" s="2011">
        <v>35.799999999999997</v>
      </c>
      <c r="G252" s="2011">
        <v>0</v>
      </c>
      <c r="H252" s="2011">
        <v>0</v>
      </c>
      <c r="I252" s="2011">
        <v>33.799999999999997</v>
      </c>
      <c r="J252" s="2012">
        <v>2</v>
      </c>
    </row>
    <row r="253" spans="1:10" ht="23.25" customHeight="1" x14ac:dyDescent="0.25">
      <c r="A253" s="4500"/>
      <c r="B253" s="4500"/>
      <c r="C253" s="4500"/>
      <c r="D253" s="2014" t="s">
        <v>1163</v>
      </c>
      <c r="E253" s="2014" t="s">
        <v>2852</v>
      </c>
      <c r="F253" s="2011">
        <v>35.799999999999997</v>
      </c>
      <c r="G253" s="2011">
        <v>0</v>
      </c>
      <c r="H253" s="2011">
        <v>0</v>
      </c>
      <c r="I253" s="2011">
        <v>33.799999999999997</v>
      </c>
      <c r="J253" s="2012">
        <v>2</v>
      </c>
    </row>
    <row r="254" spans="1:10" ht="23.25" customHeight="1" x14ac:dyDescent="0.25">
      <c r="A254" s="4500"/>
      <c r="B254" s="4500"/>
      <c r="C254" s="4496"/>
      <c r="D254" s="2014" t="s">
        <v>1128</v>
      </c>
      <c r="E254" s="2014" t="s">
        <v>2853</v>
      </c>
      <c r="F254" s="2011">
        <v>0</v>
      </c>
      <c r="G254" s="2011">
        <v>0</v>
      </c>
      <c r="H254" s="2011">
        <v>0</v>
      </c>
      <c r="I254" s="2011">
        <v>0</v>
      </c>
      <c r="J254" s="2012">
        <v>0</v>
      </c>
    </row>
    <row r="255" spans="1:10" ht="23.25" customHeight="1" x14ac:dyDescent="0.25">
      <c r="A255" s="4500"/>
      <c r="B255" s="4500"/>
      <c r="C255" s="4495" t="s">
        <v>1118</v>
      </c>
      <c r="D255" s="2014" t="s">
        <v>1815</v>
      </c>
      <c r="E255" s="2014" t="s">
        <v>2864</v>
      </c>
      <c r="F255" s="2011">
        <v>7.0096869999999996</v>
      </c>
      <c r="G255" s="2011">
        <v>7.0096869999999996</v>
      </c>
      <c r="H255" s="2011">
        <v>0</v>
      </c>
      <c r="I255" s="2011">
        <v>0</v>
      </c>
      <c r="J255" s="2012">
        <v>0</v>
      </c>
    </row>
    <row r="256" spans="1:10" ht="82.5" customHeight="1" x14ac:dyDescent="0.25">
      <c r="A256" s="4500"/>
      <c r="B256" s="4500"/>
      <c r="C256" s="4500"/>
      <c r="D256" s="2014" t="s">
        <v>1164</v>
      </c>
      <c r="E256" s="2014" t="s">
        <v>2866</v>
      </c>
      <c r="F256" s="2011">
        <v>6.9689370000000004</v>
      </c>
      <c r="G256" s="2011">
        <v>6.9689370000000004</v>
      </c>
      <c r="H256" s="2011">
        <v>0</v>
      </c>
      <c r="I256" s="2011">
        <v>0</v>
      </c>
      <c r="J256" s="2012">
        <v>0</v>
      </c>
    </row>
    <row r="257" spans="1:10" ht="53.25" customHeight="1" x14ac:dyDescent="0.25">
      <c r="A257" s="4500"/>
      <c r="B257" s="4500"/>
      <c r="C257" s="4496"/>
      <c r="D257" s="2014" t="s">
        <v>1166</v>
      </c>
      <c r="E257" s="2014" t="s">
        <v>2871</v>
      </c>
      <c r="F257" s="2011">
        <v>4.0750000000000001E-2</v>
      </c>
      <c r="G257" s="2011">
        <v>4.0750000000000001E-2</v>
      </c>
      <c r="H257" s="2011">
        <v>0</v>
      </c>
      <c r="I257" s="2011">
        <v>0</v>
      </c>
      <c r="J257" s="2012">
        <v>0</v>
      </c>
    </row>
    <row r="258" spans="1:10" ht="53.25" customHeight="1" x14ac:dyDescent="0.25">
      <c r="A258" s="4500"/>
      <c r="B258" s="4500"/>
      <c r="C258" s="4495" t="s">
        <v>1137</v>
      </c>
      <c r="D258" s="2014" t="s">
        <v>1815</v>
      </c>
      <c r="E258" s="2014" t="s">
        <v>2892</v>
      </c>
      <c r="F258" s="2011">
        <v>4.6121650000000001</v>
      </c>
      <c r="G258" s="2011">
        <v>0</v>
      </c>
      <c r="H258" s="2011">
        <v>0.64370799999999995</v>
      </c>
      <c r="I258" s="2011">
        <v>3.9684569999999999</v>
      </c>
      <c r="J258" s="2012">
        <v>0</v>
      </c>
    </row>
    <row r="259" spans="1:10" ht="76.5" customHeight="1" x14ac:dyDescent="0.25">
      <c r="A259" s="4500"/>
      <c r="B259" s="4500"/>
      <c r="C259" s="4500"/>
      <c r="D259" s="2014" t="s">
        <v>1167</v>
      </c>
      <c r="E259" s="2014" t="s">
        <v>2896</v>
      </c>
      <c r="F259" s="2011">
        <v>1.214968</v>
      </c>
      <c r="G259" s="2011">
        <v>0</v>
      </c>
      <c r="H259" s="2011">
        <v>0</v>
      </c>
      <c r="I259" s="2011">
        <v>1.214968</v>
      </c>
      <c r="J259" s="2012">
        <v>0</v>
      </c>
    </row>
    <row r="260" spans="1:10" ht="58.5" customHeight="1" x14ac:dyDescent="0.25">
      <c r="A260" s="4500"/>
      <c r="B260" s="4500"/>
      <c r="C260" s="4500"/>
      <c r="D260" s="2014" t="s">
        <v>1169</v>
      </c>
      <c r="E260" s="2014" t="s">
        <v>2899</v>
      </c>
      <c r="F260" s="2011">
        <v>2.6548889999999998</v>
      </c>
      <c r="G260" s="2011">
        <v>0</v>
      </c>
      <c r="H260" s="2011">
        <v>0</v>
      </c>
      <c r="I260" s="2011">
        <v>2.6548889999999998</v>
      </c>
      <c r="J260" s="2012">
        <v>0</v>
      </c>
    </row>
    <row r="261" spans="1:10" ht="53.25" customHeight="1" x14ac:dyDescent="0.25">
      <c r="A261" s="4500"/>
      <c r="B261" s="4500"/>
      <c r="C261" s="4500"/>
      <c r="D261" s="2014" t="s">
        <v>1829</v>
      </c>
      <c r="E261" s="2014" t="s">
        <v>2900</v>
      </c>
      <c r="F261" s="2011">
        <v>0.64370799999999995</v>
      </c>
      <c r="G261" s="2011">
        <v>0</v>
      </c>
      <c r="H261" s="2011">
        <v>0.64370799999999995</v>
      </c>
      <c r="I261" s="2011">
        <v>0</v>
      </c>
      <c r="J261" s="2012">
        <v>0</v>
      </c>
    </row>
    <row r="262" spans="1:10" ht="53.25" customHeight="1" x14ac:dyDescent="0.25">
      <c r="A262" s="4500"/>
      <c r="B262" s="4496"/>
      <c r="C262" s="4496"/>
      <c r="D262" s="2014" t="s">
        <v>1170</v>
      </c>
      <c r="E262" s="2014" t="s">
        <v>2901</v>
      </c>
      <c r="F262" s="2011">
        <v>9.8599999999999993E-2</v>
      </c>
      <c r="G262" s="2011">
        <v>0</v>
      </c>
      <c r="H262" s="2011">
        <v>0</v>
      </c>
      <c r="I262" s="2011">
        <v>9.8599999999999993E-2</v>
      </c>
      <c r="J262" s="2012">
        <v>0</v>
      </c>
    </row>
    <row r="263" spans="1:10" ht="53.25" customHeight="1" x14ac:dyDescent="0.25">
      <c r="A263" s="4500"/>
      <c r="B263" s="4495" t="s">
        <v>1172</v>
      </c>
      <c r="C263" s="4501" t="s">
        <v>1815</v>
      </c>
      <c r="D263" s="4503"/>
      <c r="E263" s="2014" t="s">
        <v>3106</v>
      </c>
      <c r="F263" s="2011">
        <v>12221.329908</v>
      </c>
      <c r="G263" s="2011">
        <v>0</v>
      </c>
      <c r="H263" s="2011">
        <v>197.371206</v>
      </c>
      <c r="I263" s="2011">
        <v>9991.7617460000001</v>
      </c>
      <c r="J263" s="2012">
        <v>2032.196956</v>
      </c>
    </row>
    <row r="264" spans="1:10" ht="53.25" customHeight="1" x14ac:dyDescent="0.25">
      <c r="A264" s="4500"/>
      <c r="B264" s="4500"/>
      <c r="C264" s="4495" t="s">
        <v>1123</v>
      </c>
      <c r="D264" s="2014" t="s">
        <v>1815</v>
      </c>
      <c r="E264" s="2014" t="s">
        <v>2790</v>
      </c>
      <c r="F264" s="2011">
        <v>1620.2730280000001</v>
      </c>
      <c r="G264" s="2011">
        <v>0</v>
      </c>
      <c r="H264" s="2011">
        <v>0</v>
      </c>
      <c r="I264" s="2011">
        <v>-120.748824</v>
      </c>
      <c r="J264" s="2012">
        <v>1741.0218520000001</v>
      </c>
    </row>
    <row r="265" spans="1:10" ht="53.25" customHeight="1" x14ac:dyDescent="0.25">
      <c r="A265" s="4500"/>
      <c r="B265" s="4500"/>
      <c r="C265" s="4500"/>
      <c r="D265" s="2014" t="s">
        <v>1124</v>
      </c>
      <c r="E265" s="2014" t="s">
        <v>2791</v>
      </c>
      <c r="F265" s="2011">
        <v>-120.748824</v>
      </c>
      <c r="G265" s="2011">
        <v>0</v>
      </c>
      <c r="H265" s="2011">
        <v>0</v>
      </c>
      <c r="I265" s="2011">
        <v>-120.748824</v>
      </c>
      <c r="J265" s="2012">
        <v>0</v>
      </c>
    </row>
    <row r="266" spans="1:10" ht="53.25" customHeight="1" x14ac:dyDescent="0.25">
      <c r="A266" s="4500"/>
      <c r="B266" s="4500"/>
      <c r="C266" s="4500"/>
      <c r="D266" s="2014" t="s">
        <v>1173</v>
      </c>
      <c r="E266" s="2014" t="s">
        <v>2792</v>
      </c>
      <c r="F266" s="2011">
        <v>872.62922100000003</v>
      </c>
      <c r="G266" s="2011">
        <v>0</v>
      </c>
      <c r="H266" s="2011">
        <v>0</v>
      </c>
      <c r="I266" s="2011">
        <v>0</v>
      </c>
      <c r="J266" s="2012">
        <v>872.62922100000003</v>
      </c>
    </row>
    <row r="267" spans="1:10" ht="53.25" customHeight="1" x14ac:dyDescent="0.25">
      <c r="A267" s="4500"/>
      <c r="B267" s="4500"/>
      <c r="C267" s="4500"/>
      <c r="D267" s="2014" t="s">
        <v>1191</v>
      </c>
      <c r="E267" s="2014" t="s">
        <v>2793</v>
      </c>
      <c r="F267" s="2011">
        <v>867.52468099999999</v>
      </c>
      <c r="G267" s="2011">
        <v>0</v>
      </c>
      <c r="H267" s="2011">
        <v>0</v>
      </c>
      <c r="I267" s="2011">
        <v>0</v>
      </c>
      <c r="J267" s="2012">
        <v>867.52468099999999</v>
      </c>
    </row>
    <row r="268" spans="1:10" ht="23.25" customHeight="1" x14ac:dyDescent="0.25">
      <c r="A268" s="4500"/>
      <c r="B268" s="4500"/>
      <c r="C268" s="4496"/>
      <c r="D268" s="2014" t="s">
        <v>2251</v>
      </c>
      <c r="E268" s="2014" t="s">
        <v>2794</v>
      </c>
      <c r="F268" s="2011">
        <v>0.86795</v>
      </c>
      <c r="G268" s="2011">
        <v>0</v>
      </c>
      <c r="H268" s="2011">
        <v>0</v>
      </c>
      <c r="I268" s="2011">
        <v>0</v>
      </c>
      <c r="J268" s="2012">
        <v>0.86795</v>
      </c>
    </row>
    <row r="269" spans="1:10" ht="39.75" customHeight="1" x14ac:dyDescent="0.25">
      <c r="A269" s="4500"/>
      <c r="B269" s="4500"/>
      <c r="C269" s="4495" t="s">
        <v>1135</v>
      </c>
      <c r="D269" s="2014" t="s">
        <v>1815</v>
      </c>
      <c r="E269" s="2014" t="s">
        <v>870</v>
      </c>
      <c r="F269" s="2011">
        <v>8.4981299999999997</v>
      </c>
      <c r="G269" s="2011">
        <v>0</v>
      </c>
      <c r="H269" s="2011">
        <v>0</v>
      </c>
      <c r="I269" s="2011">
        <v>8.4981299999999997</v>
      </c>
      <c r="J269" s="2012">
        <v>0</v>
      </c>
    </row>
    <row r="270" spans="1:10" ht="65.25" customHeight="1" x14ac:dyDescent="0.25">
      <c r="A270" s="4500"/>
      <c r="B270" s="4500"/>
      <c r="C270" s="4496"/>
      <c r="D270" s="2014" t="s">
        <v>1136</v>
      </c>
      <c r="E270" s="2014" t="s">
        <v>2795</v>
      </c>
      <c r="F270" s="2011">
        <v>8.4981299999999997</v>
      </c>
      <c r="G270" s="2011">
        <v>0</v>
      </c>
      <c r="H270" s="2011">
        <v>0</v>
      </c>
      <c r="I270" s="2011">
        <v>8.4981299999999997</v>
      </c>
      <c r="J270" s="2012">
        <v>0</v>
      </c>
    </row>
    <row r="271" spans="1:10" ht="39.75" customHeight="1" x14ac:dyDescent="0.25">
      <c r="A271" s="4500"/>
      <c r="B271" s="4500"/>
      <c r="C271" s="4495" t="s">
        <v>1174</v>
      </c>
      <c r="D271" s="2014" t="s">
        <v>1815</v>
      </c>
      <c r="E271" s="2014" t="s">
        <v>876</v>
      </c>
      <c r="F271" s="2011">
        <v>1372.184</v>
      </c>
      <c r="G271" s="2011">
        <v>0</v>
      </c>
      <c r="H271" s="2011">
        <v>135.85120599999999</v>
      </c>
      <c r="I271" s="2011">
        <v>1236.3327939999999</v>
      </c>
      <c r="J271" s="2012">
        <v>0</v>
      </c>
    </row>
    <row r="272" spans="1:10" ht="39.75" customHeight="1" x14ac:dyDescent="0.25">
      <c r="A272" s="4500"/>
      <c r="B272" s="4500"/>
      <c r="C272" s="4500"/>
      <c r="D272" s="2014" t="s">
        <v>1175</v>
      </c>
      <c r="E272" s="2014" t="s">
        <v>2799</v>
      </c>
      <c r="F272" s="2011">
        <v>1158.8765000000001</v>
      </c>
      <c r="G272" s="2011">
        <v>0</v>
      </c>
      <c r="H272" s="2011">
        <v>114.520456</v>
      </c>
      <c r="I272" s="2011">
        <v>1044.3560440000001</v>
      </c>
      <c r="J272" s="2012">
        <v>0</v>
      </c>
    </row>
    <row r="273" spans="1:10" ht="39.75" customHeight="1" x14ac:dyDescent="0.25">
      <c r="A273" s="4500"/>
      <c r="B273" s="4500"/>
      <c r="C273" s="4496"/>
      <c r="D273" s="2014" t="s">
        <v>2252</v>
      </c>
      <c r="E273" s="2014" t="s">
        <v>2800</v>
      </c>
      <c r="F273" s="2011">
        <v>213.3075</v>
      </c>
      <c r="G273" s="2011">
        <v>0</v>
      </c>
      <c r="H273" s="2011">
        <v>21.330749999999998</v>
      </c>
      <c r="I273" s="2011">
        <v>191.97675000000001</v>
      </c>
      <c r="J273" s="2012">
        <v>0</v>
      </c>
    </row>
    <row r="274" spans="1:10" ht="39.75" customHeight="1" x14ac:dyDescent="0.25">
      <c r="A274" s="4500"/>
      <c r="B274" s="4500"/>
      <c r="C274" s="4495" t="s">
        <v>1129</v>
      </c>
      <c r="D274" s="2014" t="s">
        <v>1815</v>
      </c>
      <c r="E274" s="2014" t="s">
        <v>871</v>
      </c>
      <c r="F274" s="2011">
        <v>496.47122000000002</v>
      </c>
      <c r="G274" s="2011">
        <v>0</v>
      </c>
      <c r="H274" s="2011">
        <v>0</v>
      </c>
      <c r="I274" s="2011">
        <v>496.47122000000002</v>
      </c>
      <c r="J274" s="2012">
        <v>0</v>
      </c>
    </row>
    <row r="275" spans="1:10" ht="39.75" customHeight="1" x14ac:dyDescent="0.25">
      <c r="A275" s="4500"/>
      <c r="B275" s="4500"/>
      <c r="C275" s="4500"/>
      <c r="D275" s="2014" t="s">
        <v>1130</v>
      </c>
      <c r="E275" s="2014" t="s">
        <v>2801</v>
      </c>
      <c r="F275" s="2011">
        <v>412.81947000000002</v>
      </c>
      <c r="G275" s="2011">
        <v>0</v>
      </c>
      <c r="H275" s="2011">
        <v>0</v>
      </c>
      <c r="I275" s="2011">
        <v>412.81947000000002</v>
      </c>
      <c r="J275" s="2012">
        <v>0</v>
      </c>
    </row>
    <row r="276" spans="1:10" ht="39.75" customHeight="1" x14ac:dyDescent="0.25">
      <c r="A276" s="4500"/>
      <c r="B276" s="4500"/>
      <c r="C276" s="4500"/>
      <c r="D276" s="2014" t="s">
        <v>1159</v>
      </c>
      <c r="E276" s="2014" t="s">
        <v>2802</v>
      </c>
      <c r="F276" s="2011">
        <v>0.9</v>
      </c>
      <c r="G276" s="2011">
        <v>0</v>
      </c>
      <c r="H276" s="2011">
        <v>0</v>
      </c>
      <c r="I276" s="2011">
        <v>0.9</v>
      </c>
      <c r="J276" s="2012">
        <v>0</v>
      </c>
    </row>
    <row r="277" spans="1:10" ht="39.75" customHeight="1" x14ac:dyDescent="0.25">
      <c r="A277" s="4500"/>
      <c r="B277" s="4500"/>
      <c r="C277" s="4496"/>
      <c r="D277" s="2014" t="s">
        <v>1160</v>
      </c>
      <c r="E277" s="2014" t="s">
        <v>2803</v>
      </c>
      <c r="F277" s="2011">
        <v>82.751750000000001</v>
      </c>
      <c r="G277" s="2011">
        <v>0</v>
      </c>
      <c r="H277" s="2011">
        <v>0</v>
      </c>
      <c r="I277" s="2011">
        <v>82.751750000000001</v>
      </c>
      <c r="J277" s="2012">
        <v>0</v>
      </c>
    </row>
    <row r="278" spans="1:10" ht="39.75" customHeight="1" x14ac:dyDescent="0.25">
      <c r="A278" s="4500"/>
      <c r="B278" s="4500"/>
      <c r="C278" s="4495" t="s">
        <v>1194</v>
      </c>
      <c r="D278" s="2014" t="s">
        <v>1815</v>
      </c>
      <c r="E278" s="2014" t="s">
        <v>874</v>
      </c>
      <c r="F278" s="2011">
        <v>29.256345</v>
      </c>
      <c r="G278" s="2011">
        <v>0</v>
      </c>
      <c r="H278" s="2011">
        <v>0</v>
      </c>
      <c r="I278" s="2011">
        <v>0</v>
      </c>
      <c r="J278" s="2012">
        <v>29.256345</v>
      </c>
    </row>
    <row r="279" spans="1:10" ht="39.75" customHeight="1" x14ac:dyDescent="0.25">
      <c r="A279" s="4500"/>
      <c r="B279" s="4500"/>
      <c r="C279" s="4500"/>
      <c r="D279" s="2014" t="s">
        <v>1195</v>
      </c>
      <c r="E279" s="2014" t="s">
        <v>2807</v>
      </c>
      <c r="F279" s="2011">
        <v>0</v>
      </c>
      <c r="G279" s="2011">
        <v>0</v>
      </c>
      <c r="H279" s="2011">
        <v>0</v>
      </c>
      <c r="I279" s="2011">
        <v>0</v>
      </c>
      <c r="J279" s="2012">
        <v>0</v>
      </c>
    </row>
    <row r="280" spans="1:10" ht="39.75" customHeight="1" x14ac:dyDescent="0.25">
      <c r="A280" s="4500"/>
      <c r="B280" s="4500"/>
      <c r="C280" s="4496"/>
      <c r="D280" s="2014" t="s">
        <v>1197</v>
      </c>
      <c r="E280" s="2014" t="s">
        <v>2808</v>
      </c>
      <c r="F280" s="2011">
        <v>29.256345</v>
      </c>
      <c r="G280" s="2011">
        <v>0</v>
      </c>
      <c r="H280" s="2011">
        <v>0</v>
      </c>
      <c r="I280" s="2011">
        <v>0</v>
      </c>
      <c r="J280" s="2012">
        <v>29.256345</v>
      </c>
    </row>
    <row r="281" spans="1:10" ht="39.75" customHeight="1" x14ac:dyDescent="0.25">
      <c r="A281" s="4500"/>
      <c r="B281" s="4500"/>
      <c r="C281" s="4495" t="s">
        <v>1125</v>
      </c>
      <c r="D281" s="2014" t="s">
        <v>1815</v>
      </c>
      <c r="E281" s="2014" t="s">
        <v>2809</v>
      </c>
      <c r="F281" s="2011">
        <v>1767.1794560000001</v>
      </c>
      <c r="G281" s="2011">
        <v>0</v>
      </c>
      <c r="H281" s="2011">
        <v>0</v>
      </c>
      <c r="I281" s="2011">
        <v>1767.1794560000001</v>
      </c>
      <c r="J281" s="2012">
        <v>0</v>
      </c>
    </row>
    <row r="282" spans="1:10" ht="70.5" customHeight="1" x14ac:dyDescent="0.25">
      <c r="A282" s="4500"/>
      <c r="B282" s="4500"/>
      <c r="C282" s="4496"/>
      <c r="D282" s="2014" t="s">
        <v>1126</v>
      </c>
      <c r="E282" s="2014" t="s">
        <v>2810</v>
      </c>
      <c r="F282" s="2011">
        <v>1767.1794560000001</v>
      </c>
      <c r="G282" s="2011">
        <v>0</v>
      </c>
      <c r="H282" s="2011">
        <v>0</v>
      </c>
      <c r="I282" s="2011">
        <v>1767.1794560000001</v>
      </c>
      <c r="J282" s="2012">
        <v>0</v>
      </c>
    </row>
    <row r="283" spans="1:10" ht="23.25" customHeight="1" x14ac:dyDescent="0.25">
      <c r="A283" s="4500"/>
      <c r="B283" s="4500"/>
      <c r="C283" s="4495" t="s">
        <v>1827</v>
      </c>
      <c r="D283" s="2014" t="s">
        <v>1815</v>
      </c>
      <c r="E283" s="2014" t="s">
        <v>2812</v>
      </c>
      <c r="F283" s="2011">
        <v>61.52</v>
      </c>
      <c r="G283" s="2011">
        <v>0</v>
      </c>
      <c r="H283" s="2011">
        <v>61.52</v>
      </c>
      <c r="I283" s="2011">
        <v>0</v>
      </c>
      <c r="J283" s="2012">
        <v>0</v>
      </c>
    </row>
    <row r="284" spans="1:10" ht="38.25" customHeight="1" x14ac:dyDescent="0.25">
      <c r="A284" s="4500"/>
      <c r="B284" s="4500"/>
      <c r="C284" s="4500"/>
      <c r="D284" s="2014" t="s">
        <v>1828</v>
      </c>
      <c r="E284" s="2014" t="s">
        <v>2813</v>
      </c>
      <c r="F284" s="2011">
        <v>30.687999999999999</v>
      </c>
      <c r="G284" s="2011">
        <v>0</v>
      </c>
      <c r="H284" s="2011">
        <v>30.687999999999999</v>
      </c>
      <c r="I284" s="2011">
        <v>0</v>
      </c>
      <c r="J284" s="2012">
        <v>0</v>
      </c>
    </row>
    <row r="285" spans="1:10" ht="38.25" customHeight="1" x14ac:dyDescent="0.25">
      <c r="A285" s="4500"/>
      <c r="B285" s="4500"/>
      <c r="C285" s="4496"/>
      <c r="D285" s="2014" t="s">
        <v>1832</v>
      </c>
      <c r="E285" s="2014" t="s">
        <v>2814</v>
      </c>
      <c r="F285" s="2011">
        <v>30.832000000000001</v>
      </c>
      <c r="G285" s="2011">
        <v>0</v>
      </c>
      <c r="H285" s="2011">
        <v>30.832000000000001</v>
      </c>
      <c r="I285" s="2011">
        <v>0</v>
      </c>
      <c r="J285" s="2012">
        <v>0</v>
      </c>
    </row>
    <row r="286" spans="1:10" ht="38.25" customHeight="1" x14ac:dyDescent="0.25">
      <c r="A286" s="4500"/>
      <c r="B286" s="4500"/>
      <c r="C286" s="4495" t="s">
        <v>1131</v>
      </c>
      <c r="D286" s="2014" t="s">
        <v>1815</v>
      </c>
      <c r="E286" s="2014" t="s">
        <v>2827</v>
      </c>
      <c r="F286" s="2011">
        <v>327.79950000000002</v>
      </c>
      <c r="G286" s="2011">
        <v>0</v>
      </c>
      <c r="H286" s="2011">
        <v>0</v>
      </c>
      <c r="I286" s="2011">
        <v>327.79950000000002</v>
      </c>
      <c r="J286" s="2012">
        <v>0</v>
      </c>
    </row>
    <row r="287" spans="1:10" ht="38.25" customHeight="1" x14ac:dyDescent="0.25">
      <c r="A287" s="4500"/>
      <c r="B287" s="4500"/>
      <c r="C287" s="4496"/>
      <c r="D287" s="2014" t="s">
        <v>1132</v>
      </c>
      <c r="E287" s="2014" t="s">
        <v>2829</v>
      </c>
      <c r="F287" s="2011">
        <v>327.79950000000002</v>
      </c>
      <c r="G287" s="2011">
        <v>0</v>
      </c>
      <c r="H287" s="2011">
        <v>0</v>
      </c>
      <c r="I287" s="2011">
        <v>327.79950000000002</v>
      </c>
      <c r="J287" s="2012">
        <v>0</v>
      </c>
    </row>
    <row r="288" spans="1:10" ht="38.25" customHeight="1" x14ac:dyDescent="0.25">
      <c r="A288" s="4500"/>
      <c r="B288" s="4500"/>
      <c r="C288" s="4495" t="s">
        <v>1139</v>
      </c>
      <c r="D288" s="2014" t="s">
        <v>1815</v>
      </c>
      <c r="E288" s="2014" t="s">
        <v>2843</v>
      </c>
      <c r="F288" s="2011">
        <v>6474.5304189999997</v>
      </c>
      <c r="G288" s="2011">
        <v>0</v>
      </c>
      <c r="H288" s="2011">
        <v>0</v>
      </c>
      <c r="I288" s="2011">
        <v>6212.6116599999996</v>
      </c>
      <c r="J288" s="2012">
        <v>261.91875900000002</v>
      </c>
    </row>
    <row r="289" spans="1:10" ht="38.25" customHeight="1" x14ac:dyDescent="0.25">
      <c r="A289" s="4500"/>
      <c r="B289" s="4500"/>
      <c r="C289" s="4500"/>
      <c r="D289" s="2014" t="s">
        <v>1196</v>
      </c>
      <c r="E289" s="2014" t="s">
        <v>2844</v>
      </c>
      <c r="F289" s="2011">
        <v>261.91875900000002</v>
      </c>
      <c r="G289" s="2011">
        <v>0</v>
      </c>
      <c r="H289" s="2011">
        <v>0</v>
      </c>
      <c r="I289" s="2011">
        <v>0</v>
      </c>
      <c r="J289" s="2012">
        <v>261.91875900000002</v>
      </c>
    </row>
    <row r="290" spans="1:10" ht="38.25" customHeight="1" x14ac:dyDescent="0.25">
      <c r="A290" s="4500"/>
      <c r="B290" s="4500"/>
      <c r="C290" s="4500"/>
      <c r="D290" s="2014" t="s">
        <v>1161</v>
      </c>
      <c r="E290" s="2014" t="s">
        <v>2845</v>
      </c>
      <c r="F290" s="2011">
        <v>5227.6232399999999</v>
      </c>
      <c r="G290" s="2011">
        <v>0</v>
      </c>
      <c r="H290" s="2011">
        <v>0</v>
      </c>
      <c r="I290" s="2011">
        <v>5227.6232399999999</v>
      </c>
      <c r="J290" s="2012">
        <v>0</v>
      </c>
    </row>
    <row r="291" spans="1:10" ht="38.25" customHeight="1" x14ac:dyDescent="0.25">
      <c r="A291" s="4500"/>
      <c r="B291" s="4500"/>
      <c r="C291" s="4500"/>
      <c r="D291" s="2014" t="s">
        <v>1140</v>
      </c>
      <c r="E291" s="2014" t="s">
        <v>2846</v>
      </c>
      <c r="F291" s="2011">
        <v>2.5964999999999998</v>
      </c>
      <c r="G291" s="2011">
        <v>0</v>
      </c>
      <c r="H291" s="2011">
        <v>0</v>
      </c>
      <c r="I291" s="2011">
        <v>2.5964999999999998</v>
      </c>
      <c r="J291" s="2012">
        <v>0</v>
      </c>
    </row>
    <row r="292" spans="1:10" ht="38.25" customHeight="1" x14ac:dyDescent="0.25">
      <c r="A292" s="4500"/>
      <c r="B292" s="4500"/>
      <c r="C292" s="4496"/>
      <c r="D292" s="2014" t="s">
        <v>1176</v>
      </c>
      <c r="E292" s="2014" t="s">
        <v>2847</v>
      </c>
      <c r="F292" s="2011">
        <v>982.39192000000003</v>
      </c>
      <c r="G292" s="2011">
        <v>0</v>
      </c>
      <c r="H292" s="2011">
        <v>0</v>
      </c>
      <c r="I292" s="2011">
        <v>982.39192000000003</v>
      </c>
      <c r="J292" s="2012">
        <v>0</v>
      </c>
    </row>
    <row r="293" spans="1:10" ht="38.25" customHeight="1" x14ac:dyDescent="0.25">
      <c r="A293" s="4500"/>
      <c r="B293" s="4500"/>
      <c r="C293" s="4495" t="s">
        <v>1127</v>
      </c>
      <c r="D293" s="2014" t="s">
        <v>1815</v>
      </c>
      <c r="E293" s="2014" t="s">
        <v>2848</v>
      </c>
      <c r="F293" s="2011">
        <v>0</v>
      </c>
      <c r="G293" s="2011">
        <v>0</v>
      </c>
      <c r="H293" s="2011">
        <v>0</v>
      </c>
      <c r="I293" s="2011">
        <v>0</v>
      </c>
      <c r="J293" s="2012">
        <v>0</v>
      </c>
    </row>
    <row r="294" spans="1:10" ht="37.5" customHeight="1" x14ac:dyDescent="0.25">
      <c r="A294" s="4500"/>
      <c r="B294" s="4500"/>
      <c r="C294" s="4496"/>
      <c r="D294" s="2014" t="s">
        <v>1128</v>
      </c>
      <c r="E294" s="2014" t="s">
        <v>2853</v>
      </c>
      <c r="F294" s="2011">
        <v>0</v>
      </c>
      <c r="G294" s="2011">
        <v>0</v>
      </c>
      <c r="H294" s="2011">
        <v>0</v>
      </c>
      <c r="I294" s="2011">
        <v>0</v>
      </c>
      <c r="J294" s="2012">
        <v>0</v>
      </c>
    </row>
    <row r="295" spans="1:10" ht="37.5" customHeight="1" x14ac:dyDescent="0.25">
      <c r="A295" s="4500"/>
      <c r="B295" s="4500"/>
      <c r="C295" s="4495" t="s">
        <v>1137</v>
      </c>
      <c r="D295" s="2014" t="s">
        <v>1815</v>
      </c>
      <c r="E295" s="2014" t="s">
        <v>2892</v>
      </c>
      <c r="F295" s="2011">
        <v>63.617809999999999</v>
      </c>
      <c r="G295" s="2011">
        <v>0</v>
      </c>
      <c r="H295" s="2011">
        <v>0</v>
      </c>
      <c r="I295" s="2011">
        <v>63.617809999999999</v>
      </c>
      <c r="J295" s="2012">
        <v>0</v>
      </c>
    </row>
    <row r="296" spans="1:10" ht="37.5" customHeight="1" x14ac:dyDescent="0.25">
      <c r="A296" s="4500"/>
      <c r="B296" s="4500"/>
      <c r="C296" s="4500"/>
      <c r="D296" s="2014" t="s">
        <v>2263</v>
      </c>
      <c r="E296" s="2014" t="s">
        <v>2894</v>
      </c>
      <c r="F296" s="2011">
        <v>0</v>
      </c>
      <c r="G296" s="2011">
        <v>0</v>
      </c>
      <c r="H296" s="2011">
        <v>0</v>
      </c>
      <c r="I296" s="2011">
        <v>0</v>
      </c>
      <c r="J296" s="2012">
        <v>0</v>
      </c>
    </row>
    <row r="297" spans="1:10" ht="37.5" customHeight="1" x14ac:dyDescent="0.25">
      <c r="A297" s="4500"/>
      <c r="B297" s="4500"/>
      <c r="C297" s="4500"/>
      <c r="D297" s="2014" t="s">
        <v>1150</v>
      </c>
      <c r="E297" s="2014" t="s">
        <v>2895</v>
      </c>
      <c r="F297" s="2011">
        <v>6.5810719999999998</v>
      </c>
      <c r="G297" s="2011">
        <v>0</v>
      </c>
      <c r="H297" s="2011">
        <v>0</v>
      </c>
      <c r="I297" s="2011">
        <v>6.5810719999999998</v>
      </c>
      <c r="J297" s="2012">
        <v>0</v>
      </c>
    </row>
    <row r="298" spans="1:10" ht="55.5" customHeight="1" x14ac:dyDescent="0.25">
      <c r="A298" s="4500"/>
      <c r="B298" s="4500"/>
      <c r="C298" s="4500"/>
      <c r="D298" s="2014" t="s">
        <v>1167</v>
      </c>
      <c r="E298" s="2014" t="s">
        <v>2896</v>
      </c>
      <c r="F298" s="2011">
        <v>0.106488</v>
      </c>
      <c r="G298" s="2011">
        <v>0</v>
      </c>
      <c r="H298" s="2011">
        <v>0</v>
      </c>
      <c r="I298" s="2011">
        <v>0.106488</v>
      </c>
      <c r="J298" s="2012">
        <v>0</v>
      </c>
    </row>
    <row r="299" spans="1:10" ht="55.5" customHeight="1" x14ac:dyDescent="0.25">
      <c r="A299" s="4500"/>
      <c r="B299" s="4500"/>
      <c r="C299" s="4500"/>
      <c r="D299" s="2014" t="s">
        <v>1169</v>
      </c>
      <c r="E299" s="2014" t="s">
        <v>2899</v>
      </c>
      <c r="F299" s="2011">
        <v>1.0802480000000001</v>
      </c>
      <c r="G299" s="2011">
        <v>0</v>
      </c>
      <c r="H299" s="2011">
        <v>0</v>
      </c>
      <c r="I299" s="2011">
        <v>1.0802480000000001</v>
      </c>
      <c r="J299" s="2012">
        <v>0</v>
      </c>
    </row>
    <row r="300" spans="1:10" ht="55.5" customHeight="1" x14ac:dyDescent="0.25">
      <c r="A300" s="4500"/>
      <c r="B300" s="4496"/>
      <c r="C300" s="4496"/>
      <c r="D300" s="2014" t="s">
        <v>1170</v>
      </c>
      <c r="E300" s="2014" t="s">
        <v>2901</v>
      </c>
      <c r="F300" s="2011">
        <v>55.850002000000003</v>
      </c>
      <c r="G300" s="2011">
        <v>0</v>
      </c>
      <c r="H300" s="2011">
        <v>0</v>
      </c>
      <c r="I300" s="2011">
        <v>55.850002000000003</v>
      </c>
      <c r="J300" s="2012">
        <v>0</v>
      </c>
    </row>
    <row r="301" spans="1:10" ht="37.5" customHeight="1" x14ac:dyDescent="0.25">
      <c r="A301" s="4500"/>
      <c r="B301" s="4495" t="s">
        <v>1178</v>
      </c>
      <c r="C301" s="4501" t="s">
        <v>1815</v>
      </c>
      <c r="D301" s="4503"/>
      <c r="E301" s="2014" t="s">
        <v>1809</v>
      </c>
      <c r="F301" s="2011">
        <v>335189.73449499998</v>
      </c>
      <c r="G301" s="2011">
        <v>0</v>
      </c>
      <c r="H301" s="2011">
        <v>0</v>
      </c>
      <c r="I301" s="2011">
        <v>335189.73449499998</v>
      </c>
      <c r="J301" s="2012">
        <v>0</v>
      </c>
    </row>
    <row r="302" spans="1:10" ht="62.25" customHeight="1" x14ac:dyDescent="0.25">
      <c r="A302" s="4500"/>
      <c r="B302" s="4500"/>
      <c r="C302" s="4495" t="s">
        <v>1179</v>
      </c>
      <c r="D302" s="2014" t="s">
        <v>1815</v>
      </c>
      <c r="E302" s="2014" t="s">
        <v>2784</v>
      </c>
      <c r="F302" s="2011">
        <v>29749.284733</v>
      </c>
      <c r="G302" s="2011">
        <v>0</v>
      </c>
      <c r="H302" s="2011">
        <v>0</v>
      </c>
      <c r="I302" s="2011">
        <v>29749.284733</v>
      </c>
      <c r="J302" s="2012">
        <v>0</v>
      </c>
    </row>
    <row r="303" spans="1:10" ht="62.25" customHeight="1" x14ac:dyDescent="0.25">
      <c r="A303" s="4500"/>
      <c r="B303" s="4500"/>
      <c r="C303" s="4500"/>
      <c r="D303" s="2014" t="s">
        <v>1836</v>
      </c>
      <c r="E303" s="2014" t="s">
        <v>2785</v>
      </c>
      <c r="F303" s="2011">
        <v>12820.854525000001</v>
      </c>
      <c r="G303" s="2011">
        <v>0</v>
      </c>
      <c r="H303" s="2011">
        <v>0</v>
      </c>
      <c r="I303" s="2011">
        <v>12820.854525000001</v>
      </c>
      <c r="J303" s="2012">
        <v>0</v>
      </c>
    </row>
    <row r="304" spans="1:10" ht="62.25" customHeight="1" x14ac:dyDescent="0.25">
      <c r="A304" s="4500"/>
      <c r="B304" s="4500"/>
      <c r="C304" s="4500"/>
      <c r="D304" s="2014" t="s">
        <v>1843</v>
      </c>
      <c r="E304" s="2014" t="s">
        <v>2786</v>
      </c>
      <c r="F304" s="2011">
        <v>2715.4727929999999</v>
      </c>
      <c r="G304" s="2011">
        <v>0</v>
      </c>
      <c r="H304" s="2011">
        <v>0</v>
      </c>
      <c r="I304" s="2011">
        <v>2715.4727929999999</v>
      </c>
      <c r="J304" s="2012">
        <v>0</v>
      </c>
    </row>
    <row r="305" spans="1:10" ht="62.25" customHeight="1" x14ac:dyDescent="0.25">
      <c r="A305" s="4500"/>
      <c r="B305" s="4500"/>
      <c r="C305" s="4500"/>
      <c r="D305" s="2014" t="s">
        <v>1837</v>
      </c>
      <c r="E305" s="2014" t="s">
        <v>156</v>
      </c>
      <c r="F305" s="2011">
        <v>4038.7634400000002</v>
      </c>
      <c r="G305" s="2011">
        <v>0</v>
      </c>
      <c r="H305" s="2011">
        <v>0</v>
      </c>
      <c r="I305" s="2011">
        <v>4038.7634400000002</v>
      </c>
      <c r="J305" s="2012">
        <v>0</v>
      </c>
    </row>
    <row r="306" spans="1:10" ht="62.25" customHeight="1" x14ac:dyDescent="0.25">
      <c r="A306" s="4500"/>
      <c r="B306" s="4500"/>
      <c r="C306" s="4500"/>
      <c r="D306" s="2014" t="s">
        <v>1844</v>
      </c>
      <c r="E306" s="2014" t="s">
        <v>2788</v>
      </c>
      <c r="F306" s="2011">
        <v>4933.8738229999999</v>
      </c>
      <c r="G306" s="2011">
        <v>0</v>
      </c>
      <c r="H306" s="2011">
        <v>0</v>
      </c>
      <c r="I306" s="2011">
        <v>4933.8738229999999</v>
      </c>
      <c r="J306" s="2012">
        <v>0</v>
      </c>
    </row>
    <row r="307" spans="1:10" ht="37.5" customHeight="1" x14ac:dyDescent="0.25">
      <c r="A307" s="4500"/>
      <c r="B307" s="4500"/>
      <c r="C307" s="4496"/>
      <c r="D307" s="2014" t="s">
        <v>1839</v>
      </c>
      <c r="E307" s="2014" t="s">
        <v>2789</v>
      </c>
      <c r="F307" s="2011">
        <v>5240.3201520000002</v>
      </c>
      <c r="G307" s="2011">
        <v>0</v>
      </c>
      <c r="H307" s="2011">
        <v>0</v>
      </c>
      <c r="I307" s="2011">
        <v>5240.3201520000002</v>
      </c>
      <c r="J307" s="2012">
        <v>0</v>
      </c>
    </row>
    <row r="308" spans="1:10" ht="37.5" customHeight="1" x14ac:dyDescent="0.25">
      <c r="A308" s="4500"/>
      <c r="B308" s="4500"/>
      <c r="C308" s="4495" t="s">
        <v>1118</v>
      </c>
      <c r="D308" s="2014" t="s">
        <v>1815</v>
      </c>
      <c r="E308" s="2014" t="s">
        <v>2864</v>
      </c>
      <c r="F308" s="2011">
        <v>5</v>
      </c>
      <c r="G308" s="2011">
        <v>0</v>
      </c>
      <c r="H308" s="2011">
        <v>0</v>
      </c>
      <c r="I308" s="2011">
        <v>5</v>
      </c>
      <c r="J308" s="2012">
        <v>0</v>
      </c>
    </row>
    <row r="309" spans="1:10" ht="23.25" customHeight="1" x14ac:dyDescent="0.25">
      <c r="A309" s="4500"/>
      <c r="B309" s="4500"/>
      <c r="C309" s="4496"/>
      <c r="D309" s="2014" t="s">
        <v>1180</v>
      </c>
      <c r="E309" s="2014" t="s">
        <v>2878</v>
      </c>
      <c r="F309" s="2011">
        <v>5</v>
      </c>
      <c r="G309" s="2011">
        <v>0</v>
      </c>
      <c r="H309" s="2011">
        <v>0</v>
      </c>
      <c r="I309" s="2011">
        <v>5</v>
      </c>
      <c r="J309" s="2012">
        <v>0</v>
      </c>
    </row>
    <row r="310" spans="1:10" ht="23.25" customHeight="1" x14ac:dyDescent="0.25">
      <c r="A310" s="4500"/>
      <c r="B310" s="4500"/>
      <c r="C310" s="4495" t="s">
        <v>2879</v>
      </c>
      <c r="D310" s="2014" t="s">
        <v>1815</v>
      </c>
      <c r="E310" s="2014" t="s">
        <v>2880</v>
      </c>
      <c r="F310" s="2011">
        <v>160.81</v>
      </c>
      <c r="G310" s="2011">
        <v>0</v>
      </c>
      <c r="H310" s="2011">
        <v>0</v>
      </c>
      <c r="I310" s="2011">
        <v>160.81</v>
      </c>
      <c r="J310" s="2012">
        <v>0</v>
      </c>
    </row>
    <row r="311" spans="1:10" ht="23.25" customHeight="1" x14ac:dyDescent="0.25">
      <c r="A311" s="4500"/>
      <c r="B311" s="4500"/>
      <c r="C311" s="4496"/>
      <c r="D311" s="2014" t="s">
        <v>2881</v>
      </c>
      <c r="E311" s="2014" t="s">
        <v>2882</v>
      </c>
      <c r="F311" s="2011">
        <v>160.81</v>
      </c>
      <c r="G311" s="2011">
        <v>0</v>
      </c>
      <c r="H311" s="2011">
        <v>0</v>
      </c>
      <c r="I311" s="2011">
        <v>160.81</v>
      </c>
      <c r="J311" s="2012">
        <v>0</v>
      </c>
    </row>
    <row r="312" spans="1:10" ht="23.25" customHeight="1" x14ac:dyDescent="0.25">
      <c r="A312" s="4500"/>
      <c r="B312" s="4500"/>
      <c r="C312" s="4495" t="s">
        <v>1190</v>
      </c>
      <c r="D312" s="2014" t="s">
        <v>1815</v>
      </c>
      <c r="E312" s="2014" t="s">
        <v>2883</v>
      </c>
      <c r="F312" s="2011">
        <v>5670.7940429999999</v>
      </c>
      <c r="G312" s="2011">
        <v>0</v>
      </c>
      <c r="H312" s="2011">
        <v>0</v>
      </c>
      <c r="I312" s="2011">
        <v>5670.7940429999999</v>
      </c>
      <c r="J312" s="2012">
        <v>0</v>
      </c>
    </row>
    <row r="313" spans="1:10" ht="23.25" customHeight="1" x14ac:dyDescent="0.25">
      <c r="A313" s="4500"/>
      <c r="B313" s="4500"/>
      <c r="C313" s="4496"/>
      <c r="D313" s="2014" t="s">
        <v>2884</v>
      </c>
      <c r="E313" s="2014" t="s">
        <v>2885</v>
      </c>
      <c r="F313" s="2011">
        <v>5670.7940429999999</v>
      </c>
      <c r="G313" s="2011">
        <v>0</v>
      </c>
      <c r="H313" s="2011">
        <v>0</v>
      </c>
      <c r="I313" s="2011">
        <v>5670.7940429999999</v>
      </c>
      <c r="J313" s="2012">
        <v>0</v>
      </c>
    </row>
    <row r="314" spans="1:10" ht="39.75" customHeight="1" x14ac:dyDescent="0.25">
      <c r="A314" s="4500"/>
      <c r="B314" s="4500"/>
      <c r="C314" s="4495" t="s">
        <v>1181</v>
      </c>
      <c r="D314" s="2014" t="s">
        <v>1815</v>
      </c>
      <c r="E314" s="2014" t="s">
        <v>918</v>
      </c>
      <c r="F314" s="2011">
        <v>284985.86254</v>
      </c>
      <c r="G314" s="2011">
        <v>0</v>
      </c>
      <c r="H314" s="2011">
        <v>0</v>
      </c>
      <c r="I314" s="2011">
        <v>284985.86254</v>
      </c>
      <c r="J314" s="2012">
        <v>0</v>
      </c>
    </row>
    <row r="315" spans="1:10" ht="39.75" customHeight="1" x14ac:dyDescent="0.25">
      <c r="A315" s="4500"/>
      <c r="B315" s="4500"/>
      <c r="C315" s="4500"/>
      <c r="D315" s="2014" t="s">
        <v>1182</v>
      </c>
      <c r="E315" s="2014" t="s">
        <v>31</v>
      </c>
      <c r="F315" s="2011">
        <v>228518</v>
      </c>
      <c r="G315" s="2011">
        <v>0</v>
      </c>
      <c r="H315" s="2011">
        <v>0</v>
      </c>
      <c r="I315" s="2011">
        <v>228518</v>
      </c>
      <c r="J315" s="2012">
        <v>0</v>
      </c>
    </row>
    <row r="316" spans="1:10" ht="39.75" customHeight="1" x14ac:dyDescent="0.25">
      <c r="A316" s="4500"/>
      <c r="B316" s="4500"/>
      <c r="C316" s="4496"/>
      <c r="D316" s="2014" t="s">
        <v>1183</v>
      </c>
      <c r="E316" s="2014" t="s">
        <v>2886</v>
      </c>
      <c r="F316" s="2011">
        <v>56467.862540000002</v>
      </c>
      <c r="G316" s="2011">
        <v>0</v>
      </c>
      <c r="H316" s="2011">
        <v>0</v>
      </c>
      <c r="I316" s="2011">
        <v>56467.862540000002</v>
      </c>
      <c r="J316" s="2012">
        <v>0</v>
      </c>
    </row>
    <row r="317" spans="1:10" ht="39.75" customHeight="1" x14ac:dyDescent="0.25">
      <c r="A317" s="4500"/>
      <c r="B317" s="4500"/>
      <c r="C317" s="4495" t="s">
        <v>1184</v>
      </c>
      <c r="D317" s="2014" t="s">
        <v>1815</v>
      </c>
      <c r="E317" s="2014" t="s">
        <v>2887</v>
      </c>
      <c r="F317" s="2011">
        <v>5651.7858489999999</v>
      </c>
      <c r="G317" s="2011">
        <v>0</v>
      </c>
      <c r="H317" s="2011">
        <v>0</v>
      </c>
      <c r="I317" s="2011">
        <v>5651.7858489999999</v>
      </c>
      <c r="J317" s="2012">
        <v>0</v>
      </c>
    </row>
    <row r="318" spans="1:10" ht="39.75" customHeight="1" x14ac:dyDescent="0.25">
      <c r="A318" s="4500"/>
      <c r="B318" s="4500"/>
      <c r="C318" s="4500"/>
      <c r="D318" s="2014" t="s">
        <v>1185</v>
      </c>
      <c r="E318" s="2014" t="s">
        <v>2888</v>
      </c>
      <c r="F318" s="2011">
        <v>681.18341499999997</v>
      </c>
      <c r="G318" s="2011">
        <v>0</v>
      </c>
      <c r="H318" s="2011">
        <v>0</v>
      </c>
      <c r="I318" s="2011">
        <v>681.18341499999997</v>
      </c>
      <c r="J318" s="2012">
        <v>0</v>
      </c>
    </row>
    <row r="319" spans="1:10" ht="39.75" customHeight="1" x14ac:dyDescent="0.25">
      <c r="A319" s="4500"/>
      <c r="B319" s="4500"/>
      <c r="C319" s="4496"/>
      <c r="D319" s="2014" t="s">
        <v>1186</v>
      </c>
      <c r="E319" s="2014" t="s">
        <v>2889</v>
      </c>
      <c r="F319" s="2011">
        <v>4970.6024340000004</v>
      </c>
      <c r="G319" s="2011">
        <v>0</v>
      </c>
      <c r="H319" s="2011">
        <v>0</v>
      </c>
      <c r="I319" s="2011">
        <v>4970.6024340000004</v>
      </c>
      <c r="J319" s="2012">
        <v>0</v>
      </c>
    </row>
    <row r="320" spans="1:10" ht="39.75" customHeight="1" x14ac:dyDescent="0.25">
      <c r="A320" s="4500"/>
      <c r="B320" s="4500"/>
      <c r="C320" s="4495" t="s">
        <v>1187</v>
      </c>
      <c r="D320" s="2014" t="s">
        <v>1815</v>
      </c>
      <c r="E320" s="2014" t="s">
        <v>2890</v>
      </c>
      <c r="F320" s="2011">
        <v>8879.6398549999994</v>
      </c>
      <c r="G320" s="2011">
        <v>0</v>
      </c>
      <c r="H320" s="2011">
        <v>0</v>
      </c>
      <c r="I320" s="2011">
        <v>8879.6398549999994</v>
      </c>
      <c r="J320" s="2012">
        <v>0</v>
      </c>
    </row>
    <row r="321" spans="1:10" ht="39.75" customHeight="1" x14ac:dyDescent="0.25">
      <c r="A321" s="4500"/>
      <c r="B321" s="4500"/>
      <c r="C321" s="4496"/>
      <c r="D321" s="2014" t="s">
        <v>1188</v>
      </c>
      <c r="E321" s="2014" t="s">
        <v>2891</v>
      </c>
      <c r="F321" s="2011">
        <v>8879.6398549999994</v>
      </c>
      <c r="G321" s="2011">
        <v>0</v>
      </c>
      <c r="H321" s="2011">
        <v>0</v>
      </c>
      <c r="I321" s="2011">
        <v>8879.6398549999994</v>
      </c>
      <c r="J321" s="2012">
        <v>0</v>
      </c>
    </row>
    <row r="322" spans="1:10" ht="39.75" customHeight="1" x14ac:dyDescent="0.25">
      <c r="A322" s="4500"/>
      <c r="B322" s="4500"/>
      <c r="C322" s="4495" t="s">
        <v>1137</v>
      </c>
      <c r="D322" s="2014" t="s">
        <v>1815</v>
      </c>
      <c r="E322" s="2014" t="s">
        <v>2892</v>
      </c>
      <c r="F322" s="2011">
        <v>86.557474999999997</v>
      </c>
      <c r="G322" s="2011">
        <v>0</v>
      </c>
      <c r="H322" s="2011">
        <v>0</v>
      </c>
      <c r="I322" s="2011">
        <v>86.557474999999997</v>
      </c>
      <c r="J322" s="2012">
        <v>0</v>
      </c>
    </row>
    <row r="323" spans="1:10" ht="39.75" customHeight="1" x14ac:dyDescent="0.25">
      <c r="A323" s="4500"/>
      <c r="B323" s="4500"/>
      <c r="C323" s="4500"/>
      <c r="D323" s="2014" t="s">
        <v>1138</v>
      </c>
      <c r="E323" s="2014" t="s">
        <v>2893</v>
      </c>
      <c r="F323" s="2011">
        <v>86.556831000000003</v>
      </c>
      <c r="G323" s="2011">
        <v>0</v>
      </c>
      <c r="H323" s="2011">
        <v>0</v>
      </c>
      <c r="I323" s="2011">
        <v>86.556831000000003</v>
      </c>
      <c r="J323" s="2012">
        <v>0</v>
      </c>
    </row>
    <row r="324" spans="1:10" ht="39.75" customHeight="1" x14ac:dyDescent="0.25">
      <c r="A324" s="4500"/>
      <c r="B324" s="4496"/>
      <c r="C324" s="4496"/>
      <c r="D324" s="2014" t="s">
        <v>1169</v>
      </c>
      <c r="E324" s="2014" t="s">
        <v>2899</v>
      </c>
      <c r="F324" s="2011">
        <v>6.4400000000000004E-4</v>
      </c>
      <c r="G324" s="2011">
        <v>0</v>
      </c>
      <c r="H324" s="2011">
        <v>0</v>
      </c>
      <c r="I324" s="2011">
        <v>6.4400000000000004E-4</v>
      </c>
      <c r="J324" s="2012">
        <v>0</v>
      </c>
    </row>
    <row r="325" spans="1:10" ht="54.75" customHeight="1" x14ac:dyDescent="0.25">
      <c r="A325" s="4500"/>
      <c r="B325" s="4495" t="s">
        <v>1189</v>
      </c>
      <c r="C325" s="4501" t="s">
        <v>1815</v>
      </c>
      <c r="D325" s="4503"/>
      <c r="E325" s="2014" t="s">
        <v>1810</v>
      </c>
      <c r="F325" s="2011">
        <v>118.74268499999999</v>
      </c>
      <c r="G325" s="2011">
        <v>0</v>
      </c>
      <c r="H325" s="2011">
        <v>0</v>
      </c>
      <c r="I325" s="2011">
        <v>118.74268499999999</v>
      </c>
      <c r="J325" s="2012">
        <v>0</v>
      </c>
    </row>
    <row r="326" spans="1:10" ht="54.75" customHeight="1" x14ac:dyDescent="0.25">
      <c r="A326" s="4500"/>
      <c r="B326" s="4500"/>
      <c r="C326" s="4495" t="s">
        <v>1135</v>
      </c>
      <c r="D326" s="2014" t="s">
        <v>1815</v>
      </c>
      <c r="E326" s="2014" t="s">
        <v>870</v>
      </c>
      <c r="F326" s="2011">
        <v>38.773370999999997</v>
      </c>
      <c r="G326" s="2011">
        <v>0</v>
      </c>
      <c r="H326" s="2011">
        <v>0</v>
      </c>
      <c r="I326" s="2011">
        <v>38.773370999999997</v>
      </c>
      <c r="J326" s="2012">
        <v>0</v>
      </c>
    </row>
    <row r="327" spans="1:10" ht="54.75" customHeight="1" x14ac:dyDescent="0.25">
      <c r="A327" s="4500"/>
      <c r="B327" s="4500"/>
      <c r="C327" s="4496"/>
      <c r="D327" s="2014" t="s">
        <v>1136</v>
      </c>
      <c r="E327" s="2014" t="s">
        <v>2795</v>
      </c>
      <c r="F327" s="2011">
        <v>38.773370999999997</v>
      </c>
      <c r="G327" s="2011">
        <v>0</v>
      </c>
      <c r="H327" s="2011">
        <v>0</v>
      </c>
      <c r="I327" s="2011">
        <v>38.773370999999997</v>
      </c>
      <c r="J327" s="2012">
        <v>0</v>
      </c>
    </row>
    <row r="328" spans="1:10" ht="54.75" customHeight="1" x14ac:dyDescent="0.25">
      <c r="A328" s="4500"/>
      <c r="B328" s="4500"/>
      <c r="C328" s="4495" t="s">
        <v>1125</v>
      </c>
      <c r="D328" s="2014" t="s">
        <v>1815</v>
      </c>
      <c r="E328" s="2014" t="s">
        <v>2809</v>
      </c>
      <c r="F328" s="2011">
        <v>51.046771</v>
      </c>
      <c r="G328" s="2011">
        <v>0</v>
      </c>
      <c r="H328" s="2011">
        <v>0</v>
      </c>
      <c r="I328" s="2011">
        <v>51.046771</v>
      </c>
      <c r="J328" s="2012">
        <v>0</v>
      </c>
    </row>
    <row r="329" spans="1:10" ht="54.75" customHeight="1" x14ac:dyDescent="0.25">
      <c r="A329" s="4500"/>
      <c r="B329" s="4500"/>
      <c r="C329" s="4496"/>
      <c r="D329" s="2014" t="s">
        <v>1126</v>
      </c>
      <c r="E329" s="2014" t="s">
        <v>2810</v>
      </c>
      <c r="F329" s="2011">
        <v>51.046771</v>
      </c>
      <c r="G329" s="2011">
        <v>0</v>
      </c>
      <c r="H329" s="2011">
        <v>0</v>
      </c>
      <c r="I329" s="2011">
        <v>51.046771</v>
      </c>
      <c r="J329" s="2012">
        <v>0</v>
      </c>
    </row>
    <row r="330" spans="1:10" ht="54.75" customHeight="1" x14ac:dyDescent="0.25">
      <c r="A330" s="4500"/>
      <c r="B330" s="4500"/>
      <c r="C330" s="4495" t="s">
        <v>1127</v>
      </c>
      <c r="D330" s="2014" t="s">
        <v>1815</v>
      </c>
      <c r="E330" s="2014" t="s">
        <v>2848</v>
      </c>
      <c r="F330" s="2011">
        <v>4</v>
      </c>
      <c r="G330" s="2011">
        <v>0</v>
      </c>
      <c r="H330" s="2011">
        <v>0</v>
      </c>
      <c r="I330" s="2011">
        <v>4</v>
      </c>
      <c r="J330" s="2012">
        <v>0</v>
      </c>
    </row>
    <row r="331" spans="1:10" ht="54.75" customHeight="1" x14ac:dyDescent="0.25">
      <c r="A331" s="4500"/>
      <c r="B331" s="4500"/>
      <c r="C331" s="4496"/>
      <c r="D331" s="2014" t="s">
        <v>1128</v>
      </c>
      <c r="E331" s="2014" t="s">
        <v>2853</v>
      </c>
      <c r="F331" s="2011">
        <v>4</v>
      </c>
      <c r="G331" s="2011">
        <v>0</v>
      </c>
      <c r="H331" s="2011">
        <v>0</v>
      </c>
      <c r="I331" s="2011">
        <v>4</v>
      </c>
      <c r="J331" s="2012">
        <v>0</v>
      </c>
    </row>
    <row r="332" spans="1:10" ht="54.75" customHeight="1" x14ac:dyDescent="0.25">
      <c r="A332" s="4500"/>
      <c r="B332" s="4500"/>
      <c r="C332" s="4495" t="s">
        <v>2860</v>
      </c>
      <c r="D332" s="2014" t="s">
        <v>1815</v>
      </c>
      <c r="E332" s="2014" t="s">
        <v>2861</v>
      </c>
      <c r="F332" s="2011">
        <v>8.3925000000000001</v>
      </c>
      <c r="G332" s="2011">
        <v>0</v>
      </c>
      <c r="H332" s="2011">
        <v>0</v>
      </c>
      <c r="I332" s="2011">
        <v>8.3925000000000001</v>
      </c>
      <c r="J332" s="2012">
        <v>0</v>
      </c>
    </row>
    <row r="333" spans="1:10" ht="23.25" customHeight="1" x14ac:dyDescent="0.25">
      <c r="A333" s="4500"/>
      <c r="B333" s="4500"/>
      <c r="C333" s="4496"/>
      <c r="D333" s="2014" t="s">
        <v>2862</v>
      </c>
      <c r="E333" s="2014" t="s">
        <v>2863</v>
      </c>
      <c r="F333" s="2011">
        <v>8.3925000000000001</v>
      </c>
      <c r="G333" s="2011">
        <v>0</v>
      </c>
      <c r="H333" s="2011">
        <v>0</v>
      </c>
      <c r="I333" s="2011">
        <v>8.3925000000000001</v>
      </c>
      <c r="J333" s="2012">
        <v>0</v>
      </c>
    </row>
    <row r="334" spans="1:10" ht="23.25" customHeight="1" x14ac:dyDescent="0.25">
      <c r="A334" s="4500"/>
      <c r="B334" s="4500"/>
      <c r="C334" s="4495" t="s">
        <v>1137</v>
      </c>
      <c r="D334" s="2014" t="s">
        <v>1815</v>
      </c>
      <c r="E334" s="2014" t="s">
        <v>2892</v>
      </c>
      <c r="F334" s="2011">
        <v>16.530042999999999</v>
      </c>
      <c r="G334" s="2011">
        <v>0</v>
      </c>
      <c r="H334" s="2011">
        <v>0</v>
      </c>
      <c r="I334" s="2011">
        <v>16.530042999999999</v>
      </c>
      <c r="J334" s="2012">
        <v>0</v>
      </c>
    </row>
    <row r="335" spans="1:10" ht="57.75" customHeight="1" x14ac:dyDescent="0.25">
      <c r="A335" s="4500"/>
      <c r="B335" s="4500"/>
      <c r="C335" s="4500"/>
      <c r="D335" s="2014" t="s">
        <v>1138</v>
      </c>
      <c r="E335" s="2014" t="s">
        <v>2893</v>
      </c>
      <c r="F335" s="2011">
        <v>15.565537000000001</v>
      </c>
      <c r="G335" s="2011">
        <v>0</v>
      </c>
      <c r="H335" s="2011">
        <v>0</v>
      </c>
      <c r="I335" s="2011">
        <v>15.565537000000001</v>
      </c>
      <c r="J335" s="2012">
        <v>0</v>
      </c>
    </row>
    <row r="336" spans="1:10" ht="80.25" customHeight="1" x14ac:dyDescent="0.25">
      <c r="A336" s="4500"/>
      <c r="B336" s="4500"/>
      <c r="C336" s="4500"/>
      <c r="D336" s="2014" t="s">
        <v>1167</v>
      </c>
      <c r="E336" s="2014" t="s">
        <v>2896</v>
      </c>
      <c r="F336" s="2011">
        <v>0.95030599999999998</v>
      </c>
      <c r="G336" s="2011">
        <v>0</v>
      </c>
      <c r="H336" s="2011">
        <v>0</v>
      </c>
      <c r="I336" s="2011">
        <v>0.95030599999999998</v>
      </c>
      <c r="J336" s="2012">
        <v>0</v>
      </c>
    </row>
    <row r="337" spans="1:10" ht="57.75" customHeight="1" x14ac:dyDescent="0.25">
      <c r="A337" s="4496"/>
      <c r="B337" s="4496"/>
      <c r="C337" s="4496"/>
      <c r="D337" s="2014" t="s">
        <v>1170</v>
      </c>
      <c r="E337" s="2014" t="s">
        <v>2901</v>
      </c>
      <c r="F337" s="2011">
        <v>1.4200000000000001E-2</v>
      </c>
      <c r="G337" s="2011">
        <v>0</v>
      </c>
      <c r="H337" s="2011">
        <v>0</v>
      </c>
      <c r="I337" s="2011">
        <v>1.4200000000000001E-2</v>
      </c>
      <c r="J337" s="2012">
        <v>0</v>
      </c>
    </row>
    <row r="338" spans="1:10" ht="23.25" customHeight="1" x14ac:dyDescent="0.25">
      <c r="A338" s="4495" t="s">
        <v>509</v>
      </c>
      <c r="B338" s="4501" t="s">
        <v>1815</v>
      </c>
      <c r="C338" s="4502"/>
      <c r="D338" s="4502"/>
      <c r="E338" s="4503"/>
      <c r="F338" s="2011">
        <v>116887.448619</v>
      </c>
      <c r="G338" s="2011">
        <v>0</v>
      </c>
      <c r="H338" s="2011">
        <v>0</v>
      </c>
      <c r="I338" s="2011">
        <v>3.0005999999999999</v>
      </c>
      <c r="J338" s="2012">
        <v>116884.448019</v>
      </c>
    </row>
    <row r="339" spans="1:10" ht="23.25" customHeight="1" x14ac:dyDescent="0.25">
      <c r="A339" s="4500"/>
      <c r="B339" s="4495" t="s">
        <v>2580</v>
      </c>
      <c r="C339" s="4501" t="s">
        <v>1815</v>
      </c>
      <c r="D339" s="4503"/>
      <c r="E339" s="2014" t="s">
        <v>3107</v>
      </c>
      <c r="F339" s="2011">
        <v>1255.6311169999999</v>
      </c>
      <c r="G339" s="2011">
        <v>0</v>
      </c>
      <c r="H339" s="2011">
        <v>0</v>
      </c>
      <c r="I339" s="2011">
        <v>3.0005999999999999</v>
      </c>
      <c r="J339" s="2012">
        <v>1252.6305170000001</v>
      </c>
    </row>
    <row r="340" spans="1:10" ht="23.25" customHeight="1" x14ac:dyDescent="0.25">
      <c r="A340" s="4500"/>
      <c r="B340" s="4500"/>
      <c r="C340" s="4495" t="s">
        <v>1135</v>
      </c>
      <c r="D340" s="2014" t="s">
        <v>1815</v>
      </c>
      <c r="E340" s="2014" t="s">
        <v>870</v>
      </c>
      <c r="F340" s="2011">
        <v>1.4153</v>
      </c>
      <c r="G340" s="2011">
        <v>0</v>
      </c>
      <c r="H340" s="2011">
        <v>0</v>
      </c>
      <c r="I340" s="2011">
        <v>1.4153</v>
      </c>
      <c r="J340" s="2012">
        <v>0</v>
      </c>
    </row>
    <row r="341" spans="1:10" ht="56.25" customHeight="1" x14ac:dyDescent="0.25">
      <c r="A341" s="4500"/>
      <c r="B341" s="4500"/>
      <c r="C341" s="4496"/>
      <c r="D341" s="2014" t="s">
        <v>1136</v>
      </c>
      <c r="E341" s="2014" t="s">
        <v>2795</v>
      </c>
      <c r="F341" s="2011">
        <v>1.4153</v>
      </c>
      <c r="G341" s="2011">
        <v>0</v>
      </c>
      <c r="H341" s="2011">
        <v>0</v>
      </c>
      <c r="I341" s="2011">
        <v>1.4153</v>
      </c>
      <c r="J341" s="2012">
        <v>0</v>
      </c>
    </row>
    <row r="342" spans="1:10" ht="23.25" customHeight="1" x14ac:dyDescent="0.25">
      <c r="A342" s="4500"/>
      <c r="B342" s="4500"/>
      <c r="C342" s="4495" t="s">
        <v>1192</v>
      </c>
      <c r="D342" s="2014" t="s">
        <v>1815</v>
      </c>
      <c r="E342" s="2014" t="s">
        <v>875</v>
      </c>
      <c r="F342" s="2011">
        <v>151.63968800000001</v>
      </c>
      <c r="G342" s="2011">
        <v>0</v>
      </c>
      <c r="H342" s="2011">
        <v>0</v>
      </c>
      <c r="I342" s="2011">
        <v>0</v>
      </c>
      <c r="J342" s="2012">
        <v>151.63968800000001</v>
      </c>
    </row>
    <row r="343" spans="1:10" ht="23.25" customHeight="1" x14ac:dyDescent="0.25">
      <c r="A343" s="4500"/>
      <c r="B343" s="4500"/>
      <c r="C343" s="4496"/>
      <c r="D343" s="2014" t="s">
        <v>1193</v>
      </c>
      <c r="E343" s="2014" t="s">
        <v>2798</v>
      </c>
      <c r="F343" s="2011">
        <v>151.63968800000001</v>
      </c>
      <c r="G343" s="2011">
        <v>0</v>
      </c>
      <c r="H343" s="2011">
        <v>0</v>
      </c>
      <c r="I343" s="2011">
        <v>0</v>
      </c>
      <c r="J343" s="2012">
        <v>151.63968800000001</v>
      </c>
    </row>
    <row r="344" spans="1:10" ht="23.25" customHeight="1" x14ac:dyDescent="0.25">
      <c r="A344" s="4500"/>
      <c r="B344" s="4500"/>
      <c r="C344" s="4495" t="s">
        <v>1194</v>
      </c>
      <c r="D344" s="2014" t="s">
        <v>1815</v>
      </c>
      <c r="E344" s="2014" t="s">
        <v>874</v>
      </c>
      <c r="F344" s="2011">
        <v>115.602</v>
      </c>
      <c r="G344" s="2011">
        <v>0</v>
      </c>
      <c r="H344" s="2011">
        <v>0</v>
      </c>
      <c r="I344" s="2011">
        <v>0</v>
      </c>
      <c r="J344" s="2012">
        <v>115.602</v>
      </c>
    </row>
    <row r="345" spans="1:10" ht="23.25" customHeight="1" x14ac:dyDescent="0.25">
      <c r="A345" s="4500"/>
      <c r="B345" s="4500"/>
      <c r="C345" s="4500"/>
      <c r="D345" s="2014" t="s">
        <v>1842</v>
      </c>
      <c r="E345" s="2014" t="s">
        <v>2806</v>
      </c>
      <c r="F345" s="2011">
        <v>8.1928000000000001E-2</v>
      </c>
      <c r="G345" s="2011">
        <v>0</v>
      </c>
      <c r="H345" s="2011">
        <v>0</v>
      </c>
      <c r="I345" s="2011">
        <v>0</v>
      </c>
      <c r="J345" s="2012">
        <v>8.1928000000000001E-2</v>
      </c>
    </row>
    <row r="346" spans="1:10" ht="23.25" customHeight="1" x14ac:dyDescent="0.25">
      <c r="A346" s="4500"/>
      <c r="B346" s="4500"/>
      <c r="C346" s="4500"/>
      <c r="D346" s="2014" t="s">
        <v>1195</v>
      </c>
      <c r="E346" s="2014" t="s">
        <v>2807</v>
      </c>
      <c r="F346" s="2011">
        <v>115.401572</v>
      </c>
      <c r="G346" s="2011">
        <v>0</v>
      </c>
      <c r="H346" s="2011">
        <v>0</v>
      </c>
      <c r="I346" s="2011">
        <v>0</v>
      </c>
      <c r="J346" s="2012">
        <v>115.401572</v>
      </c>
    </row>
    <row r="347" spans="1:10" ht="37.5" customHeight="1" x14ac:dyDescent="0.25">
      <c r="A347" s="4500"/>
      <c r="B347" s="4500"/>
      <c r="C347" s="4496"/>
      <c r="D347" s="2014" t="s">
        <v>1197</v>
      </c>
      <c r="E347" s="2014" t="s">
        <v>2808</v>
      </c>
      <c r="F347" s="2011">
        <v>0.11849999999999999</v>
      </c>
      <c r="G347" s="2011">
        <v>0</v>
      </c>
      <c r="H347" s="2011">
        <v>0</v>
      </c>
      <c r="I347" s="2011">
        <v>0</v>
      </c>
      <c r="J347" s="2012">
        <v>0.11849999999999999</v>
      </c>
    </row>
    <row r="348" spans="1:10" ht="37.5" customHeight="1" x14ac:dyDescent="0.25">
      <c r="A348" s="4500"/>
      <c r="B348" s="4500"/>
      <c r="C348" s="4495" t="s">
        <v>1125</v>
      </c>
      <c r="D348" s="2014" t="s">
        <v>1815</v>
      </c>
      <c r="E348" s="2014" t="s">
        <v>2809</v>
      </c>
      <c r="F348" s="2011">
        <v>1.5852999999999999</v>
      </c>
      <c r="G348" s="2011">
        <v>0</v>
      </c>
      <c r="H348" s="2011">
        <v>0</v>
      </c>
      <c r="I348" s="2011">
        <v>1.5852999999999999</v>
      </c>
      <c r="J348" s="2012">
        <v>0</v>
      </c>
    </row>
    <row r="349" spans="1:10" ht="37.5" customHeight="1" x14ac:dyDescent="0.25">
      <c r="A349" s="4500"/>
      <c r="B349" s="4500"/>
      <c r="C349" s="4496"/>
      <c r="D349" s="2014" t="s">
        <v>1126</v>
      </c>
      <c r="E349" s="2014" t="s">
        <v>2810</v>
      </c>
      <c r="F349" s="2011">
        <v>1.5852999999999999</v>
      </c>
      <c r="G349" s="2011">
        <v>0</v>
      </c>
      <c r="H349" s="2011">
        <v>0</v>
      </c>
      <c r="I349" s="2011">
        <v>1.5852999999999999</v>
      </c>
      <c r="J349" s="2012">
        <v>0</v>
      </c>
    </row>
    <row r="350" spans="1:10" ht="37.5" customHeight="1" x14ac:dyDescent="0.25">
      <c r="A350" s="4500"/>
      <c r="B350" s="4500"/>
      <c r="C350" s="4495" t="s">
        <v>1115</v>
      </c>
      <c r="D350" s="2014" t="s">
        <v>1815</v>
      </c>
      <c r="E350" s="2014" t="s">
        <v>2823</v>
      </c>
      <c r="F350" s="2011">
        <v>344.6977</v>
      </c>
      <c r="G350" s="2011">
        <v>0</v>
      </c>
      <c r="H350" s="2011">
        <v>0</v>
      </c>
      <c r="I350" s="2011">
        <v>0</v>
      </c>
      <c r="J350" s="2012">
        <v>344.6977</v>
      </c>
    </row>
    <row r="351" spans="1:10" ht="37.5" customHeight="1" x14ac:dyDescent="0.25">
      <c r="A351" s="4500"/>
      <c r="B351" s="4500"/>
      <c r="C351" s="4496"/>
      <c r="D351" s="2014" t="s">
        <v>1198</v>
      </c>
      <c r="E351" s="2014" t="s">
        <v>2824</v>
      </c>
      <c r="F351" s="2011">
        <v>344.6977</v>
      </c>
      <c r="G351" s="2011">
        <v>0</v>
      </c>
      <c r="H351" s="2011">
        <v>0</v>
      </c>
      <c r="I351" s="2011">
        <v>0</v>
      </c>
      <c r="J351" s="2012">
        <v>344.6977</v>
      </c>
    </row>
    <row r="352" spans="1:10" ht="37.5" customHeight="1" x14ac:dyDescent="0.25">
      <c r="A352" s="4500"/>
      <c r="B352" s="4500"/>
      <c r="C352" s="4495" t="s">
        <v>1121</v>
      </c>
      <c r="D352" s="2014" t="s">
        <v>1815</v>
      </c>
      <c r="E352" s="2014" t="s">
        <v>2834</v>
      </c>
      <c r="F352" s="2011">
        <v>193.035</v>
      </c>
      <c r="G352" s="2011">
        <v>0</v>
      </c>
      <c r="H352" s="2011">
        <v>0</v>
      </c>
      <c r="I352" s="2011">
        <v>0</v>
      </c>
      <c r="J352" s="2012">
        <v>193.035</v>
      </c>
    </row>
    <row r="353" spans="1:10" ht="37.5" customHeight="1" x14ac:dyDescent="0.25">
      <c r="A353" s="4500"/>
      <c r="B353" s="4500"/>
      <c r="C353" s="4496"/>
      <c r="D353" s="2014" t="s">
        <v>1143</v>
      </c>
      <c r="E353" s="2014" t="s">
        <v>2839</v>
      </c>
      <c r="F353" s="2011">
        <v>193.035</v>
      </c>
      <c r="G353" s="2011">
        <v>0</v>
      </c>
      <c r="H353" s="2011">
        <v>0</v>
      </c>
      <c r="I353" s="2011">
        <v>0</v>
      </c>
      <c r="J353" s="2012">
        <v>193.035</v>
      </c>
    </row>
    <row r="354" spans="1:10" ht="37.5" customHeight="1" x14ac:dyDescent="0.25">
      <c r="A354" s="4500"/>
      <c r="B354" s="4500"/>
      <c r="C354" s="4495" t="s">
        <v>1144</v>
      </c>
      <c r="D354" s="2014" t="s">
        <v>1815</v>
      </c>
      <c r="E354" s="2014" t="s">
        <v>2840</v>
      </c>
      <c r="F354" s="2011">
        <v>5.609</v>
      </c>
      <c r="G354" s="2011">
        <v>0</v>
      </c>
      <c r="H354" s="2011">
        <v>0</v>
      </c>
      <c r="I354" s="2011">
        <v>0</v>
      </c>
      <c r="J354" s="2012">
        <v>5.609</v>
      </c>
    </row>
    <row r="355" spans="1:10" ht="37.5" customHeight="1" x14ac:dyDescent="0.25">
      <c r="A355" s="4500"/>
      <c r="B355" s="4500"/>
      <c r="C355" s="4496"/>
      <c r="D355" s="2014" t="s">
        <v>1145</v>
      </c>
      <c r="E355" s="2014" t="s">
        <v>2842</v>
      </c>
      <c r="F355" s="2011">
        <v>5.609</v>
      </c>
      <c r="G355" s="2011">
        <v>0</v>
      </c>
      <c r="H355" s="2011">
        <v>0</v>
      </c>
      <c r="I355" s="2011">
        <v>0</v>
      </c>
      <c r="J355" s="2012">
        <v>5.609</v>
      </c>
    </row>
    <row r="356" spans="1:10" ht="37.5" customHeight="1" x14ac:dyDescent="0.25">
      <c r="A356" s="4500"/>
      <c r="B356" s="4500"/>
      <c r="C356" s="4495" t="s">
        <v>1127</v>
      </c>
      <c r="D356" s="2014" t="s">
        <v>1815</v>
      </c>
      <c r="E356" s="2014" t="s">
        <v>2848</v>
      </c>
      <c r="F356" s="2011">
        <v>237.95</v>
      </c>
      <c r="G356" s="2011">
        <v>0</v>
      </c>
      <c r="H356" s="2011">
        <v>0</v>
      </c>
      <c r="I356" s="2011">
        <v>0</v>
      </c>
      <c r="J356" s="2012">
        <v>237.95</v>
      </c>
    </row>
    <row r="357" spans="1:10" ht="37.5" customHeight="1" x14ac:dyDescent="0.25">
      <c r="A357" s="4500"/>
      <c r="B357" s="4500"/>
      <c r="C357" s="4500"/>
      <c r="D357" s="2014" t="s">
        <v>1162</v>
      </c>
      <c r="E357" s="2014" t="s">
        <v>2851</v>
      </c>
      <c r="F357" s="2011">
        <v>57</v>
      </c>
      <c r="G357" s="2011">
        <v>0</v>
      </c>
      <c r="H357" s="2011">
        <v>0</v>
      </c>
      <c r="I357" s="2011">
        <v>0</v>
      </c>
      <c r="J357" s="2012">
        <v>57</v>
      </c>
    </row>
    <row r="358" spans="1:10" ht="37.5" customHeight="1" x14ac:dyDescent="0.25">
      <c r="A358" s="4500"/>
      <c r="B358" s="4500"/>
      <c r="C358" s="4500"/>
      <c r="D358" s="2014" t="s">
        <v>1163</v>
      </c>
      <c r="E358" s="2014" t="s">
        <v>2852</v>
      </c>
      <c r="F358" s="2011">
        <v>28.4</v>
      </c>
      <c r="G358" s="2011">
        <v>0</v>
      </c>
      <c r="H358" s="2011">
        <v>0</v>
      </c>
      <c r="I358" s="2011">
        <v>0</v>
      </c>
      <c r="J358" s="2012">
        <v>28.4</v>
      </c>
    </row>
    <row r="359" spans="1:10" ht="48.75" customHeight="1" x14ac:dyDescent="0.25">
      <c r="A359" s="4500"/>
      <c r="B359" s="4500"/>
      <c r="C359" s="4496"/>
      <c r="D359" s="2014" t="s">
        <v>1128</v>
      </c>
      <c r="E359" s="2014" t="s">
        <v>2853</v>
      </c>
      <c r="F359" s="2011">
        <v>152.55000000000001</v>
      </c>
      <c r="G359" s="2011">
        <v>0</v>
      </c>
      <c r="H359" s="2011">
        <v>0</v>
      </c>
      <c r="I359" s="2011">
        <v>0</v>
      </c>
      <c r="J359" s="2012">
        <v>152.55000000000001</v>
      </c>
    </row>
    <row r="360" spans="1:10" ht="48.75" customHeight="1" x14ac:dyDescent="0.25">
      <c r="A360" s="4500"/>
      <c r="B360" s="4500"/>
      <c r="C360" s="4495" t="s">
        <v>1118</v>
      </c>
      <c r="D360" s="2014" t="s">
        <v>1815</v>
      </c>
      <c r="E360" s="2014" t="s">
        <v>2864</v>
      </c>
      <c r="F360" s="2011">
        <v>92.47</v>
      </c>
      <c r="G360" s="2011">
        <v>0</v>
      </c>
      <c r="H360" s="2011">
        <v>0</v>
      </c>
      <c r="I360" s="2011">
        <v>0</v>
      </c>
      <c r="J360" s="2012">
        <v>92.47</v>
      </c>
    </row>
    <row r="361" spans="1:10" ht="48.75" customHeight="1" x14ac:dyDescent="0.25">
      <c r="A361" s="4500"/>
      <c r="B361" s="4500"/>
      <c r="C361" s="4500"/>
      <c r="D361" s="2014" t="s">
        <v>1120</v>
      </c>
      <c r="E361" s="2014" t="s">
        <v>2869</v>
      </c>
      <c r="F361" s="2011">
        <v>69.17</v>
      </c>
      <c r="G361" s="2011">
        <v>0</v>
      </c>
      <c r="H361" s="2011">
        <v>0</v>
      </c>
      <c r="I361" s="2011">
        <v>0</v>
      </c>
      <c r="J361" s="2012">
        <v>69.17</v>
      </c>
    </row>
    <row r="362" spans="1:10" ht="48.75" customHeight="1" x14ac:dyDescent="0.25">
      <c r="A362" s="4500"/>
      <c r="B362" s="4500"/>
      <c r="C362" s="4500"/>
      <c r="D362" s="2014" t="s">
        <v>1841</v>
      </c>
      <c r="E362" s="2014" t="s">
        <v>2876</v>
      </c>
      <c r="F362" s="2011">
        <v>11.85</v>
      </c>
      <c r="G362" s="2011">
        <v>0</v>
      </c>
      <c r="H362" s="2011">
        <v>0</v>
      </c>
      <c r="I362" s="2011">
        <v>0</v>
      </c>
      <c r="J362" s="2012">
        <v>11.85</v>
      </c>
    </row>
    <row r="363" spans="1:10" ht="48.75" customHeight="1" x14ac:dyDescent="0.25">
      <c r="A363" s="4500"/>
      <c r="B363" s="4500"/>
      <c r="C363" s="4500"/>
      <c r="D363" s="2014" t="s">
        <v>2260</v>
      </c>
      <c r="E363" s="2014" t="s">
        <v>2877</v>
      </c>
      <c r="F363" s="2011">
        <v>7.5</v>
      </c>
      <c r="G363" s="2011">
        <v>0</v>
      </c>
      <c r="H363" s="2011">
        <v>0</v>
      </c>
      <c r="I363" s="2011">
        <v>0</v>
      </c>
      <c r="J363" s="2012">
        <v>7.5</v>
      </c>
    </row>
    <row r="364" spans="1:10" ht="48.75" customHeight="1" x14ac:dyDescent="0.25">
      <c r="A364" s="4500"/>
      <c r="B364" s="4500"/>
      <c r="C364" s="4496"/>
      <c r="D364" s="2014" t="s">
        <v>1180</v>
      </c>
      <c r="E364" s="2014" t="s">
        <v>2878</v>
      </c>
      <c r="F364" s="2011">
        <v>3.95</v>
      </c>
      <c r="G364" s="2011">
        <v>0</v>
      </c>
      <c r="H364" s="2011">
        <v>0</v>
      </c>
      <c r="I364" s="2011">
        <v>0</v>
      </c>
      <c r="J364" s="2012">
        <v>3.95</v>
      </c>
    </row>
    <row r="365" spans="1:10" ht="23.25" customHeight="1" x14ac:dyDescent="0.25">
      <c r="A365" s="4500"/>
      <c r="B365" s="4500"/>
      <c r="C365" s="4495" t="s">
        <v>1137</v>
      </c>
      <c r="D365" s="2014" t="s">
        <v>1815</v>
      </c>
      <c r="E365" s="2014" t="s">
        <v>2892</v>
      </c>
      <c r="F365" s="2011">
        <v>111.627129</v>
      </c>
      <c r="G365" s="2011">
        <v>0</v>
      </c>
      <c r="H365" s="2011">
        <v>0</v>
      </c>
      <c r="I365" s="2011">
        <v>0</v>
      </c>
      <c r="J365" s="2012">
        <v>111.627129</v>
      </c>
    </row>
    <row r="366" spans="1:10" ht="66.75" customHeight="1" x14ac:dyDescent="0.25">
      <c r="A366" s="4500"/>
      <c r="B366" s="4496"/>
      <c r="C366" s="4496"/>
      <c r="D366" s="2014" t="s">
        <v>1157</v>
      </c>
      <c r="E366" s="2014" t="s">
        <v>2902</v>
      </c>
      <c r="F366" s="2011">
        <v>111.627129</v>
      </c>
      <c r="G366" s="2011">
        <v>0</v>
      </c>
      <c r="H366" s="2011">
        <v>0</v>
      </c>
      <c r="I366" s="2011">
        <v>0</v>
      </c>
      <c r="J366" s="2012">
        <v>111.627129</v>
      </c>
    </row>
    <row r="367" spans="1:10" ht="44.25" customHeight="1" x14ac:dyDescent="0.25">
      <c r="A367" s="4500"/>
      <c r="B367" s="4495" t="s">
        <v>3108</v>
      </c>
      <c r="C367" s="4501" t="s">
        <v>1815</v>
      </c>
      <c r="D367" s="4503"/>
      <c r="E367" s="2014" t="s">
        <v>3109</v>
      </c>
      <c r="F367" s="2011">
        <v>3.7909999999999999</v>
      </c>
      <c r="G367" s="2011">
        <v>0</v>
      </c>
      <c r="H367" s="2011">
        <v>0</v>
      </c>
      <c r="I367" s="2011">
        <v>0</v>
      </c>
      <c r="J367" s="2012">
        <v>3.7909999999999999</v>
      </c>
    </row>
    <row r="368" spans="1:10" ht="44.25" customHeight="1" x14ac:dyDescent="0.25">
      <c r="A368" s="4500"/>
      <c r="B368" s="4500"/>
      <c r="C368" s="4495" t="s">
        <v>1118</v>
      </c>
      <c r="D368" s="2014" t="s">
        <v>1815</v>
      </c>
      <c r="E368" s="2014" t="s">
        <v>2864</v>
      </c>
      <c r="F368" s="2011">
        <v>3.7909999999999999</v>
      </c>
      <c r="G368" s="2011">
        <v>0</v>
      </c>
      <c r="H368" s="2011">
        <v>0</v>
      </c>
      <c r="I368" s="2011">
        <v>0</v>
      </c>
      <c r="J368" s="2012">
        <v>3.7909999999999999</v>
      </c>
    </row>
    <row r="369" spans="1:10" ht="44.25" customHeight="1" x14ac:dyDescent="0.25">
      <c r="A369" s="4500"/>
      <c r="B369" s="4500"/>
      <c r="C369" s="4500"/>
      <c r="D369" s="2014" t="s">
        <v>1120</v>
      </c>
      <c r="E369" s="2014" t="s">
        <v>2869</v>
      </c>
      <c r="F369" s="2011">
        <v>3.5249999999999999</v>
      </c>
      <c r="G369" s="2011">
        <v>0</v>
      </c>
      <c r="H369" s="2011">
        <v>0</v>
      </c>
      <c r="I369" s="2011">
        <v>0</v>
      </c>
      <c r="J369" s="2012">
        <v>3.5249999999999999</v>
      </c>
    </row>
    <row r="370" spans="1:10" ht="44.25" customHeight="1" x14ac:dyDescent="0.25">
      <c r="A370" s="4500"/>
      <c r="B370" s="4496"/>
      <c r="C370" s="4496"/>
      <c r="D370" s="2014" t="s">
        <v>2874</v>
      </c>
      <c r="E370" s="2014" t="s">
        <v>2875</v>
      </c>
      <c r="F370" s="2011">
        <v>0.26600000000000001</v>
      </c>
      <c r="G370" s="2011">
        <v>0</v>
      </c>
      <c r="H370" s="2011">
        <v>0</v>
      </c>
      <c r="I370" s="2011">
        <v>0</v>
      </c>
      <c r="J370" s="2012">
        <v>0.26600000000000001</v>
      </c>
    </row>
    <row r="371" spans="1:10" ht="44.25" customHeight="1" x14ac:dyDescent="0.25">
      <c r="A371" s="4500"/>
      <c r="B371" s="4495" t="s">
        <v>2581</v>
      </c>
      <c r="C371" s="4501" t="s">
        <v>1815</v>
      </c>
      <c r="D371" s="4503"/>
      <c r="E371" s="2014" t="s">
        <v>3106</v>
      </c>
      <c r="F371" s="2011">
        <v>0.15</v>
      </c>
      <c r="G371" s="2011">
        <v>0</v>
      </c>
      <c r="H371" s="2011">
        <v>0</v>
      </c>
      <c r="I371" s="2011">
        <v>0</v>
      </c>
      <c r="J371" s="2012">
        <v>0.15</v>
      </c>
    </row>
    <row r="372" spans="1:10" ht="44.25" customHeight="1" x14ac:dyDescent="0.25">
      <c r="A372" s="4500"/>
      <c r="B372" s="4500"/>
      <c r="C372" s="4495" t="s">
        <v>1127</v>
      </c>
      <c r="D372" s="2014" t="s">
        <v>1815</v>
      </c>
      <c r="E372" s="2014" t="s">
        <v>2848</v>
      </c>
      <c r="F372" s="2011">
        <v>0.15</v>
      </c>
      <c r="G372" s="2011">
        <v>0</v>
      </c>
      <c r="H372" s="2011">
        <v>0</v>
      </c>
      <c r="I372" s="2011">
        <v>0</v>
      </c>
      <c r="J372" s="2012">
        <v>0.15</v>
      </c>
    </row>
    <row r="373" spans="1:10" ht="23.25" customHeight="1" x14ac:dyDescent="0.25">
      <c r="A373" s="4500"/>
      <c r="B373" s="4496"/>
      <c r="C373" s="4496"/>
      <c r="D373" s="2014" t="s">
        <v>1128</v>
      </c>
      <c r="E373" s="2014" t="s">
        <v>2853</v>
      </c>
      <c r="F373" s="2011">
        <v>0.15</v>
      </c>
      <c r="G373" s="2011">
        <v>0</v>
      </c>
      <c r="H373" s="2011">
        <v>0</v>
      </c>
      <c r="I373" s="2011">
        <v>0</v>
      </c>
      <c r="J373" s="2012">
        <v>0.15</v>
      </c>
    </row>
    <row r="374" spans="1:10" ht="23.25" customHeight="1" x14ac:dyDescent="0.25">
      <c r="A374" s="4500"/>
      <c r="B374" s="4495" t="s">
        <v>2582</v>
      </c>
      <c r="C374" s="4501" t="s">
        <v>1815</v>
      </c>
      <c r="D374" s="4503"/>
      <c r="E374" s="2014" t="s">
        <v>1809</v>
      </c>
      <c r="F374" s="2011">
        <v>115627.876502</v>
      </c>
      <c r="G374" s="2011">
        <v>0</v>
      </c>
      <c r="H374" s="2011">
        <v>0</v>
      </c>
      <c r="I374" s="2011">
        <v>0</v>
      </c>
      <c r="J374" s="2012">
        <v>115627.876502</v>
      </c>
    </row>
    <row r="375" spans="1:10" ht="73.5" customHeight="1" x14ac:dyDescent="0.25">
      <c r="A375" s="4500"/>
      <c r="B375" s="4500"/>
      <c r="C375" s="4495" t="s">
        <v>1179</v>
      </c>
      <c r="D375" s="2014" t="s">
        <v>1815</v>
      </c>
      <c r="E375" s="2014" t="s">
        <v>2784</v>
      </c>
      <c r="F375" s="2011">
        <v>9836.6701790000006</v>
      </c>
      <c r="G375" s="2011">
        <v>0</v>
      </c>
      <c r="H375" s="2011">
        <v>0</v>
      </c>
      <c r="I375" s="2011">
        <v>0</v>
      </c>
      <c r="J375" s="2012">
        <v>9836.6701790000006</v>
      </c>
    </row>
    <row r="376" spans="1:10" ht="73.5" customHeight="1" x14ac:dyDescent="0.25">
      <c r="A376" s="4500"/>
      <c r="B376" s="4500"/>
      <c r="C376" s="4500"/>
      <c r="D376" s="2014" t="s">
        <v>1836</v>
      </c>
      <c r="E376" s="2014" t="s">
        <v>2785</v>
      </c>
      <c r="F376" s="2011">
        <v>171.93839800000001</v>
      </c>
      <c r="G376" s="2011">
        <v>0</v>
      </c>
      <c r="H376" s="2011">
        <v>0</v>
      </c>
      <c r="I376" s="2011">
        <v>0</v>
      </c>
      <c r="J376" s="2012">
        <v>171.93839800000001</v>
      </c>
    </row>
    <row r="377" spans="1:10" ht="73.5" customHeight="1" x14ac:dyDescent="0.25">
      <c r="A377" s="4500"/>
      <c r="B377" s="4500"/>
      <c r="C377" s="4500"/>
      <c r="D377" s="2014" t="s">
        <v>1843</v>
      </c>
      <c r="E377" s="2014" t="s">
        <v>2786</v>
      </c>
      <c r="F377" s="2011">
        <v>1691.8444919999999</v>
      </c>
      <c r="G377" s="2011">
        <v>0</v>
      </c>
      <c r="H377" s="2011">
        <v>0</v>
      </c>
      <c r="I377" s="2011">
        <v>0</v>
      </c>
      <c r="J377" s="2012">
        <v>1691.8444919999999</v>
      </c>
    </row>
    <row r="378" spans="1:10" ht="73.5" customHeight="1" x14ac:dyDescent="0.25">
      <c r="A378" s="4500"/>
      <c r="B378" s="4500"/>
      <c r="C378" s="4500"/>
      <c r="D378" s="2014" t="s">
        <v>1837</v>
      </c>
      <c r="E378" s="2014" t="s">
        <v>156</v>
      </c>
      <c r="F378" s="2011">
        <v>314.08935400000001</v>
      </c>
      <c r="G378" s="2011">
        <v>0</v>
      </c>
      <c r="H378" s="2011">
        <v>0</v>
      </c>
      <c r="I378" s="2011">
        <v>0</v>
      </c>
      <c r="J378" s="2012">
        <v>314.08935400000001</v>
      </c>
    </row>
    <row r="379" spans="1:10" ht="73.5" customHeight="1" x14ac:dyDescent="0.25">
      <c r="A379" s="4500"/>
      <c r="B379" s="4500"/>
      <c r="C379" s="4500"/>
      <c r="D379" s="2014" t="s">
        <v>1838</v>
      </c>
      <c r="E379" s="2014" t="s">
        <v>2787</v>
      </c>
      <c r="F379" s="2011">
        <v>335.09924000000001</v>
      </c>
      <c r="G379" s="2011">
        <v>0</v>
      </c>
      <c r="H379" s="2011">
        <v>0</v>
      </c>
      <c r="I379" s="2011">
        <v>0</v>
      </c>
      <c r="J379" s="2012">
        <v>335.09924000000001</v>
      </c>
    </row>
    <row r="380" spans="1:10" ht="73.5" customHeight="1" x14ac:dyDescent="0.25">
      <c r="A380" s="4500"/>
      <c r="B380" s="4500"/>
      <c r="C380" s="4496"/>
      <c r="D380" s="2014" t="s">
        <v>1844</v>
      </c>
      <c r="E380" s="2014" t="s">
        <v>2788</v>
      </c>
      <c r="F380" s="2011">
        <v>7323.698695</v>
      </c>
      <c r="G380" s="2011">
        <v>0</v>
      </c>
      <c r="H380" s="2011">
        <v>0</v>
      </c>
      <c r="I380" s="2011">
        <v>0</v>
      </c>
      <c r="J380" s="2012">
        <v>7323.698695</v>
      </c>
    </row>
    <row r="381" spans="1:10" ht="23.25" customHeight="1" x14ac:dyDescent="0.25">
      <c r="A381" s="4500"/>
      <c r="B381" s="4500"/>
      <c r="C381" s="4495" t="s">
        <v>1115</v>
      </c>
      <c r="D381" s="2014" t="s">
        <v>1815</v>
      </c>
      <c r="E381" s="2014" t="s">
        <v>2823</v>
      </c>
      <c r="F381" s="2011">
        <v>7.6950000000000003</v>
      </c>
      <c r="G381" s="2011">
        <v>0</v>
      </c>
      <c r="H381" s="2011">
        <v>0</v>
      </c>
      <c r="I381" s="2011">
        <v>0</v>
      </c>
      <c r="J381" s="2012">
        <v>7.6950000000000003</v>
      </c>
    </row>
    <row r="382" spans="1:10" ht="54.75" customHeight="1" x14ac:dyDescent="0.25">
      <c r="A382" s="4500"/>
      <c r="B382" s="4500"/>
      <c r="C382" s="4496"/>
      <c r="D382" s="2014" t="s">
        <v>1198</v>
      </c>
      <c r="E382" s="2014" t="s">
        <v>2824</v>
      </c>
      <c r="F382" s="2011">
        <v>7.6950000000000003</v>
      </c>
      <c r="G382" s="2011">
        <v>0</v>
      </c>
      <c r="H382" s="2011">
        <v>0</v>
      </c>
      <c r="I382" s="2011">
        <v>0</v>
      </c>
      <c r="J382" s="2012">
        <v>7.6950000000000003</v>
      </c>
    </row>
    <row r="383" spans="1:10" ht="23.25" customHeight="1" x14ac:dyDescent="0.25">
      <c r="A383" s="4500"/>
      <c r="B383" s="4500"/>
      <c r="C383" s="4495" t="s">
        <v>1121</v>
      </c>
      <c r="D383" s="2014" t="s">
        <v>1815</v>
      </c>
      <c r="E383" s="2014" t="s">
        <v>2834</v>
      </c>
      <c r="F383" s="2011">
        <v>47.451999999999998</v>
      </c>
      <c r="G383" s="2011">
        <v>0</v>
      </c>
      <c r="H383" s="2011">
        <v>0</v>
      </c>
      <c r="I383" s="2011">
        <v>0</v>
      </c>
      <c r="J383" s="2012">
        <v>47.451999999999998</v>
      </c>
    </row>
    <row r="384" spans="1:10" ht="23.25" customHeight="1" x14ac:dyDescent="0.25">
      <c r="A384" s="4500"/>
      <c r="B384" s="4500"/>
      <c r="C384" s="4496"/>
      <c r="D384" s="2014" t="s">
        <v>1143</v>
      </c>
      <c r="E384" s="2014" t="s">
        <v>2839</v>
      </c>
      <c r="F384" s="2011">
        <v>47.451999999999998</v>
      </c>
      <c r="G384" s="2011">
        <v>0</v>
      </c>
      <c r="H384" s="2011">
        <v>0</v>
      </c>
      <c r="I384" s="2011">
        <v>0</v>
      </c>
      <c r="J384" s="2012">
        <v>47.451999999999998</v>
      </c>
    </row>
    <row r="385" spans="1:10" ht="48" customHeight="1" x14ac:dyDescent="0.25">
      <c r="A385" s="4500"/>
      <c r="B385" s="4500"/>
      <c r="C385" s="4495" t="s">
        <v>1144</v>
      </c>
      <c r="D385" s="2014" t="s">
        <v>1815</v>
      </c>
      <c r="E385" s="2014" t="s">
        <v>2840</v>
      </c>
      <c r="F385" s="2011">
        <v>6.0049999999999999</v>
      </c>
      <c r="G385" s="2011">
        <v>0</v>
      </c>
      <c r="H385" s="2011">
        <v>0</v>
      </c>
      <c r="I385" s="2011">
        <v>0</v>
      </c>
      <c r="J385" s="2012">
        <v>6.0049999999999999</v>
      </c>
    </row>
    <row r="386" spans="1:10" ht="23.25" customHeight="1" x14ac:dyDescent="0.25">
      <c r="A386" s="4500"/>
      <c r="B386" s="4500"/>
      <c r="C386" s="4496"/>
      <c r="D386" s="2014" t="s">
        <v>1145</v>
      </c>
      <c r="E386" s="2014" t="s">
        <v>2842</v>
      </c>
      <c r="F386" s="2011">
        <v>6.0049999999999999</v>
      </c>
      <c r="G386" s="2011">
        <v>0</v>
      </c>
      <c r="H386" s="2011">
        <v>0</v>
      </c>
      <c r="I386" s="2011">
        <v>0</v>
      </c>
      <c r="J386" s="2012">
        <v>6.0049999999999999</v>
      </c>
    </row>
    <row r="387" spans="1:10" ht="23.25" customHeight="1" x14ac:dyDescent="0.25">
      <c r="A387" s="4500"/>
      <c r="B387" s="4500"/>
      <c r="C387" s="4495" t="s">
        <v>1118</v>
      </c>
      <c r="D387" s="2014" t="s">
        <v>1815</v>
      </c>
      <c r="E387" s="2014" t="s">
        <v>2864</v>
      </c>
      <c r="F387" s="2011">
        <v>2.2000000000000002</v>
      </c>
      <c r="G387" s="2011">
        <v>0</v>
      </c>
      <c r="H387" s="2011">
        <v>0</v>
      </c>
      <c r="I387" s="2011">
        <v>0</v>
      </c>
      <c r="J387" s="2012">
        <v>2.2000000000000002</v>
      </c>
    </row>
    <row r="388" spans="1:10" ht="45" customHeight="1" x14ac:dyDescent="0.25">
      <c r="A388" s="4500"/>
      <c r="B388" s="4500"/>
      <c r="C388" s="4496"/>
      <c r="D388" s="2014" t="s">
        <v>1841</v>
      </c>
      <c r="E388" s="2014" t="s">
        <v>2876</v>
      </c>
      <c r="F388" s="2011">
        <v>2.2000000000000002</v>
      </c>
      <c r="G388" s="2011">
        <v>0</v>
      </c>
      <c r="H388" s="2011">
        <v>0</v>
      </c>
      <c r="I388" s="2011">
        <v>0</v>
      </c>
      <c r="J388" s="2012">
        <v>2.2000000000000002</v>
      </c>
    </row>
    <row r="389" spans="1:10" ht="23.25" customHeight="1" x14ac:dyDescent="0.25">
      <c r="A389" s="4500"/>
      <c r="B389" s="4500"/>
      <c r="C389" s="4495" t="s">
        <v>1181</v>
      </c>
      <c r="D389" s="2014" t="s">
        <v>1815</v>
      </c>
      <c r="E389" s="2014" t="s">
        <v>918</v>
      </c>
      <c r="F389" s="2011">
        <v>99647.473062999998</v>
      </c>
      <c r="G389" s="2011">
        <v>0</v>
      </c>
      <c r="H389" s="2011">
        <v>0</v>
      </c>
      <c r="I389" s="2011">
        <v>0</v>
      </c>
      <c r="J389" s="2012">
        <v>99647.473062999998</v>
      </c>
    </row>
    <row r="390" spans="1:10" ht="23.25" customHeight="1" x14ac:dyDescent="0.25">
      <c r="A390" s="4500"/>
      <c r="B390" s="4500"/>
      <c r="C390" s="4500"/>
      <c r="D390" s="2014" t="s">
        <v>1182</v>
      </c>
      <c r="E390" s="2014" t="s">
        <v>31</v>
      </c>
      <c r="F390" s="2011">
        <v>80286.823000000004</v>
      </c>
      <c r="G390" s="2011">
        <v>0</v>
      </c>
      <c r="H390" s="2011">
        <v>0</v>
      </c>
      <c r="I390" s="2011">
        <v>0</v>
      </c>
      <c r="J390" s="2012">
        <v>80286.823000000004</v>
      </c>
    </row>
    <row r="391" spans="1:10" ht="23.25" customHeight="1" x14ac:dyDescent="0.25">
      <c r="A391" s="4500"/>
      <c r="B391" s="4500"/>
      <c r="C391" s="4496"/>
      <c r="D391" s="2014" t="s">
        <v>1183</v>
      </c>
      <c r="E391" s="2014" t="s">
        <v>2886</v>
      </c>
      <c r="F391" s="2011">
        <v>19360.650063000001</v>
      </c>
      <c r="G391" s="2011">
        <v>0</v>
      </c>
      <c r="H391" s="2011">
        <v>0</v>
      </c>
      <c r="I391" s="2011">
        <v>0</v>
      </c>
      <c r="J391" s="2012">
        <v>19360.650063000001</v>
      </c>
    </row>
    <row r="392" spans="1:10" ht="23.25" customHeight="1" x14ac:dyDescent="0.25">
      <c r="A392" s="4500"/>
      <c r="B392" s="4500"/>
      <c r="C392" s="4495" t="s">
        <v>1187</v>
      </c>
      <c r="D392" s="2014" t="s">
        <v>1815</v>
      </c>
      <c r="E392" s="2014" t="s">
        <v>2890</v>
      </c>
      <c r="F392" s="2011">
        <v>6078.4838319999999</v>
      </c>
      <c r="G392" s="2011">
        <v>0</v>
      </c>
      <c r="H392" s="2011">
        <v>0</v>
      </c>
      <c r="I392" s="2011">
        <v>0</v>
      </c>
      <c r="J392" s="2012">
        <v>6078.4838319999999</v>
      </c>
    </row>
    <row r="393" spans="1:10" ht="23.25" customHeight="1" x14ac:dyDescent="0.25">
      <c r="A393" s="4500"/>
      <c r="B393" s="4500"/>
      <c r="C393" s="4496"/>
      <c r="D393" s="2014" t="s">
        <v>1188</v>
      </c>
      <c r="E393" s="2014" t="s">
        <v>2891</v>
      </c>
      <c r="F393" s="2011">
        <v>6078.4838319999999</v>
      </c>
      <c r="G393" s="2011">
        <v>0</v>
      </c>
      <c r="H393" s="2011">
        <v>0</v>
      </c>
      <c r="I393" s="2011">
        <v>0</v>
      </c>
      <c r="J393" s="2012">
        <v>6078.4838319999999</v>
      </c>
    </row>
    <row r="394" spans="1:10" ht="23.25" customHeight="1" x14ac:dyDescent="0.25">
      <c r="A394" s="4500"/>
      <c r="B394" s="4500"/>
      <c r="C394" s="4495" t="s">
        <v>1137</v>
      </c>
      <c r="D394" s="2014" t="s">
        <v>1815</v>
      </c>
      <c r="E394" s="2014" t="s">
        <v>2892</v>
      </c>
      <c r="F394" s="2011">
        <v>1.8974279999999999</v>
      </c>
      <c r="G394" s="2011">
        <v>0</v>
      </c>
      <c r="H394" s="2011">
        <v>0</v>
      </c>
      <c r="I394" s="2011">
        <v>0</v>
      </c>
      <c r="J394" s="2012">
        <v>1.8974279999999999</v>
      </c>
    </row>
    <row r="395" spans="1:10" ht="57.75" customHeight="1" x14ac:dyDescent="0.25">
      <c r="A395" s="4496"/>
      <c r="B395" s="4496"/>
      <c r="C395" s="4496"/>
      <c r="D395" s="2014" t="s">
        <v>1170</v>
      </c>
      <c r="E395" s="2014" t="s">
        <v>2901</v>
      </c>
      <c r="F395" s="2011">
        <v>1.8974279999999999</v>
      </c>
      <c r="G395" s="2011">
        <v>0</v>
      </c>
      <c r="H395" s="2011">
        <v>0</v>
      </c>
      <c r="I395" s="2011">
        <v>0</v>
      </c>
      <c r="J395" s="2012">
        <v>1.8974279999999999</v>
      </c>
    </row>
    <row r="397" spans="1:10" x14ac:dyDescent="0.25">
      <c r="H397" s="4499"/>
      <c r="I397" s="4499"/>
      <c r="J397" s="4499"/>
    </row>
    <row r="398" spans="1:10" s="1971" customFormat="1" hidden="1" x14ac:dyDescent="0.25">
      <c r="A398" s="4238" t="s">
        <v>2766</v>
      </c>
      <c r="B398" s="4238"/>
      <c r="C398" s="4238"/>
      <c r="D398" s="4238"/>
      <c r="E398" s="4238"/>
      <c r="F398" s="1995"/>
      <c r="G398" s="2303"/>
      <c r="H398" s="4499"/>
      <c r="I398" s="4499"/>
      <c r="J398" s="4499"/>
    </row>
    <row r="399" spans="1:10" s="1971" customFormat="1" x14ac:dyDescent="0.25">
      <c r="A399" s="4236" t="s">
        <v>2174</v>
      </c>
      <c r="B399" s="4236"/>
      <c r="C399" s="4236"/>
      <c r="D399" s="4236"/>
      <c r="E399" s="4236"/>
      <c r="F399" s="4497" t="s">
        <v>1440</v>
      </c>
      <c r="G399" s="4497"/>
      <c r="H399" s="4236" t="s">
        <v>638</v>
      </c>
      <c r="I399" s="4236"/>
      <c r="J399" s="4236"/>
    </row>
    <row r="400" spans="1:10" s="1971" customFormat="1" x14ac:dyDescent="0.25">
      <c r="A400" s="4236" t="s">
        <v>2781</v>
      </c>
      <c r="B400" s="4236"/>
      <c r="C400" s="4236"/>
      <c r="D400" s="4236"/>
      <c r="E400" s="4236"/>
      <c r="F400" s="4497" t="s">
        <v>807</v>
      </c>
      <c r="G400" s="4497"/>
      <c r="H400" s="4236" t="s">
        <v>639</v>
      </c>
      <c r="I400" s="4236"/>
      <c r="J400" s="4236"/>
    </row>
    <row r="401" spans="1:10" s="1971" customFormat="1" x14ac:dyDescent="0.25">
      <c r="A401" s="2277"/>
      <c r="B401" s="2277"/>
      <c r="C401" s="1983"/>
      <c r="D401" s="2304"/>
      <c r="F401" s="2305"/>
      <c r="G401" s="1995"/>
      <c r="I401" s="1995"/>
    </row>
    <row r="402" spans="1:10" s="1971" customFormat="1" x14ac:dyDescent="0.25">
      <c r="A402" s="2277"/>
      <c r="B402" s="2277"/>
      <c r="C402" s="1983"/>
      <c r="D402" s="2304"/>
      <c r="F402" s="2305"/>
      <c r="G402" s="1995"/>
      <c r="I402" s="2306"/>
    </row>
    <row r="403" spans="1:10" s="1971" customFormat="1" x14ac:dyDescent="0.25">
      <c r="A403" s="2277"/>
      <c r="B403" s="2277"/>
      <c r="C403" s="1983"/>
      <c r="D403" s="2304"/>
      <c r="F403" s="2305"/>
      <c r="G403" s="1995"/>
      <c r="I403" s="1995"/>
    </row>
    <row r="404" spans="1:10" s="1971" customFormat="1" x14ac:dyDescent="0.25">
      <c r="A404" s="2277"/>
      <c r="B404" s="2277"/>
      <c r="C404" s="1983"/>
      <c r="D404" s="2304"/>
      <c r="F404" s="2305"/>
      <c r="G404" s="1995"/>
      <c r="I404" s="1995"/>
    </row>
    <row r="405" spans="1:10" s="1971" customFormat="1" x14ac:dyDescent="0.25">
      <c r="A405" s="2277"/>
      <c r="B405" s="2277"/>
      <c r="C405" s="1983"/>
      <c r="D405" s="2304"/>
      <c r="F405" s="2305"/>
      <c r="G405" s="1995"/>
      <c r="I405" s="1995"/>
    </row>
    <row r="406" spans="1:10" s="1971" customFormat="1" ht="17.25" x14ac:dyDescent="0.3">
      <c r="A406" s="2307"/>
      <c r="C406" s="1983"/>
      <c r="D406" s="1983"/>
      <c r="F406" s="1995"/>
      <c r="G406" s="1995"/>
      <c r="I406" s="1995"/>
    </row>
    <row r="407" spans="1:10" s="1971" customFormat="1" ht="17.25" x14ac:dyDescent="0.3">
      <c r="A407" s="2307"/>
      <c r="B407" s="1972"/>
      <c r="C407" s="2308"/>
      <c r="F407" s="4498" t="s">
        <v>808</v>
      </c>
      <c r="G407" s="4498"/>
      <c r="H407" s="4471" t="s">
        <v>1731</v>
      </c>
      <c r="I407" s="4471"/>
      <c r="J407" s="4471"/>
    </row>
  </sheetData>
  <mergeCells count="230">
    <mergeCell ref="A1:E1"/>
    <mergeCell ref="G1:I1"/>
    <mergeCell ref="A2:J2"/>
    <mergeCell ref="A3:J3"/>
    <mergeCell ref="A8:E8"/>
    <mergeCell ref="C45:D45"/>
    <mergeCell ref="C10:D10"/>
    <mergeCell ref="A9:A75"/>
    <mergeCell ref="B9:E9"/>
    <mergeCell ref="B10:B19"/>
    <mergeCell ref="C11:C12"/>
    <mergeCell ref="C13:C14"/>
    <mergeCell ref="C15:C19"/>
    <mergeCell ref="B20:B23"/>
    <mergeCell ref="C20:D20"/>
    <mergeCell ref="C21:C23"/>
    <mergeCell ref="B24:B28"/>
    <mergeCell ref="C24:D24"/>
    <mergeCell ref="C55:C57"/>
    <mergeCell ref="C58:C59"/>
    <mergeCell ref="C60:C61"/>
    <mergeCell ref="B45:B53"/>
    <mergeCell ref="C46:C47"/>
    <mergeCell ref="C48:C49"/>
    <mergeCell ref="B37:B39"/>
    <mergeCell ref="C37:D37"/>
    <mergeCell ref="C38:C39"/>
    <mergeCell ref="B40:B44"/>
    <mergeCell ref="C40:D40"/>
    <mergeCell ref="C41:C42"/>
    <mergeCell ref="C43:C44"/>
    <mergeCell ref="C25:C28"/>
    <mergeCell ref="B29:B33"/>
    <mergeCell ref="C32:C33"/>
    <mergeCell ref="B34:B36"/>
    <mergeCell ref="C34:D34"/>
    <mergeCell ref="C35:C36"/>
    <mergeCell ref="C29:D29"/>
    <mergeCell ref="C30:C31"/>
    <mergeCell ref="B66:B75"/>
    <mergeCell ref="C66:D66"/>
    <mergeCell ref="C67:C69"/>
    <mergeCell ref="C70:C71"/>
    <mergeCell ref="C72:C73"/>
    <mergeCell ref="C74:C75"/>
    <mergeCell ref="C50:C51"/>
    <mergeCell ref="C52:C53"/>
    <mergeCell ref="B54:B65"/>
    <mergeCell ref="C54:D54"/>
    <mergeCell ref="C62:C63"/>
    <mergeCell ref="C64:C65"/>
    <mergeCell ref="A76:A138"/>
    <mergeCell ref="B76:E76"/>
    <mergeCell ref="B77:B85"/>
    <mergeCell ref="C77:D77"/>
    <mergeCell ref="C78:C79"/>
    <mergeCell ref="C80:C83"/>
    <mergeCell ref="C84:C85"/>
    <mergeCell ref="B86:B89"/>
    <mergeCell ref="C86:D86"/>
    <mergeCell ref="C87:C89"/>
    <mergeCell ref="B90:B96"/>
    <mergeCell ref="C95:C96"/>
    <mergeCell ref="B97:B99"/>
    <mergeCell ref="C97:D97"/>
    <mergeCell ref="C98:C99"/>
    <mergeCell ref="B100:B102"/>
    <mergeCell ref="C90:D90"/>
    <mergeCell ref="C91:C92"/>
    <mergeCell ref="C93:C94"/>
    <mergeCell ref="B114:B128"/>
    <mergeCell ref="C114:D114"/>
    <mergeCell ref="C115:C118"/>
    <mergeCell ref="C119:C120"/>
    <mergeCell ref="C121:C122"/>
    <mergeCell ref="C127:C128"/>
    <mergeCell ref="B129:B133"/>
    <mergeCell ref="C129:D129"/>
    <mergeCell ref="C130:C131"/>
    <mergeCell ref="C132:C133"/>
    <mergeCell ref="C100:D100"/>
    <mergeCell ref="C101:C102"/>
    <mergeCell ref="B103:B113"/>
    <mergeCell ref="C103:D103"/>
    <mergeCell ref="C104:C105"/>
    <mergeCell ref="C106:C107"/>
    <mergeCell ref="C108:C109"/>
    <mergeCell ref="C110:C111"/>
    <mergeCell ref="C112:C113"/>
    <mergeCell ref="C123:C124"/>
    <mergeCell ref="C125:C126"/>
    <mergeCell ref="A139:A337"/>
    <mergeCell ref="B139:E139"/>
    <mergeCell ref="B140:B146"/>
    <mergeCell ref="C140:D140"/>
    <mergeCell ref="C141:C143"/>
    <mergeCell ref="C144:C146"/>
    <mergeCell ref="B147:B151"/>
    <mergeCell ref="C147:D147"/>
    <mergeCell ref="C148:C149"/>
    <mergeCell ref="C150:C151"/>
    <mergeCell ref="B152:B158"/>
    <mergeCell ref="C152:D152"/>
    <mergeCell ref="C153:C154"/>
    <mergeCell ref="C155:C156"/>
    <mergeCell ref="C157:C158"/>
    <mergeCell ref="B159:B164"/>
    <mergeCell ref="C159:D159"/>
    <mergeCell ref="C160:C162"/>
    <mergeCell ref="C163:C164"/>
    <mergeCell ref="B179:B203"/>
    <mergeCell ref="C179:D179"/>
    <mergeCell ref="C180:C181"/>
    <mergeCell ref="C182:C183"/>
    <mergeCell ref="C184:C185"/>
    <mergeCell ref="B134:B138"/>
    <mergeCell ref="C134:D134"/>
    <mergeCell ref="C135:C136"/>
    <mergeCell ref="C137:C138"/>
    <mergeCell ref="B173:B175"/>
    <mergeCell ref="C173:D173"/>
    <mergeCell ref="C174:C175"/>
    <mergeCell ref="B176:B178"/>
    <mergeCell ref="C176:D176"/>
    <mergeCell ref="C177:C178"/>
    <mergeCell ref="B165:B169"/>
    <mergeCell ref="C165:D165"/>
    <mergeCell ref="C166:C167"/>
    <mergeCell ref="C168:C169"/>
    <mergeCell ref="B170:B172"/>
    <mergeCell ref="C170:D170"/>
    <mergeCell ref="C171:C172"/>
    <mergeCell ref="C186:C187"/>
    <mergeCell ref="C188:C189"/>
    <mergeCell ref="C190:C191"/>
    <mergeCell ref="C192:C194"/>
    <mergeCell ref="C195:C197"/>
    <mergeCell ref="C198:C203"/>
    <mergeCell ref="B244:B262"/>
    <mergeCell ref="C244:D244"/>
    <mergeCell ref="C245:C246"/>
    <mergeCell ref="C247:C249"/>
    <mergeCell ref="C250:C251"/>
    <mergeCell ref="C252:C254"/>
    <mergeCell ref="C255:C257"/>
    <mergeCell ref="C258:C262"/>
    <mergeCell ref="B204:B243"/>
    <mergeCell ref="C204:D204"/>
    <mergeCell ref="C205:C206"/>
    <mergeCell ref="C207:C208"/>
    <mergeCell ref="C209:C210"/>
    <mergeCell ref="C211:C216"/>
    <mergeCell ref="C217:C219"/>
    <mergeCell ref="C220:C221"/>
    <mergeCell ref="C222:C223"/>
    <mergeCell ref="C224:C225"/>
    <mergeCell ref="C226:C229"/>
    <mergeCell ref="C230:C231"/>
    <mergeCell ref="C232:C235"/>
    <mergeCell ref="C236:C243"/>
    <mergeCell ref="B263:B300"/>
    <mergeCell ref="C263:D263"/>
    <mergeCell ref="C264:C268"/>
    <mergeCell ref="C269:C270"/>
    <mergeCell ref="C271:C273"/>
    <mergeCell ref="C274:C277"/>
    <mergeCell ref="C278:C280"/>
    <mergeCell ref="C281:C282"/>
    <mergeCell ref="C283:C285"/>
    <mergeCell ref="C286:C287"/>
    <mergeCell ref="C288:C292"/>
    <mergeCell ref="C293:C294"/>
    <mergeCell ref="C295:C300"/>
    <mergeCell ref="C383:C384"/>
    <mergeCell ref="C385:C386"/>
    <mergeCell ref="C387:C388"/>
    <mergeCell ref="C389:C391"/>
    <mergeCell ref="B301:B324"/>
    <mergeCell ref="C301:D301"/>
    <mergeCell ref="C302:C307"/>
    <mergeCell ref="C308:C309"/>
    <mergeCell ref="C310:C311"/>
    <mergeCell ref="C312:C313"/>
    <mergeCell ref="C314:C316"/>
    <mergeCell ref="C317:C319"/>
    <mergeCell ref="C320:C321"/>
    <mergeCell ref="C322:C324"/>
    <mergeCell ref="C374:D374"/>
    <mergeCell ref="C375:C380"/>
    <mergeCell ref="C381:C382"/>
    <mergeCell ref="B325:B337"/>
    <mergeCell ref="C325:D325"/>
    <mergeCell ref="C326:C327"/>
    <mergeCell ref="C328:C329"/>
    <mergeCell ref="C330:C331"/>
    <mergeCell ref="C332:C333"/>
    <mergeCell ref="C334:C337"/>
    <mergeCell ref="C350:C351"/>
    <mergeCell ref="C352:C353"/>
    <mergeCell ref="C354:C355"/>
    <mergeCell ref="C356:C359"/>
    <mergeCell ref="C360:C364"/>
    <mergeCell ref="C365:C366"/>
    <mergeCell ref="B367:B370"/>
    <mergeCell ref="C367:D367"/>
    <mergeCell ref="C368:C370"/>
    <mergeCell ref="C392:C393"/>
    <mergeCell ref="C394:C395"/>
    <mergeCell ref="H400:J400"/>
    <mergeCell ref="H407:J407"/>
    <mergeCell ref="F400:G400"/>
    <mergeCell ref="F407:G407"/>
    <mergeCell ref="A400:E400"/>
    <mergeCell ref="H399:J399"/>
    <mergeCell ref="F399:G399"/>
    <mergeCell ref="A399:E399"/>
    <mergeCell ref="A398:E398"/>
    <mergeCell ref="H397:J398"/>
    <mergeCell ref="A338:A395"/>
    <mergeCell ref="B338:E338"/>
    <mergeCell ref="B339:B366"/>
    <mergeCell ref="C339:D339"/>
    <mergeCell ref="C340:C341"/>
    <mergeCell ref="C342:C343"/>
    <mergeCell ref="C344:C347"/>
    <mergeCell ref="C348:C349"/>
    <mergeCell ref="B371:B373"/>
    <mergeCell ref="C371:D371"/>
    <mergeCell ref="C372:C373"/>
    <mergeCell ref="B374:B395"/>
  </mergeCells>
  <pageMargins left="0.75" right="0.5" top="0.75" bottom="0.5" header="0.31496062992126" footer="0.31496062992126"/>
  <pageSetup paperSize="9" scale="90"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L78"/>
  <sheetViews>
    <sheetView workbookViewId="0">
      <selection activeCell="D23" sqref="D23"/>
    </sheetView>
  </sheetViews>
  <sheetFormatPr defaultColWidth="9.140625" defaultRowHeight="15" x14ac:dyDescent="0.25"/>
  <cols>
    <col min="1" max="1" width="6.28515625" style="546" customWidth="1"/>
    <col min="2" max="2" width="39.7109375" style="546" customWidth="1"/>
    <col min="3" max="3" width="15.28515625" style="549" customWidth="1"/>
    <col min="4" max="4" width="18.7109375" style="1039" customWidth="1"/>
    <col min="5" max="5" width="10.7109375" style="549" customWidth="1"/>
    <col min="6" max="6" width="8.140625" style="549" customWidth="1"/>
    <col min="7" max="7" width="25.28515625" style="546" customWidth="1"/>
    <col min="8" max="8" width="19.28515625" style="546" customWidth="1"/>
    <col min="9" max="9" width="16.28515625" style="546" bestFit="1" customWidth="1"/>
    <col min="10" max="10" width="30.7109375" style="547" customWidth="1"/>
    <col min="11" max="11" width="9.140625" style="546"/>
    <col min="12" max="12" width="18.28515625" style="549" customWidth="1"/>
    <col min="13" max="16384" width="9.140625" style="546"/>
  </cols>
  <sheetData>
    <row r="1" spans="1:12" ht="15.75" x14ac:dyDescent="0.25">
      <c r="A1" s="545">
        <f>'B62-342'!A1</f>
        <v>0</v>
      </c>
      <c r="D1" s="4000" t="s">
        <v>1714</v>
      </c>
      <c r="E1" s="4000"/>
      <c r="F1" s="4000"/>
    </row>
    <row r="2" spans="1:12" ht="15.75" x14ac:dyDescent="0.25">
      <c r="A2" s="545"/>
      <c r="E2" s="614"/>
      <c r="F2" s="614"/>
    </row>
    <row r="3" spans="1:12" ht="15.75" x14ac:dyDescent="0.25">
      <c r="A3" s="3998" t="s">
        <v>2211</v>
      </c>
      <c r="B3" s="3998"/>
      <c r="C3" s="3998"/>
      <c r="D3" s="3998"/>
      <c r="E3" s="3998"/>
      <c r="F3" s="3998"/>
    </row>
    <row r="4" spans="1:12" ht="22.5" customHeight="1" x14ac:dyDescent="0.25">
      <c r="A4" s="3997" t="s">
        <v>2212</v>
      </c>
      <c r="B4" s="3997"/>
      <c r="C4" s="3997"/>
      <c r="D4" s="3997"/>
      <c r="E4" s="3997"/>
      <c r="F4" s="3997"/>
    </row>
    <row r="5" spans="1:12" ht="15.75" x14ac:dyDescent="0.25">
      <c r="F5" s="550" t="s">
        <v>843</v>
      </c>
    </row>
    <row r="6" spans="1:12" ht="15.75" x14ac:dyDescent="0.25">
      <c r="A6" s="4001" t="s">
        <v>844</v>
      </c>
      <c r="B6" s="4001" t="s">
        <v>12</v>
      </c>
      <c r="C6" s="4002" t="s">
        <v>846</v>
      </c>
      <c r="D6" s="4003" t="s">
        <v>13</v>
      </c>
      <c r="E6" s="4002" t="s">
        <v>14</v>
      </c>
      <c r="F6" s="4002"/>
    </row>
    <row r="7" spans="1:12" ht="31.5" x14ac:dyDescent="0.25">
      <c r="A7" s="4001"/>
      <c r="B7" s="4001"/>
      <c r="C7" s="4002"/>
      <c r="D7" s="4003"/>
      <c r="E7" s="552" t="s">
        <v>15</v>
      </c>
      <c r="F7" s="552" t="s">
        <v>16</v>
      </c>
    </row>
    <row r="8" spans="1:12" ht="15.75" x14ac:dyDescent="0.25">
      <c r="A8" s="551" t="s">
        <v>847</v>
      </c>
      <c r="B8" s="551" t="s">
        <v>848</v>
      </c>
      <c r="C8" s="552">
        <v>1</v>
      </c>
      <c r="D8" s="552">
        <v>2</v>
      </c>
      <c r="E8" s="552" t="s">
        <v>154</v>
      </c>
      <c r="F8" s="552" t="s">
        <v>17</v>
      </c>
    </row>
    <row r="9" spans="1:12" s="562" customFormat="1" ht="15.75" x14ac:dyDescent="0.2">
      <c r="A9" s="553" t="s">
        <v>847</v>
      </c>
      <c r="B9" s="554" t="s">
        <v>18</v>
      </c>
      <c r="C9" s="611">
        <f>C10+C13+C16+C17+C18+C19</f>
        <v>445701</v>
      </c>
      <c r="D9" s="1047">
        <f>D10+D13+D16+D17+D18+D19</f>
        <v>526798.98553199996</v>
      </c>
      <c r="E9" s="611">
        <f>E10+E11</f>
        <v>69573.946003000005</v>
      </c>
      <c r="F9" s="611">
        <f>D9/C9*100</f>
        <v>118.19560322548075</v>
      </c>
      <c r="G9" s="728"/>
      <c r="J9" s="563"/>
      <c r="L9" s="564"/>
    </row>
    <row r="10" spans="1:12" ht="15.75" x14ac:dyDescent="0.25">
      <c r="A10" s="555" t="s">
        <v>849</v>
      </c>
      <c r="B10" s="556" t="s">
        <v>926</v>
      </c>
      <c r="C10" s="558">
        <v>107424</v>
      </c>
      <c r="D10" s="557">
        <f>D11+D12</f>
        <v>104472.449955</v>
      </c>
      <c r="E10" s="558">
        <f>D10-C10</f>
        <v>-2951.5500449999963</v>
      </c>
      <c r="F10" s="558">
        <f>D10/C10*100</f>
        <v>97.252429582774795</v>
      </c>
      <c r="G10" s="669"/>
    </row>
    <row r="11" spans="1:12" ht="15.75" x14ac:dyDescent="0.25">
      <c r="A11" s="559" t="s">
        <v>882</v>
      </c>
      <c r="B11" s="560" t="s">
        <v>19</v>
      </c>
      <c r="C11" s="558"/>
      <c r="D11" s="693">
        <v>72525.496048000001</v>
      </c>
      <c r="E11" s="558">
        <f>D11-C11</f>
        <v>72525.496048000001</v>
      </c>
      <c r="F11" s="558"/>
      <c r="G11" s="669"/>
      <c r="J11" s="566"/>
    </row>
    <row r="12" spans="1:12" ht="31.5" x14ac:dyDescent="0.25">
      <c r="A12" s="559" t="s">
        <v>882</v>
      </c>
      <c r="B12" s="560" t="s">
        <v>20</v>
      </c>
      <c r="C12" s="558"/>
      <c r="D12" s="693">
        <v>31946.953906999999</v>
      </c>
      <c r="E12" s="558">
        <f>D12-C12</f>
        <v>31946.953906999999</v>
      </c>
      <c r="F12" s="558"/>
      <c r="G12" s="669"/>
    </row>
    <row r="13" spans="1:12" ht="15.75" x14ac:dyDescent="0.25">
      <c r="A13" s="555" t="s">
        <v>866</v>
      </c>
      <c r="B13" s="556" t="s">
        <v>21</v>
      </c>
      <c r="C13" s="565">
        <f>C14+C15</f>
        <v>338277</v>
      </c>
      <c r="D13" s="1040">
        <f>D14+D15</f>
        <v>371442.23531999998</v>
      </c>
      <c r="E13" s="558">
        <f>E14+E15</f>
        <v>33165.235320000007</v>
      </c>
      <c r="F13" s="558">
        <f>D13/C13*100</f>
        <v>109.80416502452132</v>
      </c>
      <c r="G13" s="549">
        <v>371442235320</v>
      </c>
    </row>
    <row r="14" spans="1:12" ht="15.75" x14ac:dyDescent="0.25">
      <c r="A14" s="559">
        <v>1</v>
      </c>
      <c r="B14" s="560" t="s">
        <v>919</v>
      </c>
      <c r="C14" s="558">
        <f>197794+30228</f>
        <v>228022</v>
      </c>
      <c r="D14" s="693">
        <v>227017.63099999999</v>
      </c>
      <c r="E14" s="558">
        <f>D14-C14</f>
        <v>-1004.3690000000061</v>
      </c>
      <c r="F14" s="558">
        <f>D14/C14*100</f>
        <v>99.559529782214</v>
      </c>
      <c r="G14" s="549"/>
      <c r="J14" s="548"/>
    </row>
    <row r="15" spans="1:12" ht="15.75" x14ac:dyDescent="0.25">
      <c r="A15" s="559">
        <v>2</v>
      </c>
      <c r="B15" s="560" t="s">
        <v>920</v>
      </c>
      <c r="C15" s="558">
        <v>110255</v>
      </c>
      <c r="D15" s="693">
        <f>144663.824943-239.220623</f>
        <v>144424.60432000001</v>
      </c>
      <c r="E15" s="558">
        <f t="shared" ref="E15:E49" si="0">D15-C15</f>
        <v>34169.604320000013</v>
      </c>
      <c r="F15" s="558">
        <f>D15/C15*100</f>
        <v>130.99143287832754</v>
      </c>
      <c r="G15" s="549">
        <f>249220623-10000000</f>
        <v>239220623</v>
      </c>
    </row>
    <row r="16" spans="1:12" s="562" customFormat="1" ht="15.75" x14ac:dyDescent="0.2">
      <c r="A16" s="555" t="s">
        <v>872</v>
      </c>
      <c r="B16" s="556" t="s">
        <v>561</v>
      </c>
      <c r="C16" s="565"/>
      <c r="D16" s="693">
        <v>7099.4510019999998</v>
      </c>
      <c r="E16" s="558">
        <f t="shared" si="0"/>
        <v>7099.4510019999998</v>
      </c>
      <c r="F16" s="558"/>
      <c r="G16" s="564"/>
      <c r="J16" s="563"/>
      <c r="L16" s="564"/>
    </row>
    <row r="17" spans="1:12" ht="15.75" x14ac:dyDescent="0.25">
      <c r="A17" s="555" t="s">
        <v>873</v>
      </c>
      <c r="B17" s="556" t="s">
        <v>921</v>
      </c>
      <c r="C17" s="558"/>
      <c r="D17" s="693">
        <v>25518.813079</v>
      </c>
      <c r="E17" s="558">
        <f t="shared" si="0"/>
        <v>25518.813079</v>
      </c>
      <c r="F17" s="558"/>
      <c r="G17" s="549">
        <v>705423516092</v>
      </c>
    </row>
    <row r="18" spans="1:12" ht="31.5" x14ac:dyDescent="0.25">
      <c r="A18" s="555" t="s">
        <v>877</v>
      </c>
      <c r="B18" s="556" t="s">
        <v>922</v>
      </c>
      <c r="C18" s="558"/>
      <c r="D18" s="693">
        <v>18266.036176000001</v>
      </c>
      <c r="E18" s="558">
        <f t="shared" si="0"/>
        <v>18266.036176000001</v>
      </c>
      <c r="F18" s="558"/>
      <c r="G18" s="549">
        <v>178385309937</v>
      </c>
    </row>
    <row r="19" spans="1:12" ht="15.75" x14ac:dyDescent="0.25">
      <c r="A19" s="555" t="s">
        <v>909</v>
      </c>
      <c r="B19" s="556" t="s">
        <v>984</v>
      </c>
      <c r="C19" s="558"/>
      <c r="D19" s="693"/>
      <c r="E19" s="558">
        <f t="shared" si="0"/>
        <v>0</v>
      </c>
      <c r="F19" s="558"/>
      <c r="G19" s="549">
        <f>G17-G18-G15</f>
        <v>526798985532</v>
      </c>
    </row>
    <row r="20" spans="1:12" s="562" customFormat="1" ht="15.75" x14ac:dyDescent="0.2">
      <c r="A20" s="555" t="s">
        <v>848</v>
      </c>
      <c r="B20" s="556" t="s">
        <v>1473</v>
      </c>
      <c r="C20" s="565">
        <f>C21+C28</f>
        <v>499402.80178700003</v>
      </c>
      <c r="D20" s="1040">
        <f>D21+D28+D50</f>
        <v>517802.94020700001</v>
      </c>
      <c r="E20" s="558">
        <f t="shared" si="0"/>
        <v>18400.138419999974</v>
      </c>
      <c r="F20" s="558">
        <f>D20/C20*100</f>
        <v>103.68442835205553</v>
      </c>
      <c r="G20" s="564"/>
      <c r="J20" s="563"/>
      <c r="L20" s="564"/>
    </row>
    <row r="21" spans="1:12" ht="15.75" x14ac:dyDescent="0.25">
      <c r="A21" s="555" t="s">
        <v>849</v>
      </c>
      <c r="B21" s="556" t="s">
        <v>22</v>
      </c>
      <c r="C21" s="565">
        <f>C22+C23+C25</f>
        <v>360667</v>
      </c>
      <c r="D21" s="1040">
        <f>D22+D23+D27</f>
        <v>355786.997149</v>
      </c>
      <c r="E21" s="558">
        <f t="shared" si="0"/>
        <v>-4880.0028509999975</v>
      </c>
      <c r="F21" s="558">
        <f>D21/C21*100</f>
        <v>98.646950552448658</v>
      </c>
      <c r="G21" s="729"/>
      <c r="H21" s="549"/>
      <c r="I21" s="669"/>
      <c r="J21" s="549"/>
    </row>
    <row r="22" spans="1:12" ht="15.75" x14ac:dyDescent="0.25">
      <c r="A22" s="559">
        <v>1</v>
      </c>
      <c r="B22" s="560" t="s">
        <v>884</v>
      </c>
      <c r="C22" s="558">
        <v>29069</v>
      </c>
      <c r="D22" s="693">
        <v>23347.887909000001</v>
      </c>
      <c r="E22" s="558">
        <f t="shared" si="0"/>
        <v>-5721.1120909999991</v>
      </c>
      <c r="F22" s="558">
        <f>D22/C22*100</f>
        <v>80.318854824727381</v>
      </c>
      <c r="G22" s="548"/>
      <c r="J22" s="549"/>
    </row>
    <row r="23" spans="1:12" ht="15.75" x14ac:dyDescent="0.25">
      <c r="A23" s="559">
        <v>2</v>
      </c>
      <c r="B23" s="560" t="s">
        <v>885</v>
      </c>
      <c r="C23" s="558">
        <v>324263</v>
      </c>
      <c r="D23" s="693">
        <v>313517.23698300001</v>
      </c>
      <c r="E23" s="558">
        <f t="shared" si="0"/>
        <v>-10745.76301699999</v>
      </c>
      <c r="F23" s="558">
        <f>D23/C23*100</f>
        <v>96.686096465831753</v>
      </c>
      <c r="G23" s="1050">
        <v>236509963547</v>
      </c>
      <c r="H23" s="549">
        <v>499275581987</v>
      </c>
      <c r="J23" s="548"/>
    </row>
    <row r="24" spans="1:12" ht="31.5" x14ac:dyDescent="0.25">
      <c r="A24" s="559">
        <v>3</v>
      </c>
      <c r="B24" s="560" t="s">
        <v>23</v>
      </c>
      <c r="C24" s="558"/>
      <c r="D24" s="693"/>
      <c r="E24" s="558">
        <f t="shared" si="0"/>
        <v>0</v>
      </c>
      <c r="F24" s="558"/>
      <c r="G24" s="549">
        <f>116123725913</f>
        <v>116123725913</v>
      </c>
      <c r="H24" s="549">
        <v>190549755647</v>
      </c>
      <c r="I24" s="669"/>
      <c r="K24" s="593"/>
    </row>
    <row r="25" spans="1:12" ht="15.75" x14ac:dyDescent="0.25">
      <c r="A25" s="559">
        <v>4</v>
      </c>
      <c r="B25" s="560" t="s">
        <v>924</v>
      </c>
      <c r="C25" s="558">
        <v>7335</v>
      </c>
      <c r="D25" s="693"/>
      <c r="E25" s="558">
        <f t="shared" si="0"/>
        <v>-7335</v>
      </c>
      <c r="F25" s="558">
        <f t="shared" ref="F25:F49" si="1">D25/C25*100</f>
        <v>0</v>
      </c>
      <c r="H25" s="549">
        <f>SUM(H23:H24)</f>
        <v>689825337634</v>
      </c>
      <c r="J25" s="566"/>
    </row>
    <row r="26" spans="1:12" ht="15.75" x14ac:dyDescent="0.25">
      <c r="A26" s="559">
        <v>5</v>
      </c>
      <c r="B26" s="560" t="s">
        <v>24</v>
      </c>
      <c r="C26" s="558"/>
      <c r="D26" s="693"/>
      <c r="E26" s="558">
        <f t="shared" si="0"/>
        <v>0</v>
      </c>
      <c r="F26" s="558"/>
      <c r="G26" s="1050">
        <f>SUM(G23:G25)</f>
        <v>352633689460</v>
      </c>
      <c r="H26" s="549">
        <v>178385309937</v>
      </c>
      <c r="J26" s="549"/>
    </row>
    <row r="27" spans="1:12" ht="15.75" x14ac:dyDescent="0.25">
      <c r="A27" s="559">
        <v>6</v>
      </c>
      <c r="B27" s="560" t="s">
        <v>562</v>
      </c>
      <c r="C27" s="558"/>
      <c r="D27" s="693">
        <v>18921.872256999999</v>
      </c>
      <c r="E27" s="558">
        <f t="shared" si="0"/>
        <v>18921.872256999999</v>
      </c>
      <c r="F27" s="558"/>
      <c r="H27" s="729">
        <f>H25-H26</f>
        <v>511440027697</v>
      </c>
    </row>
    <row r="28" spans="1:12" ht="15.75" x14ac:dyDescent="0.25">
      <c r="A28" s="555" t="s">
        <v>866</v>
      </c>
      <c r="B28" s="556" t="s">
        <v>1811</v>
      </c>
      <c r="C28" s="565">
        <f>C29+C37+C49</f>
        <v>138735.801787</v>
      </c>
      <c r="D28" s="1040">
        <f>D29+D37+D49</f>
        <v>122884.09167200001</v>
      </c>
      <c r="E28" s="558">
        <f>E29+E37</f>
        <v>-14767.392861999997</v>
      </c>
      <c r="F28" s="558">
        <f t="shared" si="1"/>
        <v>88.57417486270991</v>
      </c>
      <c r="H28" s="548">
        <f>D32</f>
        <v>10940.100257</v>
      </c>
      <c r="J28" s="613"/>
    </row>
    <row r="29" spans="1:12" s="562" customFormat="1" ht="15.75" x14ac:dyDescent="0.2">
      <c r="A29" s="555">
        <v>1</v>
      </c>
      <c r="B29" s="556" t="s">
        <v>26</v>
      </c>
      <c r="C29" s="565">
        <f>C30+C33</f>
        <v>106129.492436</v>
      </c>
      <c r="D29" s="1040">
        <f>D30+D33</f>
        <v>91416.148394000003</v>
      </c>
      <c r="E29" s="565">
        <f t="shared" si="0"/>
        <v>-14713.344041999997</v>
      </c>
      <c r="F29" s="565">
        <f t="shared" si="1"/>
        <v>86.136422869568804</v>
      </c>
      <c r="H29" s="695">
        <f>D35</f>
        <v>4596.0014520000004</v>
      </c>
      <c r="J29" s="563"/>
      <c r="L29" s="564"/>
    </row>
    <row r="30" spans="1:12" ht="18.75" x14ac:dyDescent="0.3">
      <c r="A30" s="559" t="s">
        <v>851</v>
      </c>
      <c r="B30" s="560" t="s">
        <v>1701</v>
      </c>
      <c r="C30" s="558">
        <f>C31+C32</f>
        <v>85158.811603000009</v>
      </c>
      <c r="D30" s="693">
        <f>D31+D32</f>
        <v>73195.762058000008</v>
      </c>
      <c r="E30" s="558">
        <f t="shared" si="0"/>
        <v>-11963.049545000002</v>
      </c>
      <c r="F30" s="558">
        <f t="shared" si="1"/>
        <v>85.952070819435249</v>
      </c>
      <c r="G30" s="712"/>
      <c r="H30" s="1049"/>
      <c r="J30" s="582"/>
    </row>
    <row r="31" spans="1:12" s="569" customFormat="1" ht="15.75" x14ac:dyDescent="0.25">
      <c r="A31" s="567"/>
      <c r="B31" s="568" t="s">
        <v>707</v>
      </c>
      <c r="C31" s="713">
        <v>71605.049465000004</v>
      </c>
      <c r="D31" s="1041">
        <v>62255.661801000002</v>
      </c>
      <c r="E31" s="558">
        <f t="shared" si="0"/>
        <v>-9349.3876640000017</v>
      </c>
      <c r="F31" s="558">
        <f t="shared" si="1"/>
        <v>86.943116813891862</v>
      </c>
      <c r="H31" s="1051"/>
      <c r="J31" s="570"/>
      <c r="L31" s="571"/>
    </row>
    <row r="32" spans="1:12" s="569" customFormat="1" ht="15.75" x14ac:dyDescent="0.25">
      <c r="A32" s="567"/>
      <c r="B32" s="568" t="s">
        <v>1732</v>
      </c>
      <c r="C32" s="713">
        <v>13553.762138</v>
      </c>
      <c r="D32" s="1042">
        <v>10940.100257</v>
      </c>
      <c r="E32" s="558">
        <f t="shared" si="0"/>
        <v>-2613.661881</v>
      </c>
      <c r="F32" s="558">
        <f t="shared" si="1"/>
        <v>80.71633650946103</v>
      </c>
      <c r="H32" s="1051"/>
      <c r="J32" s="570"/>
      <c r="L32" s="571"/>
    </row>
    <row r="33" spans="1:12" ht="15.75" x14ac:dyDescent="0.25">
      <c r="A33" s="559" t="s">
        <v>897</v>
      </c>
      <c r="B33" s="560" t="s">
        <v>1702</v>
      </c>
      <c r="C33" s="558">
        <f>C34+C35</f>
        <v>20970.680832999999</v>
      </c>
      <c r="D33" s="693">
        <f>D34+D35+D36</f>
        <v>18220.386336</v>
      </c>
      <c r="E33" s="558">
        <f t="shared" si="0"/>
        <v>-2750.294496999999</v>
      </c>
      <c r="F33" s="558"/>
      <c r="H33" s="1049">
        <f>D49</f>
        <v>23580.350768</v>
      </c>
    </row>
    <row r="34" spans="1:12" ht="15.75" x14ac:dyDescent="0.25">
      <c r="A34" s="559"/>
      <c r="B34" s="568" t="s">
        <v>1470</v>
      </c>
      <c r="C34" s="558">
        <v>15973.444833</v>
      </c>
      <c r="D34" s="1048">
        <v>13624.384883999999</v>
      </c>
      <c r="E34" s="558">
        <f t="shared" si="0"/>
        <v>-2349.0599490000004</v>
      </c>
      <c r="F34" s="558">
        <f t="shared" si="1"/>
        <v>85.293967747351459</v>
      </c>
      <c r="H34" s="669">
        <f>SUM(H28:H33)</f>
        <v>39116.452476999999</v>
      </c>
      <c r="J34" s="572"/>
    </row>
    <row r="35" spans="1:12" ht="15.75" x14ac:dyDescent="0.25">
      <c r="A35" s="559"/>
      <c r="B35" s="568" t="s">
        <v>1733</v>
      </c>
      <c r="C35" s="558">
        <v>4997.2359999999999</v>
      </c>
      <c r="D35" s="1042">
        <v>4596.0014520000004</v>
      </c>
      <c r="E35" s="558">
        <f t="shared" si="0"/>
        <v>-401.23454799999945</v>
      </c>
      <c r="F35" s="558">
        <f t="shared" si="1"/>
        <v>91.970870537232997</v>
      </c>
      <c r="G35" s="669"/>
      <c r="H35" s="547">
        <f>G26/1000000-H34</f>
        <v>313517.23698300001</v>
      </c>
    </row>
    <row r="36" spans="1:12" ht="15.75" x14ac:dyDescent="0.25">
      <c r="A36" s="559"/>
      <c r="B36" s="568" t="s">
        <v>1734</v>
      </c>
      <c r="C36" s="558"/>
      <c r="D36" s="1042"/>
      <c r="E36" s="558">
        <f t="shared" si="0"/>
        <v>0</v>
      </c>
      <c r="F36" s="558"/>
      <c r="H36" s="669"/>
    </row>
    <row r="37" spans="1:12" s="562" customFormat="1" ht="15.75" x14ac:dyDescent="0.2">
      <c r="A37" s="555">
        <v>2</v>
      </c>
      <c r="B37" s="556" t="s">
        <v>25</v>
      </c>
      <c r="C37" s="565">
        <f>C38+C42+C44+C46</f>
        <v>7941.6413299999995</v>
      </c>
      <c r="D37" s="1040">
        <f>D38+D42+D44+D46</f>
        <v>7887.5925100000004</v>
      </c>
      <c r="E37" s="565">
        <f t="shared" si="0"/>
        <v>-54.048819999999068</v>
      </c>
      <c r="F37" s="565">
        <f t="shared" si="1"/>
        <v>99.31942506902412</v>
      </c>
      <c r="J37" s="563"/>
      <c r="L37" s="564"/>
    </row>
    <row r="38" spans="1:12" ht="15.75" x14ac:dyDescent="0.25">
      <c r="A38" s="559" t="s">
        <v>902</v>
      </c>
      <c r="B38" s="560" t="s">
        <v>1703</v>
      </c>
      <c r="C38" s="558">
        <f>C39+C40+C41</f>
        <v>6748.9413299999997</v>
      </c>
      <c r="D38" s="558">
        <f>D39+D40+D41</f>
        <v>6739.8925099999997</v>
      </c>
      <c r="E38" s="558">
        <f t="shared" si="0"/>
        <v>-9.0488199999999779</v>
      </c>
      <c r="F38" s="558">
        <f t="shared" si="1"/>
        <v>99.865922378673275</v>
      </c>
    </row>
    <row r="39" spans="1:12" ht="15.75" x14ac:dyDescent="0.25">
      <c r="A39" s="559"/>
      <c r="B39" s="560" t="s">
        <v>2213</v>
      </c>
      <c r="C39" s="558">
        <v>5385</v>
      </c>
      <c r="D39" s="693">
        <v>5377.2160000000003</v>
      </c>
      <c r="E39" s="558"/>
      <c r="F39" s="558"/>
    </row>
    <row r="40" spans="1:12" ht="15.75" x14ac:dyDescent="0.25">
      <c r="A40" s="559"/>
      <c r="B40" s="560" t="s">
        <v>1611</v>
      </c>
      <c r="C40" s="558">
        <v>377</v>
      </c>
      <c r="D40" s="693">
        <v>375.73518000000001</v>
      </c>
      <c r="E40" s="558"/>
      <c r="F40" s="558"/>
    </row>
    <row r="41" spans="1:12" ht="15.75" x14ac:dyDescent="0.25">
      <c r="A41" s="559"/>
      <c r="B41" s="560" t="s">
        <v>1719</v>
      </c>
      <c r="C41" s="558">
        <v>986.94132999999999</v>
      </c>
      <c r="D41" s="693">
        <v>986.94132999999999</v>
      </c>
      <c r="E41" s="558"/>
      <c r="F41" s="558"/>
    </row>
    <row r="42" spans="1:12" ht="47.25" x14ac:dyDescent="0.25">
      <c r="A42" s="559" t="s">
        <v>903</v>
      </c>
      <c r="B42" s="560" t="s">
        <v>1704</v>
      </c>
      <c r="C42" s="558">
        <f>C43</f>
        <v>90</v>
      </c>
      <c r="D42" s="693">
        <f>D43</f>
        <v>90</v>
      </c>
      <c r="E42" s="558">
        <f t="shared" si="0"/>
        <v>0</v>
      </c>
      <c r="F42" s="558">
        <f t="shared" si="1"/>
        <v>100</v>
      </c>
      <c r="G42" s="548">
        <f>C38+C42+C44</f>
        <v>6927.9413299999997</v>
      </c>
    </row>
    <row r="43" spans="1:12" ht="15.75" x14ac:dyDescent="0.25">
      <c r="A43" s="559"/>
      <c r="B43" s="560" t="s">
        <v>1096</v>
      </c>
      <c r="C43" s="558">
        <v>90</v>
      </c>
      <c r="D43" s="693">
        <v>90</v>
      </c>
      <c r="E43" s="558">
        <f t="shared" si="0"/>
        <v>0</v>
      </c>
      <c r="F43" s="558">
        <f t="shared" si="1"/>
        <v>100</v>
      </c>
    </row>
    <row r="44" spans="1:12" ht="31.5" x14ac:dyDescent="0.25">
      <c r="A44" s="559" t="s">
        <v>910</v>
      </c>
      <c r="B44" s="560" t="s">
        <v>1705</v>
      </c>
      <c r="C44" s="558">
        <f>C45</f>
        <v>89</v>
      </c>
      <c r="D44" s="693">
        <f>D45</f>
        <v>83.02</v>
      </c>
      <c r="E44" s="558">
        <f t="shared" si="0"/>
        <v>-5.980000000000004</v>
      </c>
      <c r="F44" s="558">
        <f t="shared" si="1"/>
        <v>93.280898876404493</v>
      </c>
      <c r="G44" s="727"/>
    </row>
    <row r="45" spans="1:12" ht="15.75" x14ac:dyDescent="0.25">
      <c r="A45" s="559"/>
      <c r="B45" s="560" t="s">
        <v>1706</v>
      </c>
      <c r="C45" s="558">
        <v>89</v>
      </c>
      <c r="D45" s="693">
        <v>83.02</v>
      </c>
      <c r="E45" s="558">
        <f t="shared" si="0"/>
        <v>-5.980000000000004</v>
      </c>
      <c r="F45" s="558">
        <f t="shared" si="1"/>
        <v>93.280898876404493</v>
      </c>
    </row>
    <row r="46" spans="1:12" ht="15.75" x14ac:dyDescent="0.25">
      <c r="A46" s="559">
        <v>3</v>
      </c>
      <c r="B46" s="560" t="s">
        <v>1708</v>
      </c>
      <c r="C46" s="558">
        <f>C47+C48</f>
        <v>1013.7</v>
      </c>
      <c r="D46" s="693">
        <f>SUM(D47:D48)</f>
        <v>974.68</v>
      </c>
      <c r="E46" s="558">
        <f t="shared" si="0"/>
        <v>-39.020000000000095</v>
      </c>
      <c r="F46" s="558">
        <f t="shared" si="1"/>
        <v>96.150734931439274</v>
      </c>
    </row>
    <row r="47" spans="1:12" ht="15.75" x14ac:dyDescent="0.25">
      <c r="A47" s="559" t="s">
        <v>174</v>
      </c>
      <c r="B47" s="560" t="s">
        <v>2214</v>
      </c>
      <c r="C47" s="558">
        <v>1013.7</v>
      </c>
      <c r="D47" s="693">
        <v>974.68</v>
      </c>
      <c r="E47" s="558">
        <f t="shared" si="0"/>
        <v>-39.020000000000095</v>
      </c>
      <c r="F47" s="558">
        <f t="shared" si="1"/>
        <v>96.150734931439274</v>
      </c>
    </row>
    <row r="48" spans="1:12" ht="15.75" hidden="1" x14ac:dyDescent="0.25">
      <c r="A48" s="559"/>
      <c r="B48" s="560" t="s">
        <v>1471</v>
      </c>
      <c r="C48" s="558"/>
      <c r="D48" s="693"/>
      <c r="E48" s="558">
        <f t="shared" si="0"/>
        <v>0</v>
      </c>
      <c r="F48" s="558"/>
    </row>
    <row r="49" spans="1:7" ht="15.75" x14ac:dyDescent="0.25">
      <c r="A49" s="559" t="s">
        <v>796</v>
      </c>
      <c r="B49" s="560" t="s">
        <v>1708</v>
      </c>
      <c r="C49" s="226">
        <v>24664.668021000001</v>
      </c>
      <c r="D49" s="693">
        <v>23580.350768</v>
      </c>
      <c r="E49" s="558">
        <f t="shared" si="0"/>
        <v>-1084.3172530000011</v>
      </c>
      <c r="F49" s="558">
        <f t="shared" si="1"/>
        <v>95.603763034325894</v>
      </c>
    </row>
    <row r="50" spans="1:7" ht="15.75" x14ac:dyDescent="0.25">
      <c r="A50" s="555" t="s">
        <v>872</v>
      </c>
      <c r="B50" s="556" t="s">
        <v>925</v>
      </c>
      <c r="C50" s="558"/>
      <c r="D50" s="693">
        <v>39131.851386000002</v>
      </c>
      <c r="E50" s="558"/>
      <c r="F50" s="558"/>
    </row>
    <row r="51" spans="1:7" ht="15.75" x14ac:dyDescent="0.25">
      <c r="A51" s="573" t="s">
        <v>904</v>
      </c>
      <c r="B51" s="574" t="s">
        <v>727</v>
      </c>
      <c r="C51" s="576"/>
      <c r="D51" s="1043">
        <f>D9-D20</f>
        <v>8996.0453249999555</v>
      </c>
      <c r="E51" s="576"/>
      <c r="F51" s="576"/>
      <c r="G51" s="726">
        <f>'B60-342'!B22</f>
        <v>0</v>
      </c>
    </row>
    <row r="52" spans="1:7" ht="15.75" x14ac:dyDescent="0.25">
      <c r="A52" s="577"/>
      <c r="B52" s="578"/>
      <c r="C52" s="579"/>
      <c r="D52" s="1044"/>
      <c r="E52" s="579"/>
      <c r="F52" s="579"/>
    </row>
    <row r="53" spans="1:7" ht="15.75" x14ac:dyDescent="0.25">
      <c r="C53" s="3997" t="s">
        <v>2161</v>
      </c>
      <c r="D53" s="3997"/>
      <c r="E53" s="3997"/>
      <c r="F53" s="714"/>
    </row>
    <row r="54" spans="1:7" ht="15.75" x14ac:dyDescent="0.25">
      <c r="B54" s="915" t="s">
        <v>2173</v>
      </c>
      <c r="C54" s="3998" t="s">
        <v>638</v>
      </c>
      <c r="D54" s="3998"/>
      <c r="E54" s="3998"/>
      <c r="F54" s="715"/>
    </row>
    <row r="55" spans="1:7" ht="15.75" x14ac:dyDescent="0.25">
      <c r="B55" s="915" t="s">
        <v>807</v>
      </c>
      <c r="C55" s="3998" t="s">
        <v>639</v>
      </c>
      <c r="D55" s="3998"/>
      <c r="E55" s="3998"/>
      <c r="F55" s="715"/>
    </row>
    <row r="56" spans="1:7" ht="15.75" x14ac:dyDescent="0.25">
      <c r="B56" s="915"/>
      <c r="C56" s="3997"/>
      <c r="D56" s="3997"/>
      <c r="E56" s="3997"/>
      <c r="F56" s="716"/>
    </row>
    <row r="57" spans="1:7" ht="15.75" x14ac:dyDescent="0.25">
      <c r="B57" s="915"/>
      <c r="C57" s="718"/>
      <c r="D57" s="668"/>
      <c r="E57" s="718"/>
    </row>
    <row r="58" spans="1:7" ht="15.75" x14ac:dyDescent="0.25">
      <c r="B58" s="915"/>
      <c r="C58" s="718"/>
      <c r="D58" s="668"/>
      <c r="E58" s="718"/>
    </row>
    <row r="59" spans="1:7" ht="15.75" x14ac:dyDescent="0.25">
      <c r="B59" s="915"/>
      <c r="C59" s="718"/>
      <c r="D59" s="668"/>
      <c r="E59" s="718"/>
    </row>
    <row r="60" spans="1:7" ht="15.75" x14ac:dyDescent="0.25">
      <c r="B60" s="915"/>
      <c r="C60" s="718"/>
      <c r="D60" s="668"/>
      <c r="E60" s="718"/>
    </row>
    <row r="61" spans="1:7" ht="15.75" x14ac:dyDescent="0.25">
      <c r="B61" s="915"/>
      <c r="C61" s="718"/>
      <c r="D61" s="668"/>
      <c r="E61" s="718"/>
    </row>
    <row r="62" spans="1:7" ht="15.75" x14ac:dyDescent="0.25">
      <c r="B62" s="915" t="s">
        <v>808</v>
      </c>
      <c r="C62" s="3999" t="s">
        <v>1731</v>
      </c>
      <c r="D62" s="3999"/>
      <c r="E62" s="3999"/>
    </row>
    <row r="63" spans="1:7" ht="18.75" x14ac:dyDescent="0.3">
      <c r="B63" s="589"/>
      <c r="C63" s="916"/>
      <c r="D63" s="1045"/>
      <c r="E63" s="916"/>
      <c r="F63" s="717"/>
    </row>
    <row r="65" spans="3:12" s="673" customFormat="1" x14ac:dyDescent="0.25">
      <c r="C65" s="675"/>
      <c r="D65" s="1046"/>
      <c r="E65" s="675"/>
      <c r="F65" s="675"/>
      <c r="J65" s="674"/>
      <c r="L65" s="675"/>
    </row>
    <row r="66" spans="3:12" s="673" customFormat="1" x14ac:dyDescent="0.25">
      <c r="C66" s="675"/>
      <c r="D66" s="1046"/>
      <c r="E66" s="675"/>
      <c r="F66" s="675"/>
      <c r="J66" s="674"/>
      <c r="L66" s="675"/>
    </row>
    <row r="67" spans="3:12" s="673" customFormat="1" x14ac:dyDescent="0.25">
      <c r="C67" s="675"/>
      <c r="D67" s="1046"/>
      <c r="E67" s="675"/>
      <c r="F67" s="675"/>
      <c r="J67" s="674"/>
      <c r="L67" s="675"/>
    </row>
    <row r="68" spans="3:12" s="673" customFormat="1" x14ac:dyDescent="0.25">
      <c r="C68" s="675"/>
      <c r="D68" s="1046"/>
      <c r="E68" s="675"/>
      <c r="F68" s="675"/>
      <c r="J68" s="674"/>
      <c r="L68" s="675"/>
    </row>
    <row r="69" spans="3:12" s="673" customFormat="1" x14ac:dyDescent="0.25">
      <c r="C69" s="675"/>
      <c r="D69" s="1046"/>
      <c r="E69" s="675"/>
      <c r="F69" s="675"/>
      <c r="J69" s="674"/>
      <c r="L69" s="675"/>
    </row>
    <row r="70" spans="3:12" s="673" customFormat="1" x14ac:dyDescent="0.25">
      <c r="C70" s="675"/>
      <c r="D70" s="1046"/>
      <c r="E70" s="675"/>
      <c r="F70" s="675"/>
      <c r="J70" s="674"/>
      <c r="L70" s="675"/>
    </row>
    <row r="71" spans="3:12" s="673" customFormat="1" x14ac:dyDescent="0.25">
      <c r="C71" s="675"/>
      <c r="D71" s="1046"/>
      <c r="E71" s="675"/>
      <c r="F71" s="675"/>
      <c r="J71" s="674"/>
      <c r="L71" s="675"/>
    </row>
    <row r="72" spans="3:12" s="673" customFormat="1" x14ac:dyDescent="0.25">
      <c r="C72" s="675"/>
      <c r="D72" s="1046"/>
      <c r="E72" s="675"/>
      <c r="F72" s="675"/>
      <c r="J72" s="674"/>
      <c r="L72" s="675"/>
    </row>
    <row r="73" spans="3:12" s="673" customFormat="1" x14ac:dyDescent="0.25">
      <c r="C73" s="675"/>
      <c r="D73" s="1046"/>
      <c r="E73" s="675"/>
      <c r="F73" s="675"/>
      <c r="J73" s="674"/>
      <c r="L73" s="675"/>
    </row>
    <row r="74" spans="3:12" s="673" customFormat="1" x14ac:dyDescent="0.25">
      <c r="C74" s="675"/>
      <c r="D74" s="1046"/>
      <c r="E74" s="675"/>
      <c r="F74" s="675"/>
      <c r="J74" s="674"/>
      <c r="L74" s="675"/>
    </row>
    <row r="75" spans="3:12" s="673" customFormat="1" x14ac:dyDescent="0.25">
      <c r="C75" s="675"/>
      <c r="D75" s="1046"/>
      <c r="E75" s="675"/>
      <c r="F75" s="675"/>
      <c r="J75" s="674"/>
      <c r="L75" s="675"/>
    </row>
    <row r="76" spans="3:12" s="673" customFormat="1" x14ac:dyDescent="0.25">
      <c r="C76" s="675"/>
      <c r="D76" s="1046"/>
      <c r="E76" s="675"/>
      <c r="F76" s="675"/>
      <c r="J76" s="674"/>
      <c r="L76" s="675"/>
    </row>
    <row r="77" spans="3:12" s="673" customFormat="1" x14ac:dyDescent="0.25">
      <c r="C77" s="675"/>
      <c r="D77" s="1046"/>
      <c r="E77" s="675"/>
      <c r="F77" s="675"/>
      <c r="J77" s="674"/>
      <c r="L77" s="675"/>
    </row>
    <row r="78" spans="3:12" s="673" customFormat="1" x14ac:dyDescent="0.25">
      <c r="C78" s="675"/>
      <c r="D78" s="1046"/>
      <c r="E78" s="675"/>
      <c r="F78" s="675"/>
      <c r="J78" s="674"/>
      <c r="L78" s="675"/>
    </row>
  </sheetData>
  <mergeCells count="13">
    <mergeCell ref="D1:F1"/>
    <mergeCell ref="A3:F3"/>
    <mergeCell ref="A4:F4"/>
    <mergeCell ref="A6:A7"/>
    <mergeCell ref="B6:B7"/>
    <mergeCell ref="C6:C7"/>
    <mergeCell ref="D6:D7"/>
    <mergeCell ref="E6:F6"/>
    <mergeCell ref="C53:E53"/>
    <mergeCell ref="C54:E54"/>
    <mergeCell ref="C55:E55"/>
    <mergeCell ref="C56:E56"/>
    <mergeCell ref="C62:E62"/>
  </mergeCells>
  <pageMargins left="0.95" right="0.2" top="0.75" bottom="0.5" header="0.3" footer="0.3"/>
  <pageSetup paperSize="9" scale="90" firstPageNumber="156" orientation="portrait" useFirstPageNumber="1"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I386"/>
  <sheetViews>
    <sheetView view="pageBreakPreview" zoomScaleSheetLayoutView="100" workbookViewId="0">
      <selection activeCell="O29" sqref="O29"/>
    </sheetView>
  </sheetViews>
  <sheetFormatPr defaultColWidth="9.140625" defaultRowHeight="12.75" x14ac:dyDescent="0.2"/>
  <cols>
    <col min="1" max="1" width="11" style="1365" customWidth="1"/>
    <col min="2" max="2" width="7.5703125" style="1365" customWidth="1"/>
    <col min="3" max="3" width="8.28515625" style="1365" customWidth="1"/>
    <col min="4" max="4" width="12" style="1365" customWidth="1"/>
    <col min="5" max="5" width="16.28515625" style="1365" customWidth="1"/>
    <col min="6" max="6" width="17" style="1365" customWidth="1"/>
    <col min="7" max="7" width="18.42578125" style="1365" customWidth="1"/>
    <col min="8" max="8" width="16" style="1365" customWidth="1"/>
    <col min="9" max="9" width="15.85546875" style="1365" customWidth="1"/>
    <col min="10" max="16384" width="9.140625" style="1365"/>
  </cols>
  <sheetData>
    <row r="1" spans="1:9" s="1362" customFormat="1" ht="31.5" customHeight="1" x14ac:dyDescent="0.25">
      <c r="A1" s="4513" t="s">
        <v>842</v>
      </c>
      <c r="B1" s="4513"/>
      <c r="C1" s="4513"/>
      <c r="D1" s="4513"/>
      <c r="E1" s="1361"/>
      <c r="F1" s="1361"/>
      <c r="G1" s="4513" t="s">
        <v>2555</v>
      </c>
      <c r="H1" s="4513"/>
      <c r="I1" s="4513"/>
    </row>
    <row r="2" spans="1:9" ht="9.75" customHeight="1" x14ac:dyDescent="0.3">
      <c r="A2" s="1363" t="s">
        <v>1815</v>
      </c>
      <c r="B2" s="1364"/>
      <c r="C2" s="1364"/>
      <c r="D2" s="1364"/>
      <c r="E2" s="1364"/>
      <c r="F2" s="1364"/>
      <c r="G2" s="1364"/>
      <c r="H2" s="1364"/>
      <c r="I2" s="1364"/>
    </row>
    <row r="3" spans="1:9" ht="18.75" x14ac:dyDescent="0.2">
      <c r="A3" s="4516" t="s">
        <v>2265</v>
      </c>
      <c r="B3" s="4516"/>
      <c r="C3" s="4516"/>
      <c r="D3" s="4516"/>
      <c r="E3" s="4516"/>
      <c r="F3" s="4516"/>
      <c r="G3" s="4516"/>
      <c r="H3" s="4516"/>
      <c r="I3" s="4516"/>
    </row>
    <row r="4" spans="1:9" ht="15.75" x14ac:dyDescent="0.2">
      <c r="A4" s="4517" t="str">
        <f>'B62-342'!A4:H4</f>
        <v>(Kèm theo Quyết định số         /QĐ-UBND ngày      tháng 4 năm 2026 của UBND xã Phong Quang)</v>
      </c>
      <c r="B4" s="4517"/>
      <c r="C4" s="4517"/>
      <c r="D4" s="4517"/>
      <c r="E4" s="4517"/>
      <c r="F4" s="4517"/>
      <c r="G4" s="4517"/>
      <c r="H4" s="4517"/>
      <c r="I4" s="4517"/>
    </row>
    <row r="5" spans="1:9" ht="9.75" customHeight="1" x14ac:dyDescent="0.3">
      <c r="A5" s="1363" t="s">
        <v>1815</v>
      </c>
      <c r="B5" s="1364"/>
      <c r="C5" s="1364"/>
      <c r="D5" s="1364"/>
      <c r="E5" s="1364"/>
      <c r="F5" s="1364"/>
      <c r="G5" s="1364"/>
      <c r="H5" s="1364"/>
      <c r="I5" s="1364"/>
    </row>
    <row r="6" spans="1:9" x14ac:dyDescent="0.2">
      <c r="A6" s="4514" t="s">
        <v>192</v>
      </c>
      <c r="B6" s="4514"/>
      <c r="C6" s="4514"/>
      <c r="D6" s="4514"/>
      <c r="E6" s="4514"/>
      <c r="F6" s="4514"/>
      <c r="G6" s="4514"/>
      <c r="H6" s="4514"/>
      <c r="I6" s="4514"/>
    </row>
    <row r="7" spans="1:9" x14ac:dyDescent="0.2">
      <c r="A7" s="1366" t="s">
        <v>1815</v>
      </c>
    </row>
    <row r="8" spans="1:9" ht="26.25" customHeight="1" x14ac:dyDescent="0.2">
      <c r="A8" s="1367" t="s">
        <v>2556</v>
      </c>
      <c r="B8" s="1367" t="s">
        <v>2557</v>
      </c>
      <c r="C8" s="1367" t="s">
        <v>495</v>
      </c>
      <c r="D8" s="1367" t="s">
        <v>496</v>
      </c>
      <c r="E8" s="1368" t="s">
        <v>497</v>
      </c>
      <c r="F8" s="1368" t="s">
        <v>916</v>
      </c>
      <c r="G8" s="1368" t="s">
        <v>498</v>
      </c>
      <c r="H8" s="1368" t="s">
        <v>499</v>
      </c>
      <c r="I8" s="1369" t="s">
        <v>500</v>
      </c>
    </row>
    <row r="9" spans="1:9" s="1383" customFormat="1" ht="15.75" customHeight="1" x14ac:dyDescent="0.2">
      <c r="A9" s="4515" t="s">
        <v>868</v>
      </c>
      <c r="B9" s="4515"/>
      <c r="C9" s="4515"/>
      <c r="D9" s="4515"/>
      <c r="E9" s="1382">
        <v>708581671912</v>
      </c>
      <c r="F9" s="1382">
        <v>1338822489</v>
      </c>
      <c r="G9" s="1382">
        <v>2058553954</v>
      </c>
      <c r="H9" s="1382">
        <v>508061952464</v>
      </c>
      <c r="I9" s="1382">
        <v>197122343005</v>
      </c>
    </row>
    <row r="10" spans="1:9" ht="15.75" customHeight="1" x14ac:dyDescent="0.2">
      <c r="A10" s="4512" t="s">
        <v>2558</v>
      </c>
      <c r="B10" s="4512"/>
      <c r="C10" s="4512"/>
      <c r="D10" s="4512"/>
      <c r="E10" s="1370">
        <v>56905435692</v>
      </c>
      <c r="F10" s="1370">
        <v>1318570531</v>
      </c>
      <c r="G10" s="1370">
        <v>185590372</v>
      </c>
      <c r="H10" s="1370">
        <v>55371340744</v>
      </c>
      <c r="I10" s="1370">
        <v>29934045</v>
      </c>
    </row>
    <row r="11" spans="1:9" ht="15.75" customHeight="1" x14ac:dyDescent="0.2">
      <c r="A11" s="1371" t="s">
        <v>2558</v>
      </c>
      <c r="B11" s="4512" t="s">
        <v>2559</v>
      </c>
      <c r="C11" s="4512"/>
      <c r="D11" s="4512"/>
      <c r="E11" s="1370">
        <v>1003106000</v>
      </c>
      <c r="F11" s="1370">
        <v>1003106000</v>
      </c>
      <c r="G11" s="1370">
        <v>0</v>
      </c>
      <c r="H11" s="1370">
        <v>0</v>
      </c>
      <c r="I11" s="1370">
        <v>0</v>
      </c>
    </row>
    <row r="12" spans="1:9" ht="15.75" customHeight="1" x14ac:dyDescent="0.2">
      <c r="A12" s="1371" t="s">
        <v>2558</v>
      </c>
      <c r="B12" s="1371" t="s">
        <v>2559</v>
      </c>
      <c r="C12" s="4512" t="s">
        <v>1116</v>
      </c>
      <c r="D12" s="4512"/>
      <c r="E12" s="1370">
        <v>300000</v>
      </c>
      <c r="F12" s="1370">
        <v>300000</v>
      </c>
      <c r="G12" s="1370">
        <v>0</v>
      </c>
      <c r="H12" s="1370">
        <v>0</v>
      </c>
      <c r="I12" s="1370">
        <v>0</v>
      </c>
    </row>
    <row r="13" spans="1:9" ht="15.75" customHeight="1" x14ac:dyDescent="0.2">
      <c r="A13" s="1371" t="s">
        <v>2558</v>
      </c>
      <c r="B13" s="1371" t="s">
        <v>2559</v>
      </c>
      <c r="C13" s="1371" t="s">
        <v>1116</v>
      </c>
      <c r="D13" s="1372" t="s">
        <v>1117</v>
      </c>
      <c r="E13" s="1370">
        <v>300000</v>
      </c>
      <c r="F13" s="1370">
        <v>300000</v>
      </c>
      <c r="G13" s="1370">
        <v>0</v>
      </c>
      <c r="H13" s="1370">
        <v>0</v>
      </c>
      <c r="I13" s="1370">
        <v>0</v>
      </c>
    </row>
    <row r="14" spans="1:9" ht="15.75" customHeight="1" x14ac:dyDescent="0.2">
      <c r="A14" s="1371" t="s">
        <v>2558</v>
      </c>
      <c r="B14" s="1371" t="s">
        <v>2559</v>
      </c>
      <c r="C14" s="4512" t="s">
        <v>1144</v>
      </c>
      <c r="D14" s="4512"/>
      <c r="E14" s="1370">
        <v>300000</v>
      </c>
      <c r="F14" s="1370">
        <v>300000</v>
      </c>
      <c r="G14" s="1370">
        <v>0</v>
      </c>
      <c r="H14" s="1370">
        <v>0</v>
      </c>
      <c r="I14" s="1370">
        <v>0</v>
      </c>
    </row>
    <row r="15" spans="1:9" ht="15.75" customHeight="1" x14ac:dyDescent="0.2">
      <c r="A15" s="1371" t="s">
        <v>2558</v>
      </c>
      <c r="B15" s="1371" t="s">
        <v>2559</v>
      </c>
      <c r="C15" s="1371" t="s">
        <v>1144</v>
      </c>
      <c r="D15" s="1372" t="s">
        <v>1824</v>
      </c>
      <c r="E15" s="1370">
        <v>300000</v>
      </c>
      <c r="F15" s="1370">
        <v>300000</v>
      </c>
      <c r="G15" s="1370">
        <v>0</v>
      </c>
      <c r="H15" s="1370">
        <v>0</v>
      </c>
      <c r="I15" s="1370">
        <v>0</v>
      </c>
    </row>
    <row r="16" spans="1:9" ht="15.75" customHeight="1" x14ac:dyDescent="0.2">
      <c r="A16" s="1371" t="s">
        <v>2558</v>
      </c>
      <c r="B16" s="1371" t="s">
        <v>2559</v>
      </c>
      <c r="C16" s="4512" t="s">
        <v>1148</v>
      </c>
      <c r="D16" s="4512"/>
      <c r="E16" s="1370">
        <v>5050000</v>
      </c>
      <c r="F16" s="1370">
        <v>5050000</v>
      </c>
      <c r="G16" s="1370">
        <v>0</v>
      </c>
      <c r="H16" s="1370">
        <v>0</v>
      </c>
      <c r="I16" s="1370">
        <v>0</v>
      </c>
    </row>
    <row r="17" spans="1:9" ht="15.75" customHeight="1" x14ac:dyDescent="0.2">
      <c r="A17" s="1371" t="s">
        <v>2558</v>
      </c>
      <c r="B17" s="1371" t="s">
        <v>2559</v>
      </c>
      <c r="C17" s="1371" t="s">
        <v>1148</v>
      </c>
      <c r="D17" s="1372" t="s">
        <v>1149</v>
      </c>
      <c r="E17" s="1370">
        <v>5050000</v>
      </c>
      <c r="F17" s="1370">
        <v>5050000</v>
      </c>
      <c r="G17" s="1370">
        <v>0</v>
      </c>
      <c r="H17" s="1370">
        <v>0</v>
      </c>
      <c r="I17" s="1370">
        <v>0</v>
      </c>
    </row>
    <row r="18" spans="1:9" ht="15.75" customHeight="1" x14ac:dyDescent="0.2">
      <c r="A18" s="1371" t="s">
        <v>2558</v>
      </c>
      <c r="B18" s="1371" t="s">
        <v>2559</v>
      </c>
      <c r="C18" s="4512" t="s">
        <v>1118</v>
      </c>
      <c r="D18" s="4512"/>
      <c r="E18" s="1370">
        <v>993256000</v>
      </c>
      <c r="F18" s="1370">
        <v>993256000</v>
      </c>
      <c r="G18" s="1370">
        <v>0</v>
      </c>
      <c r="H18" s="1370">
        <v>0</v>
      </c>
      <c r="I18" s="1370">
        <v>0</v>
      </c>
    </row>
    <row r="19" spans="1:9" ht="15.75" customHeight="1" x14ac:dyDescent="0.2">
      <c r="A19" s="1371" t="s">
        <v>2558</v>
      </c>
      <c r="B19" s="1371" t="s">
        <v>2559</v>
      </c>
      <c r="C19" s="1371" t="s">
        <v>1118</v>
      </c>
      <c r="D19" s="1372" t="s">
        <v>1119</v>
      </c>
      <c r="E19" s="1370">
        <v>986425000</v>
      </c>
      <c r="F19" s="1370">
        <v>986425000</v>
      </c>
      <c r="G19" s="1370">
        <v>0</v>
      </c>
      <c r="H19" s="1370">
        <v>0</v>
      </c>
      <c r="I19" s="1370">
        <v>0</v>
      </c>
    </row>
    <row r="20" spans="1:9" ht="15.75" customHeight="1" x14ac:dyDescent="0.2">
      <c r="A20" s="1371" t="s">
        <v>2558</v>
      </c>
      <c r="B20" s="1371" t="s">
        <v>2559</v>
      </c>
      <c r="C20" s="1371" t="s">
        <v>1118</v>
      </c>
      <c r="D20" s="1372" t="s">
        <v>1120</v>
      </c>
      <c r="E20" s="1370">
        <v>2231000</v>
      </c>
      <c r="F20" s="1370">
        <v>2231000</v>
      </c>
      <c r="G20" s="1370">
        <v>0</v>
      </c>
      <c r="H20" s="1370">
        <v>0</v>
      </c>
      <c r="I20" s="1370">
        <v>0</v>
      </c>
    </row>
    <row r="21" spans="1:9" ht="15.75" customHeight="1" x14ac:dyDescent="0.2">
      <c r="A21" s="1371" t="s">
        <v>2558</v>
      </c>
      <c r="B21" s="1371" t="s">
        <v>2559</v>
      </c>
      <c r="C21" s="1371" t="s">
        <v>1118</v>
      </c>
      <c r="D21" s="1372" t="s">
        <v>1180</v>
      </c>
      <c r="E21" s="1370">
        <v>4600000</v>
      </c>
      <c r="F21" s="1370">
        <v>4600000</v>
      </c>
      <c r="G21" s="1370">
        <v>0</v>
      </c>
      <c r="H21" s="1370">
        <v>0</v>
      </c>
      <c r="I21" s="1370">
        <v>0</v>
      </c>
    </row>
    <row r="22" spans="1:9" ht="15.75" customHeight="1" x14ac:dyDescent="0.2">
      <c r="A22" s="1371" t="s">
        <v>2558</v>
      </c>
      <c r="B22" s="1371" t="s">
        <v>2559</v>
      </c>
      <c r="C22" s="4512" t="s">
        <v>2261</v>
      </c>
      <c r="D22" s="4512"/>
      <c r="E22" s="1370">
        <v>4200000</v>
      </c>
      <c r="F22" s="1370">
        <v>4200000</v>
      </c>
      <c r="G22" s="1370">
        <v>0</v>
      </c>
      <c r="H22" s="1370">
        <v>0</v>
      </c>
      <c r="I22" s="1370">
        <v>0</v>
      </c>
    </row>
    <row r="23" spans="1:9" ht="15.75" customHeight="1" x14ac:dyDescent="0.2">
      <c r="A23" s="1371" t="s">
        <v>2558</v>
      </c>
      <c r="B23" s="1371" t="s">
        <v>2559</v>
      </c>
      <c r="C23" s="1371" t="s">
        <v>2261</v>
      </c>
      <c r="D23" s="1372" t="s">
        <v>2262</v>
      </c>
      <c r="E23" s="1370">
        <v>4200000</v>
      </c>
      <c r="F23" s="1370">
        <v>4200000</v>
      </c>
      <c r="G23" s="1370">
        <v>0</v>
      </c>
      <c r="H23" s="1370">
        <v>0</v>
      </c>
      <c r="I23" s="1370">
        <v>0</v>
      </c>
    </row>
    <row r="24" spans="1:9" ht="15.75" customHeight="1" x14ac:dyDescent="0.2">
      <c r="A24" s="1371" t="s">
        <v>2558</v>
      </c>
      <c r="B24" s="4512" t="s">
        <v>336</v>
      </c>
      <c r="C24" s="4512"/>
      <c r="D24" s="4512"/>
      <c r="E24" s="1370">
        <v>295750661</v>
      </c>
      <c r="F24" s="1370">
        <v>295750661</v>
      </c>
      <c r="G24" s="1370">
        <v>0</v>
      </c>
      <c r="H24" s="1370">
        <v>0</v>
      </c>
      <c r="I24" s="1370">
        <v>0</v>
      </c>
    </row>
    <row r="25" spans="1:9" ht="15.75" customHeight="1" x14ac:dyDescent="0.2">
      <c r="A25" s="1371" t="s">
        <v>2558</v>
      </c>
      <c r="B25" s="1371" t="s">
        <v>336</v>
      </c>
      <c r="C25" s="4512" t="s">
        <v>1121</v>
      </c>
      <c r="D25" s="4512"/>
      <c r="E25" s="1370">
        <v>295375661</v>
      </c>
      <c r="F25" s="1370">
        <v>295375661</v>
      </c>
      <c r="G25" s="1370">
        <v>0</v>
      </c>
      <c r="H25" s="1370">
        <v>0</v>
      </c>
      <c r="I25" s="1370">
        <v>0</v>
      </c>
    </row>
    <row r="26" spans="1:9" ht="15.75" customHeight="1" x14ac:dyDescent="0.2">
      <c r="A26" s="1371" t="s">
        <v>2558</v>
      </c>
      <c r="B26" s="1371" t="s">
        <v>336</v>
      </c>
      <c r="C26" s="1371" t="s">
        <v>1121</v>
      </c>
      <c r="D26" s="1372" t="s">
        <v>1122</v>
      </c>
      <c r="E26" s="1370">
        <v>295375661</v>
      </c>
      <c r="F26" s="1370">
        <v>295375661</v>
      </c>
      <c r="G26" s="1370">
        <v>0</v>
      </c>
      <c r="H26" s="1370">
        <v>0</v>
      </c>
      <c r="I26" s="1370">
        <v>0</v>
      </c>
    </row>
    <row r="27" spans="1:9" ht="15.75" customHeight="1" x14ac:dyDescent="0.2">
      <c r="A27" s="1371" t="s">
        <v>2558</v>
      </c>
      <c r="B27" s="1371" t="s">
        <v>336</v>
      </c>
      <c r="C27" s="4512" t="s">
        <v>1137</v>
      </c>
      <c r="D27" s="4512"/>
      <c r="E27" s="1370">
        <v>375000</v>
      </c>
      <c r="F27" s="1370">
        <v>375000</v>
      </c>
      <c r="G27" s="1370">
        <v>0</v>
      </c>
      <c r="H27" s="1370">
        <v>0</v>
      </c>
      <c r="I27" s="1370">
        <v>0</v>
      </c>
    </row>
    <row r="28" spans="1:9" ht="15.75" customHeight="1" x14ac:dyDescent="0.2">
      <c r="A28" s="1371" t="s">
        <v>2558</v>
      </c>
      <c r="B28" s="1371" t="s">
        <v>336</v>
      </c>
      <c r="C28" s="1371" t="s">
        <v>1137</v>
      </c>
      <c r="D28" s="1372" t="s">
        <v>1157</v>
      </c>
      <c r="E28" s="1370">
        <v>375000</v>
      </c>
      <c r="F28" s="1370">
        <v>375000</v>
      </c>
      <c r="G28" s="1370">
        <v>0</v>
      </c>
      <c r="H28" s="1370">
        <v>0</v>
      </c>
      <c r="I28" s="1370">
        <v>0</v>
      </c>
    </row>
    <row r="29" spans="1:9" ht="15.75" customHeight="1" x14ac:dyDescent="0.2">
      <c r="A29" s="1371" t="s">
        <v>2558</v>
      </c>
      <c r="B29" s="4512" t="s">
        <v>324</v>
      </c>
      <c r="C29" s="4512"/>
      <c r="D29" s="4512"/>
      <c r="E29" s="1370">
        <v>0</v>
      </c>
      <c r="F29" s="1370">
        <v>0</v>
      </c>
      <c r="G29" s="1370">
        <v>0</v>
      </c>
      <c r="H29" s="1370">
        <v>0</v>
      </c>
      <c r="I29" s="1370">
        <v>0</v>
      </c>
    </row>
    <row r="30" spans="1:9" ht="15.75" customHeight="1" x14ac:dyDescent="0.2">
      <c r="A30" s="1371" t="s">
        <v>2558</v>
      </c>
      <c r="B30" s="1371" t="s">
        <v>324</v>
      </c>
      <c r="C30" s="4512" t="s">
        <v>1118</v>
      </c>
      <c r="D30" s="4512"/>
      <c r="E30" s="1370">
        <v>0</v>
      </c>
      <c r="F30" s="1370">
        <v>0</v>
      </c>
      <c r="G30" s="1370">
        <v>0</v>
      </c>
      <c r="H30" s="1370">
        <v>0</v>
      </c>
      <c r="I30" s="1370">
        <v>0</v>
      </c>
    </row>
    <row r="31" spans="1:9" ht="15.75" customHeight="1" x14ac:dyDescent="0.2">
      <c r="A31" s="1371" t="s">
        <v>2558</v>
      </c>
      <c r="B31" s="1371" t="s">
        <v>324</v>
      </c>
      <c r="C31" s="1371" t="s">
        <v>1118</v>
      </c>
      <c r="D31" s="1372" t="s">
        <v>1841</v>
      </c>
      <c r="E31" s="1370">
        <v>0</v>
      </c>
      <c r="F31" s="1370">
        <v>0</v>
      </c>
      <c r="G31" s="1370">
        <v>0</v>
      </c>
      <c r="H31" s="1370">
        <v>0</v>
      </c>
      <c r="I31" s="1370">
        <v>0</v>
      </c>
    </row>
    <row r="32" spans="1:9" ht="15.75" customHeight="1" x14ac:dyDescent="0.2">
      <c r="A32" s="1371" t="s">
        <v>2558</v>
      </c>
      <c r="B32" s="4512" t="s">
        <v>2560</v>
      </c>
      <c r="C32" s="4512"/>
      <c r="D32" s="4512"/>
      <c r="E32" s="1370">
        <v>18713870</v>
      </c>
      <c r="F32" s="1370">
        <v>18713870</v>
      </c>
      <c r="G32" s="1370">
        <v>0</v>
      </c>
      <c r="H32" s="1370">
        <v>0</v>
      </c>
      <c r="I32" s="1370">
        <v>0</v>
      </c>
    </row>
    <row r="33" spans="1:9" ht="15.75" customHeight="1" x14ac:dyDescent="0.2">
      <c r="A33" s="1371" t="s">
        <v>2558</v>
      </c>
      <c r="B33" s="1371" t="s">
        <v>2560</v>
      </c>
      <c r="C33" s="4512" t="s">
        <v>1137</v>
      </c>
      <c r="D33" s="4512"/>
      <c r="E33" s="1370">
        <v>18713870</v>
      </c>
      <c r="F33" s="1370">
        <v>18713870</v>
      </c>
      <c r="G33" s="1370">
        <v>0</v>
      </c>
      <c r="H33" s="1370">
        <v>0</v>
      </c>
      <c r="I33" s="1370">
        <v>0</v>
      </c>
    </row>
    <row r="34" spans="1:9" ht="15.75" customHeight="1" x14ac:dyDescent="0.2">
      <c r="A34" s="1371" t="s">
        <v>2558</v>
      </c>
      <c r="B34" s="1371" t="s">
        <v>2560</v>
      </c>
      <c r="C34" s="1371" t="s">
        <v>1137</v>
      </c>
      <c r="D34" s="1372" t="s">
        <v>1138</v>
      </c>
      <c r="E34" s="1370">
        <v>18713870</v>
      </c>
      <c r="F34" s="1370">
        <v>18713870</v>
      </c>
      <c r="G34" s="1370">
        <v>0</v>
      </c>
      <c r="H34" s="1370">
        <v>0</v>
      </c>
      <c r="I34" s="1370">
        <v>0</v>
      </c>
    </row>
    <row r="35" spans="1:9" ht="15.75" customHeight="1" x14ac:dyDescent="0.2">
      <c r="A35" s="1371" t="s">
        <v>2558</v>
      </c>
      <c r="B35" s="4512" t="s">
        <v>2561</v>
      </c>
      <c r="C35" s="4512"/>
      <c r="D35" s="4512"/>
      <c r="E35" s="1370">
        <v>650344</v>
      </c>
      <c r="F35" s="1370">
        <v>0</v>
      </c>
      <c r="G35" s="1370">
        <v>0</v>
      </c>
      <c r="H35" s="1370">
        <v>650344</v>
      </c>
      <c r="I35" s="1370">
        <v>0</v>
      </c>
    </row>
    <row r="36" spans="1:9" ht="15.75" customHeight="1" x14ac:dyDescent="0.2">
      <c r="A36" s="1371" t="s">
        <v>2558</v>
      </c>
      <c r="B36" s="1371" t="s">
        <v>2561</v>
      </c>
      <c r="C36" s="4512" t="s">
        <v>1137</v>
      </c>
      <c r="D36" s="4512"/>
      <c r="E36" s="1370">
        <v>650344</v>
      </c>
      <c r="F36" s="1370">
        <v>0</v>
      </c>
      <c r="G36" s="1370">
        <v>0</v>
      </c>
      <c r="H36" s="1370">
        <v>650344</v>
      </c>
      <c r="I36" s="1370">
        <v>0</v>
      </c>
    </row>
    <row r="37" spans="1:9" ht="15.75" customHeight="1" x14ac:dyDescent="0.2">
      <c r="A37" s="1371" t="s">
        <v>2558</v>
      </c>
      <c r="B37" s="1371" t="s">
        <v>2561</v>
      </c>
      <c r="C37" s="1371" t="s">
        <v>1137</v>
      </c>
      <c r="D37" s="1372" t="s">
        <v>1170</v>
      </c>
      <c r="E37" s="1370">
        <v>650344</v>
      </c>
      <c r="F37" s="1370">
        <v>0</v>
      </c>
      <c r="G37" s="1370">
        <v>0</v>
      </c>
      <c r="H37" s="1370">
        <v>650344</v>
      </c>
      <c r="I37" s="1370">
        <v>0</v>
      </c>
    </row>
    <row r="38" spans="1:9" ht="15.75" customHeight="1" x14ac:dyDescent="0.2">
      <c r="A38" s="1371" t="s">
        <v>2558</v>
      </c>
      <c r="B38" s="4512" t="s">
        <v>2562</v>
      </c>
      <c r="C38" s="4512"/>
      <c r="D38" s="4512"/>
      <c r="E38" s="1370">
        <v>881961</v>
      </c>
      <c r="F38" s="1370">
        <v>0</v>
      </c>
      <c r="G38" s="1370">
        <v>0</v>
      </c>
      <c r="H38" s="1370">
        <v>8911</v>
      </c>
      <c r="I38" s="1370">
        <v>873050</v>
      </c>
    </row>
    <row r="39" spans="1:9" ht="15.75" customHeight="1" x14ac:dyDescent="0.2">
      <c r="A39" s="1371" t="s">
        <v>2558</v>
      </c>
      <c r="B39" s="1371" t="s">
        <v>2562</v>
      </c>
      <c r="C39" s="4512" t="s">
        <v>1194</v>
      </c>
      <c r="D39" s="4512"/>
      <c r="E39" s="1370">
        <v>873050</v>
      </c>
      <c r="F39" s="1370">
        <v>0</v>
      </c>
      <c r="G39" s="1370">
        <v>0</v>
      </c>
      <c r="H39" s="1370">
        <v>0</v>
      </c>
      <c r="I39" s="1370">
        <v>873050</v>
      </c>
    </row>
    <row r="40" spans="1:9" ht="15.75" customHeight="1" x14ac:dyDescent="0.2">
      <c r="A40" s="1371" t="s">
        <v>2558</v>
      </c>
      <c r="B40" s="1371" t="s">
        <v>2562</v>
      </c>
      <c r="C40" s="1371" t="s">
        <v>1194</v>
      </c>
      <c r="D40" s="1372" t="s">
        <v>1197</v>
      </c>
      <c r="E40" s="1370">
        <v>873050</v>
      </c>
      <c r="F40" s="1370">
        <v>0</v>
      </c>
      <c r="G40" s="1370">
        <v>0</v>
      </c>
      <c r="H40" s="1370">
        <v>0</v>
      </c>
      <c r="I40" s="1370">
        <v>873050</v>
      </c>
    </row>
    <row r="41" spans="1:9" ht="15.75" customHeight="1" x14ac:dyDescent="0.2">
      <c r="A41" s="1371" t="s">
        <v>2558</v>
      </c>
      <c r="B41" s="1371" t="s">
        <v>2562</v>
      </c>
      <c r="C41" s="4512" t="s">
        <v>1137</v>
      </c>
      <c r="D41" s="4512"/>
      <c r="E41" s="1370">
        <v>8911</v>
      </c>
      <c r="F41" s="1370">
        <v>0</v>
      </c>
      <c r="G41" s="1370">
        <v>0</v>
      </c>
      <c r="H41" s="1370">
        <v>8911</v>
      </c>
      <c r="I41" s="1370">
        <v>0</v>
      </c>
    </row>
    <row r="42" spans="1:9" ht="15.75" customHeight="1" x14ac:dyDescent="0.2">
      <c r="A42" s="1371" t="s">
        <v>2558</v>
      </c>
      <c r="B42" s="1371" t="s">
        <v>2562</v>
      </c>
      <c r="C42" s="1371" t="s">
        <v>1137</v>
      </c>
      <c r="D42" s="1372" t="s">
        <v>1170</v>
      </c>
      <c r="E42" s="1370">
        <v>8911</v>
      </c>
      <c r="F42" s="1370">
        <v>0</v>
      </c>
      <c r="G42" s="1370">
        <v>0</v>
      </c>
      <c r="H42" s="1370">
        <v>8911</v>
      </c>
      <c r="I42" s="1370">
        <v>0</v>
      </c>
    </row>
    <row r="43" spans="1:9" ht="15.75" customHeight="1" x14ac:dyDescent="0.2">
      <c r="A43" s="1371" t="s">
        <v>2558</v>
      </c>
      <c r="B43" s="4512" t="s">
        <v>2563</v>
      </c>
      <c r="C43" s="4512"/>
      <c r="D43" s="4512"/>
      <c r="E43" s="1370">
        <v>186590372</v>
      </c>
      <c r="F43" s="1370">
        <v>1000000</v>
      </c>
      <c r="G43" s="1370">
        <v>185590372</v>
      </c>
      <c r="H43" s="1370">
        <v>0</v>
      </c>
      <c r="I43" s="1370">
        <v>0</v>
      </c>
    </row>
    <row r="44" spans="1:9" ht="15.75" customHeight="1" x14ac:dyDescent="0.2">
      <c r="A44" s="1371" t="s">
        <v>2558</v>
      </c>
      <c r="B44" s="1371" t="s">
        <v>2563</v>
      </c>
      <c r="C44" s="4512" t="s">
        <v>1125</v>
      </c>
      <c r="D44" s="4512"/>
      <c r="E44" s="1370">
        <v>185590372</v>
      </c>
      <c r="F44" s="1370">
        <v>0</v>
      </c>
      <c r="G44" s="1370">
        <v>185590372</v>
      </c>
      <c r="H44" s="1370">
        <v>0</v>
      </c>
      <c r="I44" s="1370">
        <v>0</v>
      </c>
    </row>
    <row r="45" spans="1:9" ht="15.75" customHeight="1" x14ac:dyDescent="0.2">
      <c r="A45" s="1371" t="s">
        <v>2558</v>
      </c>
      <c r="B45" s="1371" t="s">
        <v>2563</v>
      </c>
      <c r="C45" s="1371" t="s">
        <v>1125</v>
      </c>
      <c r="D45" s="1372" t="s">
        <v>1126</v>
      </c>
      <c r="E45" s="1370">
        <v>185590372</v>
      </c>
      <c r="F45" s="1370">
        <v>0</v>
      </c>
      <c r="G45" s="1370">
        <v>185590372</v>
      </c>
      <c r="H45" s="1370">
        <v>0</v>
      </c>
      <c r="I45" s="1370">
        <v>0</v>
      </c>
    </row>
    <row r="46" spans="1:9" ht="15.75" customHeight="1" x14ac:dyDescent="0.2">
      <c r="A46" s="1371" t="s">
        <v>2558</v>
      </c>
      <c r="B46" s="1371" t="s">
        <v>2563</v>
      </c>
      <c r="C46" s="4512" t="s">
        <v>1127</v>
      </c>
      <c r="D46" s="4512"/>
      <c r="E46" s="1370">
        <v>1000000</v>
      </c>
      <c r="F46" s="1370">
        <v>1000000</v>
      </c>
      <c r="G46" s="1370">
        <v>0</v>
      </c>
      <c r="H46" s="1370">
        <v>0</v>
      </c>
      <c r="I46" s="1370">
        <v>0</v>
      </c>
    </row>
    <row r="47" spans="1:9" ht="15.75" customHeight="1" x14ac:dyDescent="0.2">
      <c r="A47" s="1371" t="s">
        <v>2558</v>
      </c>
      <c r="B47" s="1371" t="s">
        <v>2563</v>
      </c>
      <c r="C47" s="1371" t="s">
        <v>1127</v>
      </c>
      <c r="D47" s="1372" t="s">
        <v>1128</v>
      </c>
      <c r="E47" s="1370">
        <v>1000000</v>
      </c>
      <c r="F47" s="1370">
        <v>1000000</v>
      </c>
      <c r="G47" s="1370">
        <v>0</v>
      </c>
      <c r="H47" s="1370">
        <v>0</v>
      </c>
      <c r="I47" s="1370">
        <v>0</v>
      </c>
    </row>
    <row r="48" spans="1:9" ht="15.75" customHeight="1" x14ac:dyDescent="0.2">
      <c r="A48" s="1371" t="s">
        <v>2558</v>
      </c>
      <c r="B48" s="4512" t="s">
        <v>2564</v>
      </c>
      <c r="C48" s="4512"/>
      <c r="D48" s="4512"/>
      <c r="E48" s="1370">
        <v>10994901007</v>
      </c>
      <c r="F48" s="1370">
        <v>0</v>
      </c>
      <c r="G48" s="1370">
        <v>0</v>
      </c>
      <c r="H48" s="1370">
        <v>10965840012</v>
      </c>
      <c r="I48" s="1370">
        <v>29060995</v>
      </c>
    </row>
    <row r="49" spans="1:9" ht="15.75" customHeight="1" x14ac:dyDescent="0.2">
      <c r="A49" s="1371" t="s">
        <v>2558</v>
      </c>
      <c r="B49" s="1371" t="s">
        <v>2564</v>
      </c>
      <c r="C49" s="4512" t="s">
        <v>1129</v>
      </c>
      <c r="D49" s="4512"/>
      <c r="E49" s="1370">
        <v>5554818312</v>
      </c>
      <c r="F49" s="1370">
        <v>0</v>
      </c>
      <c r="G49" s="1370">
        <v>0</v>
      </c>
      <c r="H49" s="1370">
        <v>5554818312</v>
      </c>
      <c r="I49" s="1370">
        <v>0</v>
      </c>
    </row>
    <row r="50" spans="1:9" ht="15.75" customHeight="1" x14ac:dyDescent="0.2">
      <c r="A50" s="1371" t="s">
        <v>2558</v>
      </c>
      <c r="B50" s="1371" t="s">
        <v>2564</v>
      </c>
      <c r="C50" s="1371" t="s">
        <v>1129</v>
      </c>
      <c r="D50" s="1372" t="s">
        <v>1130</v>
      </c>
      <c r="E50" s="1370">
        <v>5515102062</v>
      </c>
      <c r="F50" s="1370">
        <v>0</v>
      </c>
      <c r="G50" s="1370">
        <v>0</v>
      </c>
      <c r="H50" s="1370">
        <v>5515102062</v>
      </c>
      <c r="I50" s="1370">
        <v>0</v>
      </c>
    </row>
    <row r="51" spans="1:9" ht="15.75" customHeight="1" x14ac:dyDescent="0.2">
      <c r="A51" s="1371" t="s">
        <v>2558</v>
      </c>
      <c r="B51" s="1371" t="s">
        <v>2564</v>
      </c>
      <c r="C51" s="1371" t="s">
        <v>1129</v>
      </c>
      <c r="D51" s="1372" t="s">
        <v>1133</v>
      </c>
      <c r="E51" s="1370">
        <v>39716250</v>
      </c>
      <c r="F51" s="1370">
        <v>0</v>
      </c>
      <c r="G51" s="1370">
        <v>0</v>
      </c>
      <c r="H51" s="1370">
        <v>39716250</v>
      </c>
      <c r="I51" s="1370">
        <v>0</v>
      </c>
    </row>
    <row r="52" spans="1:9" ht="15.75" customHeight="1" x14ac:dyDescent="0.2">
      <c r="A52" s="1371" t="s">
        <v>2558</v>
      </c>
      <c r="B52" s="1371" t="s">
        <v>2564</v>
      </c>
      <c r="C52" s="4512" t="s">
        <v>1194</v>
      </c>
      <c r="D52" s="4512"/>
      <c r="E52" s="1370">
        <v>29060995</v>
      </c>
      <c r="F52" s="1370">
        <v>0</v>
      </c>
      <c r="G52" s="1370">
        <v>0</v>
      </c>
      <c r="H52" s="1370">
        <v>0</v>
      </c>
      <c r="I52" s="1370">
        <v>29060995</v>
      </c>
    </row>
    <row r="53" spans="1:9" ht="15.75" customHeight="1" x14ac:dyDescent="0.2">
      <c r="A53" s="1371" t="s">
        <v>2558</v>
      </c>
      <c r="B53" s="1371" t="s">
        <v>2564</v>
      </c>
      <c r="C53" s="1371" t="s">
        <v>1194</v>
      </c>
      <c r="D53" s="1372" t="s">
        <v>1197</v>
      </c>
      <c r="E53" s="1370">
        <v>29060995</v>
      </c>
      <c r="F53" s="1370">
        <v>0</v>
      </c>
      <c r="G53" s="1370">
        <v>0</v>
      </c>
      <c r="H53" s="1370">
        <v>0</v>
      </c>
      <c r="I53" s="1370">
        <v>29060995</v>
      </c>
    </row>
    <row r="54" spans="1:9" ht="15.75" customHeight="1" x14ac:dyDescent="0.2">
      <c r="A54" s="1371" t="s">
        <v>2558</v>
      </c>
      <c r="B54" s="1371" t="s">
        <v>2564</v>
      </c>
      <c r="C54" s="4512" t="s">
        <v>1131</v>
      </c>
      <c r="D54" s="4512"/>
      <c r="E54" s="1370">
        <v>5411021700</v>
      </c>
      <c r="F54" s="1370">
        <v>0</v>
      </c>
      <c r="G54" s="1370">
        <v>0</v>
      </c>
      <c r="H54" s="1370">
        <v>5411021700</v>
      </c>
      <c r="I54" s="1370">
        <v>0</v>
      </c>
    </row>
    <row r="55" spans="1:9" ht="15.75" customHeight="1" x14ac:dyDescent="0.2">
      <c r="A55" s="1371" t="s">
        <v>2558</v>
      </c>
      <c r="B55" s="1371" t="s">
        <v>2564</v>
      </c>
      <c r="C55" s="1371" t="s">
        <v>1131</v>
      </c>
      <c r="D55" s="1372" t="s">
        <v>1132</v>
      </c>
      <c r="E55" s="1370">
        <v>5411021700</v>
      </c>
      <c r="F55" s="1370">
        <v>0</v>
      </c>
      <c r="G55" s="1370">
        <v>0</v>
      </c>
      <c r="H55" s="1370">
        <v>5411021700</v>
      </c>
      <c r="I55" s="1370">
        <v>0</v>
      </c>
    </row>
    <row r="56" spans="1:9" ht="15.75" customHeight="1" x14ac:dyDescent="0.2">
      <c r="A56" s="1371" t="s">
        <v>2558</v>
      </c>
      <c r="B56" s="4512" t="s">
        <v>2565</v>
      </c>
      <c r="C56" s="4512"/>
      <c r="D56" s="4512"/>
      <c r="E56" s="1370">
        <v>44404841477</v>
      </c>
      <c r="F56" s="1370">
        <v>0</v>
      </c>
      <c r="G56" s="1370">
        <v>0</v>
      </c>
      <c r="H56" s="1370">
        <v>44404841477</v>
      </c>
      <c r="I56" s="1370">
        <v>0</v>
      </c>
    </row>
    <row r="57" spans="1:9" ht="15.75" customHeight="1" x14ac:dyDescent="0.2">
      <c r="A57" s="1371" t="s">
        <v>2558</v>
      </c>
      <c r="B57" s="1371" t="s">
        <v>2565</v>
      </c>
      <c r="C57" s="4512" t="s">
        <v>1129</v>
      </c>
      <c r="D57" s="4512"/>
      <c r="E57" s="1370">
        <v>18464615753</v>
      </c>
      <c r="F57" s="1370">
        <v>0</v>
      </c>
      <c r="G57" s="1370">
        <v>0</v>
      </c>
      <c r="H57" s="1370">
        <v>18464615753</v>
      </c>
      <c r="I57" s="1370">
        <v>0</v>
      </c>
    </row>
    <row r="58" spans="1:9" ht="15.75" customHeight="1" x14ac:dyDescent="0.2">
      <c r="A58" s="1371" t="s">
        <v>2558</v>
      </c>
      <c r="B58" s="1371" t="s">
        <v>2565</v>
      </c>
      <c r="C58" s="1371" t="s">
        <v>1129</v>
      </c>
      <c r="D58" s="1372" t="s">
        <v>1130</v>
      </c>
      <c r="E58" s="1370">
        <v>18062949765</v>
      </c>
      <c r="F58" s="1370">
        <v>0</v>
      </c>
      <c r="G58" s="1370">
        <v>0</v>
      </c>
      <c r="H58" s="1370">
        <v>18062949765</v>
      </c>
      <c r="I58" s="1370">
        <v>0</v>
      </c>
    </row>
    <row r="59" spans="1:9" ht="15.75" customHeight="1" x14ac:dyDescent="0.2">
      <c r="A59" s="1371" t="s">
        <v>2558</v>
      </c>
      <c r="B59" s="1371" t="s">
        <v>2565</v>
      </c>
      <c r="C59" s="1371" t="s">
        <v>1129</v>
      </c>
      <c r="D59" s="1372" t="s">
        <v>1133</v>
      </c>
      <c r="E59" s="1370">
        <v>401665988</v>
      </c>
      <c r="F59" s="1370">
        <v>0</v>
      </c>
      <c r="G59" s="1370">
        <v>0</v>
      </c>
      <c r="H59" s="1370">
        <v>401665988</v>
      </c>
      <c r="I59" s="1370">
        <v>0</v>
      </c>
    </row>
    <row r="60" spans="1:9" ht="15.75" customHeight="1" x14ac:dyDescent="0.2">
      <c r="A60" s="1371" t="s">
        <v>2558</v>
      </c>
      <c r="B60" s="1371" t="s">
        <v>2565</v>
      </c>
      <c r="C60" s="4512" t="s">
        <v>1131</v>
      </c>
      <c r="D60" s="4512"/>
      <c r="E60" s="1370">
        <v>25940225724</v>
      </c>
      <c r="F60" s="1370">
        <v>0</v>
      </c>
      <c r="G60" s="1370">
        <v>0</v>
      </c>
      <c r="H60" s="1370">
        <v>25940225724</v>
      </c>
      <c r="I60" s="1370">
        <v>0</v>
      </c>
    </row>
    <row r="61" spans="1:9" ht="15.75" customHeight="1" x14ac:dyDescent="0.2">
      <c r="A61" s="1371" t="s">
        <v>2558</v>
      </c>
      <c r="B61" s="1371" t="s">
        <v>2565</v>
      </c>
      <c r="C61" s="1371" t="s">
        <v>1131</v>
      </c>
      <c r="D61" s="1372" t="s">
        <v>1132</v>
      </c>
      <c r="E61" s="1370">
        <v>25940225724</v>
      </c>
      <c r="F61" s="1370">
        <v>0</v>
      </c>
      <c r="G61" s="1370">
        <v>0</v>
      </c>
      <c r="H61" s="1370">
        <v>25940225724</v>
      </c>
      <c r="I61" s="1370">
        <v>0</v>
      </c>
    </row>
    <row r="62" spans="1:9" ht="15.75" customHeight="1" x14ac:dyDescent="0.2">
      <c r="A62" s="4512" t="s">
        <v>2566</v>
      </c>
      <c r="B62" s="4512"/>
      <c r="C62" s="4512"/>
      <c r="D62" s="4512"/>
      <c r="E62" s="1370">
        <v>14826680105</v>
      </c>
      <c r="F62" s="1370">
        <v>1120000</v>
      </c>
      <c r="G62" s="1370">
        <v>137852010</v>
      </c>
      <c r="H62" s="1370">
        <v>14598775448</v>
      </c>
      <c r="I62" s="1370">
        <v>88932647</v>
      </c>
    </row>
    <row r="63" spans="1:9" ht="15.75" customHeight="1" x14ac:dyDescent="0.2">
      <c r="A63" s="1371" t="s">
        <v>2566</v>
      </c>
      <c r="B63" s="4512" t="s">
        <v>2567</v>
      </c>
      <c r="C63" s="4512"/>
      <c r="D63" s="4512"/>
      <c r="E63" s="1370">
        <v>89174000</v>
      </c>
      <c r="F63" s="1370">
        <v>0</v>
      </c>
      <c r="G63" s="1370">
        <v>89174000</v>
      </c>
      <c r="H63" s="1370">
        <v>0</v>
      </c>
      <c r="I63" s="1370">
        <v>0</v>
      </c>
    </row>
    <row r="64" spans="1:9" ht="15.75" customHeight="1" x14ac:dyDescent="0.2">
      <c r="A64" s="1371" t="s">
        <v>2566</v>
      </c>
      <c r="B64" s="1371" t="s">
        <v>2567</v>
      </c>
      <c r="C64" s="4512" t="s">
        <v>2254</v>
      </c>
      <c r="D64" s="4512"/>
      <c r="E64" s="1370">
        <v>0</v>
      </c>
      <c r="F64" s="1370">
        <v>0</v>
      </c>
      <c r="G64" s="1370">
        <v>0</v>
      </c>
      <c r="H64" s="1370">
        <v>0</v>
      </c>
      <c r="I64" s="1370">
        <v>0</v>
      </c>
    </row>
    <row r="65" spans="1:9" ht="15.75" customHeight="1" x14ac:dyDescent="0.2">
      <c r="A65" s="1371" t="s">
        <v>2566</v>
      </c>
      <c r="B65" s="1371" t="s">
        <v>2567</v>
      </c>
      <c r="C65" s="1371" t="s">
        <v>2254</v>
      </c>
      <c r="D65" s="1372" t="s">
        <v>2255</v>
      </c>
      <c r="E65" s="1370">
        <v>0</v>
      </c>
      <c r="F65" s="1370">
        <v>0</v>
      </c>
      <c r="G65" s="1370">
        <v>0</v>
      </c>
      <c r="H65" s="1370">
        <v>0</v>
      </c>
      <c r="I65" s="1370">
        <v>0</v>
      </c>
    </row>
    <row r="66" spans="1:9" ht="15.75" customHeight="1" x14ac:dyDescent="0.2">
      <c r="A66" s="1371" t="s">
        <v>2566</v>
      </c>
      <c r="B66" s="1371" t="s">
        <v>2567</v>
      </c>
      <c r="C66" s="4512" t="s">
        <v>1118</v>
      </c>
      <c r="D66" s="4512"/>
      <c r="E66" s="1370">
        <v>89174000</v>
      </c>
      <c r="F66" s="1370">
        <v>0</v>
      </c>
      <c r="G66" s="1370">
        <v>89174000</v>
      </c>
      <c r="H66" s="1370">
        <v>0</v>
      </c>
      <c r="I66" s="1370">
        <v>0</v>
      </c>
    </row>
    <row r="67" spans="1:9" ht="15.75" customHeight="1" x14ac:dyDescent="0.2">
      <c r="A67" s="1371" t="s">
        <v>2566</v>
      </c>
      <c r="B67" s="1371" t="s">
        <v>2567</v>
      </c>
      <c r="C67" s="1371" t="s">
        <v>1118</v>
      </c>
      <c r="D67" s="1372" t="s">
        <v>1180</v>
      </c>
      <c r="E67" s="1370">
        <v>89174000</v>
      </c>
      <c r="F67" s="1370">
        <v>0</v>
      </c>
      <c r="G67" s="1370">
        <v>89174000</v>
      </c>
      <c r="H67" s="1370">
        <v>0</v>
      </c>
      <c r="I67" s="1370">
        <v>0</v>
      </c>
    </row>
    <row r="68" spans="1:9" ht="15.75" customHeight="1" x14ac:dyDescent="0.2">
      <c r="A68" s="1371" t="s">
        <v>2566</v>
      </c>
      <c r="B68" s="4512" t="s">
        <v>2568</v>
      </c>
      <c r="C68" s="4512"/>
      <c r="D68" s="4512"/>
      <c r="E68" s="1370">
        <v>55588000</v>
      </c>
      <c r="F68" s="1370">
        <v>0</v>
      </c>
      <c r="G68" s="1370">
        <v>0</v>
      </c>
      <c r="H68" s="1370">
        <v>55588000</v>
      </c>
      <c r="I68" s="1370">
        <v>0</v>
      </c>
    </row>
    <row r="69" spans="1:9" ht="15.75" customHeight="1" x14ac:dyDescent="0.2">
      <c r="A69" s="1371" t="s">
        <v>2566</v>
      </c>
      <c r="B69" s="1371" t="s">
        <v>2568</v>
      </c>
      <c r="C69" s="4512" t="s">
        <v>1121</v>
      </c>
      <c r="D69" s="4512"/>
      <c r="E69" s="1370">
        <v>55588000</v>
      </c>
      <c r="F69" s="1370">
        <v>0</v>
      </c>
      <c r="G69" s="1370">
        <v>0</v>
      </c>
      <c r="H69" s="1370">
        <v>55588000</v>
      </c>
      <c r="I69" s="1370">
        <v>0</v>
      </c>
    </row>
    <row r="70" spans="1:9" ht="15.75" customHeight="1" x14ac:dyDescent="0.2">
      <c r="A70" s="1371" t="s">
        <v>2566</v>
      </c>
      <c r="B70" s="1371" t="s">
        <v>2568</v>
      </c>
      <c r="C70" s="1371" t="s">
        <v>1121</v>
      </c>
      <c r="D70" s="1372" t="s">
        <v>1199</v>
      </c>
      <c r="E70" s="1370">
        <v>48029500</v>
      </c>
      <c r="F70" s="1370">
        <v>0</v>
      </c>
      <c r="G70" s="1370">
        <v>0</v>
      </c>
      <c r="H70" s="1370">
        <v>48029500</v>
      </c>
      <c r="I70" s="1370">
        <v>0</v>
      </c>
    </row>
    <row r="71" spans="1:9" ht="15.75" customHeight="1" x14ac:dyDescent="0.2">
      <c r="A71" s="1371" t="s">
        <v>2566</v>
      </c>
      <c r="B71" s="1371" t="s">
        <v>2568</v>
      </c>
      <c r="C71" s="1371" t="s">
        <v>1121</v>
      </c>
      <c r="D71" s="1372" t="s">
        <v>1143</v>
      </c>
      <c r="E71" s="1370">
        <v>7558500</v>
      </c>
      <c r="F71" s="1370">
        <v>0</v>
      </c>
      <c r="G71" s="1370">
        <v>0</v>
      </c>
      <c r="H71" s="1370">
        <v>7558500</v>
      </c>
      <c r="I71" s="1370">
        <v>0</v>
      </c>
    </row>
    <row r="72" spans="1:9" ht="15.75" customHeight="1" x14ac:dyDescent="0.2">
      <c r="A72" s="1371" t="s">
        <v>2566</v>
      </c>
      <c r="B72" s="4512" t="s">
        <v>2569</v>
      </c>
      <c r="C72" s="4512"/>
      <c r="D72" s="4512"/>
      <c r="E72" s="1370">
        <v>47507714</v>
      </c>
      <c r="F72" s="1370">
        <v>0</v>
      </c>
      <c r="G72" s="1370">
        <v>0</v>
      </c>
      <c r="H72" s="1370">
        <v>47507714</v>
      </c>
      <c r="I72" s="1370">
        <v>0</v>
      </c>
    </row>
    <row r="73" spans="1:9" ht="15.75" customHeight="1" x14ac:dyDescent="0.2">
      <c r="A73" s="1371" t="s">
        <v>2566</v>
      </c>
      <c r="B73" s="1371" t="s">
        <v>2569</v>
      </c>
      <c r="C73" s="4512" t="s">
        <v>1137</v>
      </c>
      <c r="D73" s="4512"/>
      <c r="E73" s="1370">
        <v>47507714</v>
      </c>
      <c r="F73" s="1370">
        <v>0</v>
      </c>
      <c r="G73" s="1370">
        <v>0</v>
      </c>
      <c r="H73" s="1370">
        <v>47507714</v>
      </c>
      <c r="I73" s="1370">
        <v>0</v>
      </c>
    </row>
    <row r="74" spans="1:9" ht="15.75" customHeight="1" x14ac:dyDescent="0.2">
      <c r="A74" s="1371" t="s">
        <v>2566</v>
      </c>
      <c r="B74" s="1371" t="s">
        <v>2569</v>
      </c>
      <c r="C74" s="1371" t="s">
        <v>1137</v>
      </c>
      <c r="D74" s="1372" t="s">
        <v>1138</v>
      </c>
      <c r="E74" s="1370">
        <v>47507714</v>
      </c>
      <c r="F74" s="1370">
        <v>0</v>
      </c>
      <c r="G74" s="1370">
        <v>0</v>
      </c>
      <c r="H74" s="1370">
        <v>47507714</v>
      </c>
      <c r="I74" s="1370">
        <v>0</v>
      </c>
    </row>
    <row r="75" spans="1:9" ht="15.75" customHeight="1" x14ac:dyDescent="0.2">
      <c r="A75" s="1371" t="s">
        <v>2566</v>
      </c>
      <c r="B75" s="4512" t="s">
        <v>2570</v>
      </c>
      <c r="C75" s="4512"/>
      <c r="D75" s="4512"/>
      <c r="E75" s="1370">
        <v>30119172</v>
      </c>
      <c r="F75" s="1370">
        <v>1120000</v>
      </c>
      <c r="G75" s="1370">
        <v>10734010</v>
      </c>
      <c r="H75" s="1370">
        <v>18265162</v>
      </c>
      <c r="I75" s="1370">
        <v>0</v>
      </c>
    </row>
    <row r="76" spans="1:9" ht="15.75" customHeight="1" x14ac:dyDescent="0.2">
      <c r="A76" s="1371" t="s">
        <v>2566</v>
      </c>
      <c r="B76" s="1371" t="s">
        <v>2570</v>
      </c>
      <c r="C76" s="4512" t="s">
        <v>1135</v>
      </c>
      <c r="D76" s="4512"/>
      <c r="E76" s="1370">
        <v>11624791</v>
      </c>
      <c r="F76" s="1370">
        <v>0</v>
      </c>
      <c r="G76" s="1370">
        <v>0</v>
      </c>
      <c r="H76" s="1370">
        <v>11624791</v>
      </c>
      <c r="I76" s="1370">
        <v>0</v>
      </c>
    </row>
    <row r="77" spans="1:9" ht="15.75" customHeight="1" x14ac:dyDescent="0.2">
      <c r="A77" s="1371" t="s">
        <v>2566</v>
      </c>
      <c r="B77" s="1371" t="s">
        <v>2570</v>
      </c>
      <c r="C77" s="1371" t="s">
        <v>1135</v>
      </c>
      <c r="D77" s="1372" t="s">
        <v>1136</v>
      </c>
      <c r="E77" s="1370">
        <v>11624791</v>
      </c>
      <c r="F77" s="1370">
        <v>0</v>
      </c>
      <c r="G77" s="1370">
        <v>0</v>
      </c>
      <c r="H77" s="1370">
        <v>11624791</v>
      </c>
      <c r="I77" s="1370">
        <v>0</v>
      </c>
    </row>
    <row r="78" spans="1:9" ht="15.75" customHeight="1" x14ac:dyDescent="0.2">
      <c r="A78" s="1371" t="s">
        <v>2566</v>
      </c>
      <c r="B78" s="1371" t="s">
        <v>2570</v>
      </c>
      <c r="C78" s="4512" t="s">
        <v>1125</v>
      </c>
      <c r="D78" s="4512"/>
      <c r="E78" s="1370">
        <v>5640371</v>
      </c>
      <c r="F78" s="1370">
        <v>0</v>
      </c>
      <c r="G78" s="1370">
        <v>0</v>
      </c>
      <c r="H78" s="1370">
        <v>5640371</v>
      </c>
      <c r="I78" s="1370">
        <v>0</v>
      </c>
    </row>
    <row r="79" spans="1:9" ht="15.75" customHeight="1" x14ac:dyDescent="0.2">
      <c r="A79" s="1371" t="s">
        <v>2566</v>
      </c>
      <c r="B79" s="1371" t="s">
        <v>2570</v>
      </c>
      <c r="C79" s="1371" t="s">
        <v>1125</v>
      </c>
      <c r="D79" s="1372" t="s">
        <v>1126</v>
      </c>
      <c r="E79" s="1370">
        <v>5640371</v>
      </c>
      <c r="F79" s="1370">
        <v>0</v>
      </c>
      <c r="G79" s="1370">
        <v>0</v>
      </c>
      <c r="H79" s="1370">
        <v>5640371</v>
      </c>
      <c r="I79" s="1370">
        <v>0</v>
      </c>
    </row>
    <row r="80" spans="1:9" ht="15.75" customHeight="1" x14ac:dyDescent="0.2">
      <c r="A80" s="1371" t="s">
        <v>2566</v>
      </c>
      <c r="B80" s="1371" t="s">
        <v>2570</v>
      </c>
      <c r="C80" s="4512" t="s">
        <v>1127</v>
      </c>
      <c r="D80" s="4512"/>
      <c r="E80" s="1370">
        <v>1000000</v>
      </c>
      <c r="F80" s="1370">
        <v>0</v>
      </c>
      <c r="G80" s="1370">
        <v>0</v>
      </c>
      <c r="H80" s="1370">
        <v>1000000</v>
      </c>
      <c r="I80" s="1370">
        <v>0</v>
      </c>
    </row>
    <row r="81" spans="1:9" ht="15.75" customHeight="1" x14ac:dyDescent="0.2">
      <c r="A81" s="1371" t="s">
        <v>2566</v>
      </c>
      <c r="B81" s="1371" t="s">
        <v>2570</v>
      </c>
      <c r="C81" s="1371" t="s">
        <v>1127</v>
      </c>
      <c r="D81" s="1372" t="s">
        <v>1128</v>
      </c>
      <c r="E81" s="1370">
        <v>1000000</v>
      </c>
      <c r="F81" s="1370">
        <v>0</v>
      </c>
      <c r="G81" s="1370">
        <v>0</v>
      </c>
      <c r="H81" s="1370">
        <v>1000000</v>
      </c>
      <c r="I81" s="1370">
        <v>0</v>
      </c>
    </row>
    <row r="82" spans="1:9" ht="15.75" customHeight="1" x14ac:dyDescent="0.2">
      <c r="A82" s="1371" t="s">
        <v>2566</v>
      </c>
      <c r="B82" s="1371" t="s">
        <v>2570</v>
      </c>
      <c r="C82" s="4512" t="s">
        <v>1118</v>
      </c>
      <c r="D82" s="4512"/>
      <c r="E82" s="1370">
        <v>1120000</v>
      </c>
      <c r="F82" s="1370">
        <v>1120000</v>
      </c>
      <c r="G82" s="1370">
        <v>0</v>
      </c>
      <c r="H82" s="1370">
        <v>0</v>
      </c>
      <c r="I82" s="1370">
        <v>0</v>
      </c>
    </row>
    <row r="83" spans="1:9" ht="15.75" customHeight="1" x14ac:dyDescent="0.2">
      <c r="A83" s="1371" t="s">
        <v>2566</v>
      </c>
      <c r="B83" s="1371" t="s">
        <v>2570</v>
      </c>
      <c r="C83" s="1371" t="s">
        <v>1118</v>
      </c>
      <c r="D83" s="1372" t="s">
        <v>1164</v>
      </c>
      <c r="E83" s="1370">
        <v>1120000</v>
      </c>
      <c r="F83" s="1370">
        <v>1120000</v>
      </c>
      <c r="G83" s="1370">
        <v>0</v>
      </c>
      <c r="H83" s="1370">
        <v>0</v>
      </c>
      <c r="I83" s="1370">
        <v>0</v>
      </c>
    </row>
    <row r="84" spans="1:9" ht="15.75" customHeight="1" x14ac:dyDescent="0.2">
      <c r="A84" s="1371" t="s">
        <v>2566</v>
      </c>
      <c r="B84" s="1371" t="s">
        <v>2570</v>
      </c>
      <c r="C84" s="4512" t="s">
        <v>1137</v>
      </c>
      <c r="D84" s="4512"/>
      <c r="E84" s="1370">
        <v>10734010</v>
      </c>
      <c r="F84" s="1370">
        <v>0</v>
      </c>
      <c r="G84" s="1370">
        <v>10734010</v>
      </c>
      <c r="H84" s="1370">
        <v>0</v>
      </c>
      <c r="I84" s="1370">
        <v>0</v>
      </c>
    </row>
    <row r="85" spans="1:9" ht="15.75" customHeight="1" x14ac:dyDescent="0.2">
      <c r="A85" s="1371" t="s">
        <v>2566</v>
      </c>
      <c r="B85" s="1371" t="s">
        <v>2570</v>
      </c>
      <c r="C85" s="1371" t="s">
        <v>1137</v>
      </c>
      <c r="D85" s="1372" t="s">
        <v>1138</v>
      </c>
      <c r="E85" s="1370">
        <v>10734010</v>
      </c>
      <c r="F85" s="1370">
        <v>0</v>
      </c>
      <c r="G85" s="1370">
        <v>10734010</v>
      </c>
      <c r="H85" s="1370">
        <v>0</v>
      </c>
      <c r="I85" s="1370">
        <v>0</v>
      </c>
    </row>
    <row r="86" spans="1:9" ht="15.75" customHeight="1" x14ac:dyDescent="0.2">
      <c r="A86" s="1371" t="s">
        <v>2566</v>
      </c>
      <c r="B86" s="4512" t="s">
        <v>2571</v>
      </c>
      <c r="C86" s="4512"/>
      <c r="D86" s="4512"/>
      <c r="E86" s="1370">
        <v>90923500</v>
      </c>
      <c r="F86" s="1370">
        <v>0</v>
      </c>
      <c r="G86" s="1370">
        <v>37944000</v>
      </c>
      <c r="H86" s="1370">
        <v>52979500</v>
      </c>
      <c r="I86" s="1370">
        <v>0</v>
      </c>
    </row>
    <row r="87" spans="1:9" ht="15.75" customHeight="1" x14ac:dyDescent="0.2">
      <c r="A87" s="1371" t="s">
        <v>2566</v>
      </c>
      <c r="B87" s="1371" t="s">
        <v>2571</v>
      </c>
      <c r="C87" s="4512" t="s">
        <v>1139</v>
      </c>
      <c r="D87" s="4512"/>
      <c r="E87" s="1370">
        <v>52979500</v>
      </c>
      <c r="F87" s="1370">
        <v>0</v>
      </c>
      <c r="G87" s="1370">
        <v>0</v>
      </c>
      <c r="H87" s="1370">
        <v>52979500</v>
      </c>
      <c r="I87" s="1370">
        <v>0</v>
      </c>
    </row>
    <row r="88" spans="1:9" ht="15.75" customHeight="1" x14ac:dyDescent="0.2">
      <c r="A88" s="1371" t="s">
        <v>2566</v>
      </c>
      <c r="B88" s="1371" t="s">
        <v>2571</v>
      </c>
      <c r="C88" s="1371" t="s">
        <v>1139</v>
      </c>
      <c r="D88" s="1372" t="s">
        <v>1140</v>
      </c>
      <c r="E88" s="1370">
        <v>52979500</v>
      </c>
      <c r="F88" s="1370">
        <v>0</v>
      </c>
      <c r="G88" s="1370">
        <v>0</v>
      </c>
      <c r="H88" s="1370">
        <v>52979500</v>
      </c>
      <c r="I88" s="1370">
        <v>0</v>
      </c>
    </row>
    <row r="89" spans="1:9" ht="15.75" customHeight="1" x14ac:dyDescent="0.2">
      <c r="A89" s="1371" t="s">
        <v>2566</v>
      </c>
      <c r="B89" s="1371" t="s">
        <v>2571</v>
      </c>
      <c r="C89" s="4512" t="s">
        <v>1118</v>
      </c>
      <c r="D89" s="4512"/>
      <c r="E89" s="1370">
        <v>37944000</v>
      </c>
      <c r="F89" s="1370">
        <v>0</v>
      </c>
      <c r="G89" s="1370">
        <v>37944000</v>
      </c>
      <c r="H89" s="1370">
        <v>0</v>
      </c>
      <c r="I89" s="1370">
        <v>0</v>
      </c>
    </row>
    <row r="90" spans="1:9" ht="15.75" customHeight="1" x14ac:dyDescent="0.2">
      <c r="A90" s="1371" t="s">
        <v>2566</v>
      </c>
      <c r="B90" s="1371" t="s">
        <v>2571</v>
      </c>
      <c r="C90" s="1371" t="s">
        <v>1118</v>
      </c>
      <c r="D90" s="1372" t="s">
        <v>1180</v>
      </c>
      <c r="E90" s="1370">
        <v>37944000</v>
      </c>
      <c r="F90" s="1370">
        <v>0</v>
      </c>
      <c r="G90" s="1370">
        <v>37944000</v>
      </c>
      <c r="H90" s="1370">
        <v>0</v>
      </c>
      <c r="I90" s="1370">
        <v>0</v>
      </c>
    </row>
    <row r="91" spans="1:9" ht="15.75" customHeight="1" x14ac:dyDescent="0.2">
      <c r="A91" s="1371" t="s">
        <v>2566</v>
      </c>
      <c r="B91" s="4512" t="s">
        <v>2572</v>
      </c>
      <c r="C91" s="4512"/>
      <c r="D91" s="4512"/>
      <c r="E91" s="1370">
        <v>152168549</v>
      </c>
      <c r="F91" s="1370">
        <v>0</v>
      </c>
      <c r="G91" s="1370">
        <v>0</v>
      </c>
      <c r="H91" s="1370">
        <v>150000000</v>
      </c>
      <c r="I91" s="1370">
        <v>2168549</v>
      </c>
    </row>
    <row r="92" spans="1:9" ht="15.75" customHeight="1" x14ac:dyDescent="0.2">
      <c r="A92" s="1371" t="s">
        <v>2566</v>
      </c>
      <c r="B92" s="1371" t="s">
        <v>2572</v>
      </c>
      <c r="C92" s="4512" t="s">
        <v>1129</v>
      </c>
      <c r="D92" s="4512"/>
      <c r="E92" s="1370">
        <v>120000000</v>
      </c>
      <c r="F92" s="1370">
        <v>0</v>
      </c>
      <c r="G92" s="1370">
        <v>0</v>
      </c>
      <c r="H92" s="1370">
        <v>120000000</v>
      </c>
      <c r="I92" s="1370">
        <v>0</v>
      </c>
    </row>
    <row r="93" spans="1:9" ht="15.75" customHeight="1" x14ac:dyDescent="0.2">
      <c r="A93" s="1371" t="s">
        <v>2566</v>
      </c>
      <c r="B93" s="1371" t="s">
        <v>2572</v>
      </c>
      <c r="C93" s="1371" t="s">
        <v>1129</v>
      </c>
      <c r="D93" s="1372" t="s">
        <v>1130</v>
      </c>
      <c r="E93" s="1370">
        <v>120000000</v>
      </c>
      <c r="F93" s="1370">
        <v>0</v>
      </c>
      <c r="G93" s="1370">
        <v>0</v>
      </c>
      <c r="H93" s="1370">
        <v>120000000</v>
      </c>
      <c r="I93" s="1370">
        <v>0</v>
      </c>
    </row>
    <row r="94" spans="1:9" ht="15.75" customHeight="1" x14ac:dyDescent="0.2">
      <c r="A94" s="1371" t="s">
        <v>2566</v>
      </c>
      <c r="B94" s="1371" t="s">
        <v>2572</v>
      </c>
      <c r="C94" s="4512" t="s">
        <v>1194</v>
      </c>
      <c r="D94" s="4512"/>
      <c r="E94" s="1370">
        <v>2168549</v>
      </c>
      <c r="F94" s="1370">
        <v>0</v>
      </c>
      <c r="G94" s="1370">
        <v>0</v>
      </c>
      <c r="H94" s="1370">
        <v>0</v>
      </c>
      <c r="I94" s="1370">
        <v>2168549</v>
      </c>
    </row>
    <row r="95" spans="1:9" ht="15.75" customHeight="1" x14ac:dyDescent="0.2">
      <c r="A95" s="1371" t="s">
        <v>2566</v>
      </c>
      <c r="B95" s="1371" t="s">
        <v>2572</v>
      </c>
      <c r="C95" s="1371" t="s">
        <v>1194</v>
      </c>
      <c r="D95" s="1372" t="s">
        <v>1197</v>
      </c>
      <c r="E95" s="1370">
        <v>2168549</v>
      </c>
      <c r="F95" s="1370">
        <v>0</v>
      </c>
      <c r="G95" s="1370">
        <v>0</v>
      </c>
      <c r="H95" s="1370">
        <v>0</v>
      </c>
      <c r="I95" s="1370">
        <v>2168549</v>
      </c>
    </row>
    <row r="96" spans="1:9" ht="15.75" customHeight="1" x14ac:dyDescent="0.2">
      <c r="A96" s="1371" t="s">
        <v>2566</v>
      </c>
      <c r="B96" s="1371" t="s">
        <v>2572</v>
      </c>
      <c r="C96" s="4512" t="s">
        <v>1131</v>
      </c>
      <c r="D96" s="4512"/>
      <c r="E96" s="1370">
        <v>30000000</v>
      </c>
      <c r="F96" s="1370">
        <v>0</v>
      </c>
      <c r="G96" s="1370">
        <v>0</v>
      </c>
      <c r="H96" s="1370">
        <v>30000000</v>
      </c>
      <c r="I96" s="1370">
        <v>0</v>
      </c>
    </row>
    <row r="97" spans="1:9" ht="15.75" customHeight="1" x14ac:dyDescent="0.2">
      <c r="A97" s="1371" t="s">
        <v>2566</v>
      </c>
      <c r="B97" s="1371" t="s">
        <v>2572</v>
      </c>
      <c r="C97" s="1371" t="s">
        <v>1131</v>
      </c>
      <c r="D97" s="1372" t="s">
        <v>1132</v>
      </c>
      <c r="E97" s="1370">
        <v>30000000</v>
      </c>
      <c r="F97" s="1370">
        <v>0</v>
      </c>
      <c r="G97" s="1370">
        <v>0</v>
      </c>
      <c r="H97" s="1370">
        <v>30000000</v>
      </c>
      <c r="I97" s="1370">
        <v>0</v>
      </c>
    </row>
    <row r="98" spans="1:9" ht="15.75" customHeight="1" x14ac:dyDescent="0.2">
      <c r="A98" s="1371" t="s">
        <v>2566</v>
      </c>
      <c r="B98" s="1371" t="s">
        <v>2572</v>
      </c>
      <c r="C98" s="1371" t="s">
        <v>1131</v>
      </c>
      <c r="D98" s="1372" t="s">
        <v>2258</v>
      </c>
      <c r="E98" s="1370">
        <v>0</v>
      </c>
      <c r="F98" s="1370">
        <v>0</v>
      </c>
      <c r="G98" s="1370">
        <v>0</v>
      </c>
      <c r="H98" s="1370">
        <v>0</v>
      </c>
      <c r="I98" s="1370">
        <v>0</v>
      </c>
    </row>
    <row r="99" spans="1:9" ht="15.75" customHeight="1" x14ac:dyDescent="0.2">
      <c r="A99" s="1371" t="s">
        <v>2566</v>
      </c>
      <c r="B99" s="4512" t="s">
        <v>2573</v>
      </c>
      <c r="C99" s="4512"/>
      <c r="D99" s="4512"/>
      <c r="E99" s="1370">
        <v>14104371448</v>
      </c>
      <c r="F99" s="1370">
        <v>0</v>
      </c>
      <c r="G99" s="1370">
        <v>0</v>
      </c>
      <c r="H99" s="1370">
        <v>14017607350</v>
      </c>
      <c r="I99" s="1370">
        <v>86764098</v>
      </c>
    </row>
    <row r="100" spans="1:9" ht="15.75" customHeight="1" x14ac:dyDescent="0.2">
      <c r="A100" s="1371" t="s">
        <v>2566</v>
      </c>
      <c r="B100" s="1371" t="s">
        <v>2573</v>
      </c>
      <c r="C100" s="4512" t="s">
        <v>1129</v>
      </c>
      <c r="D100" s="4512"/>
      <c r="E100" s="1370">
        <v>8320537680</v>
      </c>
      <c r="F100" s="1370">
        <v>0</v>
      </c>
      <c r="G100" s="1370">
        <v>0</v>
      </c>
      <c r="H100" s="1370">
        <v>8320537680</v>
      </c>
      <c r="I100" s="1370">
        <v>0</v>
      </c>
    </row>
    <row r="101" spans="1:9" ht="15.75" customHeight="1" x14ac:dyDescent="0.2">
      <c r="A101" s="1371" t="s">
        <v>2566</v>
      </c>
      <c r="B101" s="1371" t="s">
        <v>2573</v>
      </c>
      <c r="C101" s="1371" t="s">
        <v>1129</v>
      </c>
      <c r="D101" s="1372" t="s">
        <v>1130</v>
      </c>
      <c r="E101" s="1370">
        <v>7540088347</v>
      </c>
      <c r="F101" s="1370">
        <v>0</v>
      </c>
      <c r="G101" s="1370">
        <v>0</v>
      </c>
      <c r="H101" s="1370">
        <v>7540088347</v>
      </c>
      <c r="I101" s="1370">
        <v>0</v>
      </c>
    </row>
    <row r="102" spans="1:9" ht="15.75" customHeight="1" x14ac:dyDescent="0.2">
      <c r="A102" s="1371" t="s">
        <v>2566</v>
      </c>
      <c r="B102" s="1371" t="s">
        <v>2573</v>
      </c>
      <c r="C102" s="1371" t="s">
        <v>1129</v>
      </c>
      <c r="D102" s="1372" t="s">
        <v>1159</v>
      </c>
      <c r="E102" s="1370">
        <v>736221783</v>
      </c>
      <c r="F102" s="1370">
        <v>0</v>
      </c>
      <c r="G102" s="1370">
        <v>0</v>
      </c>
      <c r="H102" s="1370">
        <v>736221783</v>
      </c>
      <c r="I102" s="1370">
        <v>0</v>
      </c>
    </row>
    <row r="103" spans="1:9" ht="15.75" customHeight="1" x14ac:dyDescent="0.2">
      <c r="A103" s="1371" t="s">
        <v>2566</v>
      </c>
      <c r="B103" s="1371" t="s">
        <v>2573</v>
      </c>
      <c r="C103" s="1371" t="s">
        <v>1129</v>
      </c>
      <c r="D103" s="1372" t="s">
        <v>1133</v>
      </c>
      <c r="E103" s="1370">
        <v>44227550</v>
      </c>
      <c r="F103" s="1370">
        <v>0</v>
      </c>
      <c r="G103" s="1370">
        <v>0</v>
      </c>
      <c r="H103" s="1370">
        <v>44227550</v>
      </c>
      <c r="I103" s="1370">
        <v>0</v>
      </c>
    </row>
    <row r="104" spans="1:9" ht="15.75" customHeight="1" x14ac:dyDescent="0.2">
      <c r="A104" s="1371" t="s">
        <v>2566</v>
      </c>
      <c r="B104" s="1371" t="s">
        <v>2573</v>
      </c>
      <c r="C104" s="4512" t="s">
        <v>1194</v>
      </c>
      <c r="D104" s="4512"/>
      <c r="E104" s="1370">
        <v>86764098</v>
      </c>
      <c r="F104" s="1370">
        <v>0</v>
      </c>
      <c r="G104" s="1370">
        <v>0</v>
      </c>
      <c r="H104" s="1370">
        <v>0</v>
      </c>
      <c r="I104" s="1370">
        <v>86764098</v>
      </c>
    </row>
    <row r="105" spans="1:9" ht="15.75" customHeight="1" x14ac:dyDescent="0.2">
      <c r="A105" s="1371" t="s">
        <v>2566</v>
      </c>
      <c r="B105" s="1371" t="s">
        <v>2573</v>
      </c>
      <c r="C105" s="1371" t="s">
        <v>1194</v>
      </c>
      <c r="D105" s="1372" t="s">
        <v>1197</v>
      </c>
      <c r="E105" s="1370">
        <v>86764098</v>
      </c>
      <c r="F105" s="1370">
        <v>0</v>
      </c>
      <c r="G105" s="1370">
        <v>0</v>
      </c>
      <c r="H105" s="1370">
        <v>0</v>
      </c>
      <c r="I105" s="1370">
        <v>86764098</v>
      </c>
    </row>
    <row r="106" spans="1:9" ht="15.75" customHeight="1" x14ac:dyDescent="0.2">
      <c r="A106" s="1371" t="s">
        <v>2566</v>
      </c>
      <c r="B106" s="1371" t="s">
        <v>2573</v>
      </c>
      <c r="C106" s="4512" t="s">
        <v>1125</v>
      </c>
      <c r="D106" s="4512"/>
      <c r="E106" s="1370">
        <v>1757337171</v>
      </c>
      <c r="F106" s="1370">
        <v>0</v>
      </c>
      <c r="G106" s="1370">
        <v>0</v>
      </c>
      <c r="H106" s="1370">
        <v>1757337171</v>
      </c>
      <c r="I106" s="1370">
        <v>0</v>
      </c>
    </row>
    <row r="107" spans="1:9" ht="15.75" customHeight="1" x14ac:dyDescent="0.2">
      <c r="A107" s="1371" t="s">
        <v>2566</v>
      </c>
      <c r="B107" s="1371" t="s">
        <v>2573</v>
      </c>
      <c r="C107" s="1371" t="s">
        <v>1125</v>
      </c>
      <c r="D107" s="1372" t="s">
        <v>1126</v>
      </c>
      <c r="E107" s="1370">
        <v>1757337171</v>
      </c>
      <c r="F107" s="1370">
        <v>0</v>
      </c>
      <c r="G107" s="1370">
        <v>0</v>
      </c>
      <c r="H107" s="1370">
        <v>1757337171</v>
      </c>
      <c r="I107" s="1370">
        <v>0</v>
      </c>
    </row>
    <row r="108" spans="1:9" ht="15.75" customHeight="1" x14ac:dyDescent="0.2">
      <c r="A108" s="1371" t="s">
        <v>2566</v>
      </c>
      <c r="B108" s="1371" t="s">
        <v>2573</v>
      </c>
      <c r="C108" s="4512" t="s">
        <v>1131</v>
      </c>
      <c r="D108" s="4512"/>
      <c r="E108" s="1370">
        <v>3912979792</v>
      </c>
      <c r="F108" s="1370">
        <v>0</v>
      </c>
      <c r="G108" s="1370">
        <v>0</v>
      </c>
      <c r="H108" s="1370">
        <v>3912979792</v>
      </c>
      <c r="I108" s="1370">
        <v>0</v>
      </c>
    </row>
    <row r="109" spans="1:9" ht="15.75" customHeight="1" x14ac:dyDescent="0.2">
      <c r="A109" s="1371" t="s">
        <v>2566</v>
      </c>
      <c r="B109" s="1371" t="s">
        <v>2573</v>
      </c>
      <c r="C109" s="1371" t="s">
        <v>1131</v>
      </c>
      <c r="D109" s="1372" t="s">
        <v>1132</v>
      </c>
      <c r="E109" s="1370">
        <v>3912979792</v>
      </c>
      <c r="F109" s="1370">
        <v>0</v>
      </c>
      <c r="G109" s="1370">
        <v>0</v>
      </c>
      <c r="H109" s="1370">
        <v>3912979792</v>
      </c>
      <c r="I109" s="1370">
        <v>0</v>
      </c>
    </row>
    <row r="110" spans="1:9" ht="15.75" customHeight="1" x14ac:dyDescent="0.2">
      <c r="A110" s="1371" t="s">
        <v>2566</v>
      </c>
      <c r="B110" s="1371" t="s">
        <v>2573</v>
      </c>
      <c r="C110" s="4512" t="s">
        <v>1137</v>
      </c>
      <c r="D110" s="4512"/>
      <c r="E110" s="1370">
        <v>26752707</v>
      </c>
      <c r="F110" s="1370">
        <v>0</v>
      </c>
      <c r="G110" s="1370">
        <v>0</v>
      </c>
      <c r="H110" s="1370">
        <v>26752707</v>
      </c>
      <c r="I110" s="1370">
        <v>0</v>
      </c>
    </row>
    <row r="111" spans="1:9" ht="15.75" customHeight="1" x14ac:dyDescent="0.2">
      <c r="A111" s="1371" t="s">
        <v>2566</v>
      </c>
      <c r="B111" s="1371" t="s">
        <v>2573</v>
      </c>
      <c r="C111" s="1371" t="s">
        <v>1137</v>
      </c>
      <c r="D111" s="1372" t="s">
        <v>1170</v>
      </c>
      <c r="E111" s="1370">
        <v>26752707</v>
      </c>
      <c r="F111" s="1370">
        <v>0</v>
      </c>
      <c r="G111" s="1370">
        <v>0</v>
      </c>
      <c r="H111" s="1370">
        <v>26752707</v>
      </c>
      <c r="I111" s="1370">
        <v>0</v>
      </c>
    </row>
    <row r="112" spans="1:9" ht="15.75" customHeight="1" x14ac:dyDescent="0.2">
      <c r="A112" s="1371" t="s">
        <v>2566</v>
      </c>
      <c r="B112" s="4512" t="s">
        <v>2574</v>
      </c>
      <c r="C112" s="4512"/>
      <c r="D112" s="4512"/>
      <c r="E112" s="1370">
        <v>256827722</v>
      </c>
      <c r="F112" s="1370">
        <v>0</v>
      </c>
      <c r="G112" s="1370">
        <v>0</v>
      </c>
      <c r="H112" s="1370">
        <v>256827722</v>
      </c>
      <c r="I112" s="1370">
        <v>0</v>
      </c>
    </row>
    <row r="113" spans="1:9" ht="15.75" customHeight="1" x14ac:dyDescent="0.2">
      <c r="A113" s="1371" t="s">
        <v>2566</v>
      </c>
      <c r="B113" s="1371" t="s">
        <v>2574</v>
      </c>
      <c r="C113" s="4512" t="s">
        <v>1129</v>
      </c>
      <c r="D113" s="4512"/>
      <c r="E113" s="1370">
        <v>11108590</v>
      </c>
      <c r="F113" s="1370">
        <v>0</v>
      </c>
      <c r="G113" s="1370">
        <v>0</v>
      </c>
      <c r="H113" s="1370">
        <v>11108590</v>
      </c>
      <c r="I113" s="1370">
        <v>0</v>
      </c>
    </row>
    <row r="114" spans="1:9" ht="15.75" customHeight="1" x14ac:dyDescent="0.2">
      <c r="A114" s="1371" t="s">
        <v>2566</v>
      </c>
      <c r="B114" s="1371" t="s">
        <v>2574</v>
      </c>
      <c r="C114" s="1371" t="s">
        <v>1129</v>
      </c>
      <c r="D114" s="1372" t="s">
        <v>1133</v>
      </c>
      <c r="E114" s="1370">
        <v>11108590</v>
      </c>
      <c r="F114" s="1370">
        <v>0</v>
      </c>
      <c r="G114" s="1370">
        <v>0</v>
      </c>
      <c r="H114" s="1370">
        <v>11108590</v>
      </c>
      <c r="I114" s="1370">
        <v>0</v>
      </c>
    </row>
    <row r="115" spans="1:9" ht="15.75" customHeight="1" x14ac:dyDescent="0.2">
      <c r="A115" s="1371" t="s">
        <v>2566</v>
      </c>
      <c r="B115" s="1371" t="s">
        <v>2574</v>
      </c>
      <c r="C115" s="4512" t="s">
        <v>1131</v>
      </c>
      <c r="D115" s="4512"/>
      <c r="E115" s="1370">
        <v>245719132</v>
      </c>
      <c r="F115" s="1370">
        <v>0</v>
      </c>
      <c r="G115" s="1370">
        <v>0</v>
      </c>
      <c r="H115" s="1370">
        <v>245719132</v>
      </c>
      <c r="I115" s="1370">
        <v>0</v>
      </c>
    </row>
    <row r="116" spans="1:9" ht="15.75" customHeight="1" x14ac:dyDescent="0.2">
      <c r="A116" s="1371" t="s">
        <v>2566</v>
      </c>
      <c r="B116" s="1371" t="s">
        <v>2574</v>
      </c>
      <c r="C116" s="1371" t="s">
        <v>1131</v>
      </c>
      <c r="D116" s="1372" t="s">
        <v>1177</v>
      </c>
      <c r="E116" s="1370">
        <v>245719132</v>
      </c>
      <c r="F116" s="1370">
        <v>0</v>
      </c>
      <c r="G116" s="1370">
        <v>0</v>
      </c>
      <c r="H116" s="1370">
        <v>245719132</v>
      </c>
      <c r="I116" s="1370">
        <v>0</v>
      </c>
    </row>
    <row r="117" spans="1:9" ht="15.75" customHeight="1" x14ac:dyDescent="0.2">
      <c r="A117" s="1371" t="s">
        <v>2566</v>
      </c>
      <c r="B117" s="4512" t="s">
        <v>2575</v>
      </c>
      <c r="C117" s="4512"/>
      <c r="D117" s="4512"/>
      <c r="E117" s="1370">
        <v>0</v>
      </c>
      <c r="F117" s="1370">
        <v>0</v>
      </c>
      <c r="G117" s="1370">
        <v>0</v>
      </c>
      <c r="H117" s="1370">
        <v>0</v>
      </c>
      <c r="I117" s="1370">
        <v>0</v>
      </c>
    </row>
    <row r="118" spans="1:9" ht="15.75" customHeight="1" x14ac:dyDescent="0.2">
      <c r="A118" s="1371" t="s">
        <v>2566</v>
      </c>
      <c r="B118" s="1371" t="s">
        <v>2575</v>
      </c>
      <c r="C118" s="4512" t="s">
        <v>1181</v>
      </c>
      <c r="D118" s="4512"/>
      <c r="E118" s="1370">
        <v>0</v>
      </c>
      <c r="F118" s="1370">
        <v>0</v>
      </c>
      <c r="G118" s="1370">
        <v>0</v>
      </c>
      <c r="H118" s="1370">
        <v>0</v>
      </c>
      <c r="I118" s="1370">
        <v>0</v>
      </c>
    </row>
    <row r="119" spans="1:9" ht="15.75" customHeight="1" x14ac:dyDescent="0.2">
      <c r="A119" s="1371" t="s">
        <v>2566</v>
      </c>
      <c r="B119" s="1371" t="s">
        <v>2575</v>
      </c>
      <c r="C119" s="1371" t="s">
        <v>1181</v>
      </c>
      <c r="D119" s="1372" t="s">
        <v>1183</v>
      </c>
      <c r="E119" s="1370">
        <v>0</v>
      </c>
      <c r="F119" s="1370">
        <v>0</v>
      </c>
      <c r="G119" s="1370">
        <v>0</v>
      </c>
      <c r="H119" s="1370">
        <v>0</v>
      </c>
      <c r="I119" s="1370">
        <v>0</v>
      </c>
    </row>
    <row r="120" spans="1:9" ht="15.75" customHeight="1" x14ac:dyDescent="0.2">
      <c r="A120" s="4512" t="s">
        <v>2576</v>
      </c>
      <c r="B120" s="4512"/>
      <c r="C120" s="4512"/>
      <c r="D120" s="4512"/>
      <c r="E120" s="1370">
        <v>438036051462</v>
      </c>
      <c r="F120" s="1370">
        <v>19131958</v>
      </c>
      <c r="G120" s="1370">
        <v>1510553308</v>
      </c>
      <c r="H120" s="1370">
        <v>436002676014</v>
      </c>
      <c r="I120" s="1370">
        <v>503690182</v>
      </c>
    </row>
    <row r="121" spans="1:9" ht="15.75" customHeight="1" x14ac:dyDescent="0.2">
      <c r="A121" s="1371" t="s">
        <v>2576</v>
      </c>
      <c r="B121" s="4512" t="s">
        <v>1141</v>
      </c>
      <c r="C121" s="4512"/>
      <c r="D121" s="4512"/>
      <c r="E121" s="1370">
        <v>48492000</v>
      </c>
      <c r="F121" s="1370">
        <v>0</v>
      </c>
      <c r="G121" s="1370">
        <v>0</v>
      </c>
      <c r="H121" s="1370">
        <v>44417000</v>
      </c>
      <c r="I121" s="1370">
        <v>4075000</v>
      </c>
    </row>
    <row r="122" spans="1:9" ht="15.75" customHeight="1" x14ac:dyDescent="0.2">
      <c r="A122" s="1371" t="s">
        <v>2576</v>
      </c>
      <c r="B122" s="1371" t="s">
        <v>1141</v>
      </c>
      <c r="C122" s="4512" t="s">
        <v>1192</v>
      </c>
      <c r="D122" s="4512"/>
      <c r="E122" s="1370">
        <v>4075000</v>
      </c>
      <c r="F122" s="1370">
        <v>0</v>
      </c>
      <c r="G122" s="1370">
        <v>0</v>
      </c>
      <c r="H122" s="1370">
        <v>0</v>
      </c>
      <c r="I122" s="1370">
        <v>4075000</v>
      </c>
    </row>
    <row r="123" spans="1:9" ht="15.75" customHeight="1" x14ac:dyDescent="0.2">
      <c r="A123" s="1371" t="s">
        <v>2576</v>
      </c>
      <c r="B123" s="1371" t="s">
        <v>1141</v>
      </c>
      <c r="C123" s="1371" t="s">
        <v>1192</v>
      </c>
      <c r="D123" s="1372" t="s">
        <v>1193</v>
      </c>
      <c r="E123" s="1370">
        <v>4075000</v>
      </c>
      <c r="F123" s="1370">
        <v>0</v>
      </c>
      <c r="G123" s="1370">
        <v>0</v>
      </c>
      <c r="H123" s="1370">
        <v>0</v>
      </c>
      <c r="I123" s="1370">
        <v>4075000</v>
      </c>
    </row>
    <row r="124" spans="1:9" ht="15.75" customHeight="1" x14ac:dyDescent="0.2">
      <c r="A124" s="1371" t="s">
        <v>2576</v>
      </c>
      <c r="B124" s="1371" t="s">
        <v>1141</v>
      </c>
      <c r="C124" s="4512" t="s">
        <v>2256</v>
      </c>
      <c r="D124" s="4512"/>
      <c r="E124" s="1370">
        <v>882000</v>
      </c>
      <c r="F124" s="1370">
        <v>0</v>
      </c>
      <c r="G124" s="1370">
        <v>0</v>
      </c>
      <c r="H124" s="1370">
        <v>882000</v>
      </c>
      <c r="I124" s="1370">
        <v>0</v>
      </c>
    </row>
    <row r="125" spans="1:9" ht="15.75" customHeight="1" x14ac:dyDescent="0.2">
      <c r="A125" s="1371" t="s">
        <v>2576</v>
      </c>
      <c r="B125" s="1371" t="s">
        <v>1141</v>
      </c>
      <c r="C125" s="1371" t="s">
        <v>2256</v>
      </c>
      <c r="D125" s="1372" t="s">
        <v>2257</v>
      </c>
      <c r="E125" s="1370">
        <v>882000</v>
      </c>
      <c r="F125" s="1370">
        <v>0</v>
      </c>
      <c r="G125" s="1370">
        <v>0</v>
      </c>
      <c r="H125" s="1370">
        <v>882000</v>
      </c>
      <c r="I125" s="1370">
        <v>0</v>
      </c>
    </row>
    <row r="126" spans="1:9" ht="15.75" customHeight="1" x14ac:dyDescent="0.2">
      <c r="A126" s="1371" t="s">
        <v>2576</v>
      </c>
      <c r="B126" s="1371" t="s">
        <v>1141</v>
      </c>
      <c r="C126" s="4512" t="s">
        <v>1118</v>
      </c>
      <c r="D126" s="4512"/>
      <c r="E126" s="1370">
        <v>43535000</v>
      </c>
      <c r="F126" s="1370">
        <v>0</v>
      </c>
      <c r="G126" s="1370">
        <v>0</v>
      </c>
      <c r="H126" s="1370">
        <v>43535000</v>
      </c>
      <c r="I126" s="1370">
        <v>0</v>
      </c>
    </row>
    <row r="127" spans="1:9" ht="15.75" customHeight="1" x14ac:dyDescent="0.2">
      <c r="A127" s="1371" t="s">
        <v>2576</v>
      </c>
      <c r="B127" s="1371" t="s">
        <v>1141</v>
      </c>
      <c r="C127" s="1371" t="s">
        <v>1118</v>
      </c>
      <c r="D127" s="1372" t="s">
        <v>1180</v>
      </c>
      <c r="E127" s="1370">
        <v>43535000</v>
      </c>
      <c r="F127" s="1370">
        <v>0</v>
      </c>
      <c r="G127" s="1370">
        <v>0</v>
      </c>
      <c r="H127" s="1370">
        <v>43535000</v>
      </c>
      <c r="I127" s="1370">
        <v>0</v>
      </c>
    </row>
    <row r="128" spans="1:9" ht="15.75" customHeight="1" x14ac:dyDescent="0.2">
      <c r="A128" s="1371" t="s">
        <v>2576</v>
      </c>
      <c r="B128" s="4512" t="s">
        <v>1142</v>
      </c>
      <c r="C128" s="4512"/>
      <c r="D128" s="4512"/>
      <c r="E128" s="1370">
        <v>9937000</v>
      </c>
      <c r="F128" s="1370">
        <v>0</v>
      </c>
      <c r="G128" s="1370">
        <v>0</v>
      </c>
      <c r="H128" s="1370">
        <v>9937000</v>
      </c>
      <c r="I128" s="1370">
        <v>0</v>
      </c>
    </row>
    <row r="129" spans="1:9" ht="15.75" customHeight="1" x14ac:dyDescent="0.2">
      <c r="A129" s="1371" t="s">
        <v>2576</v>
      </c>
      <c r="B129" s="1371" t="s">
        <v>1142</v>
      </c>
      <c r="C129" s="4512" t="s">
        <v>1121</v>
      </c>
      <c r="D129" s="4512"/>
      <c r="E129" s="1370">
        <v>5412000</v>
      </c>
      <c r="F129" s="1370">
        <v>0</v>
      </c>
      <c r="G129" s="1370">
        <v>0</v>
      </c>
      <c r="H129" s="1370">
        <v>5412000</v>
      </c>
      <c r="I129" s="1370">
        <v>0</v>
      </c>
    </row>
    <row r="130" spans="1:9" ht="15.75" customHeight="1" x14ac:dyDescent="0.2">
      <c r="A130" s="1371" t="s">
        <v>2576</v>
      </c>
      <c r="B130" s="1371" t="s">
        <v>1142</v>
      </c>
      <c r="C130" s="1371" t="s">
        <v>1121</v>
      </c>
      <c r="D130" s="1372" t="s">
        <v>1143</v>
      </c>
      <c r="E130" s="1370">
        <v>5412000</v>
      </c>
      <c r="F130" s="1370">
        <v>0</v>
      </c>
      <c r="G130" s="1370">
        <v>0</v>
      </c>
      <c r="H130" s="1370">
        <v>5412000</v>
      </c>
      <c r="I130" s="1370">
        <v>0</v>
      </c>
    </row>
    <row r="131" spans="1:9" ht="15.75" customHeight="1" x14ac:dyDescent="0.2">
      <c r="A131" s="1371" t="s">
        <v>2576</v>
      </c>
      <c r="B131" s="1371" t="s">
        <v>1142</v>
      </c>
      <c r="C131" s="4512" t="s">
        <v>1144</v>
      </c>
      <c r="D131" s="4512"/>
      <c r="E131" s="1370">
        <v>4525000</v>
      </c>
      <c r="F131" s="1370">
        <v>0</v>
      </c>
      <c r="G131" s="1370">
        <v>0</v>
      </c>
      <c r="H131" s="1370">
        <v>4525000</v>
      </c>
      <c r="I131" s="1370">
        <v>0</v>
      </c>
    </row>
    <row r="132" spans="1:9" ht="15.75" customHeight="1" x14ac:dyDescent="0.2">
      <c r="A132" s="1371" t="s">
        <v>2576</v>
      </c>
      <c r="B132" s="1371" t="s">
        <v>1142</v>
      </c>
      <c r="C132" s="1371" t="s">
        <v>1144</v>
      </c>
      <c r="D132" s="1372" t="s">
        <v>1145</v>
      </c>
      <c r="E132" s="1370">
        <v>4525000</v>
      </c>
      <c r="F132" s="1370">
        <v>0</v>
      </c>
      <c r="G132" s="1370">
        <v>0</v>
      </c>
      <c r="H132" s="1370">
        <v>4525000</v>
      </c>
      <c r="I132" s="1370">
        <v>0</v>
      </c>
    </row>
    <row r="133" spans="1:9" ht="15.75" customHeight="1" x14ac:dyDescent="0.2">
      <c r="A133" s="1371" t="s">
        <v>2576</v>
      </c>
      <c r="B133" s="4512" t="s">
        <v>1146</v>
      </c>
      <c r="C133" s="4512"/>
      <c r="D133" s="4512"/>
      <c r="E133" s="1370">
        <v>48137800</v>
      </c>
      <c r="F133" s="1370">
        <v>0</v>
      </c>
      <c r="G133" s="1370">
        <v>0</v>
      </c>
      <c r="H133" s="1370">
        <v>48137800</v>
      </c>
      <c r="I133" s="1370">
        <v>0</v>
      </c>
    </row>
    <row r="134" spans="1:9" ht="15.75" customHeight="1" x14ac:dyDescent="0.2">
      <c r="A134" s="1371" t="s">
        <v>2576</v>
      </c>
      <c r="B134" s="1371" t="s">
        <v>1146</v>
      </c>
      <c r="C134" s="4512" t="s">
        <v>1127</v>
      </c>
      <c r="D134" s="4512"/>
      <c r="E134" s="1370">
        <v>20610000</v>
      </c>
      <c r="F134" s="1370">
        <v>0</v>
      </c>
      <c r="G134" s="1370">
        <v>0</v>
      </c>
      <c r="H134" s="1370">
        <v>20610000</v>
      </c>
      <c r="I134" s="1370">
        <v>0</v>
      </c>
    </row>
    <row r="135" spans="1:9" ht="15.75" customHeight="1" x14ac:dyDescent="0.2">
      <c r="A135" s="1371" t="s">
        <v>2576</v>
      </c>
      <c r="B135" s="1371" t="s">
        <v>1146</v>
      </c>
      <c r="C135" s="1371" t="s">
        <v>1127</v>
      </c>
      <c r="D135" s="1372" t="s">
        <v>1147</v>
      </c>
      <c r="E135" s="1370">
        <v>20610000</v>
      </c>
      <c r="F135" s="1370">
        <v>0</v>
      </c>
      <c r="G135" s="1370">
        <v>0</v>
      </c>
      <c r="H135" s="1370">
        <v>20610000</v>
      </c>
      <c r="I135" s="1370">
        <v>0</v>
      </c>
    </row>
    <row r="136" spans="1:9" ht="15.75" customHeight="1" x14ac:dyDescent="0.2">
      <c r="A136" s="1371" t="s">
        <v>2576</v>
      </c>
      <c r="B136" s="1371" t="s">
        <v>1146</v>
      </c>
      <c r="C136" s="4512" t="s">
        <v>1148</v>
      </c>
      <c r="D136" s="4512"/>
      <c r="E136" s="1370">
        <v>17526800</v>
      </c>
      <c r="F136" s="1370">
        <v>0</v>
      </c>
      <c r="G136" s="1370">
        <v>0</v>
      </c>
      <c r="H136" s="1370">
        <v>17526800</v>
      </c>
      <c r="I136" s="1370">
        <v>0</v>
      </c>
    </row>
    <row r="137" spans="1:9" ht="15.75" customHeight="1" x14ac:dyDescent="0.2">
      <c r="A137" s="1371" t="s">
        <v>2576</v>
      </c>
      <c r="B137" s="1371" t="s">
        <v>1146</v>
      </c>
      <c r="C137" s="1371" t="s">
        <v>1148</v>
      </c>
      <c r="D137" s="1372" t="s">
        <v>2259</v>
      </c>
      <c r="E137" s="1370">
        <v>400000</v>
      </c>
      <c r="F137" s="1370">
        <v>0</v>
      </c>
      <c r="G137" s="1370">
        <v>0</v>
      </c>
      <c r="H137" s="1370">
        <v>400000</v>
      </c>
      <c r="I137" s="1370">
        <v>0</v>
      </c>
    </row>
    <row r="138" spans="1:9" ht="15.75" customHeight="1" x14ac:dyDescent="0.2">
      <c r="A138" s="1371" t="s">
        <v>2576</v>
      </c>
      <c r="B138" s="1371" t="s">
        <v>1146</v>
      </c>
      <c r="C138" s="1371" t="s">
        <v>1148</v>
      </c>
      <c r="D138" s="1372" t="s">
        <v>1149</v>
      </c>
      <c r="E138" s="1370">
        <v>17126800</v>
      </c>
      <c r="F138" s="1370">
        <v>0</v>
      </c>
      <c r="G138" s="1370">
        <v>0</v>
      </c>
      <c r="H138" s="1370">
        <v>17126800</v>
      </c>
      <c r="I138" s="1370">
        <v>0</v>
      </c>
    </row>
    <row r="139" spans="1:9" ht="15.75" customHeight="1" x14ac:dyDescent="0.2">
      <c r="A139" s="1371" t="s">
        <v>2576</v>
      </c>
      <c r="B139" s="1371" t="s">
        <v>1146</v>
      </c>
      <c r="C139" s="4512" t="s">
        <v>1137</v>
      </c>
      <c r="D139" s="4512"/>
      <c r="E139" s="1370">
        <v>10001000</v>
      </c>
      <c r="F139" s="1370">
        <v>0</v>
      </c>
      <c r="G139" s="1370">
        <v>0</v>
      </c>
      <c r="H139" s="1370">
        <v>10001000</v>
      </c>
      <c r="I139" s="1370">
        <v>0</v>
      </c>
    </row>
    <row r="140" spans="1:9" ht="15.75" customHeight="1" x14ac:dyDescent="0.2">
      <c r="A140" s="1371" t="s">
        <v>2576</v>
      </c>
      <c r="B140" s="1371" t="s">
        <v>1146</v>
      </c>
      <c r="C140" s="1371" t="s">
        <v>1137</v>
      </c>
      <c r="D140" s="1372" t="s">
        <v>1157</v>
      </c>
      <c r="E140" s="1370">
        <v>10001000</v>
      </c>
      <c r="F140" s="1370">
        <v>0</v>
      </c>
      <c r="G140" s="1370">
        <v>0</v>
      </c>
      <c r="H140" s="1370">
        <v>10001000</v>
      </c>
      <c r="I140" s="1370">
        <v>0</v>
      </c>
    </row>
    <row r="141" spans="1:9" ht="15.75" customHeight="1" x14ac:dyDescent="0.2">
      <c r="A141" s="1371" t="s">
        <v>2576</v>
      </c>
      <c r="B141" s="4512" t="s">
        <v>1153</v>
      </c>
      <c r="C141" s="4512"/>
      <c r="D141" s="4512"/>
      <c r="E141" s="1370">
        <v>167200</v>
      </c>
      <c r="F141" s="1370">
        <v>0</v>
      </c>
      <c r="G141" s="1370">
        <v>0</v>
      </c>
      <c r="H141" s="1370">
        <v>167200</v>
      </c>
      <c r="I141" s="1370">
        <v>0</v>
      </c>
    </row>
    <row r="142" spans="1:9" ht="15.75" customHeight="1" x14ac:dyDescent="0.2">
      <c r="A142" s="1371" t="s">
        <v>2576</v>
      </c>
      <c r="B142" s="1371" t="s">
        <v>1153</v>
      </c>
      <c r="C142" s="4512" t="s">
        <v>1148</v>
      </c>
      <c r="D142" s="4512"/>
      <c r="E142" s="1370">
        <v>163000</v>
      </c>
      <c r="F142" s="1370">
        <v>0</v>
      </c>
      <c r="G142" s="1370">
        <v>0</v>
      </c>
      <c r="H142" s="1370">
        <v>163000</v>
      </c>
      <c r="I142" s="1370">
        <v>0</v>
      </c>
    </row>
    <row r="143" spans="1:9" ht="15.75" customHeight="1" x14ac:dyDescent="0.2">
      <c r="A143" s="1371" t="s">
        <v>2576</v>
      </c>
      <c r="B143" s="1371" t="s">
        <v>1153</v>
      </c>
      <c r="C143" s="1371" t="s">
        <v>1148</v>
      </c>
      <c r="D143" s="1372" t="s">
        <v>2259</v>
      </c>
      <c r="E143" s="1370">
        <v>163000</v>
      </c>
      <c r="F143" s="1370">
        <v>0</v>
      </c>
      <c r="G143" s="1370">
        <v>0</v>
      </c>
      <c r="H143" s="1370">
        <v>163000</v>
      </c>
      <c r="I143" s="1370">
        <v>0</v>
      </c>
    </row>
    <row r="144" spans="1:9" ht="15.75" customHeight="1" x14ac:dyDescent="0.2">
      <c r="A144" s="1371" t="s">
        <v>2576</v>
      </c>
      <c r="B144" s="1371" t="s">
        <v>1153</v>
      </c>
      <c r="C144" s="4512" t="s">
        <v>1118</v>
      </c>
      <c r="D144" s="4512"/>
      <c r="E144" s="1370">
        <v>4200</v>
      </c>
      <c r="F144" s="1370">
        <v>0</v>
      </c>
      <c r="G144" s="1370">
        <v>0</v>
      </c>
      <c r="H144" s="1370">
        <v>4200</v>
      </c>
      <c r="I144" s="1370">
        <v>0</v>
      </c>
    </row>
    <row r="145" spans="1:9" ht="15.75" customHeight="1" x14ac:dyDescent="0.2">
      <c r="A145" s="1371" t="s">
        <v>2576</v>
      </c>
      <c r="B145" s="1371" t="s">
        <v>1153</v>
      </c>
      <c r="C145" s="1371" t="s">
        <v>1118</v>
      </c>
      <c r="D145" s="1372" t="s">
        <v>1166</v>
      </c>
      <c r="E145" s="1370">
        <v>4200</v>
      </c>
      <c r="F145" s="1370">
        <v>0</v>
      </c>
      <c r="G145" s="1370">
        <v>0</v>
      </c>
      <c r="H145" s="1370">
        <v>4200</v>
      </c>
      <c r="I145" s="1370">
        <v>0</v>
      </c>
    </row>
    <row r="146" spans="1:9" ht="15.75" customHeight="1" x14ac:dyDescent="0.2">
      <c r="A146" s="1371" t="s">
        <v>2576</v>
      </c>
      <c r="B146" s="4512" t="s">
        <v>1154</v>
      </c>
      <c r="C146" s="4512"/>
      <c r="D146" s="4512"/>
      <c r="E146" s="1370">
        <v>35600000</v>
      </c>
      <c r="F146" s="1370">
        <v>0</v>
      </c>
      <c r="G146" s="1370">
        <v>0</v>
      </c>
      <c r="H146" s="1370">
        <v>35600000</v>
      </c>
      <c r="I146" s="1370">
        <v>0</v>
      </c>
    </row>
    <row r="147" spans="1:9" ht="15.75" customHeight="1" x14ac:dyDescent="0.2">
      <c r="A147" s="1371" t="s">
        <v>2576</v>
      </c>
      <c r="B147" s="1371" t="s">
        <v>1154</v>
      </c>
      <c r="C147" s="4512" t="s">
        <v>1137</v>
      </c>
      <c r="D147" s="4512"/>
      <c r="E147" s="1370">
        <v>35600000</v>
      </c>
      <c r="F147" s="1370">
        <v>0</v>
      </c>
      <c r="G147" s="1370">
        <v>0</v>
      </c>
      <c r="H147" s="1370">
        <v>35600000</v>
      </c>
      <c r="I147" s="1370">
        <v>0</v>
      </c>
    </row>
    <row r="148" spans="1:9" ht="15.75" customHeight="1" x14ac:dyDescent="0.2">
      <c r="A148" s="1371" t="s">
        <v>2576</v>
      </c>
      <c r="B148" s="1371" t="s">
        <v>1154</v>
      </c>
      <c r="C148" s="1371" t="s">
        <v>1137</v>
      </c>
      <c r="D148" s="1372" t="s">
        <v>1138</v>
      </c>
      <c r="E148" s="1370">
        <v>35600000</v>
      </c>
      <c r="F148" s="1370">
        <v>0</v>
      </c>
      <c r="G148" s="1370">
        <v>0</v>
      </c>
      <c r="H148" s="1370">
        <v>35600000</v>
      </c>
      <c r="I148" s="1370">
        <v>0</v>
      </c>
    </row>
    <row r="149" spans="1:9" ht="15.75" customHeight="1" x14ac:dyDescent="0.2">
      <c r="A149" s="1371" t="s">
        <v>2576</v>
      </c>
      <c r="B149" s="4512" t="s">
        <v>1155</v>
      </c>
      <c r="C149" s="4512"/>
      <c r="D149" s="4512"/>
      <c r="E149" s="1370">
        <v>13300000</v>
      </c>
      <c r="F149" s="1370">
        <v>0</v>
      </c>
      <c r="G149" s="1370">
        <v>0</v>
      </c>
      <c r="H149" s="1370">
        <v>13300000</v>
      </c>
      <c r="I149" s="1370">
        <v>0</v>
      </c>
    </row>
    <row r="150" spans="1:9" ht="15.75" customHeight="1" x14ac:dyDescent="0.2">
      <c r="A150" s="1371" t="s">
        <v>2576</v>
      </c>
      <c r="B150" s="1371" t="s">
        <v>1155</v>
      </c>
      <c r="C150" s="4512" t="s">
        <v>1127</v>
      </c>
      <c r="D150" s="4512"/>
      <c r="E150" s="1370">
        <v>13300000</v>
      </c>
      <c r="F150" s="1370">
        <v>0</v>
      </c>
      <c r="G150" s="1370">
        <v>0</v>
      </c>
      <c r="H150" s="1370">
        <v>13300000</v>
      </c>
      <c r="I150" s="1370">
        <v>0</v>
      </c>
    </row>
    <row r="151" spans="1:9" ht="15.75" customHeight="1" x14ac:dyDescent="0.2">
      <c r="A151" s="1371" t="s">
        <v>2576</v>
      </c>
      <c r="B151" s="1371" t="s">
        <v>1155</v>
      </c>
      <c r="C151" s="1371" t="s">
        <v>1127</v>
      </c>
      <c r="D151" s="1372" t="s">
        <v>1152</v>
      </c>
      <c r="E151" s="1370">
        <v>13300000</v>
      </c>
      <c r="F151" s="1370">
        <v>0</v>
      </c>
      <c r="G151" s="1370">
        <v>0</v>
      </c>
      <c r="H151" s="1370">
        <v>13300000</v>
      </c>
      <c r="I151" s="1370">
        <v>0</v>
      </c>
    </row>
    <row r="152" spans="1:9" ht="15.75" customHeight="1" x14ac:dyDescent="0.2">
      <c r="A152" s="1371" t="s">
        <v>2576</v>
      </c>
      <c r="B152" s="4512" t="s">
        <v>1158</v>
      </c>
      <c r="C152" s="4512"/>
      <c r="D152" s="4512"/>
      <c r="E152" s="1370">
        <v>127267755</v>
      </c>
      <c r="F152" s="1370">
        <v>0</v>
      </c>
      <c r="G152" s="1370">
        <v>0</v>
      </c>
      <c r="H152" s="1370">
        <v>127267755</v>
      </c>
      <c r="I152" s="1370">
        <v>0</v>
      </c>
    </row>
    <row r="153" spans="1:9" ht="15.75" customHeight="1" x14ac:dyDescent="0.2">
      <c r="A153" s="1371" t="s">
        <v>2576</v>
      </c>
      <c r="B153" s="1371" t="s">
        <v>1158</v>
      </c>
      <c r="C153" s="4512" t="s">
        <v>1137</v>
      </c>
      <c r="D153" s="4512"/>
      <c r="E153" s="1370">
        <v>127267755</v>
      </c>
      <c r="F153" s="1370">
        <v>0</v>
      </c>
      <c r="G153" s="1370">
        <v>0</v>
      </c>
      <c r="H153" s="1370">
        <v>127267755</v>
      </c>
      <c r="I153" s="1370">
        <v>0</v>
      </c>
    </row>
    <row r="154" spans="1:9" ht="15.75" customHeight="1" x14ac:dyDescent="0.2">
      <c r="A154" s="1371" t="s">
        <v>2576</v>
      </c>
      <c r="B154" s="1371" t="s">
        <v>1158</v>
      </c>
      <c r="C154" s="1371" t="s">
        <v>1137</v>
      </c>
      <c r="D154" s="1372" t="s">
        <v>1138</v>
      </c>
      <c r="E154" s="1370">
        <v>127267755</v>
      </c>
      <c r="F154" s="1370">
        <v>0</v>
      </c>
      <c r="G154" s="1370">
        <v>0</v>
      </c>
      <c r="H154" s="1370">
        <v>127267755</v>
      </c>
      <c r="I154" s="1370">
        <v>0</v>
      </c>
    </row>
    <row r="155" spans="1:9" ht="15.75" customHeight="1" x14ac:dyDescent="0.2">
      <c r="A155" s="1371" t="s">
        <v>2576</v>
      </c>
      <c r="B155" s="4512" t="s">
        <v>2577</v>
      </c>
      <c r="C155" s="4512"/>
      <c r="D155" s="4512"/>
      <c r="E155" s="1370">
        <v>1114370426</v>
      </c>
      <c r="F155" s="1370">
        <v>5352448</v>
      </c>
      <c r="G155" s="1370">
        <v>0</v>
      </c>
      <c r="H155" s="1370">
        <v>1109017978</v>
      </c>
      <c r="I155" s="1370">
        <v>0</v>
      </c>
    </row>
    <row r="156" spans="1:9" ht="15.75" customHeight="1" x14ac:dyDescent="0.2">
      <c r="A156" s="1371" t="s">
        <v>2576</v>
      </c>
      <c r="B156" s="1371" t="s">
        <v>2577</v>
      </c>
      <c r="C156" s="4512" t="s">
        <v>1129</v>
      </c>
      <c r="D156" s="4512"/>
      <c r="E156" s="1370">
        <v>118311200</v>
      </c>
      <c r="F156" s="1370">
        <v>0</v>
      </c>
      <c r="G156" s="1370">
        <v>0</v>
      </c>
      <c r="H156" s="1370">
        <v>118311200</v>
      </c>
      <c r="I156" s="1370">
        <v>0</v>
      </c>
    </row>
    <row r="157" spans="1:9" ht="15.75" customHeight="1" x14ac:dyDescent="0.2">
      <c r="A157" s="1371" t="s">
        <v>2576</v>
      </c>
      <c r="B157" s="1371" t="s">
        <v>2577</v>
      </c>
      <c r="C157" s="1371" t="s">
        <v>1129</v>
      </c>
      <c r="D157" s="1372" t="s">
        <v>1159</v>
      </c>
      <c r="E157" s="1370">
        <v>70274000</v>
      </c>
      <c r="F157" s="1370">
        <v>0</v>
      </c>
      <c r="G157" s="1370">
        <v>0</v>
      </c>
      <c r="H157" s="1370">
        <v>70274000</v>
      </c>
      <c r="I157" s="1370">
        <v>0</v>
      </c>
    </row>
    <row r="158" spans="1:9" ht="15.75" customHeight="1" x14ac:dyDescent="0.2">
      <c r="A158" s="1371" t="s">
        <v>2576</v>
      </c>
      <c r="B158" s="1371" t="s">
        <v>2577</v>
      </c>
      <c r="C158" s="1371" t="s">
        <v>1129</v>
      </c>
      <c r="D158" s="1372" t="s">
        <v>1160</v>
      </c>
      <c r="E158" s="1370">
        <v>48037200</v>
      </c>
      <c r="F158" s="1370">
        <v>0</v>
      </c>
      <c r="G158" s="1370">
        <v>0</v>
      </c>
      <c r="H158" s="1370">
        <v>48037200</v>
      </c>
      <c r="I158" s="1370">
        <v>0</v>
      </c>
    </row>
    <row r="159" spans="1:9" ht="15.75" customHeight="1" x14ac:dyDescent="0.2">
      <c r="A159" s="1371" t="s">
        <v>2576</v>
      </c>
      <c r="B159" s="1371" t="s">
        <v>2577</v>
      </c>
      <c r="C159" s="4512" t="s">
        <v>1125</v>
      </c>
      <c r="D159" s="4512"/>
      <c r="E159" s="1370">
        <v>921099488</v>
      </c>
      <c r="F159" s="1370">
        <v>0</v>
      </c>
      <c r="G159" s="1370">
        <v>0</v>
      </c>
      <c r="H159" s="1370">
        <v>921099488</v>
      </c>
      <c r="I159" s="1370">
        <v>0</v>
      </c>
    </row>
    <row r="160" spans="1:9" ht="15.75" customHeight="1" x14ac:dyDescent="0.2">
      <c r="A160" s="1371" t="s">
        <v>2576</v>
      </c>
      <c r="B160" s="1371" t="s">
        <v>2577</v>
      </c>
      <c r="C160" s="1371" t="s">
        <v>1125</v>
      </c>
      <c r="D160" s="1372" t="s">
        <v>1126</v>
      </c>
      <c r="E160" s="1370">
        <v>921099488</v>
      </c>
      <c r="F160" s="1370">
        <v>0</v>
      </c>
      <c r="G160" s="1370">
        <v>0</v>
      </c>
      <c r="H160" s="1370">
        <v>921099488</v>
      </c>
      <c r="I160" s="1370">
        <v>0</v>
      </c>
    </row>
    <row r="161" spans="1:9" ht="15.75" customHeight="1" x14ac:dyDescent="0.2">
      <c r="A161" s="1371" t="s">
        <v>2576</v>
      </c>
      <c r="B161" s="1371" t="s">
        <v>2577</v>
      </c>
      <c r="C161" s="4512" t="s">
        <v>1131</v>
      </c>
      <c r="D161" s="4512"/>
      <c r="E161" s="1370">
        <v>43343850</v>
      </c>
      <c r="F161" s="1370">
        <v>0</v>
      </c>
      <c r="G161" s="1370">
        <v>0</v>
      </c>
      <c r="H161" s="1370">
        <v>43343850</v>
      </c>
      <c r="I161" s="1370">
        <v>0</v>
      </c>
    </row>
    <row r="162" spans="1:9" ht="15.75" customHeight="1" x14ac:dyDescent="0.2">
      <c r="A162" s="1371" t="s">
        <v>2576</v>
      </c>
      <c r="B162" s="1371" t="s">
        <v>2577</v>
      </c>
      <c r="C162" s="1371" t="s">
        <v>1131</v>
      </c>
      <c r="D162" s="1372" t="s">
        <v>1132</v>
      </c>
      <c r="E162" s="1370">
        <v>43343850</v>
      </c>
      <c r="F162" s="1370">
        <v>0</v>
      </c>
      <c r="G162" s="1370">
        <v>0</v>
      </c>
      <c r="H162" s="1370">
        <v>43343850</v>
      </c>
      <c r="I162" s="1370">
        <v>0</v>
      </c>
    </row>
    <row r="163" spans="1:9" ht="15.75" customHeight="1" x14ac:dyDescent="0.2">
      <c r="A163" s="1371" t="s">
        <v>2576</v>
      </c>
      <c r="B163" s="1371" t="s">
        <v>2577</v>
      </c>
      <c r="C163" s="4512" t="s">
        <v>1127</v>
      </c>
      <c r="D163" s="4512"/>
      <c r="E163" s="1370">
        <v>24000000</v>
      </c>
      <c r="F163" s="1370">
        <v>0</v>
      </c>
      <c r="G163" s="1370">
        <v>0</v>
      </c>
      <c r="H163" s="1370">
        <v>24000000</v>
      </c>
      <c r="I163" s="1370">
        <v>0</v>
      </c>
    </row>
    <row r="164" spans="1:9" ht="15.75" customHeight="1" x14ac:dyDescent="0.2">
      <c r="A164" s="1371" t="s">
        <v>2576</v>
      </c>
      <c r="B164" s="1371" t="s">
        <v>2577</v>
      </c>
      <c r="C164" s="1371" t="s">
        <v>1127</v>
      </c>
      <c r="D164" s="1372" t="s">
        <v>1163</v>
      </c>
      <c r="E164" s="1370">
        <v>24000000</v>
      </c>
      <c r="F164" s="1370">
        <v>0</v>
      </c>
      <c r="G164" s="1370">
        <v>0</v>
      </c>
      <c r="H164" s="1370">
        <v>24000000</v>
      </c>
      <c r="I164" s="1370">
        <v>0</v>
      </c>
    </row>
    <row r="165" spans="1:9" ht="15.75" customHeight="1" x14ac:dyDescent="0.2">
      <c r="A165" s="1371" t="s">
        <v>2576</v>
      </c>
      <c r="B165" s="1371" t="s">
        <v>2577</v>
      </c>
      <c r="C165" s="4512" t="s">
        <v>1118</v>
      </c>
      <c r="D165" s="4512"/>
      <c r="E165" s="1370">
        <v>5352448</v>
      </c>
      <c r="F165" s="1370">
        <v>5352448</v>
      </c>
      <c r="G165" s="1370">
        <v>0</v>
      </c>
      <c r="H165" s="1370">
        <v>0</v>
      </c>
      <c r="I165" s="1370">
        <v>0</v>
      </c>
    </row>
    <row r="166" spans="1:9" ht="15.75" customHeight="1" x14ac:dyDescent="0.2">
      <c r="A166" s="1371" t="s">
        <v>2576</v>
      </c>
      <c r="B166" s="1371" t="s">
        <v>2577</v>
      </c>
      <c r="C166" s="1371" t="s">
        <v>1118</v>
      </c>
      <c r="D166" s="1372" t="s">
        <v>1164</v>
      </c>
      <c r="E166" s="1370">
        <v>4432400</v>
      </c>
      <c r="F166" s="1370">
        <v>4432400</v>
      </c>
      <c r="G166" s="1370">
        <v>0</v>
      </c>
      <c r="H166" s="1370">
        <v>0</v>
      </c>
      <c r="I166" s="1370">
        <v>0</v>
      </c>
    </row>
    <row r="167" spans="1:9" ht="15.75" customHeight="1" x14ac:dyDescent="0.2">
      <c r="A167" s="1371" t="s">
        <v>2576</v>
      </c>
      <c r="B167" s="1371" t="s">
        <v>2577</v>
      </c>
      <c r="C167" s="1371" t="s">
        <v>1118</v>
      </c>
      <c r="D167" s="1372" t="s">
        <v>1166</v>
      </c>
      <c r="E167" s="1370">
        <v>920048</v>
      </c>
      <c r="F167" s="1370">
        <v>920048</v>
      </c>
      <c r="G167" s="1370">
        <v>0</v>
      </c>
      <c r="H167" s="1370">
        <v>0</v>
      </c>
      <c r="I167" s="1370">
        <v>0</v>
      </c>
    </row>
    <row r="168" spans="1:9" ht="15.75" customHeight="1" x14ac:dyDescent="0.2">
      <c r="A168" s="1371" t="s">
        <v>2576</v>
      </c>
      <c r="B168" s="1371" t="s">
        <v>2577</v>
      </c>
      <c r="C168" s="4512" t="s">
        <v>1137</v>
      </c>
      <c r="D168" s="4512"/>
      <c r="E168" s="1370">
        <v>2263440</v>
      </c>
      <c r="F168" s="1370">
        <v>0</v>
      </c>
      <c r="G168" s="1370">
        <v>0</v>
      </c>
      <c r="H168" s="1370">
        <v>2263440</v>
      </c>
      <c r="I168" s="1370">
        <v>0</v>
      </c>
    </row>
    <row r="169" spans="1:9" ht="15.75" customHeight="1" x14ac:dyDescent="0.2">
      <c r="A169" s="1371" t="s">
        <v>2576</v>
      </c>
      <c r="B169" s="1371" t="s">
        <v>2577</v>
      </c>
      <c r="C169" s="1371" t="s">
        <v>1137</v>
      </c>
      <c r="D169" s="1372" t="s">
        <v>1168</v>
      </c>
      <c r="E169" s="1370">
        <v>1749478</v>
      </c>
      <c r="F169" s="1370">
        <v>0</v>
      </c>
      <c r="G169" s="1370">
        <v>0</v>
      </c>
      <c r="H169" s="1370">
        <v>1749478</v>
      </c>
      <c r="I169" s="1370">
        <v>0</v>
      </c>
    </row>
    <row r="170" spans="1:9" ht="15.75" customHeight="1" x14ac:dyDescent="0.2">
      <c r="A170" s="1371" t="s">
        <v>2576</v>
      </c>
      <c r="B170" s="1371" t="s">
        <v>2577</v>
      </c>
      <c r="C170" s="1371" t="s">
        <v>1137</v>
      </c>
      <c r="D170" s="1372" t="s">
        <v>1169</v>
      </c>
      <c r="E170" s="1370">
        <v>250630</v>
      </c>
      <c r="F170" s="1370">
        <v>0</v>
      </c>
      <c r="G170" s="1370">
        <v>0</v>
      </c>
      <c r="H170" s="1370">
        <v>250630</v>
      </c>
      <c r="I170" s="1370">
        <v>0</v>
      </c>
    </row>
    <row r="171" spans="1:9" ht="15.75" customHeight="1" x14ac:dyDescent="0.2">
      <c r="A171" s="1371" t="s">
        <v>2576</v>
      </c>
      <c r="B171" s="1371" t="s">
        <v>2577</v>
      </c>
      <c r="C171" s="1371" t="s">
        <v>1137</v>
      </c>
      <c r="D171" s="1372" t="s">
        <v>1170</v>
      </c>
      <c r="E171" s="1370">
        <v>263332</v>
      </c>
      <c r="F171" s="1370">
        <v>0</v>
      </c>
      <c r="G171" s="1370">
        <v>0</v>
      </c>
      <c r="H171" s="1370">
        <v>263332</v>
      </c>
      <c r="I171" s="1370">
        <v>0</v>
      </c>
    </row>
    <row r="172" spans="1:9" ht="15.75" customHeight="1" x14ac:dyDescent="0.2">
      <c r="A172" s="1371" t="s">
        <v>2576</v>
      </c>
      <c r="B172" s="4512" t="s">
        <v>2578</v>
      </c>
      <c r="C172" s="4512"/>
      <c r="D172" s="4512"/>
      <c r="E172" s="1370">
        <v>17638734908</v>
      </c>
      <c r="F172" s="1370">
        <v>6441060</v>
      </c>
      <c r="G172" s="1370">
        <v>1119811200</v>
      </c>
      <c r="H172" s="1370">
        <v>16496690138</v>
      </c>
      <c r="I172" s="1370">
        <v>15792510</v>
      </c>
    </row>
    <row r="173" spans="1:9" ht="15.75" customHeight="1" x14ac:dyDescent="0.2">
      <c r="A173" s="1371" t="s">
        <v>2576</v>
      </c>
      <c r="B173" s="1371" t="s">
        <v>2578</v>
      </c>
      <c r="C173" s="4512" t="s">
        <v>1135</v>
      </c>
      <c r="D173" s="4512"/>
      <c r="E173" s="1370">
        <v>84673928</v>
      </c>
      <c r="F173" s="1370">
        <v>0</v>
      </c>
      <c r="G173" s="1370">
        <v>0</v>
      </c>
      <c r="H173" s="1370">
        <v>84673928</v>
      </c>
      <c r="I173" s="1370">
        <v>0</v>
      </c>
    </row>
    <row r="174" spans="1:9" ht="15.75" customHeight="1" x14ac:dyDescent="0.2">
      <c r="A174" s="1371" t="s">
        <v>2576</v>
      </c>
      <c r="B174" s="1371" t="s">
        <v>2578</v>
      </c>
      <c r="C174" s="1371" t="s">
        <v>1135</v>
      </c>
      <c r="D174" s="1372" t="s">
        <v>1136</v>
      </c>
      <c r="E174" s="1370">
        <v>84673928</v>
      </c>
      <c r="F174" s="1370">
        <v>0</v>
      </c>
      <c r="G174" s="1370">
        <v>0</v>
      </c>
      <c r="H174" s="1370">
        <v>84673928</v>
      </c>
      <c r="I174" s="1370">
        <v>0</v>
      </c>
    </row>
    <row r="175" spans="1:9" ht="15.75" customHeight="1" x14ac:dyDescent="0.2">
      <c r="A175" s="1371" t="s">
        <v>2576</v>
      </c>
      <c r="B175" s="1371" t="s">
        <v>2578</v>
      </c>
      <c r="C175" s="4512" t="s">
        <v>1830</v>
      </c>
      <c r="D175" s="4512"/>
      <c r="E175" s="1370">
        <v>0</v>
      </c>
      <c r="F175" s="1370">
        <v>0</v>
      </c>
      <c r="G175" s="1370">
        <v>0</v>
      </c>
      <c r="H175" s="1370">
        <v>0</v>
      </c>
      <c r="I175" s="1370">
        <v>0</v>
      </c>
    </row>
    <row r="176" spans="1:9" ht="15.75" customHeight="1" x14ac:dyDescent="0.2">
      <c r="A176" s="1371" t="s">
        <v>2576</v>
      </c>
      <c r="B176" s="1371" t="s">
        <v>2578</v>
      </c>
      <c r="C176" s="1371" t="s">
        <v>1830</v>
      </c>
      <c r="D176" s="1372" t="s">
        <v>1831</v>
      </c>
      <c r="E176" s="1370">
        <v>0</v>
      </c>
      <c r="F176" s="1370">
        <v>0</v>
      </c>
      <c r="G176" s="1370">
        <v>0</v>
      </c>
      <c r="H176" s="1370">
        <v>0</v>
      </c>
      <c r="I176" s="1370">
        <v>0</v>
      </c>
    </row>
    <row r="177" spans="1:9" ht="15.75" customHeight="1" x14ac:dyDescent="0.2">
      <c r="A177" s="1371" t="s">
        <v>2576</v>
      </c>
      <c r="B177" s="1371" t="s">
        <v>2578</v>
      </c>
      <c r="C177" s="4512" t="s">
        <v>1174</v>
      </c>
      <c r="D177" s="4512"/>
      <c r="E177" s="1370">
        <v>11198112000</v>
      </c>
      <c r="F177" s="1370">
        <v>0</v>
      </c>
      <c r="G177" s="1370">
        <v>1119811200</v>
      </c>
      <c r="H177" s="1370">
        <v>10078300800</v>
      </c>
      <c r="I177" s="1370">
        <v>0</v>
      </c>
    </row>
    <row r="178" spans="1:9" ht="15.75" customHeight="1" x14ac:dyDescent="0.2">
      <c r="A178" s="1371" t="s">
        <v>2576</v>
      </c>
      <c r="B178" s="1371" t="s">
        <v>2578</v>
      </c>
      <c r="C178" s="1371" t="s">
        <v>1174</v>
      </c>
      <c r="D178" s="1372" t="s">
        <v>1175</v>
      </c>
      <c r="E178" s="1370">
        <v>11198112000</v>
      </c>
      <c r="F178" s="1370">
        <v>0</v>
      </c>
      <c r="G178" s="1370">
        <v>1119811200</v>
      </c>
      <c r="H178" s="1370">
        <v>10078300800</v>
      </c>
      <c r="I178" s="1370">
        <v>0</v>
      </c>
    </row>
    <row r="179" spans="1:9" ht="15.75" customHeight="1" x14ac:dyDescent="0.2">
      <c r="A179" s="1371" t="s">
        <v>2576</v>
      </c>
      <c r="B179" s="1371" t="s">
        <v>2578</v>
      </c>
      <c r="C179" s="4512" t="s">
        <v>1129</v>
      </c>
      <c r="D179" s="4512"/>
      <c r="E179" s="1370">
        <v>1996673300</v>
      </c>
      <c r="F179" s="1370">
        <v>0</v>
      </c>
      <c r="G179" s="1370">
        <v>0</v>
      </c>
      <c r="H179" s="1370">
        <v>1996673300</v>
      </c>
      <c r="I179" s="1370">
        <v>0</v>
      </c>
    </row>
    <row r="180" spans="1:9" ht="15.75" customHeight="1" x14ac:dyDescent="0.2">
      <c r="A180" s="1371" t="s">
        <v>2576</v>
      </c>
      <c r="B180" s="1371" t="s">
        <v>2578</v>
      </c>
      <c r="C180" s="1371" t="s">
        <v>1129</v>
      </c>
      <c r="D180" s="1372" t="s">
        <v>1130</v>
      </c>
      <c r="E180" s="1370">
        <v>112646520</v>
      </c>
      <c r="F180" s="1370">
        <v>0</v>
      </c>
      <c r="G180" s="1370">
        <v>0</v>
      </c>
      <c r="H180" s="1370">
        <v>112646520</v>
      </c>
      <c r="I180" s="1370">
        <v>0</v>
      </c>
    </row>
    <row r="181" spans="1:9" ht="15.75" customHeight="1" x14ac:dyDescent="0.2">
      <c r="A181" s="1371" t="s">
        <v>2576</v>
      </c>
      <c r="B181" s="1371" t="s">
        <v>2578</v>
      </c>
      <c r="C181" s="1371" t="s">
        <v>1129</v>
      </c>
      <c r="D181" s="1372" t="s">
        <v>1159</v>
      </c>
      <c r="E181" s="1370">
        <v>1884026780</v>
      </c>
      <c r="F181" s="1370">
        <v>0</v>
      </c>
      <c r="G181" s="1370">
        <v>0</v>
      </c>
      <c r="H181" s="1370">
        <v>1884026780</v>
      </c>
      <c r="I181" s="1370">
        <v>0</v>
      </c>
    </row>
    <row r="182" spans="1:9" ht="15.75" customHeight="1" x14ac:dyDescent="0.2">
      <c r="A182" s="1371" t="s">
        <v>2576</v>
      </c>
      <c r="B182" s="1371" t="s">
        <v>2578</v>
      </c>
      <c r="C182" s="4512" t="s">
        <v>1194</v>
      </c>
      <c r="D182" s="4512"/>
      <c r="E182" s="1370">
        <v>15792510</v>
      </c>
      <c r="F182" s="1370">
        <v>0</v>
      </c>
      <c r="G182" s="1370">
        <v>0</v>
      </c>
      <c r="H182" s="1370">
        <v>0</v>
      </c>
      <c r="I182" s="1370">
        <v>15792510</v>
      </c>
    </row>
    <row r="183" spans="1:9" ht="15.75" customHeight="1" x14ac:dyDescent="0.2">
      <c r="A183" s="1371" t="s">
        <v>2576</v>
      </c>
      <c r="B183" s="1371" t="s">
        <v>2578</v>
      </c>
      <c r="C183" s="1371" t="s">
        <v>1194</v>
      </c>
      <c r="D183" s="1372" t="s">
        <v>1197</v>
      </c>
      <c r="E183" s="1370">
        <v>15792510</v>
      </c>
      <c r="F183" s="1370">
        <v>0</v>
      </c>
      <c r="G183" s="1370">
        <v>0</v>
      </c>
      <c r="H183" s="1370">
        <v>0</v>
      </c>
      <c r="I183" s="1370">
        <v>15792510</v>
      </c>
    </row>
    <row r="184" spans="1:9" ht="15.75" customHeight="1" x14ac:dyDescent="0.2">
      <c r="A184" s="1371" t="s">
        <v>2576</v>
      </c>
      <c r="B184" s="1371" t="s">
        <v>2578</v>
      </c>
      <c r="C184" s="4512" t="s">
        <v>1125</v>
      </c>
      <c r="D184" s="4512"/>
      <c r="E184" s="1370">
        <v>3819850031</v>
      </c>
      <c r="F184" s="1370">
        <v>0</v>
      </c>
      <c r="G184" s="1370">
        <v>0</v>
      </c>
      <c r="H184" s="1370">
        <v>3819850031</v>
      </c>
      <c r="I184" s="1370">
        <v>0</v>
      </c>
    </row>
    <row r="185" spans="1:9" ht="15.75" customHeight="1" x14ac:dyDescent="0.2">
      <c r="A185" s="1371" t="s">
        <v>2576</v>
      </c>
      <c r="B185" s="1371" t="s">
        <v>2578</v>
      </c>
      <c r="C185" s="1371" t="s">
        <v>1125</v>
      </c>
      <c r="D185" s="1372" t="s">
        <v>1126</v>
      </c>
      <c r="E185" s="1370">
        <v>3819850031</v>
      </c>
      <c r="F185" s="1370">
        <v>0</v>
      </c>
      <c r="G185" s="1370">
        <v>0</v>
      </c>
      <c r="H185" s="1370">
        <v>3819850031</v>
      </c>
      <c r="I185" s="1370">
        <v>0</v>
      </c>
    </row>
    <row r="186" spans="1:9" ht="15.75" customHeight="1" x14ac:dyDescent="0.2">
      <c r="A186" s="1371" t="s">
        <v>2576</v>
      </c>
      <c r="B186" s="1371" t="s">
        <v>2578</v>
      </c>
      <c r="C186" s="1371" t="s">
        <v>1125</v>
      </c>
      <c r="D186" s="1372" t="s">
        <v>2253</v>
      </c>
      <c r="E186" s="1370">
        <v>0</v>
      </c>
      <c r="F186" s="1370">
        <v>0</v>
      </c>
      <c r="G186" s="1370">
        <v>0</v>
      </c>
      <c r="H186" s="1370">
        <v>0</v>
      </c>
      <c r="I186" s="1370">
        <v>0</v>
      </c>
    </row>
    <row r="187" spans="1:9" ht="15.75" customHeight="1" x14ac:dyDescent="0.2">
      <c r="A187" s="1371" t="s">
        <v>2576</v>
      </c>
      <c r="B187" s="1371" t="s">
        <v>2578</v>
      </c>
      <c r="C187" s="4512" t="s">
        <v>1131</v>
      </c>
      <c r="D187" s="4512"/>
      <c r="E187" s="1370">
        <v>339823530</v>
      </c>
      <c r="F187" s="1370">
        <v>0</v>
      </c>
      <c r="G187" s="1370">
        <v>0</v>
      </c>
      <c r="H187" s="1370">
        <v>339823530</v>
      </c>
      <c r="I187" s="1370">
        <v>0</v>
      </c>
    </row>
    <row r="188" spans="1:9" ht="15.75" customHeight="1" x14ac:dyDescent="0.2">
      <c r="A188" s="1371" t="s">
        <v>2576</v>
      </c>
      <c r="B188" s="1371" t="s">
        <v>2578</v>
      </c>
      <c r="C188" s="1371" t="s">
        <v>1131</v>
      </c>
      <c r="D188" s="1372" t="s">
        <v>1132</v>
      </c>
      <c r="E188" s="1370">
        <v>339823530</v>
      </c>
      <c r="F188" s="1370">
        <v>0</v>
      </c>
      <c r="G188" s="1370">
        <v>0</v>
      </c>
      <c r="H188" s="1370">
        <v>339823530</v>
      </c>
      <c r="I188" s="1370">
        <v>0</v>
      </c>
    </row>
    <row r="189" spans="1:9" ht="15.75" customHeight="1" x14ac:dyDescent="0.2">
      <c r="A189" s="1371" t="s">
        <v>2576</v>
      </c>
      <c r="B189" s="1371" t="s">
        <v>2578</v>
      </c>
      <c r="C189" s="4512" t="s">
        <v>1139</v>
      </c>
      <c r="D189" s="4512"/>
      <c r="E189" s="1370">
        <v>55080000</v>
      </c>
      <c r="F189" s="1370">
        <v>0</v>
      </c>
      <c r="G189" s="1370">
        <v>0</v>
      </c>
      <c r="H189" s="1370">
        <v>55080000</v>
      </c>
      <c r="I189" s="1370">
        <v>0</v>
      </c>
    </row>
    <row r="190" spans="1:9" ht="15.75" customHeight="1" x14ac:dyDescent="0.2">
      <c r="A190" s="1371" t="s">
        <v>2576</v>
      </c>
      <c r="B190" s="1371" t="s">
        <v>2578</v>
      </c>
      <c r="C190" s="1371" t="s">
        <v>1139</v>
      </c>
      <c r="D190" s="1372" t="s">
        <v>1161</v>
      </c>
      <c r="E190" s="1370">
        <v>55080000</v>
      </c>
      <c r="F190" s="1370">
        <v>0</v>
      </c>
      <c r="G190" s="1370">
        <v>0</v>
      </c>
      <c r="H190" s="1370">
        <v>55080000</v>
      </c>
      <c r="I190" s="1370">
        <v>0</v>
      </c>
    </row>
    <row r="191" spans="1:9" ht="15.75" customHeight="1" x14ac:dyDescent="0.2">
      <c r="A191" s="1371" t="s">
        <v>2576</v>
      </c>
      <c r="B191" s="1371" t="s">
        <v>2578</v>
      </c>
      <c r="C191" s="4512" t="s">
        <v>1127</v>
      </c>
      <c r="D191" s="4512"/>
      <c r="E191" s="1370">
        <v>65000000</v>
      </c>
      <c r="F191" s="1370">
        <v>0</v>
      </c>
      <c r="G191" s="1370">
        <v>0</v>
      </c>
      <c r="H191" s="1370">
        <v>65000000</v>
      </c>
      <c r="I191" s="1370">
        <v>0</v>
      </c>
    </row>
    <row r="192" spans="1:9" ht="15.75" customHeight="1" x14ac:dyDescent="0.2">
      <c r="A192" s="1371" t="s">
        <v>2576</v>
      </c>
      <c r="B192" s="1371" t="s">
        <v>2578</v>
      </c>
      <c r="C192" s="1371" t="s">
        <v>1127</v>
      </c>
      <c r="D192" s="1372" t="s">
        <v>1162</v>
      </c>
      <c r="E192" s="1370">
        <v>3000000</v>
      </c>
      <c r="F192" s="1370">
        <v>0</v>
      </c>
      <c r="G192" s="1370">
        <v>0</v>
      </c>
      <c r="H192" s="1370">
        <v>3000000</v>
      </c>
      <c r="I192" s="1370">
        <v>0</v>
      </c>
    </row>
    <row r="193" spans="1:9" ht="15.75" customHeight="1" x14ac:dyDescent="0.2">
      <c r="A193" s="1371" t="s">
        <v>2576</v>
      </c>
      <c r="B193" s="1371" t="s">
        <v>2578</v>
      </c>
      <c r="C193" s="1371" t="s">
        <v>1127</v>
      </c>
      <c r="D193" s="1372" t="s">
        <v>1163</v>
      </c>
      <c r="E193" s="1370">
        <v>60000000</v>
      </c>
      <c r="F193" s="1370">
        <v>0</v>
      </c>
      <c r="G193" s="1370">
        <v>0</v>
      </c>
      <c r="H193" s="1370">
        <v>60000000</v>
      </c>
      <c r="I193" s="1370">
        <v>0</v>
      </c>
    </row>
    <row r="194" spans="1:9" ht="15.75" customHeight="1" x14ac:dyDescent="0.2">
      <c r="A194" s="1371" t="s">
        <v>2576</v>
      </c>
      <c r="B194" s="1371" t="s">
        <v>2578</v>
      </c>
      <c r="C194" s="1371" t="s">
        <v>1127</v>
      </c>
      <c r="D194" s="1372" t="s">
        <v>1128</v>
      </c>
      <c r="E194" s="1370">
        <v>2000000</v>
      </c>
      <c r="F194" s="1370">
        <v>0</v>
      </c>
      <c r="G194" s="1370">
        <v>0</v>
      </c>
      <c r="H194" s="1370">
        <v>2000000</v>
      </c>
      <c r="I194" s="1370">
        <v>0</v>
      </c>
    </row>
    <row r="195" spans="1:9" ht="15.75" customHeight="1" x14ac:dyDescent="0.2">
      <c r="A195" s="1371" t="s">
        <v>2576</v>
      </c>
      <c r="B195" s="1371" t="s">
        <v>2578</v>
      </c>
      <c r="C195" s="4512" t="s">
        <v>1118</v>
      </c>
      <c r="D195" s="4512"/>
      <c r="E195" s="1370">
        <v>8098215</v>
      </c>
      <c r="F195" s="1370">
        <v>6441060</v>
      </c>
      <c r="G195" s="1370">
        <v>0</v>
      </c>
      <c r="H195" s="1370">
        <v>1657155</v>
      </c>
      <c r="I195" s="1370">
        <v>0</v>
      </c>
    </row>
    <row r="196" spans="1:9" ht="15.75" customHeight="1" x14ac:dyDescent="0.2">
      <c r="A196" s="1371" t="s">
        <v>2576</v>
      </c>
      <c r="B196" s="1371" t="s">
        <v>2578</v>
      </c>
      <c r="C196" s="1371" t="s">
        <v>1118</v>
      </c>
      <c r="D196" s="1372" t="s">
        <v>1164</v>
      </c>
      <c r="E196" s="1370">
        <v>7929847</v>
      </c>
      <c r="F196" s="1370">
        <v>6272692</v>
      </c>
      <c r="G196" s="1370">
        <v>0</v>
      </c>
      <c r="H196" s="1370">
        <v>1657155</v>
      </c>
      <c r="I196" s="1370">
        <v>0</v>
      </c>
    </row>
    <row r="197" spans="1:9" ht="15.75" customHeight="1" x14ac:dyDescent="0.2">
      <c r="A197" s="1371" t="s">
        <v>2576</v>
      </c>
      <c r="B197" s="1371" t="s">
        <v>2578</v>
      </c>
      <c r="C197" s="1371" t="s">
        <v>1118</v>
      </c>
      <c r="D197" s="1372" t="s">
        <v>1165</v>
      </c>
      <c r="E197" s="1370">
        <v>163368</v>
      </c>
      <c r="F197" s="1370">
        <v>163368</v>
      </c>
      <c r="G197" s="1370">
        <v>0</v>
      </c>
      <c r="H197" s="1370">
        <v>0</v>
      </c>
      <c r="I197" s="1370">
        <v>0</v>
      </c>
    </row>
    <row r="198" spans="1:9" ht="15.75" customHeight="1" x14ac:dyDescent="0.2">
      <c r="A198" s="1371" t="s">
        <v>2576</v>
      </c>
      <c r="B198" s="1371" t="s">
        <v>2578</v>
      </c>
      <c r="C198" s="1371" t="s">
        <v>1118</v>
      </c>
      <c r="D198" s="1372" t="s">
        <v>1166</v>
      </c>
      <c r="E198" s="1370">
        <v>5000</v>
      </c>
      <c r="F198" s="1370">
        <v>5000</v>
      </c>
      <c r="G198" s="1370">
        <v>0</v>
      </c>
      <c r="H198" s="1370">
        <v>0</v>
      </c>
      <c r="I198" s="1370">
        <v>0</v>
      </c>
    </row>
    <row r="199" spans="1:9" ht="15.75" customHeight="1" x14ac:dyDescent="0.2">
      <c r="A199" s="1371" t="s">
        <v>2576</v>
      </c>
      <c r="B199" s="1371" t="s">
        <v>2578</v>
      </c>
      <c r="C199" s="4512" t="s">
        <v>1137</v>
      </c>
      <c r="D199" s="4512"/>
      <c r="E199" s="1370">
        <v>55631394</v>
      </c>
      <c r="F199" s="1370">
        <v>0</v>
      </c>
      <c r="G199" s="1370">
        <v>0</v>
      </c>
      <c r="H199" s="1370">
        <v>55631394</v>
      </c>
      <c r="I199" s="1370">
        <v>0</v>
      </c>
    </row>
    <row r="200" spans="1:9" ht="15.75" customHeight="1" x14ac:dyDescent="0.2">
      <c r="A200" s="1371" t="s">
        <v>2576</v>
      </c>
      <c r="B200" s="1371" t="s">
        <v>2578</v>
      </c>
      <c r="C200" s="1371" t="s">
        <v>1137</v>
      </c>
      <c r="D200" s="1372" t="s">
        <v>1150</v>
      </c>
      <c r="E200" s="1370">
        <v>170325</v>
      </c>
      <c r="F200" s="1370">
        <v>0</v>
      </c>
      <c r="G200" s="1370">
        <v>0</v>
      </c>
      <c r="H200" s="1370">
        <v>170325</v>
      </c>
      <c r="I200" s="1370">
        <v>0</v>
      </c>
    </row>
    <row r="201" spans="1:9" ht="15.75" customHeight="1" x14ac:dyDescent="0.2">
      <c r="A201" s="1371" t="s">
        <v>2576</v>
      </c>
      <c r="B201" s="1371" t="s">
        <v>2578</v>
      </c>
      <c r="C201" s="1371" t="s">
        <v>1137</v>
      </c>
      <c r="D201" s="1372" t="s">
        <v>1167</v>
      </c>
      <c r="E201" s="1370">
        <v>3739915</v>
      </c>
      <c r="F201" s="1370">
        <v>0</v>
      </c>
      <c r="G201" s="1370">
        <v>0</v>
      </c>
      <c r="H201" s="1370">
        <v>3739915</v>
      </c>
      <c r="I201" s="1370">
        <v>0</v>
      </c>
    </row>
    <row r="202" spans="1:9" ht="15.75" customHeight="1" x14ac:dyDescent="0.2">
      <c r="A202" s="1371" t="s">
        <v>2576</v>
      </c>
      <c r="B202" s="1371" t="s">
        <v>2578</v>
      </c>
      <c r="C202" s="1371" t="s">
        <v>1137</v>
      </c>
      <c r="D202" s="1372" t="s">
        <v>2264</v>
      </c>
      <c r="E202" s="1370">
        <v>0</v>
      </c>
      <c r="F202" s="1370">
        <v>0</v>
      </c>
      <c r="G202" s="1370">
        <v>0</v>
      </c>
      <c r="H202" s="1370">
        <v>0</v>
      </c>
      <c r="I202" s="1370">
        <v>0</v>
      </c>
    </row>
    <row r="203" spans="1:9" ht="15.75" customHeight="1" x14ac:dyDescent="0.2">
      <c r="A203" s="1371" t="s">
        <v>2576</v>
      </c>
      <c r="B203" s="1371" t="s">
        <v>2578</v>
      </c>
      <c r="C203" s="1371" t="s">
        <v>1137</v>
      </c>
      <c r="D203" s="1372" t="s">
        <v>1168</v>
      </c>
      <c r="E203" s="1370">
        <v>11512771</v>
      </c>
      <c r="F203" s="1370">
        <v>0</v>
      </c>
      <c r="G203" s="1370">
        <v>0</v>
      </c>
      <c r="H203" s="1370">
        <v>11512771</v>
      </c>
      <c r="I203" s="1370">
        <v>0</v>
      </c>
    </row>
    <row r="204" spans="1:9" ht="15.75" customHeight="1" x14ac:dyDescent="0.2">
      <c r="A204" s="1371" t="s">
        <v>2576</v>
      </c>
      <c r="B204" s="1371" t="s">
        <v>2578</v>
      </c>
      <c r="C204" s="1371" t="s">
        <v>1137</v>
      </c>
      <c r="D204" s="1372" t="s">
        <v>1169</v>
      </c>
      <c r="E204" s="1370">
        <v>8054638</v>
      </c>
      <c r="F204" s="1370">
        <v>0</v>
      </c>
      <c r="G204" s="1370">
        <v>0</v>
      </c>
      <c r="H204" s="1370">
        <v>8054638</v>
      </c>
      <c r="I204" s="1370">
        <v>0</v>
      </c>
    </row>
    <row r="205" spans="1:9" ht="15.75" customHeight="1" x14ac:dyDescent="0.2">
      <c r="A205" s="1371" t="s">
        <v>2576</v>
      </c>
      <c r="B205" s="1371" t="s">
        <v>2578</v>
      </c>
      <c r="C205" s="1371" t="s">
        <v>1137</v>
      </c>
      <c r="D205" s="1372" t="s">
        <v>1170</v>
      </c>
      <c r="E205" s="1370">
        <v>32153745</v>
      </c>
      <c r="F205" s="1370">
        <v>0</v>
      </c>
      <c r="G205" s="1370">
        <v>0</v>
      </c>
      <c r="H205" s="1370">
        <v>32153745</v>
      </c>
      <c r="I205" s="1370">
        <v>0</v>
      </c>
    </row>
    <row r="206" spans="1:9" ht="15.75" customHeight="1" x14ac:dyDescent="0.2">
      <c r="A206" s="1371" t="s">
        <v>2576</v>
      </c>
      <c r="B206" s="4512" t="s">
        <v>1171</v>
      </c>
      <c r="C206" s="4512"/>
      <c r="D206" s="4512"/>
      <c r="E206" s="1370">
        <v>231396688</v>
      </c>
      <c r="F206" s="1370">
        <v>4250000</v>
      </c>
      <c r="G206" s="1370">
        <v>26106480</v>
      </c>
      <c r="H206" s="1370">
        <v>201040208</v>
      </c>
      <c r="I206" s="1370">
        <v>0</v>
      </c>
    </row>
    <row r="207" spans="1:9" ht="15.75" customHeight="1" x14ac:dyDescent="0.2">
      <c r="A207" s="1371" t="s">
        <v>2576</v>
      </c>
      <c r="B207" s="1371" t="s">
        <v>1171</v>
      </c>
      <c r="C207" s="4512" t="s">
        <v>1135</v>
      </c>
      <c r="D207" s="4512"/>
      <c r="E207" s="1370">
        <v>51769824</v>
      </c>
      <c r="F207" s="1370">
        <v>0</v>
      </c>
      <c r="G207" s="1370">
        <v>0</v>
      </c>
      <c r="H207" s="1370">
        <v>51769824</v>
      </c>
      <c r="I207" s="1370">
        <v>0</v>
      </c>
    </row>
    <row r="208" spans="1:9" ht="15.75" customHeight="1" x14ac:dyDescent="0.2">
      <c r="A208" s="1371" t="s">
        <v>2576</v>
      </c>
      <c r="B208" s="1371" t="s">
        <v>1171</v>
      </c>
      <c r="C208" s="1371" t="s">
        <v>1135</v>
      </c>
      <c r="D208" s="1372" t="s">
        <v>1136</v>
      </c>
      <c r="E208" s="1370">
        <v>51769824</v>
      </c>
      <c r="F208" s="1370">
        <v>0</v>
      </c>
      <c r="G208" s="1370">
        <v>0</v>
      </c>
      <c r="H208" s="1370">
        <v>51769824</v>
      </c>
      <c r="I208" s="1370">
        <v>0</v>
      </c>
    </row>
    <row r="209" spans="1:9" ht="15.75" customHeight="1" x14ac:dyDescent="0.2">
      <c r="A209" s="1371" t="s">
        <v>2576</v>
      </c>
      <c r="B209" s="1371" t="s">
        <v>1171</v>
      </c>
      <c r="C209" s="4512" t="s">
        <v>1125</v>
      </c>
      <c r="D209" s="4512"/>
      <c r="E209" s="1370">
        <v>90557513</v>
      </c>
      <c r="F209" s="1370">
        <v>0</v>
      </c>
      <c r="G209" s="1370">
        <v>0</v>
      </c>
      <c r="H209" s="1370">
        <v>90557513</v>
      </c>
      <c r="I209" s="1370">
        <v>0</v>
      </c>
    </row>
    <row r="210" spans="1:9" ht="15.75" customHeight="1" x14ac:dyDescent="0.2">
      <c r="A210" s="1371" t="s">
        <v>2576</v>
      </c>
      <c r="B210" s="1371" t="s">
        <v>1171</v>
      </c>
      <c r="C210" s="1371" t="s">
        <v>1125</v>
      </c>
      <c r="D210" s="1372" t="s">
        <v>1126</v>
      </c>
      <c r="E210" s="1370">
        <v>90557513</v>
      </c>
      <c r="F210" s="1370">
        <v>0</v>
      </c>
      <c r="G210" s="1370">
        <v>0</v>
      </c>
      <c r="H210" s="1370">
        <v>90557513</v>
      </c>
      <c r="I210" s="1370">
        <v>0</v>
      </c>
    </row>
    <row r="211" spans="1:9" ht="15.75" customHeight="1" x14ac:dyDescent="0.2">
      <c r="A211" s="1371" t="s">
        <v>2576</v>
      </c>
      <c r="B211" s="1371" t="s">
        <v>1171</v>
      </c>
      <c r="C211" s="1371" t="s">
        <v>1125</v>
      </c>
      <c r="D211" s="1372" t="s">
        <v>2253</v>
      </c>
      <c r="E211" s="1370">
        <v>0</v>
      </c>
      <c r="F211" s="1370">
        <v>0</v>
      </c>
      <c r="G211" s="1370">
        <v>0</v>
      </c>
      <c r="H211" s="1370">
        <v>0</v>
      </c>
      <c r="I211" s="1370">
        <v>0</v>
      </c>
    </row>
    <row r="212" spans="1:9" ht="15.75" customHeight="1" x14ac:dyDescent="0.2">
      <c r="A212" s="1371" t="s">
        <v>2576</v>
      </c>
      <c r="B212" s="1371" t="s">
        <v>1171</v>
      </c>
      <c r="C212" s="4512" t="s">
        <v>1827</v>
      </c>
      <c r="D212" s="4512"/>
      <c r="E212" s="1370">
        <v>25869272</v>
      </c>
      <c r="F212" s="1370">
        <v>0</v>
      </c>
      <c r="G212" s="1370">
        <v>25869272</v>
      </c>
      <c r="H212" s="1370">
        <v>0</v>
      </c>
      <c r="I212" s="1370">
        <v>0</v>
      </c>
    </row>
    <row r="213" spans="1:9" ht="15.75" customHeight="1" x14ac:dyDescent="0.2">
      <c r="A213" s="1371" t="s">
        <v>2576</v>
      </c>
      <c r="B213" s="1371" t="s">
        <v>1171</v>
      </c>
      <c r="C213" s="1371" t="s">
        <v>1827</v>
      </c>
      <c r="D213" s="1372" t="s">
        <v>1828</v>
      </c>
      <c r="E213" s="1370">
        <v>25869272</v>
      </c>
      <c r="F213" s="1370">
        <v>0</v>
      </c>
      <c r="G213" s="1370">
        <v>25869272</v>
      </c>
      <c r="H213" s="1370">
        <v>0</v>
      </c>
      <c r="I213" s="1370">
        <v>0</v>
      </c>
    </row>
    <row r="214" spans="1:9" ht="15.75" customHeight="1" x14ac:dyDescent="0.2">
      <c r="A214" s="1371" t="s">
        <v>2576</v>
      </c>
      <c r="B214" s="1371" t="s">
        <v>1171</v>
      </c>
      <c r="C214" s="4512" t="s">
        <v>1127</v>
      </c>
      <c r="D214" s="4512"/>
      <c r="E214" s="1370">
        <v>44000000</v>
      </c>
      <c r="F214" s="1370">
        <v>0</v>
      </c>
      <c r="G214" s="1370">
        <v>0</v>
      </c>
      <c r="H214" s="1370">
        <v>44000000</v>
      </c>
      <c r="I214" s="1370">
        <v>0</v>
      </c>
    </row>
    <row r="215" spans="1:9" ht="15.75" customHeight="1" x14ac:dyDescent="0.2">
      <c r="A215" s="1371" t="s">
        <v>2576</v>
      </c>
      <c r="B215" s="1371" t="s">
        <v>1171</v>
      </c>
      <c r="C215" s="1371" t="s">
        <v>1127</v>
      </c>
      <c r="D215" s="1372" t="s">
        <v>1162</v>
      </c>
      <c r="E215" s="1370">
        <v>0</v>
      </c>
      <c r="F215" s="1370">
        <v>0</v>
      </c>
      <c r="G215" s="1370">
        <v>0</v>
      </c>
      <c r="H215" s="1370">
        <v>0</v>
      </c>
      <c r="I215" s="1370">
        <v>0</v>
      </c>
    </row>
    <row r="216" spans="1:9" ht="15.75" customHeight="1" x14ac:dyDescent="0.2">
      <c r="A216" s="1371" t="s">
        <v>2576</v>
      </c>
      <c r="B216" s="1371" t="s">
        <v>1171</v>
      </c>
      <c r="C216" s="1371" t="s">
        <v>1127</v>
      </c>
      <c r="D216" s="1372" t="s">
        <v>1163</v>
      </c>
      <c r="E216" s="1370">
        <v>44000000</v>
      </c>
      <c r="F216" s="1370">
        <v>0</v>
      </c>
      <c r="G216" s="1370">
        <v>0</v>
      </c>
      <c r="H216" s="1370">
        <v>44000000</v>
      </c>
      <c r="I216" s="1370">
        <v>0</v>
      </c>
    </row>
    <row r="217" spans="1:9" ht="15.75" customHeight="1" x14ac:dyDescent="0.2">
      <c r="A217" s="1371" t="s">
        <v>2576</v>
      </c>
      <c r="B217" s="1371" t="s">
        <v>1171</v>
      </c>
      <c r="C217" s="4512" t="s">
        <v>1118</v>
      </c>
      <c r="D217" s="4512"/>
      <c r="E217" s="1370">
        <v>11712220</v>
      </c>
      <c r="F217" s="1370">
        <v>4250000</v>
      </c>
      <c r="G217" s="1370">
        <v>0</v>
      </c>
      <c r="H217" s="1370">
        <v>7462220</v>
      </c>
      <c r="I217" s="1370">
        <v>0</v>
      </c>
    </row>
    <row r="218" spans="1:9" ht="15.75" customHeight="1" x14ac:dyDescent="0.2">
      <c r="A218" s="1371" t="s">
        <v>2576</v>
      </c>
      <c r="B218" s="1371" t="s">
        <v>1171</v>
      </c>
      <c r="C218" s="1371" t="s">
        <v>1118</v>
      </c>
      <c r="D218" s="1372" t="s">
        <v>1164</v>
      </c>
      <c r="E218" s="1370">
        <v>11662220</v>
      </c>
      <c r="F218" s="1370">
        <v>4200000</v>
      </c>
      <c r="G218" s="1370">
        <v>0</v>
      </c>
      <c r="H218" s="1370">
        <v>7462220</v>
      </c>
      <c r="I218" s="1370">
        <v>0</v>
      </c>
    </row>
    <row r="219" spans="1:9" ht="15.75" customHeight="1" x14ac:dyDescent="0.2">
      <c r="A219" s="1371" t="s">
        <v>2576</v>
      </c>
      <c r="B219" s="1371" t="s">
        <v>1171</v>
      </c>
      <c r="C219" s="1371" t="s">
        <v>1118</v>
      </c>
      <c r="D219" s="1372" t="s">
        <v>1166</v>
      </c>
      <c r="E219" s="1370">
        <v>50000</v>
      </c>
      <c r="F219" s="1370">
        <v>50000</v>
      </c>
      <c r="G219" s="1370">
        <v>0</v>
      </c>
      <c r="H219" s="1370">
        <v>0</v>
      </c>
      <c r="I219" s="1370">
        <v>0</v>
      </c>
    </row>
    <row r="220" spans="1:9" ht="15.75" customHeight="1" x14ac:dyDescent="0.2">
      <c r="A220" s="1371" t="s">
        <v>2576</v>
      </c>
      <c r="B220" s="1371" t="s">
        <v>1171</v>
      </c>
      <c r="C220" s="4512" t="s">
        <v>1137</v>
      </c>
      <c r="D220" s="4512"/>
      <c r="E220" s="1370">
        <v>7487859</v>
      </c>
      <c r="F220" s="1370">
        <v>0</v>
      </c>
      <c r="G220" s="1370">
        <v>237208</v>
      </c>
      <c r="H220" s="1370">
        <v>7250651</v>
      </c>
      <c r="I220" s="1370">
        <v>0</v>
      </c>
    </row>
    <row r="221" spans="1:9" ht="15.75" customHeight="1" x14ac:dyDescent="0.2">
      <c r="A221" s="1371" t="s">
        <v>2576</v>
      </c>
      <c r="B221" s="1371" t="s">
        <v>1171</v>
      </c>
      <c r="C221" s="1371" t="s">
        <v>1137</v>
      </c>
      <c r="D221" s="1372" t="s">
        <v>1167</v>
      </c>
      <c r="E221" s="1370">
        <v>4147087</v>
      </c>
      <c r="F221" s="1370">
        <v>0</v>
      </c>
      <c r="G221" s="1370">
        <v>0</v>
      </c>
      <c r="H221" s="1370">
        <v>4147087</v>
      </c>
      <c r="I221" s="1370">
        <v>0</v>
      </c>
    </row>
    <row r="222" spans="1:9" ht="15.75" customHeight="1" x14ac:dyDescent="0.2">
      <c r="A222" s="1371" t="s">
        <v>2576</v>
      </c>
      <c r="B222" s="1371" t="s">
        <v>1171</v>
      </c>
      <c r="C222" s="1371" t="s">
        <v>1137</v>
      </c>
      <c r="D222" s="1372" t="s">
        <v>1169</v>
      </c>
      <c r="E222" s="1370">
        <v>2902564</v>
      </c>
      <c r="F222" s="1370">
        <v>0</v>
      </c>
      <c r="G222" s="1370">
        <v>0</v>
      </c>
      <c r="H222" s="1370">
        <v>2902564</v>
      </c>
      <c r="I222" s="1370">
        <v>0</v>
      </c>
    </row>
    <row r="223" spans="1:9" ht="15.75" customHeight="1" x14ac:dyDescent="0.2">
      <c r="A223" s="1371" t="s">
        <v>2576</v>
      </c>
      <c r="B223" s="1371" t="s">
        <v>1171</v>
      </c>
      <c r="C223" s="1371" t="s">
        <v>1137</v>
      </c>
      <c r="D223" s="1372" t="s">
        <v>1833</v>
      </c>
      <c r="E223" s="1370">
        <v>0</v>
      </c>
      <c r="F223" s="1370">
        <v>0</v>
      </c>
      <c r="G223" s="1370">
        <v>0</v>
      </c>
      <c r="H223" s="1370">
        <v>0</v>
      </c>
      <c r="I223" s="1370">
        <v>0</v>
      </c>
    </row>
    <row r="224" spans="1:9" ht="15.75" customHeight="1" x14ac:dyDescent="0.2">
      <c r="A224" s="1371" t="s">
        <v>2576</v>
      </c>
      <c r="B224" s="1371" t="s">
        <v>1171</v>
      </c>
      <c r="C224" s="1371" t="s">
        <v>1137</v>
      </c>
      <c r="D224" s="1372" t="s">
        <v>1829</v>
      </c>
      <c r="E224" s="1370">
        <v>237208</v>
      </c>
      <c r="F224" s="1370">
        <v>0</v>
      </c>
      <c r="G224" s="1370">
        <v>237208</v>
      </c>
      <c r="H224" s="1370">
        <v>0</v>
      </c>
      <c r="I224" s="1370">
        <v>0</v>
      </c>
    </row>
    <row r="225" spans="1:9" ht="15.75" customHeight="1" x14ac:dyDescent="0.2">
      <c r="A225" s="1371" t="s">
        <v>2576</v>
      </c>
      <c r="B225" s="1371" t="s">
        <v>1171</v>
      </c>
      <c r="C225" s="1371" t="s">
        <v>1137</v>
      </c>
      <c r="D225" s="1372" t="s">
        <v>1170</v>
      </c>
      <c r="E225" s="1370">
        <v>201000</v>
      </c>
      <c r="F225" s="1370">
        <v>0</v>
      </c>
      <c r="G225" s="1370">
        <v>0</v>
      </c>
      <c r="H225" s="1370">
        <v>201000</v>
      </c>
      <c r="I225" s="1370">
        <v>0</v>
      </c>
    </row>
    <row r="226" spans="1:9" ht="15.75" customHeight="1" x14ac:dyDescent="0.2">
      <c r="A226" s="1371" t="s">
        <v>2576</v>
      </c>
      <c r="B226" s="4512" t="s">
        <v>1172</v>
      </c>
      <c r="C226" s="4512"/>
      <c r="D226" s="4512"/>
      <c r="E226" s="1370">
        <v>10779928557</v>
      </c>
      <c r="F226" s="1370">
        <v>3088450</v>
      </c>
      <c r="G226" s="1370">
        <v>364635628</v>
      </c>
      <c r="H226" s="1370">
        <v>9928381807</v>
      </c>
      <c r="I226" s="1370">
        <v>483822672</v>
      </c>
    </row>
    <row r="227" spans="1:9" ht="15.75" customHeight="1" x14ac:dyDescent="0.2">
      <c r="A227" s="1371" t="s">
        <v>2576</v>
      </c>
      <c r="B227" s="1371" t="s">
        <v>1172</v>
      </c>
      <c r="C227" s="4512" t="s">
        <v>1123</v>
      </c>
      <c r="D227" s="4512"/>
      <c r="E227" s="1370">
        <v>316891331</v>
      </c>
      <c r="F227" s="1370">
        <v>0</v>
      </c>
      <c r="G227" s="1370">
        <v>0</v>
      </c>
      <c r="H227" s="1370">
        <v>-94067110</v>
      </c>
      <c r="I227" s="1370">
        <v>410958441</v>
      </c>
    </row>
    <row r="228" spans="1:9" ht="15.75" customHeight="1" x14ac:dyDescent="0.2">
      <c r="A228" s="1371" t="s">
        <v>2576</v>
      </c>
      <c r="B228" s="1371" t="s">
        <v>1172</v>
      </c>
      <c r="C228" s="1371" t="s">
        <v>1123</v>
      </c>
      <c r="D228" s="1372" t="s">
        <v>1124</v>
      </c>
      <c r="E228" s="1370">
        <v>-96249610</v>
      </c>
      <c r="F228" s="1370">
        <v>0</v>
      </c>
      <c r="G228" s="1370">
        <v>0</v>
      </c>
      <c r="H228" s="1370">
        <v>-96249610</v>
      </c>
      <c r="I228" s="1370">
        <v>0</v>
      </c>
    </row>
    <row r="229" spans="1:9" ht="15.75" customHeight="1" x14ac:dyDescent="0.2">
      <c r="A229" s="1371" t="s">
        <v>2576</v>
      </c>
      <c r="B229" s="1371" t="s">
        <v>1172</v>
      </c>
      <c r="C229" s="1371" t="s">
        <v>1123</v>
      </c>
      <c r="D229" s="1372" t="s">
        <v>1173</v>
      </c>
      <c r="E229" s="1370">
        <v>170037605</v>
      </c>
      <c r="F229" s="1370">
        <v>0</v>
      </c>
      <c r="G229" s="1370">
        <v>0</v>
      </c>
      <c r="H229" s="1370">
        <v>0</v>
      </c>
      <c r="I229" s="1370">
        <v>170037605</v>
      </c>
    </row>
    <row r="230" spans="1:9" ht="15.75" customHeight="1" x14ac:dyDescent="0.2">
      <c r="A230" s="1371" t="s">
        <v>2576</v>
      </c>
      <c r="B230" s="1371" t="s">
        <v>1172</v>
      </c>
      <c r="C230" s="1371" t="s">
        <v>1123</v>
      </c>
      <c r="D230" s="1372" t="s">
        <v>1191</v>
      </c>
      <c r="E230" s="1370">
        <v>240920836</v>
      </c>
      <c r="F230" s="1370">
        <v>0</v>
      </c>
      <c r="G230" s="1370">
        <v>0</v>
      </c>
      <c r="H230" s="1370">
        <v>0</v>
      </c>
      <c r="I230" s="1370">
        <v>240920836</v>
      </c>
    </row>
    <row r="231" spans="1:9" ht="15.75" customHeight="1" x14ac:dyDescent="0.2">
      <c r="A231" s="1371" t="s">
        <v>2576</v>
      </c>
      <c r="B231" s="1371" t="s">
        <v>1172</v>
      </c>
      <c r="C231" s="1371" t="s">
        <v>1123</v>
      </c>
      <c r="D231" s="1372" t="s">
        <v>2251</v>
      </c>
      <c r="E231" s="1370">
        <v>2182500</v>
      </c>
      <c r="F231" s="1370">
        <v>0</v>
      </c>
      <c r="G231" s="1370">
        <v>0</v>
      </c>
      <c r="H231" s="1370">
        <v>2182500</v>
      </c>
      <c r="I231" s="1370">
        <v>0</v>
      </c>
    </row>
    <row r="232" spans="1:9" ht="15.75" customHeight="1" x14ac:dyDescent="0.2">
      <c r="A232" s="1371" t="s">
        <v>2576</v>
      </c>
      <c r="B232" s="1371" t="s">
        <v>1172</v>
      </c>
      <c r="C232" s="4512" t="s">
        <v>1135</v>
      </c>
      <c r="D232" s="4512"/>
      <c r="E232" s="1370">
        <v>8905224</v>
      </c>
      <c r="F232" s="1370">
        <v>0</v>
      </c>
      <c r="G232" s="1370">
        <v>0</v>
      </c>
      <c r="H232" s="1370">
        <v>8905224</v>
      </c>
      <c r="I232" s="1370">
        <v>0</v>
      </c>
    </row>
    <row r="233" spans="1:9" ht="15.75" customHeight="1" x14ac:dyDescent="0.2">
      <c r="A233" s="1371" t="s">
        <v>2576</v>
      </c>
      <c r="B233" s="1371" t="s">
        <v>1172</v>
      </c>
      <c r="C233" s="1371" t="s">
        <v>1135</v>
      </c>
      <c r="D233" s="1372" t="s">
        <v>1136</v>
      </c>
      <c r="E233" s="1370">
        <v>8905224</v>
      </c>
      <c r="F233" s="1370">
        <v>0</v>
      </c>
      <c r="G233" s="1370">
        <v>0</v>
      </c>
      <c r="H233" s="1370">
        <v>8905224</v>
      </c>
      <c r="I233" s="1370">
        <v>0</v>
      </c>
    </row>
    <row r="234" spans="1:9" ht="15.75" customHeight="1" x14ac:dyDescent="0.2">
      <c r="A234" s="1371" t="s">
        <v>2576</v>
      </c>
      <c r="B234" s="1371" t="s">
        <v>1172</v>
      </c>
      <c r="C234" s="4512" t="s">
        <v>1174</v>
      </c>
      <c r="D234" s="4512"/>
      <c r="E234" s="1370">
        <v>3041086460</v>
      </c>
      <c r="F234" s="1370">
        <v>0</v>
      </c>
      <c r="G234" s="1370">
        <v>304108646</v>
      </c>
      <c r="H234" s="1370">
        <v>2736977814</v>
      </c>
      <c r="I234" s="1370">
        <v>0</v>
      </c>
    </row>
    <row r="235" spans="1:9" ht="15.75" customHeight="1" x14ac:dyDescent="0.2">
      <c r="A235" s="1371" t="s">
        <v>2576</v>
      </c>
      <c r="B235" s="1371" t="s">
        <v>1172</v>
      </c>
      <c r="C235" s="1371" t="s">
        <v>1174</v>
      </c>
      <c r="D235" s="1372" t="s">
        <v>1175</v>
      </c>
      <c r="E235" s="1370">
        <v>1299019260</v>
      </c>
      <c r="F235" s="1370">
        <v>0</v>
      </c>
      <c r="G235" s="1370">
        <v>129901926</v>
      </c>
      <c r="H235" s="1370">
        <v>1169117334</v>
      </c>
      <c r="I235" s="1370">
        <v>0</v>
      </c>
    </row>
    <row r="236" spans="1:9" ht="15.75" customHeight="1" x14ac:dyDescent="0.2">
      <c r="A236" s="1371" t="s">
        <v>2576</v>
      </c>
      <c r="B236" s="1371" t="s">
        <v>1172</v>
      </c>
      <c r="C236" s="1371" t="s">
        <v>1174</v>
      </c>
      <c r="D236" s="1372" t="s">
        <v>2252</v>
      </c>
      <c r="E236" s="1370">
        <v>1742067200</v>
      </c>
      <c r="F236" s="1370">
        <v>0</v>
      </c>
      <c r="G236" s="1370">
        <v>174206720</v>
      </c>
      <c r="H236" s="1370">
        <v>1567860480</v>
      </c>
      <c r="I236" s="1370">
        <v>0</v>
      </c>
    </row>
    <row r="237" spans="1:9" ht="15.75" customHeight="1" x14ac:dyDescent="0.2">
      <c r="A237" s="1371" t="s">
        <v>2576</v>
      </c>
      <c r="B237" s="1371" t="s">
        <v>1172</v>
      </c>
      <c r="C237" s="4512" t="s">
        <v>1129</v>
      </c>
      <c r="D237" s="4512"/>
      <c r="E237" s="1370">
        <v>85014400</v>
      </c>
      <c r="F237" s="1370">
        <v>0</v>
      </c>
      <c r="G237" s="1370">
        <v>0</v>
      </c>
      <c r="H237" s="1370">
        <v>85014400</v>
      </c>
      <c r="I237" s="1370">
        <v>0</v>
      </c>
    </row>
    <row r="238" spans="1:9" ht="15.75" customHeight="1" x14ac:dyDescent="0.2">
      <c r="A238" s="1371" t="s">
        <v>2576</v>
      </c>
      <c r="B238" s="1371" t="s">
        <v>1172</v>
      </c>
      <c r="C238" s="1371" t="s">
        <v>1129</v>
      </c>
      <c r="D238" s="1372" t="s">
        <v>1159</v>
      </c>
      <c r="E238" s="1370">
        <v>165000</v>
      </c>
      <c r="F238" s="1370">
        <v>0</v>
      </c>
      <c r="G238" s="1370">
        <v>0</v>
      </c>
      <c r="H238" s="1370">
        <v>165000</v>
      </c>
      <c r="I238" s="1370">
        <v>0</v>
      </c>
    </row>
    <row r="239" spans="1:9" ht="15.75" customHeight="1" x14ac:dyDescent="0.2">
      <c r="A239" s="1371" t="s">
        <v>2576</v>
      </c>
      <c r="B239" s="1371" t="s">
        <v>1172</v>
      </c>
      <c r="C239" s="1371" t="s">
        <v>1129</v>
      </c>
      <c r="D239" s="1372" t="s">
        <v>1160</v>
      </c>
      <c r="E239" s="1370">
        <v>84449400</v>
      </c>
      <c r="F239" s="1370">
        <v>0</v>
      </c>
      <c r="G239" s="1370">
        <v>0</v>
      </c>
      <c r="H239" s="1370">
        <v>84449400</v>
      </c>
      <c r="I239" s="1370">
        <v>0</v>
      </c>
    </row>
    <row r="240" spans="1:9" ht="15.75" customHeight="1" x14ac:dyDescent="0.2">
      <c r="A240" s="1371" t="s">
        <v>2576</v>
      </c>
      <c r="B240" s="1371" t="s">
        <v>1172</v>
      </c>
      <c r="C240" s="1371" t="s">
        <v>1129</v>
      </c>
      <c r="D240" s="1372" t="s">
        <v>1134</v>
      </c>
      <c r="E240" s="1370">
        <v>400000</v>
      </c>
      <c r="F240" s="1370">
        <v>0</v>
      </c>
      <c r="G240" s="1370">
        <v>0</v>
      </c>
      <c r="H240" s="1370">
        <v>400000</v>
      </c>
      <c r="I240" s="1370">
        <v>0</v>
      </c>
    </row>
    <row r="241" spans="1:9" ht="15.75" customHeight="1" x14ac:dyDescent="0.2">
      <c r="A241" s="1371" t="s">
        <v>2576</v>
      </c>
      <c r="B241" s="1371" t="s">
        <v>1172</v>
      </c>
      <c r="C241" s="4512" t="s">
        <v>1194</v>
      </c>
      <c r="D241" s="4512"/>
      <c r="E241" s="1370">
        <v>1354350</v>
      </c>
      <c r="F241" s="1370">
        <v>0</v>
      </c>
      <c r="G241" s="1370">
        <v>0</v>
      </c>
      <c r="H241" s="1370">
        <v>0</v>
      </c>
      <c r="I241" s="1370">
        <v>1354350</v>
      </c>
    </row>
    <row r="242" spans="1:9" ht="15.75" customHeight="1" x14ac:dyDescent="0.2">
      <c r="A242" s="1371" t="s">
        <v>2576</v>
      </c>
      <c r="B242" s="1371" t="s">
        <v>1172</v>
      </c>
      <c r="C242" s="1371" t="s">
        <v>1194</v>
      </c>
      <c r="D242" s="1372" t="s">
        <v>1197</v>
      </c>
      <c r="E242" s="1370">
        <v>1354350</v>
      </c>
      <c r="F242" s="1370">
        <v>0</v>
      </c>
      <c r="G242" s="1370">
        <v>0</v>
      </c>
      <c r="H242" s="1370">
        <v>0</v>
      </c>
      <c r="I242" s="1370">
        <v>1354350</v>
      </c>
    </row>
    <row r="243" spans="1:9" ht="15.75" customHeight="1" x14ac:dyDescent="0.2">
      <c r="A243" s="1371" t="s">
        <v>2576</v>
      </c>
      <c r="B243" s="1371" t="s">
        <v>1172</v>
      </c>
      <c r="C243" s="4512" t="s">
        <v>1125</v>
      </c>
      <c r="D243" s="4512"/>
      <c r="E243" s="1370">
        <v>2055413372</v>
      </c>
      <c r="F243" s="1370">
        <v>0</v>
      </c>
      <c r="G243" s="1370">
        <v>0</v>
      </c>
      <c r="H243" s="1370">
        <v>2055413372</v>
      </c>
      <c r="I243" s="1370">
        <v>0</v>
      </c>
    </row>
    <row r="244" spans="1:9" ht="15.75" customHeight="1" x14ac:dyDescent="0.2">
      <c r="A244" s="1371" t="s">
        <v>2576</v>
      </c>
      <c r="B244" s="1371" t="s">
        <v>1172</v>
      </c>
      <c r="C244" s="1371" t="s">
        <v>1125</v>
      </c>
      <c r="D244" s="1372" t="s">
        <v>1126</v>
      </c>
      <c r="E244" s="1370">
        <v>2055413372</v>
      </c>
      <c r="F244" s="1370">
        <v>0</v>
      </c>
      <c r="G244" s="1370">
        <v>0</v>
      </c>
      <c r="H244" s="1370">
        <v>2055413372</v>
      </c>
      <c r="I244" s="1370">
        <v>0</v>
      </c>
    </row>
    <row r="245" spans="1:9" ht="15.75" customHeight="1" x14ac:dyDescent="0.2">
      <c r="A245" s="1371" t="s">
        <v>2576</v>
      </c>
      <c r="B245" s="1371" t="s">
        <v>1172</v>
      </c>
      <c r="C245" s="4512" t="s">
        <v>1827</v>
      </c>
      <c r="D245" s="4512"/>
      <c r="E245" s="1370">
        <v>60526982</v>
      </c>
      <c r="F245" s="1370">
        <v>0</v>
      </c>
      <c r="G245" s="1370">
        <v>60526982</v>
      </c>
      <c r="H245" s="1370">
        <v>0</v>
      </c>
      <c r="I245" s="1370">
        <v>0</v>
      </c>
    </row>
    <row r="246" spans="1:9" ht="15.75" customHeight="1" x14ac:dyDescent="0.2">
      <c r="A246" s="1371" t="s">
        <v>2576</v>
      </c>
      <c r="B246" s="1371" t="s">
        <v>1172</v>
      </c>
      <c r="C246" s="1371" t="s">
        <v>1827</v>
      </c>
      <c r="D246" s="1372" t="s">
        <v>1828</v>
      </c>
      <c r="E246" s="1370">
        <v>47251982</v>
      </c>
      <c r="F246" s="1370">
        <v>0</v>
      </c>
      <c r="G246" s="1370">
        <v>47251982</v>
      </c>
      <c r="H246" s="1370">
        <v>0</v>
      </c>
      <c r="I246" s="1370">
        <v>0</v>
      </c>
    </row>
    <row r="247" spans="1:9" ht="15.75" customHeight="1" x14ac:dyDescent="0.2">
      <c r="A247" s="1371" t="s">
        <v>2576</v>
      </c>
      <c r="B247" s="1371" t="s">
        <v>1172</v>
      </c>
      <c r="C247" s="1371" t="s">
        <v>1827</v>
      </c>
      <c r="D247" s="1372" t="s">
        <v>1832</v>
      </c>
      <c r="E247" s="1370">
        <v>13275000</v>
      </c>
      <c r="F247" s="1370">
        <v>0</v>
      </c>
      <c r="G247" s="1370">
        <v>13275000</v>
      </c>
      <c r="H247" s="1370">
        <v>0</v>
      </c>
      <c r="I247" s="1370">
        <v>0</v>
      </c>
    </row>
    <row r="248" spans="1:9" ht="15.75" customHeight="1" x14ac:dyDescent="0.2">
      <c r="A248" s="1371" t="s">
        <v>2576</v>
      </c>
      <c r="B248" s="1371" t="s">
        <v>1172</v>
      </c>
      <c r="C248" s="4512" t="s">
        <v>1131</v>
      </c>
      <c r="D248" s="4512"/>
      <c r="E248" s="1370">
        <v>24000</v>
      </c>
      <c r="F248" s="1370">
        <v>0</v>
      </c>
      <c r="G248" s="1370">
        <v>0</v>
      </c>
      <c r="H248" s="1370">
        <v>24000</v>
      </c>
      <c r="I248" s="1370">
        <v>0</v>
      </c>
    </row>
    <row r="249" spans="1:9" ht="15.75" customHeight="1" x14ac:dyDescent="0.2">
      <c r="A249" s="1371" t="s">
        <v>2576</v>
      </c>
      <c r="B249" s="1371" t="s">
        <v>1172</v>
      </c>
      <c r="C249" s="1371" t="s">
        <v>1131</v>
      </c>
      <c r="D249" s="1372" t="s">
        <v>1132</v>
      </c>
      <c r="E249" s="1370">
        <v>24000</v>
      </c>
      <c r="F249" s="1370">
        <v>0</v>
      </c>
      <c r="G249" s="1370">
        <v>0</v>
      </c>
      <c r="H249" s="1370">
        <v>24000</v>
      </c>
      <c r="I249" s="1370">
        <v>0</v>
      </c>
    </row>
    <row r="250" spans="1:9" ht="15.75" customHeight="1" x14ac:dyDescent="0.2">
      <c r="A250" s="1371" t="s">
        <v>2576</v>
      </c>
      <c r="B250" s="1371" t="s">
        <v>1172</v>
      </c>
      <c r="C250" s="4512" t="s">
        <v>1139</v>
      </c>
      <c r="D250" s="4512"/>
      <c r="E250" s="1370">
        <v>5189836362</v>
      </c>
      <c r="F250" s="1370">
        <v>0</v>
      </c>
      <c r="G250" s="1370">
        <v>0</v>
      </c>
      <c r="H250" s="1370">
        <v>5118326481</v>
      </c>
      <c r="I250" s="1370">
        <v>71509881</v>
      </c>
    </row>
    <row r="251" spans="1:9" ht="15.75" customHeight="1" x14ac:dyDescent="0.2">
      <c r="A251" s="1371" t="s">
        <v>2576</v>
      </c>
      <c r="B251" s="1371" t="s">
        <v>1172</v>
      </c>
      <c r="C251" s="1371" t="s">
        <v>1139</v>
      </c>
      <c r="D251" s="1372" t="s">
        <v>1196</v>
      </c>
      <c r="E251" s="1370">
        <v>71509881</v>
      </c>
      <c r="F251" s="1370">
        <v>0</v>
      </c>
      <c r="G251" s="1370">
        <v>0</v>
      </c>
      <c r="H251" s="1370">
        <v>0</v>
      </c>
      <c r="I251" s="1370">
        <v>71509881</v>
      </c>
    </row>
    <row r="252" spans="1:9" ht="15.75" customHeight="1" x14ac:dyDescent="0.2">
      <c r="A252" s="1371" t="s">
        <v>2576</v>
      </c>
      <c r="B252" s="1371" t="s">
        <v>1172</v>
      </c>
      <c r="C252" s="1371" t="s">
        <v>1139</v>
      </c>
      <c r="D252" s="1372" t="s">
        <v>1161</v>
      </c>
      <c r="E252" s="1370">
        <v>4150912137</v>
      </c>
      <c r="F252" s="1370">
        <v>0</v>
      </c>
      <c r="G252" s="1370">
        <v>0</v>
      </c>
      <c r="H252" s="1370">
        <v>4150912137</v>
      </c>
      <c r="I252" s="1370">
        <v>0</v>
      </c>
    </row>
    <row r="253" spans="1:9" ht="15.75" customHeight="1" x14ac:dyDescent="0.2">
      <c r="A253" s="1371" t="s">
        <v>2576</v>
      </c>
      <c r="B253" s="1371" t="s">
        <v>1172</v>
      </c>
      <c r="C253" s="1371" t="s">
        <v>1139</v>
      </c>
      <c r="D253" s="1372" t="s">
        <v>1140</v>
      </c>
      <c r="E253" s="1370">
        <v>3228744</v>
      </c>
      <c r="F253" s="1370">
        <v>0</v>
      </c>
      <c r="G253" s="1370">
        <v>0</v>
      </c>
      <c r="H253" s="1370">
        <v>3228744</v>
      </c>
      <c r="I253" s="1370">
        <v>0</v>
      </c>
    </row>
    <row r="254" spans="1:9" ht="15.75" customHeight="1" x14ac:dyDescent="0.2">
      <c r="A254" s="1371" t="s">
        <v>2576</v>
      </c>
      <c r="B254" s="1371" t="s">
        <v>1172</v>
      </c>
      <c r="C254" s="1371" t="s">
        <v>1139</v>
      </c>
      <c r="D254" s="1372" t="s">
        <v>1176</v>
      </c>
      <c r="E254" s="1370">
        <v>964185600</v>
      </c>
      <c r="F254" s="1370">
        <v>0</v>
      </c>
      <c r="G254" s="1370">
        <v>0</v>
      </c>
      <c r="H254" s="1370">
        <v>964185600</v>
      </c>
      <c r="I254" s="1370">
        <v>0</v>
      </c>
    </row>
    <row r="255" spans="1:9" ht="15.75" customHeight="1" x14ac:dyDescent="0.2">
      <c r="A255" s="1371" t="s">
        <v>2576</v>
      </c>
      <c r="B255" s="1371" t="s">
        <v>1172</v>
      </c>
      <c r="C255" s="4512" t="s">
        <v>1127</v>
      </c>
      <c r="D255" s="4512"/>
      <c r="E255" s="1370">
        <v>600000</v>
      </c>
      <c r="F255" s="1370">
        <v>0</v>
      </c>
      <c r="G255" s="1370">
        <v>0</v>
      </c>
      <c r="H255" s="1370">
        <v>600000</v>
      </c>
      <c r="I255" s="1370">
        <v>0</v>
      </c>
    </row>
    <row r="256" spans="1:9" ht="15.75" customHeight="1" x14ac:dyDescent="0.2">
      <c r="A256" s="1371" t="s">
        <v>2576</v>
      </c>
      <c r="B256" s="1371" t="s">
        <v>1172</v>
      </c>
      <c r="C256" s="1371" t="s">
        <v>1127</v>
      </c>
      <c r="D256" s="1372" t="s">
        <v>1128</v>
      </c>
      <c r="E256" s="1370">
        <v>600000</v>
      </c>
      <c r="F256" s="1370">
        <v>0</v>
      </c>
      <c r="G256" s="1370">
        <v>0</v>
      </c>
      <c r="H256" s="1370">
        <v>600000</v>
      </c>
      <c r="I256" s="1370">
        <v>0</v>
      </c>
    </row>
    <row r="257" spans="1:9" ht="15.75" customHeight="1" x14ac:dyDescent="0.2">
      <c r="A257" s="1371" t="s">
        <v>2576</v>
      </c>
      <c r="B257" s="1371" t="s">
        <v>1172</v>
      </c>
      <c r="C257" s="4512" t="s">
        <v>1118</v>
      </c>
      <c r="D257" s="4512"/>
      <c r="E257" s="1370">
        <v>3088450</v>
      </c>
      <c r="F257" s="1370">
        <v>3088450</v>
      </c>
      <c r="G257" s="1370">
        <v>0</v>
      </c>
      <c r="H257" s="1370">
        <v>0</v>
      </c>
      <c r="I257" s="1370">
        <v>0</v>
      </c>
    </row>
    <row r="258" spans="1:9" ht="15.75" customHeight="1" x14ac:dyDescent="0.2">
      <c r="A258" s="1371" t="s">
        <v>2576</v>
      </c>
      <c r="B258" s="1371" t="s">
        <v>1172</v>
      </c>
      <c r="C258" s="1371" t="s">
        <v>1118</v>
      </c>
      <c r="D258" s="1372" t="s">
        <v>1164</v>
      </c>
      <c r="E258" s="1370">
        <v>3084250</v>
      </c>
      <c r="F258" s="1370">
        <v>3084250</v>
      </c>
      <c r="G258" s="1370">
        <v>0</v>
      </c>
      <c r="H258" s="1370">
        <v>0</v>
      </c>
      <c r="I258" s="1370">
        <v>0</v>
      </c>
    </row>
    <row r="259" spans="1:9" ht="15.75" customHeight="1" x14ac:dyDescent="0.2">
      <c r="A259" s="1371" t="s">
        <v>2576</v>
      </c>
      <c r="B259" s="1371" t="s">
        <v>1172</v>
      </c>
      <c r="C259" s="1371" t="s">
        <v>1118</v>
      </c>
      <c r="D259" s="1372" t="s">
        <v>1166</v>
      </c>
      <c r="E259" s="1370">
        <v>4200</v>
      </c>
      <c r="F259" s="1370">
        <v>4200</v>
      </c>
      <c r="G259" s="1370">
        <v>0</v>
      </c>
      <c r="H259" s="1370">
        <v>0</v>
      </c>
      <c r="I259" s="1370">
        <v>0</v>
      </c>
    </row>
    <row r="260" spans="1:9" ht="15.75" customHeight="1" x14ac:dyDescent="0.2">
      <c r="A260" s="1371" t="s">
        <v>2576</v>
      </c>
      <c r="B260" s="1371" t="s">
        <v>1172</v>
      </c>
      <c r="C260" s="4512" t="s">
        <v>1137</v>
      </c>
      <c r="D260" s="4512"/>
      <c r="E260" s="1370">
        <v>17187626</v>
      </c>
      <c r="F260" s="1370">
        <v>0</v>
      </c>
      <c r="G260" s="1370">
        <v>0</v>
      </c>
      <c r="H260" s="1370">
        <v>17187626</v>
      </c>
      <c r="I260" s="1370">
        <v>0</v>
      </c>
    </row>
    <row r="261" spans="1:9" ht="15.75" customHeight="1" x14ac:dyDescent="0.2">
      <c r="A261" s="1371" t="s">
        <v>2576</v>
      </c>
      <c r="B261" s="1371" t="s">
        <v>1172</v>
      </c>
      <c r="C261" s="1371" t="s">
        <v>1137</v>
      </c>
      <c r="D261" s="1372" t="s">
        <v>2263</v>
      </c>
      <c r="E261" s="1370">
        <v>0</v>
      </c>
      <c r="F261" s="1370">
        <v>0</v>
      </c>
      <c r="G261" s="1370">
        <v>0</v>
      </c>
      <c r="H261" s="1370">
        <v>0</v>
      </c>
      <c r="I261" s="1370">
        <v>0</v>
      </c>
    </row>
    <row r="262" spans="1:9" ht="15.75" customHeight="1" x14ac:dyDescent="0.2">
      <c r="A262" s="1371" t="s">
        <v>2576</v>
      </c>
      <c r="B262" s="1371" t="s">
        <v>1172</v>
      </c>
      <c r="C262" s="1371" t="s">
        <v>1137</v>
      </c>
      <c r="D262" s="1372" t="s">
        <v>1150</v>
      </c>
      <c r="E262" s="1370">
        <v>1107968</v>
      </c>
      <c r="F262" s="1370">
        <v>0</v>
      </c>
      <c r="G262" s="1370">
        <v>0</v>
      </c>
      <c r="H262" s="1370">
        <v>1107968</v>
      </c>
      <c r="I262" s="1370">
        <v>0</v>
      </c>
    </row>
    <row r="263" spans="1:9" ht="15.75" customHeight="1" x14ac:dyDescent="0.2">
      <c r="A263" s="1371" t="s">
        <v>2576</v>
      </c>
      <c r="B263" s="1371" t="s">
        <v>1172</v>
      </c>
      <c r="C263" s="1371" t="s">
        <v>1137</v>
      </c>
      <c r="D263" s="1372" t="s">
        <v>1167</v>
      </c>
      <c r="E263" s="1370">
        <v>117</v>
      </c>
      <c r="F263" s="1370">
        <v>0</v>
      </c>
      <c r="G263" s="1370">
        <v>0</v>
      </c>
      <c r="H263" s="1370">
        <v>117</v>
      </c>
      <c r="I263" s="1370">
        <v>0</v>
      </c>
    </row>
    <row r="264" spans="1:9" ht="15.75" customHeight="1" x14ac:dyDescent="0.2">
      <c r="A264" s="1371" t="s">
        <v>2576</v>
      </c>
      <c r="B264" s="1371" t="s">
        <v>1172</v>
      </c>
      <c r="C264" s="1371" t="s">
        <v>1137</v>
      </c>
      <c r="D264" s="1372" t="s">
        <v>1168</v>
      </c>
      <c r="E264" s="1370">
        <v>557644</v>
      </c>
      <c r="F264" s="1370">
        <v>0</v>
      </c>
      <c r="G264" s="1370">
        <v>0</v>
      </c>
      <c r="H264" s="1370">
        <v>557644</v>
      </c>
      <c r="I264" s="1370">
        <v>0</v>
      </c>
    </row>
    <row r="265" spans="1:9" ht="15.75" customHeight="1" x14ac:dyDescent="0.2">
      <c r="A265" s="1371" t="s">
        <v>2576</v>
      </c>
      <c r="B265" s="1371" t="s">
        <v>1172</v>
      </c>
      <c r="C265" s="1371" t="s">
        <v>1137</v>
      </c>
      <c r="D265" s="1372" t="s">
        <v>1169</v>
      </c>
      <c r="E265" s="1370">
        <v>2174976</v>
      </c>
      <c r="F265" s="1370">
        <v>0</v>
      </c>
      <c r="G265" s="1370">
        <v>0</v>
      </c>
      <c r="H265" s="1370">
        <v>2174976</v>
      </c>
      <c r="I265" s="1370">
        <v>0</v>
      </c>
    </row>
    <row r="266" spans="1:9" ht="15.75" customHeight="1" x14ac:dyDescent="0.2">
      <c r="A266" s="1371" t="s">
        <v>2576</v>
      </c>
      <c r="B266" s="1371" t="s">
        <v>1172</v>
      </c>
      <c r="C266" s="1371" t="s">
        <v>1137</v>
      </c>
      <c r="D266" s="1372" t="s">
        <v>1170</v>
      </c>
      <c r="E266" s="1370">
        <v>13346921</v>
      </c>
      <c r="F266" s="1370">
        <v>0</v>
      </c>
      <c r="G266" s="1370">
        <v>0</v>
      </c>
      <c r="H266" s="1370">
        <v>13346921</v>
      </c>
      <c r="I266" s="1370">
        <v>0</v>
      </c>
    </row>
    <row r="267" spans="1:9" ht="15.75" customHeight="1" x14ac:dyDescent="0.2">
      <c r="A267" s="1371" t="s">
        <v>2576</v>
      </c>
      <c r="B267" s="4512" t="s">
        <v>1178</v>
      </c>
      <c r="C267" s="4512"/>
      <c r="D267" s="4512"/>
      <c r="E267" s="1370">
        <v>407677376114</v>
      </c>
      <c r="F267" s="1370">
        <v>0</v>
      </c>
      <c r="G267" s="1370">
        <v>0</v>
      </c>
      <c r="H267" s="1370">
        <v>407677376114</v>
      </c>
      <c r="I267" s="1370">
        <v>0</v>
      </c>
    </row>
    <row r="268" spans="1:9" ht="15.75" customHeight="1" x14ac:dyDescent="0.2">
      <c r="A268" s="1371" t="s">
        <v>2576</v>
      </c>
      <c r="B268" s="1371" t="s">
        <v>1178</v>
      </c>
      <c r="C268" s="4512" t="s">
        <v>1179</v>
      </c>
      <c r="D268" s="4512"/>
      <c r="E268" s="1370">
        <v>14526724976</v>
      </c>
      <c r="F268" s="1370">
        <v>0</v>
      </c>
      <c r="G268" s="1370">
        <v>0</v>
      </c>
      <c r="H268" s="1370">
        <v>14526724976</v>
      </c>
      <c r="I268" s="1370">
        <v>0</v>
      </c>
    </row>
    <row r="269" spans="1:9" ht="15.75" customHeight="1" x14ac:dyDescent="0.2">
      <c r="A269" s="1371" t="s">
        <v>2576</v>
      </c>
      <c r="B269" s="1371" t="s">
        <v>1178</v>
      </c>
      <c r="C269" s="1371" t="s">
        <v>1179</v>
      </c>
      <c r="D269" s="1372" t="s">
        <v>1836</v>
      </c>
      <c r="E269" s="1370">
        <v>11456970400</v>
      </c>
      <c r="F269" s="1370">
        <v>0</v>
      </c>
      <c r="G269" s="1370">
        <v>0</v>
      </c>
      <c r="H269" s="1370">
        <v>11456970400</v>
      </c>
      <c r="I269" s="1370">
        <v>0</v>
      </c>
    </row>
    <row r="270" spans="1:9" ht="15.75" customHeight="1" x14ac:dyDescent="0.2">
      <c r="A270" s="1371" t="s">
        <v>2576</v>
      </c>
      <c r="B270" s="1371" t="s">
        <v>1178</v>
      </c>
      <c r="C270" s="1371" t="s">
        <v>1179</v>
      </c>
      <c r="D270" s="1372" t="s">
        <v>1837</v>
      </c>
      <c r="E270" s="1370">
        <v>991471633</v>
      </c>
      <c r="F270" s="1370">
        <v>0</v>
      </c>
      <c r="G270" s="1370">
        <v>0</v>
      </c>
      <c r="H270" s="1370">
        <v>991471633</v>
      </c>
      <c r="I270" s="1370">
        <v>0</v>
      </c>
    </row>
    <row r="271" spans="1:9" ht="15.75" customHeight="1" x14ac:dyDescent="0.2">
      <c r="A271" s="1371" t="s">
        <v>2576</v>
      </c>
      <c r="B271" s="1371" t="s">
        <v>1178</v>
      </c>
      <c r="C271" s="1371" t="s">
        <v>1179</v>
      </c>
      <c r="D271" s="1372" t="s">
        <v>1838</v>
      </c>
      <c r="E271" s="1370">
        <v>2078282943</v>
      </c>
      <c r="F271" s="1370">
        <v>0</v>
      </c>
      <c r="G271" s="1370">
        <v>0</v>
      </c>
      <c r="H271" s="1370">
        <v>2078282943</v>
      </c>
      <c r="I271" s="1370">
        <v>0</v>
      </c>
    </row>
    <row r="272" spans="1:9" ht="15.75" customHeight="1" x14ac:dyDescent="0.2">
      <c r="A272" s="1371" t="s">
        <v>2576</v>
      </c>
      <c r="B272" s="1371" t="s">
        <v>1178</v>
      </c>
      <c r="C272" s="4512" t="s">
        <v>1181</v>
      </c>
      <c r="D272" s="4512"/>
      <c r="E272" s="1370">
        <v>371442235320</v>
      </c>
      <c r="F272" s="1370">
        <v>0</v>
      </c>
      <c r="G272" s="1370">
        <v>0</v>
      </c>
      <c r="H272" s="1370">
        <v>371442235320</v>
      </c>
      <c r="I272" s="1370">
        <v>0</v>
      </c>
    </row>
    <row r="273" spans="1:9" ht="15.75" customHeight="1" x14ac:dyDescent="0.2">
      <c r="A273" s="1371" t="s">
        <v>2576</v>
      </c>
      <c r="B273" s="1371" t="s">
        <v>1178</v>
      </c>
      <c r="C273" s="1371" t="s">
        <v>1181</v>
      </c>
      <c r="D273" s="1372" t="s">
        <v>1182</v>
      </c>
      <c r="E273" s="1370">
        <v>227017631000</v>
      </c>
      <c r="F273" s="1370">
        <v>0</v>
      </c>
      <c r="G273" s="1370">
        <v>0</v>
      </c>
      <c r="H273" s="1370">
        <v>227017631000</v>
      </c>
      <c r="I273" s="1370">
        <v>0</v>
      </c>
    </row>
    <row r="274" spans="1:9" ht="15.75" customHeight="1" x14ac:dyDescent="0.2">
      <c r="A274" s="1371" t="s">
        <v>2576</v>
      </c>
      <c r="B274" s="1371" t="s">
        <v>1178</v>
      </c>
      <c r="C274" s="1371" t="s">
        <v>1181</v>
      </c>
      <c r="D274" s="1372" t="s">
        <v>1183</v>
      </c>
      <c r="E274" s="1370">
        <v>144424604320</v>
      </c>
      <c r="F274" s="1370">
        <v>0</v>
      </c>
      <c r="G274" s="1370">
        <v>0</v>
      </c>
      <c r="H274" s="1370">
        <v>144424604320</v>
      </c>
      <c r="I274" s="1370">
        <v>0</v>
      </c>
    </row>
    <row r="275" spans="1:9" ht="15.75" customHeight="1" x14ac:dyDescent="0.2">
      <c r="A275" s="1371" t="s">
        <v>2576</v>
      </c>
      <c r="B275" s="1371" t="s">
        <v>1178</v>
      </c>
      <c r="C275" s="4512" t="s">
        <v>1184</v>
      </c>
      <c r="D275" s="4512"/>
      <c r="E275" s="1370">
        <v>7099451002</v>
      </c>
      <c r="F275" s="1370">
        <v>0</v>
      </c>
      <c r="G275" s="1370">
        <v>0</v>
      </c>
      <c r="H275" s="1370">
        <v>7099451002</v>
      </c>
      <c r="I275" s="1370">
        <v>0</v>
      </c>
    </row>
    <row r="276" spans="1:9" ht="15.75" customHeight="1" x14ac:dyDescent="0.2">
      <c r="A276" s="1371" t="s">
        <v>2576</v>
      </c>
      <c r="B276" s="1371" t="s">
        <v>1178</v>
      </c>
      <c r="C276" s="1371" t="s">
        <v>1184</v>
      </c>
      <c r="D276" s="1372" t="s">
        <v>1185</v>
      </c>
      <c r="E276" s="1370">
        <v>1906718095</v>
      </c>
      <c r="F276" s="1370">
        <v>0</v>
      </c>
      <c r="G276" s="1370">
        <v>0</v>
      </c>
      <c r="H276" s="1370">
        <v>1906718095</v>
      </c>
      <c r="I276" s="1370">
        <v>0</v>
      </c>
    </row>
    <row r="277" spans="1:9" ht="15.75" customHeight="1" x14ac:dyDescent="0.2">
      <c r="A277" s="1371" t="s">
        <v>2576</v>
      </c>
      <c r="B277" s="1371" t="s">
        <v>1178</v>
      </c>
      <c r="C277" s="1371" t="s">
        <v>1184</v>
      </c>
      <c r="D277" s="1372" t="s">
        <v>1186</v>
      </c>
      <c r="E277" s="1370">
        <v>5192732907</v>
      </c>
      <c r="F277" s="1370">
        <v>0</v>
      </c>
      <c r="G277" s="1370">
        <v>0</v>
      </c>
      <c r="H277" s="1370">
        <v>5192732907</v>
      </c>
      <c r="I277" s="1370">
        <v>0</v>
      </c>
    </row>
    <row r="278" spans="1:9" ht="15.75" customHeight="1" x14ac:dyDescent="0.2">
      <c r="A278" s="1371" t="s">
        <v>2576</v>
      </c>
      <c r="B278" s="1371" t="s">
        <v>1178</v>
      </c>
      <c r="C278" s="4512" t="s">
        <v>1187</v>
      </c>
      <c r="D278" s="4512"/>
      <c r="E278" s="1370">
        <v>14442233786</v>
      </c>
      <c r="F278" s="1370">
        <v>0</v>
      </c>
      <c r="G278" s="1370">
        <v>0</v>
      </c>
      <c r="H278" s="1370">
        <v>14442233786</v>
      </c>
      <c r="I278" s="1370">
        <v>0</v>
      </c>
    </row>
    <row r="279" spans="1:9" ht="15.75" customHeight="1" x14ac:dyDescent="0.2">
      <c r="A279" s="1371" t="s">
        <v>2576</v>
      </c>
      <c r="B279" s="1371" t="s">
        <v>1178</v>
      </c>
      <c r="C279" s="1371" t="s">
        <v>1187</v>
      </c>
      <c r="D279" s="1372" t="s">
        <v>1188</v>
      </c>
      <c r="E279" s="1370">
        <v>14442233786</v>
      </c>
      <c r="F279" s="1370">
        <v>0</v>
      </c>
      <c r="G279" s="1370">
        <v>0</v>
      </c>
      <c r="H279" s="1370">
        <v>14442233786</v>
      </c>
      <c r="I279" s="1370">
        <v>0</v>
      </c>
    </row>
    <row r="280" spans="1:9" ht="15.75" customHeight="1" x14ac:dyDescent="0.2">
      <c r="A280" s="1371" t="s">
        <v>2576</v>
      </c>
      <c r="B280" s="1371" t="s">
        <v>1178</v>
      </c>
      <c r="C280" s="4512" t="s">
        <v>1137</v>
      </c>
      <c r="D280" s="4512"/>
      <c r="E280" s="1370">
        <v>166731030</v>
      </c>
      <c r="F280" s="1370">
        <v>0</v>
      </c>
      <c r="G280" s="1370">
        <v>0</v>
      </c>
      <c r="H280" s="1370">
        <v>166731030</v>
      </c>
      <c r="I280" s="1370">
        <v>0</v>
      </c>
    </row>
    <row r="281" spans="1:9" ht="15.75" customHeight="1" x14ac:dyDescent="0.2">
      <c r="A281" s="1371" t="s">
        <v>2576</v>
      </c>
      <c r="B281" s="1371" t="s">
        <v>1178</v>
      </c>
      <c r="C281" s="1371" t="s">
        <v>1137</v>
      </c>
      <c r="D281" s="1372" t="s">
        <v>1138</v>
      </c>
      <c r="E281" s="1370">
        <v>166731030</v>
      </c>
      <c r="F281" s="1370">
        <v>0</v>
      </c>
      <c r="G281" s="1370">
        <v>0</v>
      </c>
      <c r="H281" s="1370">
        <v>166731030</v>
      </c>
      <c r="I281" s="1370">
        <v>0</v>
      </c>
    </row>
    <row r="282" spans="1:9" ht="15.75" customHeight="1" x14ac:dyDescent="0.2">
      <c r="A282" s="1371" t="s">
        <v>2576</v>
      </c>
      <c r="B282" s="4512" t="s">
        <v>1189</v>
      </c>
      <c r="C282" s="4512"/>
      <c r="D282" s="4512"/>
      <c r="E282" s="1370">
        <v>311343014</v>
      </c>
      <c r="F282" s="1370">
        <v>0</v>
      </c>
      <c r="G282" s="1370">
        <v>0</v>
      </c>
      <c r="H282" s="1370">
        <v>311343014</v>
      </c>
      <c r="I282" s="1370">
        <v>0</v>
      </c>
    </row>
    <row r="283" spans="1:9" ht="15.75" customHeight="1" x14ac:dyDescent="0.2">
      <c r="A283" s="1371" t="s">
        <v>2576</v>
      </c>
      <c r="B283" s="1371" t="s">
        <v>1189</v>
      </c>
      <c r="C283" s="4512" t="s">
        <v>1123</v>
      </c>
      <c r="D283" s="4512"/>
      <c r="E283" s="1370">
        <v>20380415</v>
      </c>
      <c r="F283" s="1370">
        <v>0</v>
      </c>
      <c r="G283" s="1370">
        <v>0</v>
      </c>
      <c r="H283" s="1370">
        <v>20380415</v>
      </c>
      <c r="I283" s="1370">
        <v>0</v>
      </c>
    </row>
    <row r="284" spans="1:9" ht="15.75" customHeight="1" x14ac:dyDescent="0.2">
      <c r="A284" s="1371" t="s">
        <v>2576</v>
      </c>
      <c r="B284" s="1371" t="s">
        <v>1189</v>
      </c>
      <c r="C284" s="1371" t="s">
        <v>1123</v>
      </c>
      <c r="D284" s="1372" t="s">
        <v>1124</v>
      </c>
      <c r="E284" s="1370">
        <v>20380415</v>
      </c>
      <c r="F284" s="1370">
        <v>0</v>
      </c>
      <c r="G284" s="1370">
        <v>0</v>
      </c>
      <c r="H284" s="1370">
        <v>20380415</v>
      </c>
      <c r="I284" s="1370">
        <v>0</v>
      </c>
    </row>
    <row r="285" spans="1:9" ht="15.75" customHeight="1" x14ac:dyDescent="0.2">
      <c r="A285" s="1371" t="s">
        <v>2576</v>
      </c>
      <c r="B285" s="1371" t="s">
        <v>1189</v>
      </c>
      <c r="C285" s="4512" t="s">
        <v>1135</v>
      </c>
      <c r="D285" s="4512"/>
      <c r="E285" s="1370">
        <v>94812170</v>
      </c>
      <c r="F285" s="1370">
        <v>0</v>
      </c>
      <c r="G285" s="1370">
        <v>0</v>
      </c>
      <c r="H285" s="1370">
        <v>94812170</v>
      </c>
      <c r="I285" s="1370">
        <v>0</v>
      </c>
    </row>
    <row r="286" spans="1:9" ht="15.75" customHeight="1" x14ac:dyDescent="0.2">
      <c r="A286" s="1371" t="s">
        <v>2576</v>
      </c>
      <c r="B286" s="1371" t="s">
        <v>1189</v>
      </c>
      <c r="C286" s="1371" t="s">
        <v>1135</v>
      </c>
      <c r="D286" s="1372" t="s">
        <v>1136</v>
      </c>
      <c r="E286" s="1370">
        <v>94812170</v>
      </c>
      <c r="F286" s="1370">
        <v>0</v>
      </c>
      <c r="G286" s="1370">
        <v>0</v>
      </c>
      <c r="H286" s="1370">
        <v>94812170</v>
      </c>
      <c r="I286" s="1370">
        <v>0</v>
      </c>
    </row>
    <row r="287" spans="1:9" ht="15.75" customHeight="1" x14ac:dyDescent="0.2">
      <c r="A287" s="1371" t="s">
        <v>2576</v>
      </c>
      <c r="B287" s="1371" t="s">
        <v>1189</v>
      </c>
      <c r="C287" s="4512" t="s">
        <v>1125</v>
      </c>
      <c r="D287" s="4512"/>
      <c r="E287" s="1370">
        <v>120885670</v>
      </c>
      <c r="F287" s="1370">
        <v>0</v>
      </c>
      <c r="G287" s="1370">
        <v>0</v>
      </c>
      <c r="H287" s="1370">
        <v>120885670</v>
      </c>
      <c r="I287" s="1370">
        <v>0</v>
      </c>
    </row>
    <row r="288" spans="1:9" ht="15.75" customHeight="1" x14ac:dyDescent="0.2">
      <c r="A288" s="1371" t="s">
        <v>2576</v>
      </c>
      <c r="B288" s="1371" t="s">
        <v>1189</v>
      </c>
      <c r="C288" s="1371" t="s">
        <v>1125</v>
      </c>
      <c r="D288" s="1372" t="s">
        <v>1126</v>
      </c>
      <c r="E288" s="1370">
        <v>120885670</v>
      </c>
      <c r="F288" s="1370">
        <v>0</v>
      </c>
      <c r="G288" s="1370">
        <v>0</v>
      </c>
      <c r="H288" s="1370">
        <v>120885670</v>
      </c>
      <c r="I288" s="1370">
        <v>0</v>
      </c>
    </row>
    <row r="289" spans="1:9" ht="15.75" customHeight="1" x14ac:dyDescent="0.2">
      <c r="A289" s="1371" t="s">
        <v>2576</v>
      </c>
      <c r="B289" s="1371" t="s">
        <v>1189</v>
      </c>
      <c r="C289" s="4512" t="s">
        <v>2254</v>
      </c>
      <c r="D289" s="4512"/>
      <c r="E289" s="1370">
        <v>2240000</v>
      </c>
      <c r="F289" s="1370">
        <v>0</v>
      </c>
      <c r="G289" s="1370">
        <v>0</v>
      </c>
      <c r="H289" s="1370">
        <v>2240000</v>
      </c>
      <c r="I289" s="1370">
        <v>0</v>
      </c>
    </row>
    <row r="290" spans="1:9" ht="15.75" customHeight="1" x14ac:dyDescent="0.2">
      <c r="A290" s="1371" t="s">
        <v>2576</v>
      </c>
      <c r="B290" s="1371" t="s">
        <v>1189</v>
      </c>
      <c r="C290" s="1371" t="s">
        <v>2254</v>
      </c>
      <c r="D290" s="1372" t="s">
        <v>2255</v>
      </c>
      <c r="E290" s="1370">
        <v>2240000</v>
      </c>
      <c r="F290" s="1370">
        <v>0</v>
      </c>
      <c r="G290" s="1370">
        <v>0</v>
      </c>
      <c r="H290" s="1370">
        <v>2240000</v>
      </c>
      <c r="I290" s="1370">
        <v>0</v>
      </c>
    </row>
    <row r="291" spans="1:9" ht="15.75" customHeight="1" x14ac:dyDescent="0.2">
      <c r="A291" s="1371" t="s">
        <v>2576</v>
      </c>
      <c r="B291" s="1371" t="s">
        <v>1189</v>
      </c>
      <c r="C291" s="4512" t="s">
        <v>1127</v>
      </c>
      <c r="D291" s="4512"/>
      <c r="E291" s="1370">
        <v>4000000</v>
      </c>
      <c r="F291" s="1370">
        <v>0</v>
      </c>
      <c r="G291" s="1370">
        <v>0</v>
      </c>
      <c r="H291" s="1370">
        <v>4000000</v>
      </c>
      <c r="I291" s="1370">
        <v>0</v>
      </c>
    </row>
    <row r="292" spans="1:9" ht="15.75" customHeight="1" x14ac:dyDescent="0.2">
      <c r="A292" s="1371" t="s">
        <v>2576</v>
      </c>
      <c r="B292" s="1371" t="s">
        <v>1189</v>
      </c>
      <c r="C292" s="1371" t="s">
        <v>1127</v>
      </c>
      <c r="D292" s="1372" t="s">
        <v>1128</v>
      </c>
      <c r="E292" s="1370">
        <v>4000000</v>
      </c>
      <c r="F292" s="1370">
        <v>0</v>
      </c>
      <c r="G292" s="1370">
        <v>0</v>
      </c>
      <c r="H292" s="1370">
        <v>4000000</v>
      </c>
      <c r="I292" s="1370">
        <v>0</v>
      </c>
    </row>
    <row r="293" spans="1:9" ht="15.75" customHeight="1" x14ac:dyDescent="0.2">
      <c r="A293" s="1371" t="s">
        <v>2576</v>
      </c>
      <c r="B293" s="1371" t="s">
        <v>1189</v>
      </c>
      <c r="C293" s="4512" t="s">
        <v>1137</v>
      </c>
      <c r="D293" s="4512"/>
      <c r="E293" s="1370">
        <v>69024759</v>
      </c>
      <c r="F293" s="1370">
        <v>0</v>
      </c>
      <c r="G293" s="1370">
        <v>0</v>
      </c>
      <c r="H293" s="1370">
        <v>69024759</v>
      </c>
      <c r="I293" s="1370">
        <v>0</v>
      </c>
    </row>
    <row r="294" spans="1:9" ht="15.75" customHeight="1" x14ac:dyDescent="0.2">
      <c r="A294" s="1371" t="s">
        <v>2576</v>
      </c>
      <c r="B294" s="1371" t="s">
        <v>1189</v>
      </c>
      <c r="C294" s="1371" t="s">
        <v>1137</v>
      </c>
      <c r="D294" s="1372" t="s">
        <v>1138</v>
      </c>
      <c r="E294" s="1370">
        <v>68815120</v>
      </c>
      <c r="F294" s="1370">
        <v>0</v>
      </c>
      <c r="G294" s="1370">
        <v>0</v>
      </c>
      <c r="H294" s="1370">
        <v>68815120</v>
      </c>
      <c r="I294" s="1370">
        <v>0</v>
      </c>
    </row>
    <row r="295" spans="1:9" ht="15.75" customHeight="1" x14ac:dyDescent="0.2">
      <c r="A295" s="1371" t="s">
        <v>2576</v>
      </c>
      <c r="B295" s="1371" t="s">
        <v>1189</v>
      </c>
      <c r="C295" s="1371" t="s">
        <v>1137</v>
      </c>
      <c r="D295" s="1372" t="s">
        <v>1169</v>
      </c>
      <c r="E295" s="1370">
        <v>9639</v>
      </c>
      <c r="F295" s="1370">
        <v>0</v>
      </c>
      <c r="G295" s="1370">
        <v>0</v>
      </c>
      <c r="H295" s="1370">
        <v>9639</v>
      </c>
      <c r="I295" s="1370">
        <v>0</v>
      </c>
    </row>
    <row r="296" spans="1:9" ht="15.75" customHeight="1" x14ac:dyDescent="0.2">
      <c r="A296" s="1371" t="s">
        <v>2576</v>
      </c>
      <c r="B296" s="1371" t="s">
        <v>1189</v>
      </c>
      <c r="C296" s="1371" t="s">
        <v>1137</v>
      </c>
      <c r="D296" s="1372" t="s">
        <v>1157</v>
      </c>
      <c r="E296" s="1370">
        <v>200000</v>
      </c>
      <c r="F296" s="1370">
        <v>0</v>
      </c>
      <c r="G296" s="1370">
        <v>0</v>
      </c>
      <c r="H296" s="1370">
        <v>200000</v>
      </c>
      <c r="I296" s="1370">
        <v>0</v>
      </c>
    </row>
    <row r="297" spans="1:9" ht="15.75" customHeight="1" x14ac:dyDescent="0.2">
      <c r="A297" s="4512" t="s">
        <v>2579</v>
      </c>
      <c r="B297" s="4512"/>
      <c r="C297" s="4512"/>
      <c r="D297" s="4512"/>
      <c r="E297" s="1370">
        <v>198813504653</v>
      </c>
      <c r="F297" s="1370">
        <v>0</v>
      </c>
      <c r="G297" s="1370">
        <v>224558264</v>
      </c>
      <c r="H297" s="1370">
        <v>2089160258</v>
      </c>
      <c r="I297" s="1370">
        <v>196499786131</v>
      </c>
    </row>
    <row r="298" spans="1:9" ht="15.75" customHeight="1" x14ac:dyDescent="0.2">
      <c r="A298" s="1371" t="s">
        <v>2579</v>
      </c>
      <c r="B298" s="4512" t="s">
        <v>2580</v>
      </c>
      <c r="C298" s="4512"/>
      <c r="D298" s="4512"/>
      <c r="E298" s="1370">
        <v>3428080749</v>
      </c>
      <c r="F298" s="1370">
        <v>0</v>
      </c>
      <c r="G298" s="1370">
        <v>14814805</v>
      </c>
      <c r="H298" s="1370">
        <v>201459127</v>
      </c>
      <c r="I298" s="1370">
        <v>3211806817</v>
      </c>
    </row>
    <row r="299" spans="1:9" ht="15.75" customHeight="1" x14ac:dyDescent="0.2">
      <c r="A299" s="1371" t="s">
        <v>2579</v>
      </c>
      <c r="B299" s="1371" t="s">
        <v>2580</v>
      </c>
      <c r="C299" s="4512" t="s">
        <v>1123</v>
      </c>
      <c r="D299" s="4512"/>
      <c r="E299" s="1370">
        <v>1340147901</v>
      </c>
      <c r="F299" s="1370">
        <v>0</v>
      </c>
      <c r="G299" s="1370">
        <v>0</v>
      </c>
      <c r="H299" s="1370">
        <v>0</v>
      </c>
      <c r="I299" s="1370">
        <v>1340147901</v>
      </c>
    </row>
    <row r="300" spans="1:9" ht="15.75" customHeight="1" x14ac:dyDescent="0.2">
      <c r="A300" s="1371" t="s">
        <v>2579</v>
      </c>
      <c r="B300" s="1371" t="s">
        <v>2580</v>
      </c>
      <c r="C300" s="1371" t="s">
        <v>1123</v>
      </c>
      <c r="D300" s="1372" t="s">
        <v>1173</v>
      </c>
      <c r="E300" s="1370">
        <v>730395603</v>
      </c>
      <c r="F300" s="1370">
        <v>0</v>
      </c>
      <c r="G300" s="1370">
        <v>0</v>
      </c>
      <c r="H300" s="1370">
        <v>0</v>
      </c>
      <c r="I300" s="1370">
        <v>730395603</v>
      </c>
    </row>
    <row r="301" spans="1:9" ht="15.75" customHeight="1" x14ac:dyDescent="0.2">
      <c r="A301" s="1371" t="s">
        <v>2579</v>
      </c>
      <c r="B301" s="1371" t="s">
        <v>2580</v>
      </c>
      <c r="C301" s="1371" t="s">
        <v>1123</v>
      </c>
      <c r="D301" s="1372" t="s">
        <v>1191</v>
      </c>
      <c r="E301" s="1370">
        <v>609752298</v>
      </c>
      <c r="F301" s="1370">
        <v>0</v>
      </c>
      <c r="G301" s="1370">
        <v>0</v>
      </c>
      <c r="H301" s="1370">
        <v>0</v>
      </c>
      <c r="I301" s="1370">
        <v>609752298</v>
      </c>
    </row>
    <row r="302" spans="1:9" ht="15.75" customHeight="1" x14ac:dyDescent="0.2">
      <c r="A302" s="1371" t="s">
        <v>2579</v>
      </c>
      <c r="B302" s="1371" t="s">
        <v>2580</v>
      </c>
      <c r="C302" s="4512" t="s">
        <v>1135</v>
      </c>
      <c r="D302" s="4512"/>
      <c r="E302" s="1370">
        <v>810600</v>
      </c>
      <c r="F302" s="1370">
        <v>0</v>
      </c>
      <c r="G302" s="1370">
        <v>0</v>
      </c>
      <c r="H302" s="1370">
        <v>810600</v>
      </c>
      <c r="I302" s="1370">
        <v>0</v>
      </c>
    </row>
    <row r="303" spans="1:9" ht="15.75" customHeight="1" x14ac:dyDescent="0.2">
      <c r="A303" s="1371" t="s">
        <v>2579</v>
      </c>
      <c r="B303" s="1371" t="s">
        <v>2580</v>
      </c>
      <c r="C303" s="1371" t="s">
        <v>1135</v>
      </c>
      <c r="D303" s="1372" t="s">
        <v>1136</v>
      </c>
      <c r="E303" s="1370">
        <v>810600</v>
      </c>
      <c r="F303" s="1370">
        <v>0</v>
      </c>
      <c r="G303" s="1370">
        <v>0</v>
      </c>
      <c r="H303" s="1370">
        <v>810600</v>
      </c>
      <c r="I303" s="1370">
        <v>0</v>
      </c>
    </row>
    <row r="304" spans="1:9" ht="15.75" customHeight="1" x14ac:dyDescent="0.2">
      <c r="A304" s="1371" t="s">
        <v>2579</v>
      </c>
      <c r="B304" s="1371" t="s">
        <v>2580</v>
      </c>
      <c r="C304" s="4512" t="s">
        <v>1192</v>
      </c>
      <c r="D304" s="4512"/>
      <c r="E304" s="1370">
        <v>546263801</v>
      </c>
      <c r="F304" s="1370">
        <v>0</v>
      </c>
      <c r="G304" s="1370">
        <v>0</v>
      </c>
      <c r="H304" s="1370">
        <v>0</v>
      </c>
      <c r="I304" s="1370">
        <v>546263801</v>
      </c>
    </row>
    <row r="305" spans="1:9" ht="15.75" customHeight="1" x14ac:dyDescent="0.2">
      <c r="A305" s="1371" t="s">
        <v>2579</v>
      </c>
      <c r="B305" s="1371" t="s">
        <v>2580</v>
      </c>
      <c r="C305" s="1371" t="s">
        <v>1192</v>
      </c>
      <c r="D305" s="1372" t="s">
        <v>1193</v>
      </c>
      <c r="E305" s="1370">
        <v>546263801</v>
      </c>
      <c r="F305" s="1370">
        <v>0</v>
      </c>
      <c r="G305" s="1370">
        <v>0</v>
      </c>
      <c r="H305" s="1370">
        <v>0</v>
      </c>
      <c r="I305" s="1370">
        <v>546263801</v>
      </c>
    </row>
    <row r="306" spans="1:9" ht="15.75" customHeight="1" x14ac:dyDescent="0.2">
      <c r="A306" s="1371" t="s">
        <v>2579</v>
      </c>
      <c r="B306" s="1371" t="s">
        <v>2580</v>
      </c>
      <c r="C306" s="4512" t="s">
        <v>1174</v>
      </c>
      <c r="D306" s="4512"/>
      <c r="E306" s="1370">
        <v>148148050</v>
      </c>
      <c r="F306" s="1370">
        <v>0</v>
      </c>
      <c r="G306" s="1370">
        <v>14814805</v>
      </c>
      <c r="H306" s="1370">
        <v>133333245</v>
      </c>
      <c r="I306" s="1370">
        <v>0</v>
      </c>
    </row>
    <row r="307" spans="1:9" ht="15.75" customHeight="1" x14ac:dyDescent="0.2">
      <c r="A307" s="1371" t="s">
        <v>2579</v>
      </c>
      <c r="B307" s="1371" t="s">
        <v>2580</v>
      </c>
      <c r="C307" s="1371" t="s">
        <v>1174</v>
      </c>
      <c r="D307" s="1372" t="s">
        <v>1175</v>
      </c>
      <c r="E307" s="1370">
        <v>93008050</v>
      </c>
      <c r="F307" s="1370">
        <v>0</v>
      </c>
      <c r="G307" s="1370">
        <v>9300805</v>
      </c>
      <c r="H307" s="1370">
        <v>83707245</v>
      </c>
      <c r="I307" s="1370">
        <v>0</v>
      </c>
    </row>
    <row r="308" spans="1:9" ht="15.75" customHeight="1" x14ac:dyDescent="0.2">
      <c r="A308" s="1371" t="s">
        <v>2579</v>
      </c>
      <c r="B308" s="1371" t="s">
        <v>2580</v>
      </c>
      <c r="C308" s="1371" t="s">
        <v>1174</v>
      </c>
      <c r="D308" s="1372" t="s">
        <v>2252</v>
      </c>
      <c r="E308" s="1370">
        <v>55140000</v>
      </c>
      <c r="F308" s="1370">
        <v>0</v>
      </c>
      <c r="G308" s="1370">
        <v>5514000</v>
      </c>
      <c r="H308" s="1370">
        <v>49626000</v>
      </c>
      <c r="I308" s="1370">
        <v>0</v>
      </c>
    </row>
    <row r="309" spans="1:9" ht="15.75" customHeight="1" x14ac:dyDescent="0.2">
      <c r="A309" s="1371" t="s">
        <v>2579</v>
      </c>
      <c r="B309" s="1371" t="s">
        <v>2580</v>
      </c>
      <c r="C309" s="4512" t="s">
        <v>1194</v>
      </c>
      <c r="D309" s="4512"/>
      <c r="E309" s="1370">
        <v>164113963</v>
      </c>
      <c r="F309" s="1370">
        <v>0</v>
      </c>
      <c r="G309" s="1370">
        <v>0</v>
      </c>
      <c r="H309" s="1370">
        <v>0</v>
      </c>
      <c r="I309" s="1370">
        <v>164113963</v>
      </c>
    </row>
    <row r="310" spans="1:9" ht="15.75" customHeight="1" x14ac:dyDescent="0.2">
      <c r="A310" s="1371" t="s">
        <v>2579</v>
      </c>
      <c r="B310" s="1371" t="s">
        <v>2580</v>
      </c>
      <c r="C310" s="1371" t="s">
        <v>1194</v>
      </c>
      <c r="D310" s="1372" t="s">
        <v>1842</v>
      </c>
      <c r="E310" s="1370">
        <v>156236</v>
      </c>
      <c r="F310" s="1370">
        <v>0</v>
      </c>
      <c r="G310" s="1370">
        <v>0</v>
      </c>
      <c r="H310" s="1370">
        <v>0</v>
      </c>
      <c r="I310" s="1370">
        <v>156236</v>
      </c>
    </row>
    <row r="311" spans="1:9" ht="15.75" customHeight="1" x14ac:dyDescent="0.2">
      <c r="A311" s="1371" t="s">
        <v>2579</v>
      </c>
      <c r="B311" s="1371" t="s">
        <v>2580</v>
      </c>
      <c r="C311" s="1371" t="s">
        <v>1194</v>
      </c>
      <c r="D311" s="1372" t="s">
        <v>1195</v>
      </c>
      <c r="E311" s="1370">
        <v>88233031</v>
      </c>
      <c r="F311" s="1370">
        <v>0</v>
      </c>
      <c r="G311" s="1370">
        <v>0</v>
      </c>
      <c r="H311" s="1370">
        <v>0</v>
      </c>
      <c r="I311" s="1370">
        <v>88233031</v>
      </c>
    </row>
    <row r="312" spans="1:9" ht="15.75" customHeight="1" x14ac:dyDescent="0.2">
      <c r="A312" s="1371" t="s">
        <v>2579</v>
      </c>
      <c r="B312" s="1371" t="s">
        <v>2580</v>
      </c>
      <c r="C312" s="1371" t="s">
        <v>1194</v>
      </c>
      <c r="D312" s="1372" t="s">
        <v>1197</v>
      </c>
      <c r="E312" s="1370">
        <v>75724696</v>
      </c>
      <c r="F312" s="1370">
        <v>0</v>
      </c>
      <c r="G312" s="1370">
        <v>0</v>
      </c>
      <c r="H312" s="1370">
        <v>0</v>
      </c>
      <c r="I312" s="1370">
        <v>75724696</v>
      </c>
    </row>
    <row r="313" spans="1:9" ht="15.75" customHeight="1" x14ac:dyDescent="0.2">
      <c r="A313" s="1371" t="s">
        <v>2579</v>
      </c>
      <c r="B313" s="1371" t="s">
        <v>2580</v>
      </c>
      <c r="C313" s="4512" t="s">
        <v>1125</v>
      </c>
      <c r="D313" s="4512"/>
      <c r="E313" s="1370">
        <v>810600</v>
      </c>
      <c r="F313" s="1370">
        <v>0</v>
      </c>
      <c r="G313" s="1370">
        <v>0</v>
      </c>
      <c r="H313" s="1370">
        <v>810600</v>
      </c>
      <c r="I313" s="1370">
        <v>0</v>
      </c>
    </row>
    <row r="314" spans="1:9" ht="15.75" customHeight="1" x14ac:dyDescent="0.2">
      <c r="A314" s="1371" t="s">
        <v>2579</v>
      </c>
      <c r="B314" s="1371" t="s">
        <v>2580</v>
      </c>
      <c r="C314" s="1371" t="s">
        <v>1125</v>
      </c>
      <c r="D314" s="1372" t="s">
        <v>1126</v>
      </c>
      <c r="E314" s="1370">
        <v>810600</v>
      </c>
      <c r="F314" s="1370">
        <v>0</v>
      </c>
      <c r="G314" s="1370">
        <v>0</v>
      </c>
      <c r="H314" s="1370">
        <v>810600</v>
      </c>
      <c r="I314" s="1370">
        <v>0</v>
      </c>
    </row>
    <row r="315" spans="1:9" ht="15.75" customHeight="1" x14ac:dyDescent="0.2">
      <c r="A315" s="1371" t="s">
        <v>2579</v>
      </c>
      <c r="B315" s="1371" t="s">
        <v>2580</v>
      </c>
      <c r="C315" s="4512" t="s">
        <v>1115</v>
      </c>
      <c r="D315" s="4512"/>
      <c r="E315" s="1370">
        <v>227249070</v>
      </c>
      <c r="F315" s="1370">
        <v>0</v>
      </c>
      <c r="G315" s="1370">
        <v>0</v>
      </c>
      <c r="H315" s="1370">
        <v>0</v>
      </c>
      <c r="I315" s="1370">
        <v>227249070</v>
      </c>
    </row>
    <row r="316" spans="1:9" ht="15.75" customHeight="1" x14ac:dyDescent="0.2">
      <c r="A316" s="1371" t="s">
        <v>2579</v>
      </c>
      <c r="B316" s="1371" t="s">
        <v>2580</v>
      </c>
      <c r="C316" s="1371" t="s">
        <v>1115</v>
      </c>
      <c r="D316" s="1372" t="s">
        <v>1198</v>
      </c>
      <c r="E316" s="1370">
        <v>227249070</v>
      </c>
      <c r="F316" s="1370">
        <v>0</v>
      </c>
      <c r="G316" s="1370">
        <v>0</v>
      </c>
      <c r="H316" s="1370">
        <v>0</v>
      </c>
      <c r="I316" s="1370">
        <v>227249070</v>
      </c>
    </row>
    <row r="317" spans="1:9" ht="15.75" customHeight="1" x14ac:dyDescent="0.2">
      <c r="A317" s="1371" t="s">
        <v>2579</v>
      </c>
      <c r="B317" s="1371" t="s">
        <v>2580</v>
      </c>
      <c r="C317" s="4512" t="s">
        <v>1131</v>
      </c>
      <c r="D317" s="4512"/>
      <c r="E317" s="1370">
        <v>10000</v>
      </c>
      <c r="F317" s="1370">
        <v>0</v>
      </c>
      <c r="G317" s="1370">
        <v>0</v>
      </c>
      <c r="H317" s="1370">
        <v>0</v>
      </c>
      <c r="I317" s="1370">
        <v>10000</v>
      </c>
    </row>
    <row r="318" spans="1:9" ht="15.75" customHeight="1" x14ac:dyDescent="0.2">
      <c r="A318" s="1371" t="s">
        <v>2579</v>
      </c>
      <c r="B318" s="1371" t="s">
        <v>2580</v>
      </c>
      <c r="C318" s="1371" t="s">
        <v>1131</v>
      </c>
      <c r="D318" s="1372" t="s">
        <v>1132</v>
      </c>
      <c r="E318" s="1370">
        <v>10000</v>
      </c>
      <c r="F318" s="1370">
        <v>0</v>
      </c>
      <c r="G318" s="1370">
        <v>0</v>
      </c>
      <c r="H318" s="1370">
        <v>0</v>
      </c>
      <c r="I318" s="1370">
        <v>10000</v>
      </c>
    </row>
    <row r="319" spans="1:9" ht="15.75" customHeight="1" x14ac:dyDescent="0.2">
      <c r="A319" s="1371" t="s">
        <v>2579</v>
      </c>
      <c r="B319" s="1371" t="s">
        <v>2580</v>
      </c>
      <c r="C319" s="4512" t="s">
        <v>1121</v>
      </c>
      <c r="D319" s="4512"/>
      <c r="E319" s="1370">
        <v>267587000</v>
      </c>
      <c r="F319" s="1370">
        <v>0</v>
      </c>
      <c r="G319" s="1370">
        <v>0</v>
      </c>
      <c r="H319" s="1370">
        <v>0</v>
      </c>
      <c r="I319" s="1370">
        <v>267587000</v>
      </c>
    </row>
    <row r="320" spans="1:9" ht="15.75" customHeight="1" x14ac:dyDescent="0.2">
      <c r="A320" s="1371" t="s">
        <v>2579</v>
      </c>
      <c r="B320" s="1371" t="s">
        <v>2580</v>
      </c>
      <c r="C320" s="1371" t="s">
        <v>1121</v>
      </c>
      <c r="D320" s="1372" t="s">
        <v>1199</v>
      </c>
      <c r="E320" s="1370">
        <v>700000</v>
      </c>
      <c r="F320" s="1370">
        <v>0</v>
      </c>
      <c r="G320" s="1370">
        <v>0</v>
      </c>
      <c r="H320" s="1370">
        <v>0</v>
      </c>
      <c r="I320" s="1370">
        <v>700000</v>
      </c>
    </row>
    <row r="321" spans="1:9" ht="15.75" customHeight="1" x14ac:dyDescent="0.2">
      <c r="A321" s="1371" t="s">
        <v>2579</v>
      </c>
      <c r="B321" s="1371" t="s">
        <v>2580</v>
      </c>
      <c r="C321" s="1371" t="s">
        <v>1121</v>
      </c>
      <c r="D321" s="1372" t="s">
        <v>1143</v>
      </c>
      <c r="E321" s="1370">
        <v>266887000</v>
      </c>
      <c r="F321" s="1370">
        <v>0</v>
      </c>
      <c r="G321" s="1370">
        <v>0</v>
      </c>
      <c r="H321" s="1370">
        <v>0</v>
      </c>
      <c r="I321" s="1370">
        <v>266887000</v>
      </c>
    </row>
    <row r="322" spans="1:9" ht="15.75" customHeight="1" x14ac:dyDescent="0.2">
      <c r="A322" s="1371" t="s">
        <v>2579</v>
      </c>
      <c r="B322" s="1371" t="s">
        <v>2580</v>
      </c>
      <c r="C322" s="4512" t="s">
        <v>1144</v>
      </c>
      <c r="D322" s="4512"/>
      <c r="E322" s="1370">
        <v>8916000</v>
      </c>
      <c r="F322" s="1370">
        <v>0</v>
      </c>
      <c r="G322" s="1370">
        <v>0</v>
      </c>
      <c r="H322" s="1370">
        <v>0</v>
      </c>
      <c r="I322" s="1370">
        <v>8916000</v>
      </c>
    </row>
    <row r="323" spans="1:9" ht="15.75" customHeight="1" x14ac:dyDescent="0.2">
      <c r="A323" s="1371" t="s">
        <v>2579</v>
      </c>
      <c r="B323" s="1371" t="s">
        <v>2580</v>
      </c>
      <c r="C323" s="1371" t="s">
        <v>1144</v>
      </c>
      <c r="D323" s="1372" t="s">
        <v>1840</v>
      </c>
      <c r="E323" s="1370">
        <v>2000000</v>
      </c>
      <c r="F323" s="1370">
        <v>0</v>
      </c>
      <c r="G323" s="1370">
        <v>0</v>
      </c>
      <c r="H323" s="1370">
        <v>0</v>
      </c>
      <c r="I323" s="1370">
        <v>2000000</v>
      </c>
    </row>
    <row r="324" spans="1:9" ht="15.75" customHeight="1" x14ac:dyDescent="0.2">
      <c r="A324" s="1371" t="s">
        <v>2579</v>
      </c>
      <c r="B324" s="1371" t="s">
        <v>2580</v>
      </c>
      <c r="C324" s="1371" t="s">
        <v>1144</v>
      </c>
      <c r="D324" s="1372" t="s">
        <v>1145</v>
      </c>
      <c r="E324" s="1370">
        <v>6916000</v>
      </c>
      <c r="F324" s="1370">
        <v>0</v>
      </c>
      <c r="G324" s="1370">
        <v>0</v>
      </c>
      <c r="H324" s="1370">
        <v>0</v>
      </c>
      <c r="I324" s="1370">
        <v>6916000</v>
      </c>
    </row>
    <row r="325" spans="1:9" ht="15.75" customHeight="1" x14ac:dyDescent="0.2">
      <c r="A325" s="1371" t="s">
        <v>2579</v>
      </c>
      <c r="B325" s="1371" t="s">
        <v>2580</v>
      </c>
      <c r="C325" s="4512" t="s">
        <v>1139</v>
      </c>
      <c r="D325" s="4512"/>
      <c r="E325" s="1370">
        <v>216914840</v>
      </c>
      <c r="F325" s="1370">
        <v>0</v>
      </c>
      <c r="G325" s="1370">
        <v>0</v>
      </c>
      <c r="H325" s="1370">
        <v>0</v>
      </c>
      <c r="I325" s="1370">
        <v>216914840</v>
      </c>
    </row>
    <row r="326" spans="1:9" ht="15.75" customHeight="1" x14ac:dyDescent="0.2">
      <c r="A326" s="1371" t="s">
        <v>2579</v>
      </c>
      <c r="B326" s="1371" t="s">
        <v>2580</v>
      </c>
      <c r="C326" s="1371" t="s">
        <v>1139</v>
      </c>
      <c r="D326" s="1372" t="s">
        <v>1196</v>
      </c>
      <c r="E326" s="1370">
        <v>216914840</v>
      </c>
      <c r="F326" s="1370">
        <v>0</v>
      </c>
      <c r="G326" s="1370">
        <v>0</v>
      </c>
      <c r="H326" s="1370">
        <v>0</v>
      </c>
      <c r="I326" s="1370">
        <v>216914840</v>
      </c>
    </row>
    <row r="327" spans="1:9" ht="15.75" customHeight="1" x14ac:dyDescent="0.2">
      <c r="A327" s="1371" t="s">
        <v>2579</v>
      </c>
      <c r="B327" s="1371" t="s">
        <v>2580</v>
      </c>
      <c r="C327" s="4512" t="s">
        <v>1127</v>
      </c>
      <c r="D327" s="4512"/>
      <c r="E327" s="1370">
        <v>252700000</v>
      </c>
      <c r="F327" s="1370">
        <v>0</v>
      </c>
      <c r="G327" s="1370">
        <v>0</v>
      </c>
      <c r="H327" s="1370">
        <v>0</v>
      </c>
      <c r="I327" s="1370">
        <v>252700000</v>
      </c>
    </row>
    <row r="328" spans="1:9" ht="15.75" customHeight="1" x14ac:dyDescent="0.2">
      <c r="A328" s="1371" t="s">
        <v>2579</v>
      </c>
      <c r="B328" s="1371" t="s">
        <v>2580</v>
      </c>
      <c r="C328" s="1371" t="s">
        <v>1127</v>
      </c>
      <c r="D328" s="1372" t="s">
        <v>1162</v>
      </c>
      <c r="E328" s="1370">
        <v>60400000</v>
      </c>
      <c r="F328" s="1370">
        <v>0</v>
      </c>
      <c r="G328" s="1370">
        <v>0</v>
      </c>
      <c r="H328" s="1370">
        <v>0</v>
      </c>
      <c r="I328" s="1370">
        <v>60400000</v>
      </c>
    </row>
    <row r="329" spans="1:9" ht="15.75" customHeight="1" x14ac:dyDescent="0.2">
      <c r="A329" s="1371" t="s">
        <v>2579</v>
      </c>
      <c r="B329" s="1371" t="s">
        <v>2580</v>
      </c>
      <c r="C329" s="1371" t="s">
        <v>1127</v>
      </c>
      <c r="D329" s="1372" t="s">
        <v>1163</v>
      </c>
      <c r="E329" s="1370">
        <v>28950000</v>
      </c>
      <c r="F329" s="1370">
        <v>0</v>
      </c>
      <c r="G329" s="1370">
        <v>0</v>
      </c>
      <c r="H329" s="1370">
        <v>0</v>
      </c>
      <c r="I329" s="1370">
        <v>28950000</v>
      </c>
    </row>
    <row r="330" spans="1:9" ht="15.75" customHeight="1" x14ac:dyDescent="0.2">
      <c r="A330" s="1371" t="s">
        <v>2579</v>
      </c>
      <c r="B330" s="1371" t="s">
        <v>2580</v>
      </c>
      <c r="C330" s="1371" t="s">
        <v>1127</v>
      </c>
      <c r="D330" s="1372" t="s">
        <v>1128</v>
      </c>
      <c r="E330" s="1370">
        <v>163350000</v>
      </c>
      <c r="F330" s="1370">
        <v>0</v>
      </c>
      <c r="G330" s="1370">
        <v>0</v>
      </c>
      <c r="H330" s="1370">
        <v>0</v>
      </c>
      <c r="I330" s="1370">
        <v>163350000</v>
      </c>
    </row>
    <row r="331" spans="1:9" ht="15.75" customHeight="1" x14ac:dyDescent="0.2">
      <c r="A331" s="1371" t="s">
        <v>2579</v>
      </c>
      <c r="B331" s="1371" t="s">
        <v>2580</v>
      </c>
      <c r="C331" s="4512" t="s">
        <v>1148</v>
      </c>
      <c r="D331" s="4512"/>
      <c r="E331" s="1370">
        <v>22600000</v>
      </c>
      <c r="F331" s="1370">
        <v>0</v>
      </c>
      <c r="G331" s="1370">
        <v>0</v>
      </c>
      <c r="H331" s="1370">
        <v>0</v>
      </c>
      <c r="I331" s="1370">
        <v>22600000</v>
      </c>
    </row>
    <row r="332" spans="1:9" ht="15.75" customHeight="1" x14ac:dyDescent="0.2">
      <c r="A332" s="1371" t="s">
        <v>2579</v>
      </c>
      <c r="B332" s="1371" t="s">
        <v>2580</v>
      </c>
      <c r="C332" s="1371" t="s">
        <v>1148</v>
      </c>
      <c r="D332" s="1372" t="s">
        <v>2259</v>
      </c>
      <c r="E332" s="1370">
        <v>22600000</v>
      </c>
      <c r="F332" s="1370">
        <v>0</v>
      </c>
      <c r="G332" s="1370">
        <v>0</v>
      </c>
      <c r="H332" s="1370">
        <v>0</v>
      </c>
      <c r="I332" s="1370">
        <v>22600000</v>
      </c>
    </row>
    <row r="333" spans="1:9" ht="15.75" customHeight="1" x14ac:dyDescent="0.2">
      <c r="A333" s="1371" t="s">
        <v>2579</v>
      </c>
      <c r="B333" s="1371" t="s">
        <v>2580</v>
      </c>
      <c r="C333" s="4512" t="s">
        <v>1118</v>
      </c>
      <c r="D333" s="4512"/>
      <c r="E333" s="1370">
        <v>54600000</v>
      </c>
      <c r="F333" s="1370">
        <v>0</v>
      </c>
      <c r="G333" s="1370">
        <v>0</v>
      </c>
      <c r="H333" s="1370">
        <v>0</v>
      </c>
      <c r="I333" s="1370">
        <v>54600000</v>
      </c>
    </row>
    <row r="334" spans="1:9" ht="15.75" customHeight="1" x14ac:dyDescent="0.2">
      <c r="A334" s="1371" t="s">
        <v>2579</v>
      </c>
      <c r="B334" s="1371" t="s">
        <v>2580</v>
      </c>
      <c r="C334" s="1371" t="s">
        <v>1118</v>
      </c>
      <c r="D334" s="1372" t="s">
        <v>1119</v>
      </c>
      <c r="E334" s="1370">
        <v>0</v>
      </c>
      <c r="F334" s="1370">
        <v>0</v>
      </c>
      <c r="G334" s="1370">
        <v>0</v>
      </c>
      <c r="H334" s="1370">
        <v>0</v>
      </c>
      <c r="I334" s="1370">
        <v>0</v>
      </c>
    </row>
    <row r="335" spans="1:9" ht="15.75" customHeight="1" x14ac:dyDescent="0.2">
      <c r="A335" s="1371" t="s">
        <v>2579</v>
      </c>
      <c r="B335" s="1371" t="s">
        <v>2580</v>
      </c>
      <c r="C335" s="1371" t="s">
        <v>1118</v>
      </c>
      <c r="D335" s="1372" t="s">
        <v>1120</v>
      </c>
      <c r="E335" s="1370">
        <v>35400000</v>
      </c>
      <c r="F335" s="1370">
        <v>0</v>
      </c>
      <c r="G335" s="1370">
        <v>0</v>
      </c>
      <c r="H335" s="1370">
        <v>0</v>
      </c>
      <c r="I335" s="1370">
        <v>35400000</v>
      </c>
    </row>
    <row r="336" spans="1:9" ht="15.75" customHeight="1" x14ac:dyDescent="0.2">
      <c r="A336" s="1371" t="s">
        <v>2579</v>
      </c>
      <c r="B336" s="1371" t="s">
        <v>2580</v>
      </c>
      <c r="C336" s="1371" t="s">
        <v>1118</v>
      </c>
      <c r="D336" s="1372" t="s">
        <v>1841</v>
      </c>
      <c r="E336" s="1370">
        <v>1000000</v>
      </c>
      <c r="F336" s="1370">
        <v>0</v>
      </c>
      <c r="G336" s="1370">
        <v>0</v>
      </c>
      <c r="H336" s="1370">
        <v>0</v>
      </c>
      <c r="I336" s="1370">
        <v>1000000</v>
      </c>
    </row>
    <row r="337" spans="1:9" ht="15.75" customHeight="1" x14ac:dyDescent="0.2">
      <c r="A337" s="1371" t="s">
        <v>2579</v>
      </c>
      <c r="B337" s="1371" t="s">
        <v>2580</v>
      </c>
      <c r="C337" s="1371" t="s">
        <v>1118</v>
      </c>
      <c r="D337" s="1372" t="s">
        <v>2260</v>
      </c>
      <c r="E337" s="1370">
        <v>1300000</v>
      </c>
      <c r="F337" s="1370">
        <v>0</v>
      </c>
      <c r="G337" s="1370">
        <v>0</v>
      </c>
      <c r="H337" s="1370">
        <v>0</v>
      </c>
      <c r="I337" s="1370">
        <v>1300000</v>
      </c>
    </row>
    <row r="338" spans="1:9" ht="15.75" customHeight="1" x14ac:dyDescent="0.2">
      <c r="A338" s="1371" t="s">
        <v>2579</v>
      </c>
      <c r="B338" s="1371" t="s">
        <v>2580</v>
      </c>
      <c r="C338" s="1371" t="s">
        <v>1118</v>
      </c>
      <c r="D338" s="1372" t="s">
        <v>1180</v>
      </c>
      <c r="E338" s="1370">
        <v>16900000</v>
      </c>
      <c r="F338" s="1370">
        <v>0</v>
      </c>
      <c r="G338" s="1370">
        <v>0</v>
      </c>
      <c r="H338" s="1370">
        <v>0</v>
      </c>
      <c r="I338" s="1370">
        <v>16900000</v>
      </c>
    </row>
    <row r="339" spans="1:9" ht="15.75" customHeight="1" x14ac:dyDescent="0.2">
      <c r="A339" s="1371" t="s">
        <v>2579</v>
      </c>
      <c r="B339" s="1371" t="s">
        <v>2580</v>
      </c>
      <c r="C339" s="4512" t="s">
        <v>2261</v>
      </c>
      <c r="D339" s="4512"/>
      <c r="E339" s="1370">
        <v>3150000</v>
      </c>
      <c r="F339" s="1370">
        <v>0</v>
      </c>
      <c r="G339" s="1370">
        <v>0</v>
      </c>
      <c r="H339" s="1370">
        <v>0</v>
      </c>
      <c r="I339" s="1370">
        <v>3150000</v>
      </c>
    </row>
    <row r="340" spans="1:9" ht="15.75" customHeight="1" x14ac:dyDescent="0.2">
      <c r="A340" s="1371" t="s">
        <v>2579</v>
      </c>
      <c r="B340" s="1371" t="s">
        <v>2580</v>
      </c>
      <c r="C340" s="1371" t="s">
        <v>2261</v>
      </c>
      <c r="D340" s="1372" t="s">
        <v>2262</v>
      </c>
      <c r="E340" s="1370">
        <v>3150000</v>
      </c>
      <c r="F340" s="1370">
        <v>0</v>
      </c>
      <c r="G340" s="1370">
        <v>0</v>
      </c>
      <c r="H340" s="1370">
        <v>0</v>
      </c>
      <c r="I340" s="1370">
        <v>3150000</v>
      </c>
    </row>
    <row r="341" spans="1:9" ht="15.75" customHeight="1" x14ac:dyDescent="0.2">
      <c r="A341" s="1371" t="s">
        <v>2579</v>
      </c>
      <c r="B341" s="1371" t="s">
        <v>2580</v>
      </c>
      <c r="C341" s="4512" t="s">
        <v>1137</v>
      </c>
      <c r="D341" s="4512"/>
      <c r="E341" s="1370">
        <v>174058924</v>
      </c>
      <c r="F341" s="1370">
        <v>0</v>
      </c>
      <c r="G341" s="1370">
        <v>0</v>
      </c>
      <c r="H341" s="1370">
        <v>66504682</v>
      </c>
      <c r="I341" s="1370">
        <v>107554242</v>
      </c>
    </row>
    <row r="342" spans="1:9" ht="15.75" customHeight="1" x14ac:dyDescent="0.2">
      <c r="A342" s="1371" t="s">
        <v>2579</v>
      </c>
      <c r="B342" s="1371" t="s">
        <v>2580</v>
      </c>
      <c r="C342" s="1371" t="s">
        <v>1137</v>
      </c>
      <c r="D342" s="1372" t="s">
        <v>1138</v>
      </c>
      <c r="E342" s="1370">
        <v>71554242</v>
      </c>
      <c r="F342" s="1370">
        <v>0</v>
      </c>
      <c r="G342" s="1370">
        <v>0</v>
      </c>
      <c r="H342" s="1370">
        <v>0</v>
      </c>
      <c r="I342" s="1370">
        <v>71554242</v>
      </c>
    </row>
    <row r="343" spans="1:9" ht="15.75" customHeight="1" x14ac:dyDescent="0.2">
      <c r="A343" s="1371" t="s">
        <v>2579</v>
      </c>
      <c r="B343" s="1371" t="s">
        <v>2580</v>
      </c>
      <c r="C343" s="1371" t="s">
        <v>1137</v>
      </c>
      <c r="D343" s="1372" t="s">
        <v>1170</v>
      </c>
      <c r="E343" s="1370">
        <v>66504682</v>
      </c>
      <c r="F343" s="1370">
        <v>0</v>
      </c>
      <c r="G343" s="1370">
        <v>0</v>
      </c>
      <c r="H343" s="1370">
        <v>66504682</v>
      </c>
      <c r="I343" s="1370">
        <v>0</v>
      </c>
    </row>
    <row r="344" spans="1:9" ht="15.75" customHeight="1" x14ac:dyDescent="0.2">
      <c r="A344" s="1371" t="s">
        <v>2579</v>
      </c>
      <c r="B344" s="1371" t="s">
        <v>2580</v>
      </c>
      <c r="C344" s="1371" t="s">
        <v>1137</v>
      </c>
      <c r="D344" s="1372" t="s">
        <v>1157</v>
      </c>
      <c r="E344" s="1370">
        <v>36000000</v>
      </c>
      <c r="F344" s="1370">
        <v>0</v>
      </c>
      <c r="G344" s="1370">
        <v>0</v>
      </c>
      <c r="H344" s="1370">
        <v>0</v>
      </c>
      <c r="I344" s="1370">
        <v>36000000</v>
      </c>
    </row>
    <row r="345" spans="1:9" ht="15.75" customHeight="1" x14ac:dyDescent="0.2">
      <c r="A345" s="1371" t="s">
        <v>2579</v>
      </c>
      <c r="B345" s="4512" t="s">
        <v>2581</v>
      </c>
      <c r="C345" s="4512"/>
      <c r="D345" s="4512"/>
      <c r="E345" s="1370">
        <v>2175358474</v>
      </c>
      <c r="F345" s="1370">
        <v>0</v>
      </c>
      <c r="G345" s="1370">
        <v>209743459</v>
      </c>
      <c r="H345" s="1370">
        <v>1887701131</v>
      </c>
      <c r="I345" s="1370">
        <v>77913884</v>
      </c>
    </row>
    <row r="346" spans="1:9" ht="15.75" customHeight="1" x14ac:dyDescent="0.2">
      <c r="A346" s="1371" t="s">
        <v>2579</v>
      </c>
      <c r="B346" s="1371" t="s">
        <v>2581</v>
      </c>
      <c r="C346" s="4512" t="s">
        <v>1123</v>
      </c>
      <c r="D346" s="4512"/>
      <c r="E346" s="1370">
        <v>46313884</v>
      </c>
      <c r="F346" s="1370">
        <v>0</v>
      </c>
      <c r="G346" s="1370">
        <v>0</v>
      </c>
      <c r="H346" s="1370">
        <v>0</v>
      </c>
      <c r="I346" s="1370">
        <v>46313884</v>
      </c>
    </row>
    <row r="347" spans="1:9" ht="15.75" customHeight="1" x14ac:dyDescent="0.2">
      <c r="A347" s="1371" t="s">
        <v>2579</v>
      </c>
      <c r="B347" s="1371" t="s">
        <v>2581</v>
      </c>
      <c r="C347" s="1371" t="s">
        <v>1123</v>
      </c>
      <c r="D347" s="1372" t="s">
        <v>1191</v>
      </c>
      <c r="E347" s="1370">
        <v>46313884</v>
      </c>
      <c r="F347" s="1370">
        <v>0</v>
      </c>
      <c r="G347" s="1370">
        <v>0</v>
      </c>
      <c r="H347" s="1370">
        <v>0</v>
      </c>
      <c r="I347" s="1370">
        <v>46313884</v>
      </c>
    </row>
    <row r="348" spans="1:9" ht="15.75" customHeight="1" x14ac:dyDescent="0.2">
      <c r="A348" s="1371" t="s">
        <v>2579</v>
      </c>
      <c r="B348" s="1371" t="s">
        <v>2581</v>
      </c>
      <c r="C348" s="4512" t="s">
        <v>1192</v>
      </c>
      <c r="D348" s="4512"/>
      <c r="E348" s="1370">
        <v>31100000</v>
      </c>
      <c r="F348" s="1370">
        <v>0</v>
      </c>
      <c r="G348" s="1370">
        <v>0</v>
      </c>
      <c r="H348" s="1370">
        <v>0</v>
      </c>
      <c r="I348" s="1370">
        <v>31100000</v>
      </c>
    </row>
    <row r="349" spans="1:9" ht="15.75" customHeight="1" x14ac:dyDescent="0.2">
      <c r="A349" s="1371" t="s">
        <v>2579</v>
      </c>
      <c r="B349" s="1371" t="s">
        <v>2581</v>
      </c>
      <c r="C349" s="1371" t="s">
        <v>1192</v>
      </c>
      <c r="D349" s="1372" t="s">
        <v>1193</v>
      </c>
      <c r="E349" s="1370">
        <v>31100000</v>
      </c>
      <c r="F349" s="1370">
        <v>0</v>
      </c>
      <c r="G349" s="1370">
        <v>0</v>
      </c>
      <c r="H349" s="1370">
        <v>0</v>
      </c>
      <c r="I349" s="1370">
        <v>31100000</v>
      </c>
    </row>
    <row r="350" spans="1:9" ht="15.75" customHeight="1" x14ac:dyDescent="0.2">
      <c r="A350" s="1371" t="s">
        <v>2579</v>
      </c>
      <c r="B350" s="1371" t="s">
        <v>2581</v>
      </c>
      <c r="C350" s="4512" t="s">
        <v>1174</v>
      </c>
      <c r="D350" s="4512"/>
      <c r="E350" s="1370">
        <v>2097434590</v>
      </c>
      <c r="F350" s="1370">
        <v>0</v>
      </c>
      <c r="G350" s="1370">
        <v>209743459</v>
      </c>
      <c r="H350" s="1370">
        <v>1887691131</v>
      </c>
      <c r="I350" s="1370">
        <v>0</v>
      </c>
    </row>
    <row r="351" spans="1:9" ht="15.75" customHeight="1" x14ac:dyDescent="0.2">
      <c r="A351" s="1371" t="s">
        <v>2579</v>
      </c>
      <c r="B351" s="1371" t="s">
        <v>2581</v>
      </c>
      <c r="C351" s="1371" t="s">
        <v>1174</v>
      </c>
      <c r="D351" s="1372" t="s">
        <v>1175</v>
      </c>
      <c r="E351" s="1370">
        <v>2097434590</v>
      </c>
      <c r="F351" s="1370">
        <v>0</v>
      </c>
      <c r="G351" s="1370">
        <v>209743459</v>
      </c>
      <c r="H351" s="1370">
        <v>1887691131</v>
      </c>
      <c r="I351" s="1370">
        <v>0</v>
      </c>
    </row>
    <row r="352" spans="1:9" ht="15.75" customHeight="1" x14ac:dyDescent="0.2">
      <c r="A352" s="1371" t="s">
        <v>2579</v>
      </c>
      <c r="B352" s="1371" t="s">
        <v>2581</v>
      </c>
      <c r="C352" s="4512" t="s">
        <v>1127</v>
      </c>
      <c r="D352" s="4512"/>
      <c r="E352" s="1370">
        <v>500000</v>
      </c>
      <c r="F352" s="1370">
        <v>0</v>
      </c>
      <c r="G352" s="1370">
        <v>0</v>
      </c>
      <c r="H352" s="1370">
        <v>0</v>
      </c>
      <c r="I352" s="1370">
        <v>500000</v>
      </c>
    </row>
    <row r="353" spans="1:9" ht="15.75" customHeight="1" x14ac:dyDescent="0.2">
      <c r="A353" s="1371" t="s">
        <v>2579</v>
      </c>
      <c r="B353" s="1371" t="s">
        <v>2581</v>
      </c>
      <c r="C353" s="1371" t="s">
        <v>1127</v>
      </c>
      <c r="D353" s="1372" t="s">
        <v>1163</v>
      </c>
      <c r="E353" s="1370">
        <v>500000</v>
      </c>
      <c r="F353" s="1370">
        <v>0</v>
      </c>
      <c r="G353" s="1370">
        <v>0</v>
      </c>
      <c r="H353" s="1370">
        <v>0</v>
      </c>
      <c r="I353" s="1370">
        <v>500000</v>
      </c>
    </row>
    <row r="354" spans="1:9" ht="15.75" customHeight="1" x14ac:dyDescent="0.2">
      <c r="A354" s="1371" t="s">
        <v>2579</v>
      </c>
      <c r="B354" s="1371" t="s">
        <v>2581</v>
      </c>
      <c r="C354" s="4512" t="s">
        <v>1137</v>
      </c>
      <c r="D354" s="4512"/>
      <c r="E354" s="1370">
        <v>10000</v>
      </c>
      <c r="F354" s="1370">
        <v>0</v>
      </c>
      <c r="G354" s="1370">
        <v>0</v>
      </c>
      <c r="H354" s="1370">
        <v>10000</v>
      </c>
      <c r="I354" s="1370">
        <v>0</v>
      </c>
    </row>
    <row r="355" spans="1:9" ht="15.75" customHeight="1" x14ac:dyDescent="0.2">
      <c r="A355" s="1371" t="s">
        <v>2579</v>
      </c>
      <c r="B355" s="1371" t="s">
        <v>2581</v>
      </c>
      <c r="C355" s="1371" t="s">
        <v>1137</v>
      </c>
      <c r="D355" s="1372" t="s">
        <v>1170</v>
      </c>
      <c r="E355" s="1370">
        <v>10000</v>
      </c>
      <c r="F355" s="1370">
        <v>0</v>
      </c>
      <c r="G355" s="1370">
        <v>0</v>
      </c>
      <c r="H355" s="1370">
        <v>10000</v>
      </c>
      <c r="I355" s="1370">
        <v>0</v>
      </c>
    </row>
    <row r="356" spans="1:9" ht="15.75" customHeight="1" x14ac:dyDescent="0.2">
      <c r="A356" s="1371" t="s">
        <v>2579</v>
      </c>
      <c r="B356" s="4512" t="s">
        <v>2582</v>
      </c>
      <c r="C356" s="4512"/>
      <c r="D356" s="4512"/>
      <c r="E356" s="1370">
        <v>193210065430</v>
      </c>
      <c r="F356" s="1370">
        <v>0</v>
      </c>
      <c r="G356" s="1370">
        <v>0</v>
      </c>
      <c r="H356" s="1370">
        <v>0</v>
      </c>
      <c r="I356" s="1370">
        <v>193210065430</v>
      </c>
    </row>
    <row r="357" spans="1:9" ht="15.75" customHeight="1" x14ac:dyDescent="0.2">
      <c r="A357" s="1371" t="s">
        <v>2579</v>
      </c>
      <c r="B357" s="1371" t="s">
        <v>2582</v>
      </c>
      <c r="C357" s="4512" t="s">
        <v>1179</v>
      </c>
      <c r="D357" s="4512"/>
      <c r="E357" s="1370">
        <v>3739311200</v>
      </c>
      <c r="F357" s="1370">
        <v>0</v>
      </c>
      <c r="G357" s="1370">
        <v>0</v>
      </c>
      <c r="H357" s="1370">
        <v>0</v>
      </c>
      <c r="I357" s="1370">
        <v>3739311200</v>
      </c>
    </row>
    <row r="358" spans="1:9" ht="15.75" customHeight="1" x14ac:dyDescent="0.2">
      <c r="A358" s="1371" t="s">
        <v>2579</v>
      </c>
      <c r="B358" s="1371" t="s">
        <v>2582</v>
      </c>
      <c r="C358" s="1371" t="s">
        <v>1179</v>
      </c>
      <c r="D358" s="1372" t="s">
        <v>1836</v>
      </c>
      <c r="E358" s="1370">
        <v>2074817804</v>
      </c>
      <c r="F358" s="1370">
        <v>0</v>
      </c>
      <c r="G358" s="1370">
        <v>0</v>
      </c>
      <c r="H358" s="1370">
        <v>0</v>
      </c>
      <c r="I358" s="1370">
        <v>2074817804</v>
      </c>
    </row>
    <row r="359" spans="1:9" ht="15.75" customHeight="1" x14ac:dyDescent="0.2">
      <c r="A359" s="1371" t="s">
        <v>2579</v>
      </c>
      <c r="B359" s="1371" t="s">
        <v>2582</v>
      </c>
      <c r="C359" s="1371" t="s">
        <v>1179</v>
      </c>
      <c r="D359" s="1372" t="s">
        <v>1843</v>
      </c>
      <c r="E359" s="1370">
        <v>15344648</v>
      </c>
      <c r="F359" s="1370">
        <v>0</v>
      </c>
      <c r="G359" s="1370">
        <v>0</v>
      </c>
      <c r="H359" s="1370">
        <v>0</v>
      </c>
      <c r="I359" s="1370">
        <v>15344648</v>
      </c>
    </row>
    <row r="360" spans="1:9" ht="15.75" customHeight="1" x14ac:dyDescent="0.2">
      <c r="A360" s="1371" t="s">
        <v>2579</v>
      </c>
      <c r="B360" s="1371" t="s">
        <v>2582</v>
      </c>
      <c r="C360" s="1371" t="s">
        <v>1179</v>
      </c>
      <c r="D360" s="1372" t="s">
        <v>1837</v>
      </c>
      <c r="E360" s="1370">
        <v>257393314</v>
      </c>
      <c r="F360" s="1370">
        <v>0</v>
      </c>
      <c r="G360" s="1370">
        <v>0</v>
      </c>
      <c r="H360" s="1370">
        <v>0</v>
      </c>
      <c r="I360" s="1370">
        <v>257393314</v>
      </c>
    </row>
    <row r="361" spans="1:9" ht="15.75" customHeight="1" x14ac:dyDescent="0.2">
      <c r="A361" s="1371" t="s">
        <v>2579</v>
      </c>
      <c r="B361" s="1371" t="s">
        <v>2582</v>
      </c>
      <c r="C361" s="1371" t="s">
        <v>1179</v>
      </c>
      <c r="D361" s="1372" t="s">
        <v>1838</v>
      </c>
      <c r="E361" s="1370">
        <v>792649874</v>
      </c>
      <c r="F361" s="1370">
        <v>0</v>
      </c>
      <c r="G361" s="1370">
        <v>0</v>
      </c>
      <c r="H361" s="1370">
        <v>0</v>
      </c>
      <c r="I361" s="1370">
        <v>792649874</v>
      </c>
    </row>
    <row r="362" spans="1:9" ht="15.75" customHeight="1" x14ac:dyDescent="0.2">
      <c r="A362" s="1371" t="s">
        <v>2579</v>
      </c>
      <c r="B362" s="1371" t="s">
        <v>2582</v>
      </c>
      <c r="C362" s="1371" t="s">
        <v>1179</v>
      </c>
      <c r="D362" s="1372" t="s">
        <v>1844</v>
      </c>
      <c r="E362" s="1370">
        <v>333929819</v>
      </c>
      <c r="F362" s="1370">
        <v>0</v>
      </c>
      <c r="G362" s="1370">
        <v>0</v>
      </c>
      <c r="H362" s="1370">
        <v>0</v>
      </c>
      <c r="I362" s="1370">
        <v>333929819</v>
      </c>
    </row>
    <row r="363" spans="1:9" ht="15.75" customHeight="1" x14ac:dyDescent="0.2">
      <c r="A363" s="1371" t="s">
        <v>2579</v>
      </c>
      <c r="B363" s="1371" t="s">
        <v>2582</v>
      </c>
      <c r="C363" s="1371" t="s">
        <v>1179</v>
      </c>
      <c r="D363" s="1372" t="s">
        <v>1839</v>
      </c>
      <c r="E363" s="1370">
        <v>265175741</v>
      </c>
      <c r="F363" s="1370">
        <v>0</v>
      </c>
      <c r="G363" s="1370">
        <v>0</v>
      </c>
      <c r="H363" s="1370">
        <v>0</v>
      </c>
      <c r="I363" s="1370">
        <v>265175741</v>
      </c>
    </row>
    <row r="364" spans="1:9" ht="15.75" customHeight="1" x14ac:dyDescent="0.2">
      <c r="A364" s="1371" t="s">
        <v>2579</v>
      </c>
      <c r="B364" s="1371" t="s">
        <v>2582</v>
      </c>
      <c r="C364" s="4512" t="s">
        <v>1115</v>
      </c>
      <c r="D364" s="4512"/>
      <c r="E364" s="1370">
        <v>1350000</v>
      </c>
      <c r="F364" s="1370">
        <v>0</v>
      </c>
      <c r="G364" s="1370">
        <v>0</v>
      </c>
      <c r="H364" s="1370">
        <v>0</v>
      </c>
      <c r="I364" s="1370">
        <v>1350000</v>
      </c>
    </row>
    <row r="365" spans="1:9" ht="15.75" customHeight="1" x14ac:dyDescent="0.2">
      <c r="A365" s="1371" t="s">
        <v>2579</v>
      </c>
      <c r="B365" s="1371" t="s">
        <v>2582</v>
      </c>
      <c r="C365" s="1371" t="s">
        <v>1115</v>
      </c>
      <c r="D365" s="1372" t="s">
        <v>1198</v>
      </c>
      <c r="E365" s="1370">
        <v>1350000</v>
      </c>
      <c r="F365" s="1370">
        <v>0</v>
      </c>
      <c r="G365" s="1370">
        <v>0</v>
      </c>
      <c r="H365" s="1370">
        <v>0</v>
      </c>
      <c r="I365" s="1370">
        <v>1350000</v>
      </c>
    </row>
    <row r="366" spans="1:9" ht="15.75" customHeight="1" x14ac:dyDescent="0.2">
      <c r="A366" s="1371" t="s">
        <v>2579</v>
      </c>
      <c r="B366" s="1371" t="s">
        <v>2582</v>
      </c>
      <c r="C366" s="4512" t="s">
        <v>1121</v>
      </c>
      <c r="D366" s="4512"/>
      <c r="E366" s="1370">
        <v>6500000</v>
      </c>
      <c r="F366" s="1370">
        <v>0</v>
      </c>
      <c r="G366" s="1370">
        <v>0</v>
      </c>
      <c r="H366" s="1370">
        <v>0</v>
      </c>
      <c r="I366" s="1370">
        <v>6500000</v>
      </c>
    </row>
    <row r="367" spans="1:9" ht="15.75" customHeight="1" x14ac:dyDescent="0.2">
      <c r="A367" s="1371" t="s">
        <v>2579</v>
      </c>
      <c r="B367" s="1371" t="s">
        <v>2582</v>
      </c>
      <c r="C367" s="1371" t="s">
        <v>1121</v>
      </c>
      <c r="D367" s="1372" t="s">
        <v>1143</v>
      </c>
      <c r="E367" s="1370">
        <v>6500000</v>
      </c>
      <c r="F367" s="1370">
        <v>0</v>
      </c>
      <c r="G367" s="1370">
        <v>0</v>
      </c>
      <c r="H367" s="1370">
        <v>0</v>
      </c>
      <c r="I367" s="1370">
        <v>6500000</v>
      </c>
    </row>
    <row r="368" spans="1:9" ht="15.75" customHeight="1" x14ac:dyDescent="0.2">
      <c r="A368" s="1371" t="s">
        <v>2579</v>
      </c>
      <c r="B368" s="1371" t="s">
        <v>2582</v>
      </c>
      <c r="C368" s="4512" t="s">
        <v>1144</v>
      </c>
      <c r="D368" s="4512"/>
      <c r="E368" s="1370">
        <v>1015000</v>
      </c>
      <c r="F368" s="1370">
        <v>0</v>
      </c>
      <c r="G368" s="1370">
        <v>0</v>
      </c>
      <c r="H368" s="1370">
        <v>0</v>
      </c>
      <c r="I368" s="1370">
        <v>1015000</v>
      </c>
    </row>
    <row r="369" spans="1:9" ht="15.75" customHeight="1" x14ac:dyDescent="0.2">
      <c r="A369" s="1371" t="s">
        <v>2579</v>
      </c>
      <c r="B369" s="1371" t="s">
        <v>2582</v>
      </c>
      <c r="C369" s="1371" t="s">
        <v>1144</v>
      </c>
      <c r="D369" s="1372" t="s">
        <v>1145</v>
      </c>
      <c r="E369" s="1370">
        <v>1015000</v>
      </c>
      <c r="F369" s="1370">
        <v>0</v>
      </c>
      <c r="G369" s="1370">
        <v>0</v>
      </c>
      <c r="H369" s="1370">
        <v>0</v>
      </c>
      <c r="I369" s="1370">
        <v>1015000</v>
      </c>
    </row>
    <row r="370" spans="1:9" ht="15.75" customHeight="1" x14ac:dyDescent="0.2">
      <c r="A370" s="1371" t="s">
        <v>2579</v>
      </c>
      <c r="B370" s="1371" t="s">
        <v>2582</v>
      </c>
      <c r="C370" s="4512" t="s">
        <v>1190</v>
      </c>
      <c r="D370" s="4512"/>
      <c r="E370" s="1370">
        <v>0</v>
      </c>
      <c r="F370" s="1370">
        <v>0</v>
      </c>
      <c r="G370" s="1370">
        <v>0</v>
      </c>
      <c r="H370" s="1370">
        <v>0</v>
      </c>
      <c r="I370" s="1370">
        <v>0</v>
      </c>
    </row>
    <row r="371" spans="1:9" ht="15.75" customHeight="1" x14ac:dyDescent="0.2">
      <c r="A371" s="1371" t="s">
        <v>2579</v>
      </c>
      <c r="B371" s="1371" t="s">
        <v>2582</v>
      </c>
      <c r="C371" s="1371" t="s">
        <v>1190</v>
      </c>
      <c r="D371" s="1372" t="s">
        <v>1845</v>
      </c>
      <c r="E371" s="1370">
        <v>0</v>
      </c>
      <c r="F371" s="1370">
        <v>0</v>
      </c>
      <c r="G371" s="1370">
        <v>0</v>
      </c>
      <c r="H371" s="1370">
        <v>0</v>
      </c>
      <c r="I371" s="1370">
        <v>0</v>
      </c>
    </row>
    <row r="372" spans="1:9" ht="15.75" customHeight="1" x14ac:dyDescent="0.2">
      <c r="A372" s="1371" t="s">
        <v>2579</v>
      </c>
      <c r="B372" s="1371" t="s">
        <v>2582</v>
      </c>
      <c r="C372" s="4512" t="s">
        <v>1181</v>
      </c>
      <c r="D372" s="4512"/>
      <c r="E372" s="1370">
        <v>178385309937</v>
      </c>
      <c r="F372" s="1370">
        <v>0</v>
      </c>
      <c r="G372" s="1370">
        <v>0</v>
      </c>
      <c r="H372" s="1370">
        <v>0</v>
      </c>
      <c r="I372" s="1370">
        <v>178385309937</v>
      </c>
    </row>
    <row r="373" spans="1:9" ht="15.75" customHeight="1" x14ac:dyDescent="0.2">
      <c r="A373" s="1371" t="s">
        <v>2579</v>
      </c>
      <c r="B373" s="1371" t="s">
        <v>2582</v>
      </c>
      <c r="C373" s="1371" t="s">
        <v>1181</v>
      </c>
      <c r="D373" s="1372" t="s">
        <v>1182</v>
      </c>
      <c r="E373" s="1370">
        <v>84216219615</v>
      </c>
      <c r="F373" s="1370">
        <v>0</v>
      </c>
      <c r="G373" s="1370">
        <v>0</v>
      </c>
      <c r="H373" s="1370">
        <v>0</v>
      </c>
      <c r="I373" s="1370">
        <v>84216219615</v>
      </c>
    </row>
    <row r="374" spans="1:9" ht="15.75" customHeight="1" x14ac:dyDescent="0.2">
      <c r="A374" s="1371" t="s">
        <v>2579</v>
      </c>
      <c r="B374" s="1371" t="s">
        <v>2582</v>
      </c>
      <c r="C374" s="1371" t="s">
        <v>1181</v>
      </c>
      <c r="D374" s="1372" t="s">
        <v>1183</v>
      </c>
      <c r="E374" s="1370">
        <v>94169090322</v>
      </c>
      <c r="F374" s="1370">
        <v>0</v>
      </c>
      <c r="G374" s="1370">
        <v>0</v>
      </c>
      <c r="H374" s="1370">
        <v>0</v>
      </c>
      <c r="I374" s="1370">
        <v>94169090322</v>
      </c>
    </row>
    <row r="375" spans="1:9" ht="15.75" customHeight="1" x14ac:dyDescent="0.2">
      <c r="A375" s="1371" t="s">
        <v>2579</v>
      </c>
      <c r="B375" s="1371" t="s">
        <v>2582</v>
      </c>
      <c r="C375" s="4512" t="s">
        <v>1187</v>
      </c>
      <c r="D375" s="4512"/>
      <c r="E375" s="1370">
        <v>11076579293</v>
      </c>
      <c r="F375" s="1370">
        <v>0</v>
      </c>
      <c r="G375" s="1370">
        <v>0</v>
      </c>
      <c r="H375" s="1370">
        <v>0</v>
      </c>
      <c r="I375" s="1370">
        <v>11076579293</v>
      </c>
    </row>
    <row r="376" spans="1:9" ht="15.75" customHeight="1" x14ac:dyDescent="0.2">
      <c r="A376" s="1371" t="s">
        <v>2579</v>
      </c>
      <c r="B376" s="1371" t="s">
        <v>2582</v>
      </c>
      <c r="C376" s="1371" t="s">
        <v>1187</v>
      </c>
      <c r="D376" s="1372" t="s">
        <v>1188</v>
      </c>
      <c r="E376" s="1370">
        <v>11076579293</v>
      </c>
      <c r="F376" s="1370">
        <v>0</v>
      </c>
      <c r="G376" s="1370">
        <v>0</v>
      </c>
      <c r="H376" s="1370">
        <v>0</v>
      </c>
      <c r="I376" s="1370">
        <v>11076579293</v>
      </c>
    </row>
    <row r="377" spans="1:9" ht="36.75" customHeight="1" x14ac:dyDescent="0.2">
      <c r="A377" s="1384"/>
      <c r="B377" s="1384"/>
      <c r="C377" s="1384"/>
      <c r="D377" s="1385"/>
      <c r="E377" s="1386"/>
      <c r="F377" s="1386"/>
      <c r="G377" s="1386"/>
      <c r="H377" s="1386"/>
      <c r="I377" s="1386"/>
    </row>
    <row r="378" spans="1:9" s="615" customFormat="1" ht="15.75" customHeight="1" x14ac:dyDescent="0.2">
      <c r="A378" s="4107" t="s">
        <v>2233</v>
      </c>
      <c r="B378" s="4107"/>
      <c r="C378" s="4107"/>
      <c r="D378" s="4107"/>
      <c r="E378" s="4107"/>
      <c r="F378" s="4510" t="s">
        <v>2231</v>
      </c>
      <c r="G378" s="4510"/>
      <c r="H378" s="4107" t="s">
        <v>2232</v>
      </c>
      <c r="I378" s="4107"/>
    </row>
    <row r="379" spans="1:9" s="546" customFormat="1" ht="15.75" customHeight="1" x14ac:dyDescent="0.25">
      <c r="A379" s="4106" t="s">
        <v>2174</v>
      </c>
      <c r="B379" s="4106"/>
      <c r="C379" s="4106"/>
      <c r="D379" s="4106"/>
      <c r="E379" s="4106"/>
      <c r="F379" s="4508" t="s">
        <v>1440</v>
      </c>
      <c r="G379" s="4508"/>
      <c r="H379" s="4106" t="s">
        <v>638</v>
      </c>
      <c r="I379" s="4106"/>
    </row>
    <row r="380" spans="1:9" s="546" customFormat="1" ht="17.25" customHeight="1" x14ac:dyDescent="0.25">
      <c r="A380" s="4106" t="s">
        <v>1730</v>
      </c>
      <c r="B380" s="4106"/>
      <c r="C380" s="4106"/>
      <c r="D380" s="4106"/>
      <c r="E380" s="4106"/>
      <c r="F380" s="4508" t="s">
        <v>807</v>
      </c>
      <c r="G380" s="4508"/>
      <c r="H380" s="4106" t="s">
        <v>639</v>
      </c>
      <c r="I380" s="4106"/>
    </row>
    <row r="381" spans="1:9" s="546" customFormat="1" ht="15.75" x14ac:dyDescent="0.25">
      <c r="A381" s="1360"/>
      <c r="B381" s="1360"/>
      <c r="C381" s="549"/>
      <c r="D381" s="1183"/>
      <c r="E381" s="1373"/>
      <c r="G381" s="1380"/>
      <c r="H381" s="548"/>
      <c r="I381" s="1380"/>
    </row>
    <row r="382" spans="1:9" s="546" customFormat="1" ht="15.75" x14ac:dyDescent="0.25">
      <c r="A382" s="1360"/>
      <c r="B382" s="1360"/>
      <c r="C382" s="549"/>
      <c r="D382" s="1183"/>
      <c r="E382" s="1374"/>
      <c r="G382" s="1374"/>
      <c r="H382" s="1375"/>
      <c r="I382" s="1183"/>
    </row>
    <row r="383" spans="1:9" s="546" customFormat="1" ht="15.75" x14ac:dyDescent="0.25">
      <c r="A383" s="1360"/>
      <c r="B383" s="1360"/>
      <c r="C383" s="549"/>
      <c r="D383" s="1183"/>
      <c r="E383" s="1374"/>
      <c r="G383" s="1374"/>
      <c r="H383" s="548"/>
      <c r="I383" s="1183"/>
    </row>
    <row r="384" spans="1:9" s="546" customFormat="1" ht="15.75" x14ac:dyDescent="0.25">
      <c r="A384" s="1360"/>
      <c r="B384" s="1360"/>
      <c r="C384" s="549"/>
      <c r="D384" s="1183"/>
      <c r="E384" s="1373"/>
      <c r="G384" s="1374"/>
      <c r="H384" s="548"/>
      <c r="I384" s="1183"/>
    </row>
    <row r="385" spans="1:9" s="546" customFormat="1" ht="22.5" customHeight="1" x14ac:dyDescent="0.25">
      <c r="A385" s="1376"/>
      <c r="C385" s="549"/>
      <c r="D385" s="549"/>
      <c r="E385" s="566"/>
      <c r="G385" s="548"/>
      <c r="H385" s="548"/>
      <c r="I385" s="549"/>
    </row>
    <row r="386" spans="1:9" s="1378" customFormat="1" ht="19.5" x14ac:dyDescent="0.3">
      <c r="A386" s="1377"/>
      <c r="C386" s="1379"/>
      <c r="E386" s="1381"/>
      <c r="F386" s="4509" t="s">
        <v>808</v>
      </c>
      <c r="G386" s="4509"/>
      <c r="H386" s="4511" t="s">
        <v>1731</v>
      </c>
      <c r="I386" s="4511"/>
    </row>
  </sheetData>
  <mergeCells count="183">
    <mergeCell ref="C27:D27"/>
    <mergeCell ref="B29:D29"/>
    <mergeCell ref="C30:D30"/>
    <mergeCell ref="B32:D32"/>
    <mergeCell ref="C33:D33"/>
    <mergeCell ref="B35:D35"/>
    <mergeCell ref="C36:D36"/>
    <mergeCell ref="B38:D38"/>
    <mergeCell ref="A1:D1"/>
    <mergeCell ref="G1:I1"/>
    <mergeCell ref="A6:I6"/>
    <mergeCell ref="A9:D9"/>
    <mergeCell ref="A10:D10"/>
    <mergeCell ref="C131:D131"/>
    <mergeCell ref="B133:D133"/>
    <mergeCell ref="C134:D134"/>
    <mergeCell ref="A3:I3"/>
    <mergeCell ref="A4:I4"/>
    <mergeCell ref="C44:D44"/>
    <mergeCell ref="C18:D18"/>
    <mergeCell ref="C113:D113"/>
    <mergeCell ref="C100:D100"/>
    <mergeCell ref="C84:D84"/>
    <mergeCell ref="C60:D60"/>
    <mergeCell ref="A62:D62"/>
    <mergeCell ref="B11:D11"/>
    <mergeCell ref="C12:D12"/>
    <mergeCell ref="C14:D14"/>
    <mergeCell ref="C16:D16"/>
    <mergeCell ref="C22:D22"/>
    <mergeCell ref="B24:D24"/>
    <mergeCell ref="C25:D25"/>
    <mergeCell ref="C49:D49"/>
    <mergeCell ref="C52:D52"/>
    <mergeCell ref="C54:D54"/>
    <mergeCell ref="B56:D56"/>
    <mergeCell ref="C57:D57"/>
    <mergeCell ref="C39:D39"/>
    <mergeCell ref="C41:D41"/>
    <mergeCell ref="B43:D43"/>
    <mergeCell ref="C46:D46"/>
    <mergeCell ref="B48:D48"/>
    <mergeCell ref="B72:D72"/>
    <mergeCell ref="C73:D73"/>
    <mergeCell ref="B75:D75"/>
    <mergeCell ref="C76:D76"/>
    <mergeCell ref="C78:D78"/>
    <mergeCell ref="B63:D63"/>
    <mergeCell ref="C64:D64"/>
    <mergeCell ref="C66:D66"/>
    <mergeCell ref="B68:D68"/>
    <mergeCell ref="C69:D69"/>
    <mergeCell ref="B91:D91"/>
    <mergeCell ref="C92:D92"/>
    <mergeCell ref="C94:D94"/>
    <mergeCell ref="C96:D96"/>
    <mergeCell ref="B99:D99"/>
    <mergeCell ref="C80:D80"/>
    <mergeCell ref="C82:D82"/>
    <mergeCell ref="B86:D86"/>
    <mergeCell ref="C87:D87"/>
    <mergeCell ref="C89:D89"/>
    <mergeCell ref="C115:D115"/>
    <mergeCell ref="B117:D117"/>
    <mergeCell ref="C118:D118"/>
    <mergeCell ref="A120:D120"/>
    <mergeCell ref="B121:D121"/>
    <mergeCell ref="C104:D104"/>
    <mergeCell ref="C106:D106"/>
    <mergeCell ref="C108:D108"/>
    <mergeCell ref="C110:D110"/>
    <mergeCell ref="B112:D112"/>
    <mergeCell ref="C136:D136"/>
    <mergeCell ref="C139:D139"/>
    <mergeCell ref="B141:D141"/>
    <mergeCell ref="C142:D142"/>
    <mergeCell ref="C144:D144"/>
    <mergeCell ref="C122:D122"/>
    <mergeCell ref="C124:D124"/>
    <mergeCell ref="C126:D126"/>
    <mergeCell ref="B128:D128"/>
    <mergeCell ref="C129:D129"/>
    <mergeCell ref="C153:D153"/>
    <mergeCell ref="B155:D155"/>
    <mergeCell ref="C156:D156"/>
    <mergeCell ref="C159:D159"/>
    <mergeCell ref="C161:D161"/>
    <mergeCell ref="B146:D146"/>
    <mergeCell ref="C147:D147"/>
    <mergeCell ref="B149:D149"/>
    <mergeCell ref="C150:D150"/>
    <mergeCell ref="B152:D152"/>
    <mergeCell ref="C175:D175"/>
    <mergeCell ref="C177:D177"/>
    <mergeCell ref="C179:D179"/>
    <mergeCell ref="C182:D182"/>
    <mergeCell ref="C184:D184"/>
    <mergeCell ref="C163:D163"/>
    <mergeCell ref="C165:D165"/>
    <mergeCell ref="C168:D168"/>
    <mergeCell ref="B172:D172"/>
    <mergeCell ref="C173:D173"/>
    <mergeCell ref="B206:D206"/>
    <mergeCell ref="C207:D207"/>
    <mergeCell ref="C209:D209"/>
    <mergeCell ref="C212:D212"/>
    <mergeCell ref="C214:D214"/>
    <mergeCell ref="C187:D187"/>
    <mergeCell ref="C189:D189"/>
    <mergeCell ref="C191:D191"/>
    <mergeCell ref="C195:D195"/>
    <mergeCell ref="C199:D199"/>
    <mergeCell ref="C234:D234"/>
    <mergeCell ref="C237:D237"/>
    <mergeCell ref="C241:D241"/>
    <mergeCell ref="C243:D243"/>
    <mergeCell ref="C245:D245"/>
    <mergeCell ref="C217:D217"/>
    <mergeCell ref="C220:D220"/>
    <mergeCell ref="B226:D226"/>
    <mergeCell ref="C227:D227"/>
    <mergeCell ref="C232:D232"/>
    <mergeCell ref="B267:D267"/>
    <mergeCell ref="C268:D268"/>
    <mergeCell ref="C272:D272"/>
    <mergeCell ref="C275:D275"/>
    <mergeCell ref="C278:D278"/>
    <mergeCell ref="C248:D248"/>
    <mergeCell ref="C250:D250"/>
    <mergeCell ref="C255:D255"/>
    <mergeCell ref="C257:D257"/>
    <mergeCell ref="C260:D260"/>
    <mergeCell ref="C289:D289"/>
    <mergeCell ref="C291:D291"/>
    <mergeCell ref="C293:D293"/>
    <mergeCell ref="A297:D297"/>
    <mergeCell ref="B298:D298"/>
    <mergeCell ref="C280:D280"/>
    <mergeCell ref="B282:D282"/>
    <mergeCell ref="C283:D283"/>
    <mergeCell ref="C285:D285"/>
    <mergeCell ref="C287:D287"/>
    <mergeCell ref="C313:D313"/>
    <mergeCell ref="C315:D315"/>
    <mergeCell ref="C317:D317"/>
    <mergeCell ref="C319:D319"/>
    <mergeCell ref="C322:D322"/>
    <mergeCell ref="C299:D299"/>
    <mergeCell ref="C302:D302"/>
    <mergeCell ref="C304:D304"/>
    <mergeCell ref="C306:D306"/>
    <mergeCell ref="C309:D309"/>
    <mergeCell ref="C341:D341"/>
    <mergeCell ref="B345:D345"/>
    <mergeCell ref="C346:D346"/>
    <mergeCell ref="C348:D348"/>
    <mergeCell ref="C350:D350"/>
    <mergeCell ref="C325:D325"/>
    <mergeCell ref="C327:D327"/>
    <mergeCell ref="C331:D331"/>
    <mergeCell ref="C333:D333"/>
    <mergeCell ref="C339:D339"/>
    <mergeCell ref="C366:D366"/>
    <mergeCell ref="C368:D368"/>
    <mergeCell ref="C370:D370"/>
    <mergeCell ref="C372:D372"/>
    <mergeCell ref="C375:D375"/>
    <mergeCell ref="C352:D352"/>
    <mergeCell ref="C354:D354"/>
    <mergeCell ref="B356:D356"/>
    <mergeCell ref="C357:D357"/>
    <mergeCell ref="C364:D364"/>
    <mergeCell ref="F379:G379"/>
    <mergeCell ref="A379:E379"/>
    <mergeCell ref="A380:E380"/>
    <mergeCell ref="F380:G380"/>
    <mergeCell ref="F386:G386"/>
    <mergeCell ref="F378:G378"/>
    <mergeCell ref="A378:E378"/>
    <mergeCell ref="H380:I380"/>
    <mergeCell ref="H386:I386"/>
    <mergeCell ref="H378:I378"/>
    <mergeCell ref="H379:I379"/>
  </mergeCells>
  <phoneticPr fontId="70" type="noConversion"/>
  <pageMargins left="0.78740157480314965" right="0.19685039370078741" top="0.59055118110236227" bottom="0.39370078740157483" header="0.43307086614173229" footer="0.74803149606299213"/>
  <pageSetup paperSize="9" scale="75" firstPageNumber="183" orientation="portrait" useFirstPageNumber="1" r:id="rId1"/>
  <headerFooter>
    <oddHeader>&amp;RBiểu số 5.23</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J1730"/>
  <sheetViews>
    <sheetView topLeftCell="A1620" zoomScale="84" zoomScaleNormal="84" workbookViewId="0">
      <selection activeCell="A1623" sqref="A1623:XFD1651"/>
    </sheetView>
  </sheetViews>
  <sheetFormatPr defaultRowHeight="18.75" x14ac:dyDescent="0.3"/>
  <cols>
    <col min="1" max="1" width="8.85546875" style="1697"/>
    <col min="2" max="2" width="10.7109375" style="1697" customWidth="1"/>
    <col min="3" max="3" width="16.7109375" style="1697" customWidth="1"/>
    <col min="4" max="4" width="15.140625" style="1697" customWidth="1"/>
    <col min="5" max="5" width="12.28515625" style="1697" customWidth="1"/>
    <col min="6" max="6" width="13.5703125" style="1697" customWidth="1"/>
    <col min="7" max="7" width="22" style="1697" customWidth="1"/>
    <col min="8" max="8" width="33.42578125" style="1697" customWidth="1"/>
    <col min="9" max="9" width="0.28515625" style="1697" hidden="1" customWidth="1"/>
    <col min="10" max="10" width="20.42578125" style="1697" customWidth="1"/>
    <col min="11" max="258" width="8.85546875" style="1697"/>
    <col min="259" max="259" width="15.85546875" style="1697" customWidth="1"/>
    <col min="260" max="260" width="14.140625" style="1697" customWidth="1"/>
    <col min="261" max="261" width="15.42578125" style="1697" customWidth="1"/>
    <col min="262" max="262" width="15.28515625" style="1697" customWidth="1"/>
    <col min="263" max="263" width="14.85546875" style="1697" customWidth="1"/>
    <col min="264" max="264" width="24" style="1697" customWidth="1"/>
    <col min="265" max="265" width="0.28515625" style="1697" customWidth="1"/>
    <col min="266" max="266" width="20.42578125" style="1697" customWidth="1"/>
    <col min="267" max="514" width="8.85546875" style="1697"/>
    <col min="515" max="515" width="15.85546875" style="1697" customWidth="1"/>
    <col min="516" max="516" width="14.140625" style="1697" customWidth="1"/>
    <col min="517" max="517" width="15.42578125" style="1697" customWidth="1"/>
    <col min="518" max="518" width="15.28515625" style="1697" customWidth="1"/>
    <col min="519" max="519" width="14.85546875" style="1697" customWidth="1"/>
    <col min="520" max="520" width="24" style="1697" customWidth="1"/>
    <col min="521" max="521" width="0.28515625" style="1697" customWidth="1"/>
    <col min="522" max="522" width="20.42578125" style="1697" customWidth="1"/>
    <col min="523" max="770" width="8.85546875" style="1697"/>
    <col min="771" max="771" width="15.85546875" style="1697" customWidth="1"/>
    <col min="772" max="772" width="14.140625" style="1697" customWidth="1"/>
    <col min="773" max="773" width="15.42578125" style="1697" customWidth="1"/>
    <col min="774" max="774" width="15.28515625" style="1697" customWidth="1"/>
    <col min="775" max="775" width="14.85546875" style="1697" customWidth="1"/>
    <col min="776" max="776" width="24" style="1697" customWidth="1"/>
    <col min="777" max="777" width="0.28515625" style="1697" customWidth="1"/>
    <col min="778" max="778" width="20.42578125" style="1697" customWidth="1"/>
    <col min="779" max="1026" width="8.85546875" style="1697"/>
    <col min="1027" max="1027" width="15.85546875" style="1697" customWidth="1"/>
    <col min="1028" max="1028" width="14.140625" style="1697" customWidth="1"/>
    <col min="1029" max="1029" width="15.42578125" style="1697" customWidth="1"/>
    <col min="1030" max="1030" width="15.28515625" style="1697" customWidth="1"/>
    <col min="1031" max="1031" width="14.85546875" style="1697" customWidth="1"/>
    <col min="1032" max="1032" width="24" style="1697" customWidth="1"/>
    <col min="1033" max="1033" width="0.28515625" style="1697" customWidth="1"/>
    <col min="1034" max="1034" width="20.42578125" style="1697" customWidth="1"/>
    <col min="1035" max="1282" width="8.85546875" style="1697"/>
    <col min="1283" max="1283" width="15.85546875" style="1697" customWidth="1"/>
    <col min="1284" max="1284" width="14.140625" style="1697" customWidth="1"/>
    <col min="1285" max="1285" width="15.42578125" style="1697" customWidth="1"/>
    <col min="1286" max="1286" width="15.28515625" style="1697" customWidth="1"/>
    <col min="1287" max="1287" width="14.85546875" style="1697" customWidth="1"/>
    <col min="1288" max="1288" width="24" style="1697" customWidth="1"/>
    <col min="1289" max="1289" width="0.28515625" style="1697" customWidth="1"/>
    <col min="1290" max="1290" width="20.42578125" style="1697" customWidth="1"/>
    <col min="1291" max="1538" width="8.85546875" style="1697"/>
    <col min="1539" max="1539" width="15.85546875" style="1697" customWidth="1"/>
    <col min="1540" max="1540" width="14.140625" style="1697" customWidth="1"/>
    <col min="1541" max="1541" width="15.42578125" style="1697" customWidth="1"/>
    <col min="1542" max="1542" width="15.28515625" style="1697" customWidth="1"/>
    <col min="1543" max="1543" width="14.85546875" style="1697" customWidth="1"/>
    <col min="1544" max="1544" width="24" style="1697" customWidth="1"/>
    <col min="1545" max="1545" width="0.28515625" style="1697" customWidth="1"/>
    <col min="1546" max="1546" width="20.42578125" style="1697" customWidth="1"/>
    <col min="1547" max="1794" width="8.85546875" style="1697"/>
    <col min="1795" max="1795" width="15.85546875" style="1697" customWidth="1"/>
    <col min="1796" max="1796" width="14.140625" style="1697" customWidth="1"/>
    <col min="1797" max="1797" width="15.42578125" style="1697" customWidth="1"/>
    <col min="1798" max="1798" width="15.28515625" style="1697" customWidth="1"/>
    <col min="1799" max="1799" width="14.85546875" style="1697" customWidth="1"/>
    <col min="1800" max="1800" width="24" style="1697" customWidth="1"/>
    <col min="1801" max="1801" width="0.28515625" style="1697" customWidth="1"/>
    <col min="1802" max="1802" width="20.42578125" style="1697" customWidth="1"/>
    <col min="1803" max="2050" width="8.85546875" style="1697"/>
    <col min="2051" max="2051" width="15.85546875" style="1697" customWidth="1"/>
    <col min="2052" max="2052" width="14.140625" style="1697" customWidth="1"/>
    <col min="2053" max="2053" width="15.42578125" style="1697" customWidth="1"/>
    <col min="2054" max="2054" width="15.28515625" style="1697" customWidth="1"/>
    <col min="2055" max="2055" width="14.85546875" style="1697" customWidth="1"/>
    <col min="2056" max="2056" width="24" style="1697" customWidth="1"/>
    <col min="2057" max="2057" width="0.28515625" style="1697" customWidth="1"/>
    <col min="2058" max="2058" width="20.42578125" style="1697" customWidth="1"/>
    <col min="2059" max="2306" width="8.85546875" style="1697"/>
    <col min="2307" max="2307" width="15.85546875" style="1697" customWidth="1"/>
    <col min="2308" max="2308" width="14.140625" style="1697" customWidth="1"/>
    <col min="2309" max="2309" width="15.42578125" style="1697" customWidth="1"/>
    <col min="2310" max="2310" width="15.28515625" style="1697" customWidth="1"/>
    <col min="2311" max="2311" width="14.85546875" style="1697" customWidth="1"/>
    <col min="2312" max="2312" width="24" style="1697" customWidth="1"/>
    <col min="2313" max="2313" width="0.28515625" style="1697" customWidth="1"/>
    <col min="2314" max="2314" width="20.42578125" style="1697" customWidth="1"/>
    <col min="2315" max="2562" width="8.85546875" style="1697"/>
    <col min="2563" max="2563" width="15.85546875" style="1697" customWidth="1"/>
    <col min="2564" max="2564" width="14.140625" style="1697" customWidth="1"/>
    <col min="2565" max="2565" width="15.42578125" style="1697" customWidth="1"/>
    <col min="2566" max="2566" width="15.28515625" style="1697" customWidth="1"/>
    <col min="2567" max="2567" width="14.85546875" style="1697" customWidth="1"/>
    <col min="2568" max="2568" width="24" style="1697" customWidth="1"/>
    <col min="2569" max="2569" width="0.28515625" style="1697" customWidth="1"/>
    <col min="2570" max="2570" width="20.42578125" style="1697" customWidth="1"/>
    <col min="2571" max="2818" width="8.85546875" style="1697"/>
    <col min="2819" max="2819" width="15.85546875" style="1697" customWidth="1"/>
    <col min="2820" max="2820" width="14.140625" style="1697" customWidth="1"/>
    <col min="2821" max="2821" width="15.42578125" style="1697" customWidth="1"/>
    <col min="2822" max="2822" width="15.28515625" style="1697" customWidth="1"/>
    <col min="2823" max="2823" width="14.85546875" style="1697" customWidth="1"/>
    <col min="2824" max="2824" width="24" style="1697" customWidth="1"/>
    <col min="2825" max="2825" width="0.28515625" style="1697" customWidth="1"/>
    <col min="2826" max="2826" width="20.42578125" style="1697" customWidth="1"/>
    <col min="2827" max="3074" width="8.85546875" style="1697"/>
    <col min="3075" max="3075" width="15.85546875" style="1697" customWidth="1"/>
    <col min="3076" max="3076" width="14.140625" style="1697" customWidth="1"/>
    <col min="3077" max="3077" width="15.42578125" style="1697" customWidth="1"/>
    <col min="3078" max="3078" width="15.28515625" style="1697" customWidth="1"/>
    <col min="3079" max="3079" width="14.85546875" style="1697" customWidth="1"/>
    <col min="3080" max="3080" width="24" style="1697" customWidth="1"/>
    <col min="3081" max="3081" width="0.28515625" style="1697" customWidth="1"/>
    <col min="3082" max="3082" width="20.42578125" style="1697" customWidth="1"/>
    <col min="3083" max="3330" width="8.85546875" style="1697"/>
    <col min="3331" max="3331" width="15.85546875" style="1697" customWidth="1"/>
    <col min="3332" max="3332" width="14.140625" style="1697" customWidth="1"/>
    <col min="3333" max="3333" width="15.42578125" style="1697" customWidth="1"/>
    <col min="3334" max="3334" width="15.28515625" style="1697" customWidth="1"/>
    <col min="3335" max="3335" width="14.85546875" style="1697" customWidth="1"/>
    <col min="3336" max="3336" width="24" style="1697" customWidth="1"/>
    <col min="3337" max="3337" width="0.28515625" style="1697" customWidth="1"/>
    <col min="3338" max="3338" width="20.42578125" style="1697" customWidth="1"/>
    <col min="3339" max="3586" width="8.85546875" style="1697"/>
    <col min="3587" max="3587" width="15.85546875" style="1697" customWidth="1"/>
    <col min="3588" max="3588" width="14.140625" style="1697" customWidth="1"/>
    <col min="3589" max="3589" width="15.42578125" style="1697" customWidth="1"/>
    <col min="3590" max="3590" width="15.28515625" style="1697" customWidth="1"/>
    <col min="3591" max="3591" width="14.85546875" style="1697" customWidth="1"/>
    <col min="3592" max="3592" width="24" style="1697" customWidth="1"/>
    <col min="3593" max="3593" width="0.28515625" style="1697" customWidth="1"/>
    <col min="3594" max="3594" width="20.42578125" style="1697" customWidth="1"/>
    <col min="3595" max="3842" width="8.85546875" style="1697"/>
    <col min="3843" max="3843" width="15.85546875" style="1697" customWidth="1"/>
    <col min="3844" max="3844" width="14.140625" style="1697" customWidth="1"/>
    <col min="3845" max="3845" width="15.42578125" style="1697" customWidth="1"/>
    <col min="3846" max="3846" width="15.28515625" style="1697" customWidth="1"/>
    <col min="3847" max="3847" width="14.85546875" style="1697" customWidth="1"/>
    <col min="3848" max="3848" width="24" style="1697" customWidth="1"/>
    <col min="3849" max="3849" width="0.28515625" style="1697" customWidth="1"/>
    <col min="3850" max="3850" width="20.42578125" style="1697" customWidth="1"/>
    <col min="3851" max="4098" width="8.85546875" style="1697"/>
    <col min="4099" max="4099" width="15.85546875" style="1697" customWidth="1"/>
    <col min="4100" max="4100" width="14.140625" style="1697" customWidth="1"/>
    <col min="4101" max="4101" width="15.42578125" style="1697" customWidth="1"/>
    <col min="4102" max="4102" width="15.28515625" style="1697" customWidth="1"/>
    <col min="4103" max="4103" width="14.85546875" style="1697" customWidth="1"/>
    <col min="4104" max="4104" width="24" style="1697" customWidth="1"/>
    <col min="4105" max="4105" width="0.28515625" style="1697" customWidth="1"/>
    <col min="4106" max="4106" width="20.42578125" style="1697" customWidth="1"/>
    <col min="4107" max="4354" width="8.85546875" style="1697"/>
    <col min="4355" max="4355" width="15.85546875" style="1697" customWidth="1"/>
    <col min="4356" max="4356" width="14.140625" style="1697" customWidth="1"/>
    <col min="4357" max="4357" width="15.42578125" style="1697" customWidth="1"/>
    <col min="4358" max="4358" width="15.28515625" style="1697" customWidth="1"/>
    <col min="4359" max="4359" width="14.85546875" style="1697" customWidth="1"/>
    <col min="4360" max="4360" width="24" style="1697" customWidth="1"/>
    <col min="4361" max="4361" width="0.28515625" style="1697" customWidth="1"/>
    <col min="4362" max="4362" width="20.42578125" style="1697" customWidth="1"/>
    <col min="4363" max="4610" width="8.85546875" style="1697"/>
    <col min="4611" max="4611" width="15.85546875" style="1697" customWidth="1"/>
    <col min="4612" max="4612" width="14.140625" style="1697" customWidth="1"/>
    <col min="4613" max="4613" width="15.42578125" style="1697" customWidth="1"/>
    <col min="4614" max="4614" width="15.28515625" style="1697" customWidth="1"/>
    <col min="4615" max="4615" width="14.85546875" style="1697" customWidth="1"/>
    <col min="4616" max="4616" width="24" style="1697" customWidth="1"/>
    <col min="4617" max="4617" width="0.28515625" style="1697" customWidth="1"/>
    <col min="4618" max="4618" width="20.42578125" style="1697" customWidth="1"/>
    <col min="4619" max="4866" width="8.85546875" style="1697"/>
    <col min="4867" max="4867" width="15.85546875" style="1697" customWidth="1"/>
    <col min="4868" max="4868" width="14.140625" style="1697" customWidth="1"/>
    <col min="4869" max="4869" width="15.42578125" style="1697" customWidth="1"/>
    <col min="4870" max="4870" width="15.28515625" style="1697" customWidth="1"/>
    <col min="4871" max="4871" width="14.85546875" style="1697" customWidth="1"/>
    <col min="4872" max="4872" width="24" style="1697" customWidth="1"/>
    <col min="4873" max="4873" width="0.28515625" style="1697" customWidth="1"/>
    <col min="4874" max="4874" width="20.42578125" style="1697" customWidth="1"/>
    <col min="4875" max="5122" width="8.85546875" style="1697"/>
    <col min="5123" max="5123" width="15.85546875" style="1697" customWidth="1"/>
    <col min="5124" max="5124" width="14.140625" style="1697" customWidth="1"/>
    <col min="5125" max="5125" width="15.42578125" style="1697" customWidth="1"/>
    <col min="5126" max="5126" width="15.28515625" style="1697" customWidth="1"/>
    <col min="5127" max="5127" width="14.85546875" style="1697" customWidth="1"/>
    <col min="5128" max="5128" width="24" style="1697" customWidth="1"/>
    <col min="5129" max="5129" width="0.28515625" style="1697" customWidth="1"/>
    <col min="5130" max="5130" width="20.42578125" style="1697" customWidth="1"/>
    <col min="5131" max="5378" width="8.85546875" style="1697"/>
    <col min="5379" max="5379" width="15.85546875" style="1697" customWidth="1"/>
    <col min="5380" max="5380" width="14.140625" style="1697" customWidth="1"/>
    <col min="5381" max="5381" width="15.42578125" style="1697" customWidth="1"/>
    <col min="5382" max="5382" width="15.28515625" style="1697" customWidth="1"/>
    <col min="5383" max="5383" width="14.85546875" style="1697" customWidth="1"/>
    <col min="5384" max="5384" width="24" style="1697" customWidth="1"/>
    <col min="5385" max="5385" width="0.28515625" style="1697" customWidth="1"/>
    <col min="5386" max="5386" width="20.42578125" style="1697" customWidth="1"/>
    <col min="5387" max="5634" width="8.85546875" style="1697"/>
    <col min="5635" max="5635" width="15.85546875" style="1697" customWidth="1"/>
    <col min="5636" max="5636" width="14.140625" style="1697" customWidth="1"/>
    <col min="5637" max="5637" width="15.42578125" style="1697" customWidth="1"/>
    <col min="5638" max="5638" width="15.28515625" style="1697" customWidth="1"/>
    <col min="5639" max="5639" width="14.85546875" style="1697" customWidth="1"/>
    <col min="5640" max="5640" width="24" style="1697" customWidth="1"/>
    <col min="5641" max="5641" width="0.28515625" style="1697" customWidth="1"/>
    <col min="5642" max="5642" width="20.42578125" style="1697" customWidth="1"/>
    <col min="5643" max="5890" width="8.85546875" style="1697"/>
    <col min="5891" max="5891" width="15.85546875" style="1697" customWidth="1"/>
    <col min="5892" max="5892" width="14.140625" style="1697" customWidth="1"/>
    <col min="5893" max="5893" width="15.42578125" style="1697" customWidth="1"/>
    <col min="5894" max="5894" width="15.28515625" style="1697" customWidth="1"/>
    <col min="5895" max="5895" width="14.85546875" style="1697" customWidth="1"/>
    <col min="5896" max="5896" width="24" style="1697" customWidth="1"/>
    <col min="5897" max="5897" width="0.28515625" style="1697" customWidth="1"/>
    <col min="5898" max="5898" width="20.42578125" style="1697" customWidth="1"/>
    <col min="5899" max="6146" width="8.85546875" style="1697"/>
    <col min="6147" max="6147" width="15.85546875" style="1697" customWidth="1"/>
    <col min="6148" max="6148" width="14.140625" style="1697" customWidth="1"/>
    <col min="6149" max="6149" width="15.42578125" style="1697" customWidth="1"/>
    <col min="6150" max="6150" width="15.28515625" style="1697" customWidth="1"/>
    <col min="6151" max="6151" width="14.85546875" style="1697" customWidth="1"/>
    <col min="6152" max="6152" width="24" style="1697" customWidth="1"/>
    <col min="6153" max="6153" width="0.28515625" style="1697" customWidth="1"/>
    <col min="6154" max="6154" width="20.42578125" style="1697" customWidth="1"/>
    <col min="6155" max="6402" width="8.85546875" style="1697"/>
    <col min="6403" max="6403" width="15.85546875" style="1697" customWidth="1"/>
    <col min="6404" max="6404" width="14.140625" style="1697" customWidth="1"/>
    <col min="6405" max="6405" width="15.42578125" style="1697" customWidth="1"/>
    <col min="6406" max="6406" width="15.28515625" style="1697" customWidth="1"/>
    <col min="6407" max="6407" width="14.85546875" style="1697" customWidth="1"/>
    <col min="6408" max="6408" width="24" style="1697" customWidth="1"/>
    <col min="6409" max="6409" width="0.28515625" style="1697" customWidth="1"/>
    <col min="6410" max="6410" width="20.42578125" style="1697" customWidth="1"/>
    <col min="6411" max="6658" width="8.85546875" style="1697"/>
    <col min="6659" max="6659" width="15.85546875" style="1697" customWidth="1"/>
    <col min="6660" max="6660" width="14.140625" style="1697" customWidth="1"/>
    <col min="6661" max="6661" width="15.42578125" style="1697" customWidth="1"/>
    <col min="6662" max="6662" width="15.28515625" style="1697" customWidth="1"/>
    <col min="6663" max="6663" width="14.85546875" style="1697" customWidth="1"/>
    <col min="6664" max="6664" width="24" style="1697" customWidth="1"/>
    <col min="6665" max="6665" width="0.28515625" style="1697" customWidth="1"/>
    <col min="6666" max="6666" width="20.42578125" style="1697" customWidth="1"/>
    <col min="6667" max="6914" width="8.85546875" style="1697"/>
    <col min="6915" max="6915" width="15.85546875" style="1697" customWidth="1"/>
    <col min="6916" max="6916" width="14.140625" style="1697" customWidth="1"/>
    <col min="6917" max="6917" width="15.42578125" style="1697" customWidth="1"/>
    <col min="6918" max="6918" width="15.28515625" style="1697" customWidth="1"/>
    <col min="6919" max="6919" width="14.85546875" style="1697" customWidth="1"/>
    <col min="6920" max="6920" width="24" style="1697" customWidth="1"/>
    <col min="6921" max="6921" width="0.28515625" style="1697" customWidth="1"/>
    <col min="6922" max="6922" width="20.42578125" style="1697" customWidth="1"/>
    <col min="6923" max="7170" width="8.85546875" style="1697"/>
    <col min="7171" max="7171" width="15.85546875" style="1697" customWidth="1"/>
    <col min="7172" max="7172" width="14.140625" style="1697" customWidth="1"/>
    <col min="7173" max="7173" width="15.42578125" style="1697" customWidth="1"/>
    <col min="7174" max="7174" width="15.28515625" style="1697" customWidth="1"/>
    <col min="7175" max="7175" width="14.85546875" style="1697" customWidth="1"/>
    <col min="7176" max="7176" width="24" style="1697" customWidth="1"/>
    <col min="7177" max="7177" width="0.28515625" style="1697" customWidth="1"/>
    <col min="7178" max="7178" width="20.42578125" style="1697" customWidth="1"/>
    <col min="7179" max="7426" width="8.85546875" style="1697"/>
    <col min="7427" max="7427" width="15.85546875" style="1697" customWidth="1"/>
    <col min="7428" max="7428" width="14.140625" style="1697" customWidth="1"/>
    <col min="7429" max="7429" width="15.42578125" style="1697" customWidth="1"/>
    <col min="7430" max="7430" width="15.28515625" style="1697" customWidth="1"/>
    <col min="7431" max="7431" width="14.85546875" style="1697" customWidth="1"/>
    <col min="7432" max="7432" width="24" style="1697" customWidth="1"/>
    <col min="7433" max="7433" width="0.28515625" style="1697" customWidth="1"/>
    <col min="7434" max="7434" width="20.42578125" style="1697" customWidth="1"/>
    <col min="7435" max="7682" width="8.85546875" style="1697"/>
    <col min="7683" max="7683" width="15.85546875" style="1697" customWidth="1"/>
    <col min="7684" max="7684" width="14.140625" style="1697" customWidth="1"/>
    <col min="7685" max="7685" width="15.42578125" style="1697" customWidth="1"/>
    <col min="7686" max="7686" width="15.28515625" style="1697" customWidth="1"/>
    <col min="7687" max="7687" width="14.85546875" style="1697" customWidth="1"/>
    <col min="7688" max="7688" width="24" style="1697" customWidth="1"/>
    <col min="7689" max="7689" width="0.28515625" style="1697" customWidth="1"/>
    <col min="7690" max="7690" width="20.42578125" style="1697" customWidth="1"/>
    <col min="7691" max="7938" width="8.85546875" style="1697"/>
    <col min="7939" max="7939" width="15.85546875" style="1697" customWidth="1"/>
    <col min="7940" max="7940" width="14.140625" style="1697" customWidth="1"/>
    <col min="7941" max="7941" width="15.42578125" style="1697" customWidth="1"/>
    <col min="7942" max="7942" width="15.28515625" style="1697" customWidth="1"/>
    <col min="7943" max="7943" width="14.85546875" style="1697" customWidth="1"/>
    <col min="7944" max="7944" width="24" style="1697" customWidth="1"/>
    <col min="7945" max="7945" width="0.28515625" style="1697" customWidth="1"/>
    <col min="7946" max="7946" width="20.42578125" style="1697" customWidth="1"/>
    <col min="7947" max="8194" width="8.85546875" style="1697"/>
    <col min="8195" max="8195" width="15.85546875" style="1697" customWidth="1"/>
    <col min="8196" max="8196" width="14.140625" style="1697" customWidth="1"/>
    <col min="8197" max="8197" width="15.42578125" style="1697" customWidth="1"/>
    <col min="8198" max="8198" width="15.28515625" style="1697" customWidth="1"/>
    <col min="8199" max="8199" width="14.85546875" style="1697" customWidth="1"/>
    <col min="8200" max="8200" width="24" style="1697" customWidth="1"/>
    <col min="8201" max="8201" width="0.28515625" style="1697" customWidth="1"/>
    <col min="8202" max="8202" width="20.42578125" style="1697" customWidth="1"/>
    <col min="8203" max="8450" width="8.85546875" style="1697"/>
    <col min="8451" max="8451" width="15.85546875" style="1697" customWidth="1"/>
    <col min="8452" max="8452" width="14.140625" style="1697" customWidth="1"/>
    <col min="8453" max="8453" width="15.42578125" style="1697" customWidth="1"/>
    <col min="8454" max="8454" width="15.28515625" style="1697" customWidth="1"/>
    <col min="8455" max="8455" width="14.85546875" style="1697" customWidth="1"/>
    <col min="8456" max="8456" width="24" style="1697" customWidth="1"/>
    <col min="8457" max="8457" width="0.28515625" style="1697" customWidth="1"/>
    <col min="8458" max="8458" width="20.42578125" style="1697" customWidth="1"/>
    <col min="8459" max="8706" width="8.85546875" style="1697"/>
    <col min="8707" max="8707" width="15.85546875" style="1697" customWidth="1"/>
    <col min="8708" max="8708" width="14.140625" style="1697" customWidth="1"/>
    <col min="8709" max="8709" width="15.42578125" style="1697" customWidth="1"/>
    <col min="8710" max="8710" width="15.28515625" style="1697" customWidth="1"/>
    <col min="8711" max="8711" width="14.85546875" style="1697" customWidth="1"/>
    <col min="8712" max="8712" width="24" style="1697" customWidth="1"/>
    <col min="8713" max="8713" width="0.28515625" style="1697" customWidth="1"/>
    <col min="8714" max="8714" width="20.42578125" style="1697" customWidth="1"/>
    <col min="8715" max="8962" width="8.85546875" style="1697"/>
    <col min="8963" max="8963" width="15.85546875" style="1697" customWidth="1"/>
    <col min="8964" max="8964" width="14.140625" style="1697" customWidth="1"/>
    <col min="8965" max="8965" width="15.42578125" style="1697" customWidth="1"/>
    <col min="8966" max="8966" width="15.28515625" style="1697" customWidth="1"/>
    <col min="8967" max="8967" width="14.85546875" style="1697" customWidth="1"/>
    <col min="8968" max="8968" width="24" style="1697" customWidth="1"/>
    <col min="8969" max="8969" width="0.28515625" style="1697" customWidth="1"/>
    <col min="8970" max="8970" width="20.42578125" style="1697" customWidth="1"/>
    <col min="8971" max="9218" width="8.85546875" style="1697"/>
    <col min="9219" max="9219" width="15.85546875" style="1697" customWidth="1"/>
    <col min="9220" max="9220" width="14.140625" style="1697" customWidth="1"/>
    <col min="9221" max="9221" width="15.42578125" style="1697" customWidth="1"/>
    <col min="9222" max="9222" width="15.28515625" style="1697" customWidth="1"/>
    <col min="9223" max="9223" width="14.85546875" style="1697" customWidth="1"/>
    <col min="9224" max="9224" width="24" style="1697" customWidth="1"/>
    <col min="9225" max="9225" width="0.28515625" style="1697" customWidth="1"/>
    <col min="9226" max="9226" width="20.42578125" style="1697" customWidth="1"/>
    <col min="9227" max="9474" width="8.85546875" style="1697"/>
    <col min="9475" max="9475" width="15.85546875" style="1697" customWidth="1"/>
    <col min="9476" max="9476" width="14.140625" style="1697" customWidth="1"/>
    <col min="9477" max="9477" width="15.42578125" style="1697" customWidth="1"/>
    <col min="9478" max="9478" width="15.28515625" style="1697" customWidth="1"/>
    <col min="9479" max="9479" width="14.85546875" style="1697" customWidth="1"/>
    <col min="9480" max="9480" width="24" style="1697" customWidth="1"/>
    <col min="9481" max="9481" width="0.28515625" style="1697" customWidth="1"/>
    <col min="9482" max="9482" width="20.42578125" style="1697" customWidth="1"/>
    <col min="9483" max="9730" width="8.85546875" style="1697"/>
    <col min="9731" max="9731" width="15.85546875" style="1697" customWidth="1"/>
    <col min="9732" max="9732" width="14.140625" style="1697" customWidth="1"/>
    <col min="9733" max="9733" width="15.42578125" style="1697" customWidth="1"/>
    <col min="9734" max="9734" width="15.28515625" style="1697" customWidth="1"/>
    <col min="9735" max="9735" width="14.85546875" style="1697" customWidth="1"/>
    <col min="9736" max="9736" width="24" style="1697" customWidth="1"/>
    <col min="9737" max="9737" width="0.28515625" style="1697" customWidth="1"/>
    <col min="9738" max="9738" width="20.42578125" style="1697" customWidth="1"/>
    <col min="9739" max="9986" width="8.85546875" style="1697"/>
    <col min="9987" max="9987" width="15.85546875" style="1697" customWidth="1"/>
    <col min="9988" max="9988" width="14.140625" style="1697" customWidth="1"/>
    <col min="9989" max="9989" width="15.42578125" style="1697" customWidth="1"/>
    <col min="9990" max="9990" width="15.28515625" style="1697" customWidth="1"/>
    <col min="9991" max="9991" width="14.85546875" style="1697" customWidth="1"/>
    <col min="9992" max="9992" width="24" style="1697" customWidth="1"/>
    <col min="9993" max="9993" width="0.28515625" style="1697" customWidth="1"/>
    <col min="9994" max="9994" width="20.42578125" style="1697" customWidth="1"/>
    <col min="9995" max="10242" width="8.85546875" style="1697"/>
    <col min="10243" max="10243" width="15.85546875" style="1697" customWidth="1"/>
    <col min="10244" max="10244" width="14.140625" style="1697" customWidth="1"/>
    <col min="10245" max="10245" width="15.42578125" style="1697" customWidth="1"/>
    <col min="10246" max="10246" width="15.28515625" style="1697" customWidth="1"/>
    <col min="10247" max="10247" width="14.85546875" style="1697" customWidth="1"/>
    <col min="10248" max="10248" width="24" style="1697" customWidth="1"/>
    <col min="10249" max="10249" width="0.28515625" style="1697" customWidth="1"/>
    <col min="10250" max="10250" width="20.42578125" style="1697" customWidth="1"/>
    <col min="10251" max="10498" width="8.85546875" style="1697"/>
    <col min="10499" max="10499" width="15.85546875" style="1697" customWidth="1"/>
    <col min="10500" max="10500" width="14.140625" style="1697" customWidth="1"/>
    <col min="10501" max="10501" width="15.42578125" style="1697" customWidth="1"/>
    <col min="10502" max="10502" width="15.28515625" style="1697" customWidth="1"/>
    <col min="10503" max="10503" width="14.85546875" style="1697" customWidth="1"/>
    <col min="10504" max="10504" width="24" style="1697" customWidth="1"/>
    <col min="10505" max="10505" width="0.28515625" style="1697" customWidth="1"/>
    <col min="10506" max="10506" width="20.42578125" style="1697" customWidth="1"/>
    <col min="10507" max="10754" width="8.85546875" style="1697"/>
    <col min="10755" max="10755" width="15.85546875" style="1697" customWidth="1"/>
    <col min="10756" max="10756" width="14.140625" style="1697" customWidth="1"/>
    <col min="10757" max="10757" width="15.42578125" style="1697" customWidth="1"/>
    <col min="10758" max="10758" width="15.28515625" style="1697" customWidth="1"/>
    <col min="10759" max="10759" width="14.85546875" style="1697" customWidth="1"/>
    <col min="10760" max="10760" width="24" style="1697" customWidth="1"/>
    <col min="10761" max="10761" width="0.28515625" style="1697" customWidth="1"/>
    <col min="10762" max="10762" width="20.42578125" style="1697" customWidth="1"/>
    <col min="10763" max="11010" width="8.85546875" style="1697"/>
    <col min="11011" max="11011" width="15.85546875" style="1697" customWidth="1"/>
    <col min="11012" max="11012" width="14.140625" style="1697" customWidth="1"/>
    <col min="11013" max="11013" width="15.42578125" style="1697" customWidth="1"/>
    <col min="11014" max="11014" width="15.28515625" style="1697" customWidth="1"/>
    <col min="11015" max="11015" width="14.85546875" style="1697" customWidth="1"/>
    <col min="11016" max="11016" width="24" style="1697" customWidth="1"/>
    <col min="11017" max="11017" width="0.28515625" style="1697" customWidth="1"/>
    <col min="11018" max="11018" width="20.42578125" style="1697" customWidth="1"/>
    <col min="11019" max="11266" width="8.85546875" style="1697"/>
    <col min="11267" max="11267" width="15.85546875" style="1697" customWidth="1"/>
    <col min="11268" max="11268" width="14.140625" style="1697" customWidth="1"/>
    <col min="11269" max="11269" width="15.42578125" style="1697" customWidth="1"/>
    <col min="11270" max="11270" width="15.28515625" style="1697" customWidth="1"/>
    <col min="11271" max="11271" width="14.85546875" style="1697" customWidth="1"/>
    <col min="11272" max="11272" width="24" style="1697" customWidth="1"/>
    <col min="11273" max="11273" width="0.28515625" style="1697" customWidth="1"/>
    <col min="11274" max="11274" width="20.42578125" style="1697" customWidth="1"/>
    <col min="11275" max="11522" width="8.85546875" style="1697"/>
    <col min="11523" max="11523" width="15.85546875" style="1697" customWidth="1"/>
    <col min="11524" max="11524" width="14.140625" style="1697" customWidth="1"/>
    <col min="11525" max="11525" width="15.42578125" style="1697" customWidth="1"/>
    <col min="11526" max="11526" width="15.28515625" style="1697" customWidth="1"/>
    <col min="11527" max="11527" width="14.85546875" style="1697" customWidth="1"/>
    <col min="11528" max="11528" width="24" style="1697" customWidth="1"/>
    <col min="11529" max="11529" width="0.28515625" style="1697" customWidth="1"/>
    <col min="11530" max="11530" width="20.42578125" style="1697" customWidth="1"/>
    <col min="11531" max="11778" width="8.85546875" style="1697"/>
    <col min="11779" max="11779" width="15.85546875" style="1697" customWidth="1"/>
    <col min="11780" max="11780" width="14.140625" style="1697" customWidth="1"/>
    <col min="11781" max="11781" width="15.42578125" style="1697" customWidth="1"/>
    <col min="11782" max="11782" width="15.28515625" style="1697" customWidth="1"/>
    <col min="11783" max="11783" width="14.85546875" style="1697" customWidth="1"/>
    <col min="11784" max="11784" width="24" style="1697" customWidth="1"/>
    <col min="11785" max="11785" width="0.28515625" style="1697" customWidth="1"/>
    <col min="11786" max="11786" width="20.42578125" style="1697" customWidth="1"/>
    <col min="11787" max="12034" width="8.85546875" style="1697"/>
    <col min="12035" max="12035" width="15.85546875" style="1697" customWidth="1"/>
    <col min="12036" max="12036" width="14.140625" style="1697" customWidth="1"/>
    <col min="12037" max="12037" width="15.42578125" style="1697" customWidth="1"/>
    <col min="12038" max="12038" width="15.28515625" style="1697" customWidth="1"/>
    <col min="12039" max="12039" width="14.85546875" style="1697" customWidth="1"/>
    <col min="12040" max="12040" width="24" style="1697" customWidth="1"/>
    <col min="12041" max="12041" width="0.28515625" style="1697" customWidth="1"/>
    <col min="12042" max="12042" width="20.42578125" style="1697" customWidth="1"/>
    <col min="12043" max="12290" width="8.85546875" style="1697"/>
    <col min="12291" max="12291" width="15.85546875" style="1697" customWidth="1"/>
    <col min="12292" max="12292" width="14.140625" style="1697" customWidth="1"/>
    <col min="12293" max="12293" width="15.42578125" style="1697" customWidth="1"/>
    <col min="12294" max="12294" width="15.28515625" style="1697" customWidth="1"/>
    <col min="12295" max="12295" width="14.85546875" style="1697" customWidth="1"/>
    <col min="12296" max="12296" width="24" style="1697" customWidth="1"/>
    <col min="12297" max="12297" width="0.28515625" style="1697" customWidth="1"/>
    <col min="12298" max="12298" width="20.42578125" style="1697" customWidth="1"/>
    <col min="12299" max="12546" width="8.85546875" style="1697"/>
    <col min="12547" max="12547" width="15.85546875" style="1697" customWidth="1"/>
    <col min="12548" max="12548" width="14.140625" style="1697" customWidth="1"/>
    <col min="12549" max="12549" width="15.42578125" style="1697" customWidth="1"/>
    <col min="12550" max="12550" width="15.28515625" style="1697" customWidth="1"/>
    <col min="12551" max="12551" width="14.85546875" style="1697" customWidth="1"/>
    <col min="12552" max="12552" width="24" style="1697" customWidth="1"/>
    <col min="12553" max="12553" width="0.28515625" style="1697" customWidth="1"/>
    <col min="12554" max="12554" width="20.42578125" style="1697" customWidth="1"/>
    <col min="12555" max="12802" width="8.85546875" style="1697"/>
    <col min="12803" max="12803" width="15.85546875" style="1697" customWidth="1"/>
    <col min="12804" max="12804" width="14.140625" style="1697" customWidth="1"/>
    <col min="12805" max="12805" width="15.42578125" style="1697" customWidth="1"/>
    <col min="12806" max="12806" width="15.28515625" style="1697" customWidth="1"/>
    <col min="12807" max="12807" width="14.85546875" style="1697" customWidth="1"/>
    <col min="12808" max="12808" width="24" style="1697" customWidth="1"/>
    <col min="12809" max="12809" width="0.28515625" style="1697" customWidth="1"/>
    <col min="12810" max="12810" width="20.42578125" style="1697" customWidth="1"/>
    <col min="12811" max="13058" width="8.85546875" style="1697"/>
    <col min="13059" max="13059" width="15.85546875" style="1697" customWidth="1"/>
    <col min="13060" max="13060" width="14.140625" style="1697" customWidth="1"/>
    <col min="13061" max="13061" width="15.42578125" style="1697" customWidth="1"/>
    <col min="13062" max="13062" width="15.28515625" style="1697" customWidth="1"/>
    <col min="13063" max="13063" width="14.85546875" style="1697" customWidth="1"/>
    <col min="13064" max="13064" width="24" style="1697" customWidth="1"/>
    <col min="13065" max="13065" width="0.28515625" style="1697" customWidth="1"/>
    <col min="13066" max="13066" width="20.42578125" style="1697" customWidth="1"/>
    <col min="13067" max="13314" width="8.85546875" style="1697"/>
    <col min="13315" max="13315" width="15.85546875" style="1697" customWidth="1"/>
    <col min="13316" max="13316" width="14.140625" style="1697" customWidth="1"/>
    <col min="13317" max="13317" width="15.42578125" style="1697" customWidth="1"/>
    <col min="13318" max="13318" width="15.28515625" style="1697" customWidth="1"/>
    <col min="13319" max="13319" width="14.85546875" style="1697" customWidth="1"/>
    <col min="13320" max="13320" width="24" style="1697" customWidth="1"/>
    <col min="13321" max="13321" width="0.28515625" style="1697" customWidth="1"/>
    <col min="13322" max="13322" width="20.42578125" style="1697" customWidth="1"/>
    <col min="13323" max="13570" width="8.85546875" style="1697"/>
    <col min="13571" max="13571" width="15.85546875" style="1697" customWidth="1"/>
    <col min="13572" max="13572" width="14.140625" style="1697" customWidth="1"/>
    <col min="13573" max="13573" width="15.42578125" style="1697" customWidth="1"/>
    <col min="13574" max="13574" width="15.28515625" style="1697" customWidth="1"/>
    <col min="13575" max="13575" width="14.85546875" style="1697" customWidth="1"/>
    <col min="13576" max="13576" width="24" style="1697" customWidth="1"/>
    <col min="13577" max="13577" width="0.28515625" style="1697" customWidth="1"/>
    <col min="13578" max="13578" width="20.42578125" style="1697" customWidth="1"/>
    <col min="13579" max="13826" width="8.85546875" style="1697"/>
    <col min="13827" max="13827" width="15.85546875" style="1697" customWidth="1"/>
    <col min="13828" max="13828" width="14.140625" style="1697" customWidth="1"/>
    <col min="13829" max="13829" width="15.42578125" style="1697" customWidth="1"/>
    <col min="13830" max="13830" width="15.28515625" style="1697" customWidth="1"/>
    <col min="13831" max="13831" width="14.85546875" style="1697" customWidth="1"/>
    <col min="13832" max="13832" width="24" style="1697" customWidth="1"/>
    <col min="13833" max="13833" width="0.28515625" style="1697" customWidth="1"/>
    <col min="13834" max="13834" width="20.42578125" style="1697" customWidth="1"/>
    <col min="13835" max="14082" width="8.85546875" style="1697"/>
    <col min="14083" max="14083" width="15.85546875" style="1697" customWidth="1"/>
    <col min="14084" max="14084" width="14.140625" style="1697" customWidth="1"/>
    <col min="14085" max="14085" width="15.42578125" style="1697" customWidth="1"/>
    <col min="14086" max="14086" width="15.28515625" style="1697" customWidth="1"/>
    <col min="14087" max="14087" width="14.85546875" style="1697" customWidth="1"/>
    <col min="14088" max="14088" width="24" style="1697" customWidth="1"/>
    <col min="14089" max="14089" width="0.28515625" style="1697" customWidth="1"/>
    <col min="14090" max="14090" width="20.42578125" style="1697" customWidth="1"/>
    <col min="14091" max="14338" width="8.85546875" style="1697"/>
    <col min="14339" max="14339" width="15.85546875" style="1697" customWidth="1"/>
    <col min="14340" max="14340" width="14.140625" style="1697" customWidth="1"/>
    <col min="14341" max="14341" width="15.42578125" style="1697" customWidth="1"/>
    <col min="14342" max="14342" width="15.28515625" style="1697" customWidth="1"/>
    <col min="14343" max="14343" width="14.85546875" style="1697" customWidth="1"/>
    <col min="14344" max="14344" width="24" style="1697" customWidth="1"/>
    <col min="14345" max="14345" width="0.28515625" style="1697" customWidth="1"/>
    <col min="14346" max="14346" width="20.42578125" style="1697" customWidth="1"/>
    <col min="14347" max="14594" width="8.85546875" style="1697"/>
    <col min="14595" max="14595" width="15.85546875" style="1697" customWidth="1"/>
    <col min="14596" max="14596" width="14.140625" style="1697" customWidth="1"/>
    <col min="14597" max="14597" width="15.42578125" style="1697" customWidth="1"/>
    <col min="14598" max="14598" width="15.28515625" style="1697" customWidth="1"/>
    <col min="14599" max="14599" width="14.85546875" style="1697" customWidth="1"/>
    <col min="14600" max="14600" width="24" style="1697" customWidth="1"/>
    <col min="14601" max="14601" width="0.28515625" style="1697" customWidth="1"/>
    <col min="14602" max="14602" width="20.42578125" style="1697" customWidth="1"/>
    <col min="14603" max="14850" width="8.85546875" style="1697"/>
    <col min="14851" max="14851" width="15.85546875" style="1697" customWidth="1"/>
    <col min="14852" max="14852" width="14.140625" style="1697" customWidth="1"/>
    <col min="14853" max="14853" width="15.42578125" style="1697" customWidth="1"/>
    <col min="14854" max="14854" width="15.28515625" style="1697" customWidth="1"/>
    <col min="14855" max="14855" width="14.85546875" style="1697" customWidth="1"/>
    <col min="14856" max="14856" width="24" style="1697" customWidth="1"/>
    <col min="14857" max="14857" width="0.28515625" style="1697" customWidth="1"/>
    <col min="14858" max="14858" width="20.42578125" style="1697" customWidth="1"/>
    <col min="14859" max="15106" width="8.85546875" style="1697"/>
    <col min="15107" max="15107" width="15.85546875" style="1697" customWidth="1"/>
    <col min="15108" max="15108" width="14.140625" style="1697" customWidth="1"/>
    <col min="15109" max="15109" width="15.42578125" style="1697" customWidth="1"/>
    <col min="15110" max="15110" width="15.28515625" style="1697" customWidth="1"/>
    <col min="15111" max="15111" width="14.85546875" style="1697" customWidth="1"/>
    <col min="15112" max="15112" width="24" style="1697" customWidth="1"/>
    <col min="15113" max="15113" width="0.28515625" style="1697" customWidth="1"/>
    <col min="15114" max="15114" width="20.42578125" style="1697" customWidth="1"/>
    <col min="15115" max="15362" width="8.85546875" style="1697"/>
    <col min="15363" max="15363" width="15.85546875" style="1697" customWidth="1"/>
    <col min="15364" max="15364" width="14.140625" style="1697" customWidth="1"/>
    <col min="15365" max="15365" width="15.42578125" style="1697" customWidth="1"/>
    <col min="15366" max="15366" width="15.28515625" style="1697" customWidth="1"/>
    <col min="15367" max="15367" width="14.85546875" style="1697" customWidth="1"/>
    <col min="15368" max="15368" width="24" style="1697" customWidth="1"/>
    <col min="15369" max="15369" width="0.28515625" style="1697" customWidth="1"/>
    <col min="15370" max="15370" width="20.42578125" style="1697" customWidth="1"/>
    <col min="15371" max="15618" width="8.85546875" style="1697"/>
    <col min="15619" max="15619" width="15.85546875" style="1697" customWidth="1"/>
    <col min="15620" max="15620" width="14.140625" style="1697" customWidth="1"/>
    <col min="15621" max="15621" width="15.42578125" style="1697" customWidth="1"/>
    <col min="15622" max="15622" width="15.28515625" style="1697" customWidth="1"/>
    <col min="15623" max="15623" width="14.85546875" style="1697" customWidth="1"/>
    <col min="15624" max="15624" width="24" style="1697" customWidth="1"/>
    <col min="15625" max="15625" width="0.28515625" style="1697" customWidth="1"/>
    <col min="15626" max="15626" width="20.42578125" style="1697" customWidth="1"/>
    <col min="15627" max="15874" width="8.85546875" style="1697"/>
    <col min="15875" max="15875" width="15.85546875" style="1697" customWidth="1"/>
    <col min="15876" max="15876" width="14.140625" style="1697" customWidth="1"/>
    <col min="15877" max="15877" width="15.42578125" style="1697" customWidth="1"/>
    <col min="15878" max="15878" width="15.28515625" style="1697" customWidth="1"/>
    <col min="15879" max="15879" width="14.85546875" style="1697" customWidth="1"/>
    <col min="15880" max="15880" width="24" style="1697" customWidth="1"/>
    <col min="15881" max="15881" width="0.28515625" style="1697" customWidth="1"/>
    <col min="15882" max="15882" width="20.42578125" style="1697" customWidth="1"/>
    <col min="15883" max="16130" width="8.85546875" style="1697"/>
    <col min="16131" max="16131" width="15.85546875" style="1697" customWidth="1"/>
    <col min="16132" max="16132" width="14.140625" style="1697" customWidth="1"/>
    <col min="16133" max="16133" width="15.42578125" style="1697" customWidth="1"/>
    <col min="16134" max="16134" width="15.28515625" style="1697" customWidth="1"/>
    <col min="16135" max="16135" width="14.85546875" style="1697" customWidth="1"/>
    <col min="16136" max="16136" width="24" style="1697" customWidth="1"/>
    <col min="16137" max="16137" width="0.28515625" style="1697" customWidth="1"/>
    <col min="16138" max="16138" width="20.42578125" style="1697" customWidth="1"/>
    <col min="16139" max="16384" width="8.85546875" style="1697"/>
  </cols>
  <sheetData>
    <row r="1" spans="1:9" ht="41.25" customHeight="1" x14ac:dyDescent="0.3">
      <c r="A1" s="4524" t="s">
        <v>842</v>
      </c>
      <c r="B1" s="4524"/>
      <c r="C1" s="4524"/>
      <c r="D1" s="1888"/>
      <c r="E1" s="1888"/>
      <c r="F1" s="4524" t="s">
        <v>2594</v>
      </c>
      <c r="G1" s="4524"/>
    </row>
    <row r="2" spans="1:9" ht="55.5" customHeight="1" x14ac:dyDescent="0.3">
      <c r="A2" s="4525" t="s">
        <v>3143</v>
      </c>
      <c r="B2" s="4525"/>
      <c r="C2" s="4525"/>
      <c r="D2" s="4525"/>
      <c r="E2" s="4525"/>
      <c r="F2" s="4525"/>
      <c r="G2" s="4525"/>
      <c r="H2" s="1889"/>
      <c r="I2" s="1889"/>
    </row>
    <row r="3" spans="1:9" ht="54" customHeight="1" x14ac:dyDescent="0.3">
      <c r="A3" s="4526" t="str">
        <f>'B56'!A4:R4</f>
        <v>(Kèm theo Quyết định số         /QĐ-UBND ngày      tháng 4 năm 2026 của UBND xã Phong Quang)</v>
      </c>
      <c r="B3" s="4526"/>
      <c r="C3" s="4526"/>
      <c r="D3" s="4526"/>
      <c r="E3" s="4526"/>
      <c r="F3" s="4526"/>
      <c r="G3" s="4526"/>
      <c r="H3" s="1890"/>
      <c r="I3" s="1698"/>
    </row>
    <row r="4" spans="1:9" x14ac:dyDescent="0.3">
      <c r="B4" s="1699"/>
      <c r="C4" s="1699"/>
      <c r="D4" s="1699"/>
      <c r="E4" s="1699"/>
      <c r="F4" s="4526" t="s">
        <v>2584</v>
      </c>
      <c r="G4" s="4526"/>
    </row>
    <row r="5" spans="1:9" x14ac:dyDescent="0.3">
      <c r="B5" s="1699"/>
      <c r="C5" s="1699"/>
      <c r="D5" s="1699"/>
      <c r="E5" s="1699"/>
      <c r="F5" s="1699"/>
      <c r="G5" s="1699"/>
      <c r="H5" s="1886"/>
      <c r="I5" s="1886"/>
    </row>
    <row r="6" spans="1:9" s="1893" customFormat="1" ht="28.5" customHeight="1" x14ac:dyDescent="0.3">
      <c r="A6" s="1894"/>
      <c r="B6" s="1895" t="s">
        <v>494</v>
      </c>
      <c r="C6" s="1896" t="s">
        <v>502</v>
      </c>
      <c r="D6" s="1896" t="s">
        <v>503</v>
      </c>
      <c r="E6" s="1896" t="s">
        <v>495</v>
      </c>
      <c r="F6" s="1896" t="s">
        <v>2779</v>
      </c>
      <c r="G6" s="1896" t="s">
        <v>2778</v>
      </c>
      <c r="H6" s="1892"/>
    </row>
    <row r="7" spans="1:9" s="1893" customFormat="1" ht="38.25" customHeight="1" x14ac:dyDescent="0.3">
      <c r="A7" s="1891"/>
      <c r="B7" s="4523" t="s">
        <v>1580</v>
      </c>
      <c r="C7" s="4523"/>
      <c r="D7" s="4523"/>
      <c r="E7" s="4523"/>
      <c r="F7" s="4523"/>
      <c r="G7" s="1897">
        <v>564411204085</v>
      </c>
      <c r="H7" s="1892"/>
    </row>
    <row r="8" spans="1:9" s="1893" customFormat="1" ht="23.25" customHeight="1" x14ac:dyDescent="0.3">
      <c r="A8" s="1891" t="s">
        <v>3114</v>
      </c>
      <c r="B8" s="1898" t="s">
        <v>1141</v>
      </c>
      <c r="C8" s="1898" t="s">
        <v>1846</v>
      </c>
      <c r="D8" s="1898" t="s">
        <v>1847</v>
      </c>
      <c r="E8" s="1898" t="s">
        <v>1848</v>
      </c>
      <c r="F8" s="1898" t="s">
        <v>1849</v>
      </c>
      <c r="G8" s="1899">
        <v>1069023971</v>
      </c>
      <c r="H8" s="1892"/>
    </row>
    <row r="9" spans="1:9" s="1893" customFormat="1" ht="23.25" customHeight="1" x14ac:dyDescent="0.3">
      <c r="A9" s="1891" t="s">
        <v>3114</v>
      </c>
      <c r="B9" s="1898" t="s">
        <v>1141</v>
      </c>
      <c r="C9" s="1898" t="s">
        <v>1846</v>
      </c>
      <c r="D9" s="1898" t="s">
        <v>1847</v>
      </c>
      <c r="E9" s="1898" t="s">
        <v>1851</v>
      </c>
      <c r="F9" s="1898" t="s">
        <v>1852</v>
      </c>
      <c r="G9" s="1899">
        <v>332243213</v>
      </c>
      <c r="H9" s="1892"/>
    </row>
    <row r="10" spans="1:9" s="1893" customFormat="1" ht="23.25" customHeight="1" x14ac:dyDescent="0.3">
      <c r="A10" s="1891" t="s">
        <v>3114</v>
      </c>
      <c r="B10" s="1898" t="s">
        <v>1141</v>
      </c>
      <c r="C10" s="1898" t="s">
        <v>1846</v>
      </c>
      <c r="D10" s="1898" t="s">
        <v>1847</v>
      </c>
      <c r="E10" s="1898" t="s">
        <v>1853</v>
      </c>
      <c r="F10" s="1898" t="s">
        <v>1854</v>
      </c>
      <c r="G10" s="1899">
        <v>60479845</v>
      </c>
      <c r="H10" s="1892"/>
    </row>
    <row r="11" spans="1:9" s="1893" customFormat="1" ht="23.25" customHeight="1" x14ac:dyDescent="0.3">
      <c r="A11" s="1891" t="s">
        <v>3114</v>
      </c>
      <c r="B11" s="1898" t="s">
        <v>1141</v>
      </c>
      <c r="C11" s="1898" t="s">
        <v>1846</v>
      </c>
      <c r="D11" s="1898" t="s">
        <v>1847</v>
      </c>
      <c r="E11" s="1898" t="s">
        <v>1853</v>
      </c>
      <c r="F11" s="1898" t="s">
        <v>1855</v>
      </c>
      <c r="G11" s="1899">
        <v>146765000</v>
      </c>
      <c r="H11" s="1892"/>
    </row>
    <row r="12" spans="1:9" s="1893" customFormat="1" ht="23.25" customHeight="1" x14ac:dyDescent="0.3">
      <c r="A12" s="1891" t="s">
        <v>3114</v>
      </c>
      <c r="B12" s="1898" t="s">
        <v>1141</v>
      </c>
      <c r="C12" s="1898" t="s">
        <v>1846</v>
      </c>
      <c r="D12" s="1898" t="s">
        <v>1847</v>
      </c>
      <c r="E12" s="1898" t="s">
        <v>1853</v>
      </c>
      <c r="F12" s="1898" t="s">
        <v>1856</v>
      </c>
      <c r="G12" s="1899">
        <v>142741448</v>
      </c>
      <c r="H12" s="1892"/>
    </row>
    <row r="13" spans="1:9" s="1893" customFormat="1" ht="23.25" customHeight="1" x14ac:dyDescent="0.3">
      <c r="A13" s="1891" t="s">
        <v>3114</v>
      </c>
      <c r="B13" s="1898" t="s">
        <v>1141</v>
      </c>
      <c r="C13" s="1898" t="s">
        <v>1846</v>
      </c>
      <c r="D13" s="1898" t="s">
        <v>1847</v>
      </c>
      <c r="E13" s="1898" t="s">
        <v>1853</v>
      </c>
      <c r="F13" s="1898" t="s">
        <v>1857</v>
      </c>
      <c r="G13" s="1899">
        <v>203832000</v>
      </c>
      <c r="H13" s="1892"/>
    </row>
    <row r="14" spans="1:9" s="1893" customFormat="1" ht="23.25" customHeight="1" x14ac:dyDescent="0.3">
      <c r="A14" s="1891" t="s">
        <v>3114</v>
      </c>
      <c r="B14" s="1898" t="s">
        <v>1141</v>
      </c>
      <c r="C14" s="1898" t="s">
        <v>1846</v>
      </c>
      <c r="D14" s="1898" t="s">
        <v>1847</v>
      </c>
      <c r="E14" s="1898" t="s">
        <v>1853</v>
      </c>
      <c r="F14" s="1898" t="s">
        <v>1858</v>
      </c>
      <c r="G14" s="1899">
        <v>7152000</v>
      </c>
      <c r="H14" s="1892"/>
    </row>
    <row r="15" spans="1:9" s="1893" customFormat="1" ht="23.25" customHeight="1" x14ac:dyDescent="0.3">
      <c r="A15" s="1891" t="s">
        <v>3114</v>
      </c>
      <c r="B15" s="1898" t="s">
        <v>1141</v>
      </c>
      <c r="C15" s="1898" t="s">
        <v>1846</v>
      </c>
      <c r="D15" s="1898" t="s">
        <v>1847</v>
      </c>
      <c r="E15" s="1898" t="s">
        <v>1853</v>
      </c>
      <c r="F15" s="1898" t="s">
        <v>1929</v>
      </c>
      <c r="G15" s="1899">
        <v>1320836</v>
      </c>
      <c r="H15" s="1892"/>
    </row>
    <row r="16" spans="1:9" s="1893" customFormat="1" ht="23.25" customHeight="1" x14ac:dyDescent="0.3">
      <c r="A16" s="1891" t="s">
        <v>3114</v>
      </c>
      <c r="B16" s="1898" t="s">
        <v>1141</v>
      </c>
      <c r="C16" s="1898" t="s">
        <v>1846</v>
      </c>
      <c r="D16" s="1898" t="s">
        <v>1847</v>
      </c>
      <c r="E16" s="1898" t="s">
        <v>1853</v>
      </c>
      <c r="F16" s="1898" t="s">
        <v>1859</v>
      </c>
      <c r="G16" s="1899">
        <v>286140956</v>
      </c>
      <c r="H16" s="1892"/>
    </row>
    <row r="17" spans="1:8" s="1893" customFormat="1" ht="23.25" customHeight="1" x14ac:dyDescent="0.3">
      <c r="A17" s="1891" t="s">
        <v>3114</v>
      </c>
      <c r="B17" s="1898" t="s">
        <v>1141</v>
      </c>
      <c r="C17" s="1898" t="s">
        <v>1846</v>
      </c>
      <c r="D17" s="1898" t="s">
        <v>1847</v>
      </c>
      <c r="E17" s="1898" t="s">
        <v>1860</v>
      </c>
      <c r="F17" s="1898" t="s">
        <v>1861</v>
      </c>
      <c r="G17" s="1899">
        <v>26400000</v>
      </c>
      <c r="H17" s="1892"/>
    </row>
    <row r="18" spans="1:8" s="1893" customFormat="1" ht="23.25" customHeight="1" x14ac:dyDescent="0.3">
      <c r="A18" s="1891" t="s">
        <v>3114</v>
      </c>
      <c r="B18" s="1898" t="s">
        <v>1141</v>
      </c>
      <c r="C18" s="1898" t="s">
        <v>1846</v>
      </c>
      <c r="D18" s="1898" t="s">
        <v>1847</v>
      </c>
      <c r="E18" s="1898" t="s">
        <v>1862</v>
      </c>
      <c r="F18" s="1898" t="s">
        <v>1863</v>
      </c>
      <c r="G18" s="1899">
        <v>256127104</v>
      </c>
      <c r="H18" s="1892"/>
    </row>
    <row r="19" spans="1:8" s="1893" customFormat="1" ht="23.25" customHeight="1" x14ac:dyDescent="0.3">
      <c r="A19" s="1891" t="s">
        <v>3114</v>
      </c>
      <c r="B19" s="1898" t="s">
        <v>1141</v>
      </c>
      <c r="C19" s="1898" t="s">
        <v>1846</v>
      </c>
      <c r="D19" s="1898" t="s">
        <v>1847</v>
      </c>
      <c r="E19" s="1898" t="s">
        <v>1862</v>
      </c>
      <c r="F19" s="1898" t="s">
        <v>1864</v>
      </c>
      <c r="G19" s="1899">
        <v>43907503</v>
      </c>
      <c r="H19" s="1892"/>
    </row>
    <row r="20" spans="1:8" s="1893" customFormat="1" ht="23.25" customHeight="1" x14ac:dyDescent="0.3">
      <c r="A20" s="1891" t="s">
        <v>3114</v>
      </c>
      <c r="B20" s="1898" t="s">
        <v>1141</v>
      </c>
      <c r="C20" s="1898" t="s">
        <v>1846</v>
      </c>
      <c r="D20" s="1898" t="s">
        <v>1847</v>
      </c>
      <c r="E20" s="1898" t="s">
        <v>1862</v>
      </c>
      <c r="F20" s="1898" t="s">
        <v>1865</v>
      </c>
      <c r="G20" s="1899">
        <v>29271671</v>
      </c>
      <c r="H20" s="1892"/>
    </row>
    <row r="21" spans="1:8" s="1893" customFormat="1" ht="23.25" customHeight="1" x14ac:dyDescent="0.3">
      <c r="A21" s="1891" t="s">
        <v>3114</v>
      </c>
      <c r="B21" s="1898" t="s">
        <v>1141</v>
      </c>
      <c r="C21" s="1898" t="s">
        <v>1846</v>
      </c>
      <c r="D21" s="1898" t="s">
        <v>1847</v>
      </c>
      <c r="E21" s="1898" t="s">
        <v>1867</v>
      </c>
      <c r="F21" s="1898" t="s">
        <v>1946</v>
      </c>
      <c r="G21" s="1899">
        <v>1240000</v>
      </c>
      <c r="H21" s="1892"/>
    </row>
    <row r="22" spans="1:8" s="1893" customFormat="1" ht="23.25" customHeight="1" x14ac:dyDescent="0.3">
      <c r="A22" s="1891" t="s">
        <v>3114</v>
      </c>
      <c r="B22" s="1898" t="s">
        <v>1141</v>
      </c>
      <c r="C22" s="1898" t="s">
        <v>1846</v>
      </c>
      <c r="D22" s="1898" t="s">
        <v>1847</v>
      </c>
      <c r="E22" s="1898" t="s">
        <v>1867</v>
      </c>
      <c r="F22" s="1898" t="s">
        <v>1868</v>
      </c>
      <c r="G22" s="1899">
        <v>249823000</v>
      </c>
      <c r="H22" s="1892"/>
    </row>
    <row r="23" spans="1:8" s="1893" customFormat="1" ht="23.25" customHeight="1" x14ac:dyDescent="0.3">
      <c r="A23" s="1891" t="s">
        <v>3114</v>
      </c>
      <c r="B23" s="1898" t="s">
        <v>1141</v>
      </c>
      <c r="C23" s="1898" t="s">
        <v>1846</v>
      </c>
      <c r="D23" s="1898" t="s">
        <v>1847</v>
      </c>
      <c r="E23" s="1898" t="s">
        <v>1869</v>
      </c>
      <c r="F23" s="1898" t="s">
        <v>1870</v>
      </c>
      <c r="G23" s="1899">
        <v>47758650</v>
      </c>
      <c r="H23" s="1892"/>
    </row>
    <row r="24" spans="1:8" s="1893" customFormat="1" ht="23.25" customHeight="1" x14ac:dyDescent="0.3">
      <c r="A24" s="1891" t="s">
        <v>3114</v>
      </c>
      <c r="B24" s="1898" t="s">
        <v>1141</v>
      </c>
      <c r="C24" s="1898" t="s">
        <v>1846</v>
      </c>
      <c r="D24" s="1898" t="s">
        <v>1847</v>
      </c>
      <c r="E24" s="1898" t="s">
        <v>1869</v>
      </c>
      <c r="F24" s="1898" t="s">
        <v>1871</v>
      </c>
      <c r="G24" s="1899">
        <v>11874783</v>
      </c>
      <c r="H24" s="1892"/>
    </row>
    <row r="25" spans="1:8" s="1893" customFormat="1" ht="23.25" customHeight="1" x14ac:dyDescent="0.3">
      <c r="A25" s="1891" t="s">
        <v>3114</v>
      </c>
      <c r="B25" s="1898" t="s">
        <v>1141</v>
      </c>
      <c r="C25" s="1898" t="s">
        <v>1846</v>
      </c>
      <c r="D25" s="1898" t="s">
        <v>1847</v>
      </c>
      <c r="E25" s="1898" t="s">
        <v>1869</v>
      </c>
      <c r="F25" s="1898" t="s">
        <v>1872</v>
      </c>
      <c r="G25" s="1899">
        <v>162328569</v>
      </c>
      <c r="H25" s="1892"/>
    </row>
    <row r="26" spans="1:8" s="1893" customFormat="1" ht="23.25" customHeight="1" x14ac:dyDescent="0.3">
      <c r="A26" s="1891" t="s">
        <v>3114</v>
      </c>
      <c r="B26" s="1898" t="s">
        <v>1141</v>
      </c>
      <c r="C26" s="1898" t="s">
        <v>1846</v>
      </c>
      <c r="D26" s="1898" t="s">
        <v>1847</v>
      </c>
      <c r="E26" s="1898" t="s">
        <v>1869</v>
      </c>
      <c r="F26" s="1898" t="s">
        <v>1873</v>
      </c>
      <c r="G26" s="1899">
        <v>1320000</v>
      </c>
      <c r="H26" s="1892"/>
    </row>
    <row r="27" spans="1:8" s="1893" customFormat="1" ht="23.25" customHeight="1" x14ac:dyDescent="0.3">
      <c r="A27" s="1891" t="s">
        <v>3114</v>
      </c>
      <c r="B27" s="1898" t="s">
        <v>1141</v>
      </c>
      <c r="C27" s="1898" t="s">
        <v>1846</v>
      </c>
      <c r="D27" s="1898" t="s">
        <v>1847</v>
      </c>
      <c r="E27" s="1898" t="s">
        <v>1874</v>
      </c>
      <c r="F27" s="1898" t="s">
        <v>1875</v>
      </c>
      <c r="G27" s="1899">
        <v>57430000</v>
      </c>
      <c r="H27" s="1892"/>
    </row>
    <row r="28" spans="1:8" s="1893" customFormat="1" ht="23.25" customHeight="1" x14ac:dyDescent="0.3">
      <c r="A28" s="1891" t="s">
        <v>3114</v>
      </c>
      <c r="B28" s="1898" t="s">
        <v>1141</v>
      </c>
      <c r="C28" s="1898" t="s">
        <v>1846</v>
      </c>
      <c r="D28" s="1898" t="s">
        <v>1847</v>
      </c>
      <c r="E28" s="1898" t="s">
        <v>1874</v>
      </c>
      <c r="F28" s="1898" t="s">
        <v>1876</v>
      </c>
      <c r="G28" s="1899">
        <v>34700000</v>
      </c>
      <c r="H28" s="1892"/>
    </row>
    <row r="29" spans="1:8" s="1893" customFormat="1" ht="23.25" customHeight="1" x14ac:dyDescent="0.3">
      <c r="A29" s="1891" t="s">
        <v>3114</v>
      </c>
      <c r="B29" s="1898" t="s">
        <v>1141</v>
      </c>
      <c r="C29" s="1898" t="s">
        <v>1846</v>
      </c>
      <c r="D29" s="1898" t="s">
        <v>1847</v>
      </c>
      <c r="E29" s="1898" t="s">
        <v>1874</v>
      </c>
      <c r="F29" s="1898" t="s">
        <v>1877</v>
      </c>
      <c r="G29" s="1899">
        <v>70458500</v>
      </c>
      <c r="H29" s="1892"/>
    </row>
    <row r="30" spans="1:8" s="1893" customFormat="1" ht="23.25" customHeight="1" x14ac:dyDescent="0.3">
      <c r="A30" s="1891" t="s">
        <v>3114</v>
      </c>
      <c r="B30" s="1898" t="s">
        <v>1141</v>
      </c>
      <c r="C30" s="1898" t="s">
        <v>1846</v>
      </c>
      <c r="D30" s="1898" t="s">
        <v>1847</v>
      </c>
      <c r="E30" s="1898" t="s">
        <v>1878</v>
      </c>
      <c r="F30" s="1898" t="s">
        <v>1879</v>
      </c>
      <c r="G30" s="1899">
        <v>9440428</v>
      </c>
      <c r="H30" s="1892"/>
    </row>
    <row r="31" spans="1:8" s="1893" customFormat="1" ht="23.25" customHeight="1" x14ac:dyDescent="0.3">
      <c r="A31" s="1891" t="s">
        <v>3114</v>
      </c>
      <c r="B31" s="1898" t="s">
        <v>1141</v>
      </c>
      <c r="C31" s="1898" t="s">
        <v>1846</v>
      </c>
      <c r="D31" s="1898" t="s">
        <v>1847</v>
      </c>
      <c r="E31" s="1898" t="s">
        <v>1878</v>
      </c>
      <c r="F31" s="1898" t="s">
        <v>1880</v>
      </c>
      <c r="G31" s="1899">
        <v>17669590</v>
      </c>
      <c r="H31" s="1892"/>
    </row>
    <row r="32" spans="1:8" s="1893" customFormat="1" ht="23.25" customHeight="1" x14ac:dyDescent="0.3">
      <c r="A32" s="1891" t="s">
        <v>3114</v>
      </c>
      <c r="B32" s="1898" t="s">
        <v>1141</v>
      </c>
      <c r="C32" s="1898" t="s">
        <v>1846</v>
      </c>
      <c r="D32" s="1898" t="s">
        <v>1847</v>
      </c>
      <c r="E32" s="1898" t="s">
        <v>1878</v>
      </c>
      <c r="F32" s="1898" t="s">
        <v>1881</v>
      </c>
      <c r="G32" s="1899">
        <v>41592210</v>
      </c>
      <c r="H32" s="1892"/>
    </row>
    <row r="33" spans="1:8" s="1893" customFormat="1" ht="23.25" customHeight="1" x14ac:dyDescent="0.3">
      <c r="A33" s="1891" t="s">
        <v>3114</v>
      </c>
      <c r="B33" s="1898" t="s">
        <v>1141</v>
      </c>
      <c r="C33" s="1898" t="s">
        <v>1846</v>
      </c>
      <c r="D33" s="1898" t="s">
        <v>1847</v>
      </c>
      <c r="E33" s="1898" t="s">
        <v>1878</v>
      </c>
      <c r="F33" s="1898" t="s">
        <v>1882</v>
      </c>
      <c r="G33" s="1899">
        <v>16310000</v>
      </c>
      <c r="H33" s="1892"/>
    </row>
    <row r="34" spans="1:8" s="1893" customFormat="1" ht="23.25" customHeight="1" x14ac:dyDescent="0.3">
      <c r="A34" s="1891" t="s">
        <v>3114</v>
      </c>
      <c r="B34" s="1898" t="s">
        <v>1141</v>
      </c>
      <c r="C34" s="1898" t="s">
        <v>1846</v>
      </c>
      <c r="D34" s="1898" t="s">
        <v>1847</v>
      </c>
      <c r="E34" s="1898" t="s">
        <v>1878</v>
      </c>
      <c r="F34" s="1898" t="s">
        <v>1883</v>
      </c>
      <c r="G34" s="1899">
        <v>79611500</v>
      </c>
      <c r="H34" s="1892"/>
    </row>
    <row r="35" spans="1:8" s="1893" customFormat="1" ht="23.25" customHeight="1" x14ac:dyDescent="0.3">
      <c r="A35" s="1891" t="s">
        <v>3114</v>
      </c>
      <c r="B35" s="1898" t="s">
        <v>1141</v>
      </c>
      <c r="C35" s="1898" t="s">
        <v>1846</v>
      </c>
      <c r="D35" s="1898" t="s">
        <v>1847</v>
      </c>
      <c r="E35" s="1898" t="s">
        <v>1878</v>
      </c>
      <c r="F35" s="1898" t="s">
        <v>1884</v>
      </c>
      <c r="G35" s="1899">
        <v>6600000</v>
      </c>
      <c r="H35" s="1892"/>
    </row>
    <row r="36" spans="1:8" s="1893" customFormat="1" ht="23.25" customHeight="1" x14ac:dyDescent="0.3">
      <c r="A36" s="1891" t="s">
        <v>3114</v>
      </c>
      <c r="B36" s="1898" t="s">
        <v>1141</v>
      </c>
      <c r="C36" s="1898" t="s">
        <v>1846</v>
      </c>
      <c r="D36" s="1898" t="s">
        <v>1847</v>
      </c>
      <c r="E36" s="1898" t="s">
        <v>1885</v>
      </c>
      <c r="F36" s="1898" t="s">
        <v>1887</v>
      </c>
      <c r="G36" s="1899">
        <v>100775000</v>
      </c>
      <c r="H36" s="1892"/>
    </row>
    <row r="37" spans="1:8" s="1893" customFormat="1" ht="23.25" customHeight="1" x14ac:dyDescent="0.3">
      <c r="A37" s="1891" t="s">
        <v>3114</v>
      </c>
      <c r="B37" s="1898" t="s">
        <v>1141</v>
      </c>
      <c r="C37" s="1898" t="s">
        <v>1846</v>
      </c>
      <c r="D37" s="1898" t="s">
        <v>1847</v>
      </c>
      <c r="E37" s="1898" t="s">
        <v>1885</v>
      </c>
      <c r="F37" s="1898" t="s">
        <v>1888</v>
      </c>
      <c r="G37" s="1899">
        <v>231190000</v>
      </c>
      <c r="H37" s="1892"/>
    </row>
    <row r="38" spans="1:8" s="1893" customFormat="1" ht="23.25" customHeight="1" x14ac:dyDescent="0.3">
      <c r="A38" s="1891" t="s">
        <v>3114</v>
      </c>
      <c r="B38" s="1898" t="s">
        <v>1141</v>
      </c>
      <c r="C38" s="1898" t="s">
        <v>1846</v>
      </c>
      <c r="D38" s="1898" t="s">
        <v>1847</v>
      </c>
      <c r="E38" s="1898" t="s">
        <v>1889</v>
      </c>
      <c r="F38" s="1898" t="s">
        <v>1890</v>
      </c>
      <c r="G38" s="1899">
        <v>8400000</v>
      </c>
      <c r="H38" s="1892"/>
    </row>
    <row r="39" spans="1:8" s="1893" customFormat="1" ht="23.25" customHeight="1" x14ac:dyDescent="0.3">
      <c r="A39" s="1891" t="s">
        <v>3114</v>
      </c>
      <c r="B39" s="1898" t="s">
        <v>1141</v>
      </c>
      <c r="C39" s="1898" t="s">
        <v>1846</v>
      </c>
      <c r="D39" s="1898" t="s">
        <v>1847</v>
      </c>
      <c r="E39" s="1898" t="s">
        <v>1889</v>
      </c>
      <c r="F39" s="1898" t="s">
        <v>1891</v>
      </c>
      <c r="G39" s="1899">
        <v>2900000</v>
      </c>
      <c r="H39" s="1892"/>
    </row>
    <row r="40" spans="1:8" s="1893" customFormat="1" ht="23.25" customHeight="1" x14ac:dyDescent="0.3">
      <c r="A40" s="1891" t="s">
        <v>3114</v>
      </c>
      <c r="B40" s="1898" t="s">
        <v>1141</v>
      </c>
      <c r="C40" s="1898" t="s">
        <v>1846</v>
      </c>
      <c r="D40" s="1898" t="s">
        <v>1847</v>
      </c>
      <c r="E40" s="1898" t="s">
        <v>1889</v>
      </c>
      <c r="F40" s="1898" t="s">
        <v>1892</v>
      </c>
      <c r="G40" s="1899">
        <v>101500000</v>
      </c>
      <c r="H40" s="1892"/>
    </row>
    <row r="41" spans="1:8" s="1893" customFormat="1" ht="23.25" customHeight="1" x14ac:dyDescent="0.3">
      <c r="A41" s="1891" t="s">
        <v>3114</v>
      </c>
      <c r="B41" s="1898" t="s">
        <v>1141</v>
      </c>
      <c r="C41" s="1898" t="s">
        <v>1846</v>
      </c>
      <c r="D41" s="1898" t="s">
        <v>1847</v>
      </c>
      <c r="E41" s="1898" t="s">
        <v>1889</v>
      </c>
      <c r="F41" s="1898" t="s">
        <v>1922</v>
      </c>
      <c r="G41" s="1899">
        <v>579500</v>
      </c>
      <c r="H41" s="1892"/>
    </row>
    <row r="42" spans="1:8" s="1893" customFormat="1" ht="23.25" customHeight="1" x14ac:dyDescent="0.3">
      <c r="A42" s="1891" t="s">
        <v>3114</v>
      </c>
      <c r="B42" s="1898" t="s">
        <v>1141</v>
      </c>
      <c r="C42" s="1898" t="s">
        <v>1846</v>
      </c>
      <c r="D42" s="1898" t="s">
        <v>1847</v>
      </c>
      <c r="E42" s="1898" t="s">
        <v>1893</v>
      </c>
      <c r="F42" s="1898" t="s">
        <v>1894</v>
      </c>
      <c r="G42" s="1899">
        <v>10500000</v>
      </c>
      <c r="H42" s="1892"/>
    </row>
    <row r="43" spans="1:8" s="1893" customFormat="1" ht="23.25" customHeight="1" x14ac:dyDescent="0.3">
      <c r="A43" s="1891" t="s">
        <v>3114</v>
      </c>
      <c r="B43" s="1898" t="s">
        <v>1141</v>
      </c>
      <c r="C43" s="1898" t="s">
        <v>1846</v>
      </c>
      <c r="D43" s="1898" t="s">
        <v>1847</v>
      </c>
      <c r="E43" s="1898" t="s">
        <v>1893</v>
      </c>
      <c r="F43" s="1898" t="s">
        <v>2051</v>
      </c>
      <c r="G43" s="1899">
        <v>62400000</v>
      </c>
      <c r="H43" s="1892"/>
    </row>
    <row r="44" spans="1:8" s="1893" customFormat="1" ht="23.25" customHeight="1" x14ac:dyDescent="0.3">
      <c r="A44" s="1891" t="s">
        <v>3114</v>
      </c>
      <c r="B44" s="1898" t="s">
        <v>1141</v>
      </c>
      <c r="C44" s="1898" t="s">
        <v>1846</v>
      </c>
      <c r="D44" s="1898" t="s">
        <v>1847</v>
      </c>
      <c r="E44" s="1898" t="s">
        <v>1896</v>
      </c>
      <c r="F44" s="1898" t="s">
        <v>1897</v>
      </c>
      <c r="G44" s="1899">
        <v>248060000</v>
      </c>
      <c r="H44" s="1892"/>
    </row>
    <row r="45" spans="1:8" s="1893" customFormat="1" ht="23.25" customHeight="1" x14ac:dyDescent="0.3">
      <c r="A45" s="1891" t="s">
        <v>3114</v>
      </c>
      <c r="B45" s="1898" t="s">
        <v>1141</v>
      </c>
      <c r="C45" s="1898" t="s">
        <v>1846</v>
      </c>
      <c r="D45" s="1898" t="s">
        <v>1847</v>
      </c>
      <c r="E45" s="1898" t="s">
        <v>1896</v>
      </c>
      <c r="F45" s="1898" t="s">
        <v>1899</v>
      </c>
      <c r="G45" s="1899">
        <v>306174900</v>
      </c>
      <c r="H45" s="1892"/>
    </row>
    <row r="46" spans="1:8" s="1893" customFormat="1" ht="23.25" customHeight="1" x14ac:dyDescent="0.3">
      <c r="A46" s="1891" t="s">
        <v>3114</v>
      </c>
      <c r="B46" s="1898" t="s">
        <v>1141</v>
      </c>
      <c r="C46" s="1898" t="s">
        <v>1846</v>
      </c>
      <c r="D46" s="1898" t="s">
        <v>1847</v>
      </c>
      <c r="E46" s="1898" t="s">
        <v>1896</v>
      </c>
      <c r="F46" s="1898" t="s">
        <v>1900</v>
      </c>
      <c r="G46" s="1899">
        <v>149252509</v>
      </c>
      <c r="H46" s="1892"/>
    </row>
    <row r="47" spans="1:8" s="1893" customFormat="1" ht="23.25" customHeight="1" x14ac:dyDescent="0.3">
      <c r="A47" s="1891" t="s">
        <v>3114</v>
      </c>
      <c r="B47" s="1898" t="s">
        <v>1141</v>
      </c>
      <c r="C47" s="1898" t="s">
        <v>1846</v>
      </c>
      <c r="D47" s="1898" t="s">
        <v>1847</v>
      </c>
      <c r="E47" s="1898" t="s">
        <v>1896</v>
      </c>
      <c r="F47" s="1898" t="s">
        <v>1901</v>
      </c>
      <c r="G47" s="1899">
        <v>12350000</v>
      </c>
      <c r="H47" s="1892"/>
    </row>
    <row r="48" spans="1:8" s="1893" customFormat="1" ht="23.25" customHeight="1" x14ac:dyDescent="0.3">
      <c r="A48" s="1891" t="s">
        <v>3114</v>
      </c>
      <c r="B48" s="1898" t="s">
        <v>1141</v>
      </c>
      <c r="C48" s="1898" t="s">
        <v>1846</v>
      </c>
      <c r="D48" s="1898" t="s">
        <v>1847</v>
      </c>
      <c r="E48" s="1898" t="s">
        <v>1903</v>
      </c>
      <c r="F48" s="1898" t="s">
        <v>1950</v>
      </c>
      <c r="G48" s="1899">
        <v>93550000</v>
      </c>
      <c r="H48" s="1892"/>
    </row>
    <row r="49" spans="1:8" s="1893" customFormat="1" ht="23.25" customHeight="1" x14ac:dyDescent="0.3">
      <c r="A49" s="1891" t="s">
        <v>3114</v>
      </c>
      <c r="B49" s="1898" t="s">
        <v>1141</v>
      </c>
      <c r="C49" s="1898" t="s">
        <v>1846</v>
      </c>
      <c r="D49" s="1898" t="s">
        <v>1847</v>
      </c>
      <c r="E49" s="1898" t="s">
        <v>1903</v>
      </c>
      <c r="F49" s="1898" t="s">
        <v>1905</v>
      </c>
      <c r="G49" s="1899">
        <v>157050000</v>
      </c>
      <c r="H49" s="1892"/>
    </row>
    <row r="50" spans="1:8" s="1893" customFormat="1" ht="23.25" customHeight="1" x14ac:dyDescent="0.3">
      <c r="A50" s="1891" t="s">
        <v>3114</v>
      </c>
      <c r="B50" s="1898" t="s">
        <v>1141</v>
      </c>
      <c r="C50" s="1898" t="s">
        <v>1846</v>
      </c>
      <c r="D50" s="1898" t="s">
        <v>1847</v>
      </c>
      <c r="E50" s="1898" t="s">
        <v>1906</v>
      </c>
      <c r="F50" s="1898" t="s">
        <v>1908</v>
      </c>
      <c r="G50" s="1899">
        <v>11727000</v>
      </c>
      <c r="H50" s="1892"/>
    </row>
    <row r="51" spans="1:8" s="1893" customFormat="1" ht="23.25" customHeight="1" x14ac:dyDescent="0.3">
      <c r="A51" s="1891" t="s">
        <v>3114</v>
      </c>
      <c r="B51" s="1898" t="s">
        <v>1141</v>
      </c>
      <c r="C51" s="1898" t="s">
        <v>1846</v>
      </c>
      <c r="D51" s="1898" t="s">
        <v>1847</v>
      </c>
      <c r="E51" s="1898" t="s">
        <v>1906</v>
      </c>
      <c r="F51" s="1898" t="s">
        <v>1909</v>
      </c>
      <c r="G51" s="1899">
        <v>72660000</v>
      </c>
      <c r="H51" s="1892"/>
    </row>
    <row r="52" spans="1:8" s="1893" customFormat="1" ht="23.25" customHeight="1" x14ac:dyDescent="0.3">
      <c r="A52" s="1891" t="s">
        <v>3114</v>
      </c>
      <c r="B52" s="1898" t="s">
        <v>1141</v>
      </c>
      <c r="C52" s="1898" t="s">
        <v>1846</v>
      </c>
      <c r="D52" s="1898" t="s">
        <v>1847</v>
      </c>
      <c r="E52" s="1898" t="s">
        <v>1912</v>
      </c>
      <c r="F52" s="1898" t="s">
        <v>1913</v>
      </c>
      <c r="G52" s="1899">
        <v>12427829</v>
      </c>
      <c r="H52" s="1892"/>
    </row>
    <row r="53" spans="1:8" s="1893" customFormat="1" ht="23.25" customHeight="1" x14ac:dyDescent="0.3">
      <c r="A53" s="1891" t="s">
        <v>3114</v>
      </c>
      <c r="B53" s="1898" t="s">
        <v>1141</v>
      </c>
      <c r="C53" s="1898" t="s">
        <v>1846</v>
      </c>
      <c r="D53" s="1898" t="s">
        <v>1847</v>
      </c>
      <c r="E53" s="1898" t="s">
        <v>1912</v>
      </c>
      <c r="F53" s="1898" t="s">
        <v>1914</v>
      </c>
      <c r="G53" s="1899">
        <v>873400</v>
      </c>
      <c r="H53" s="1892"/>
    </row>
    <row r="54" spans="1:8" s="1893" customFormat="1" ht="23.25" customHeight="1" x14ac:dyDescent="0.3">
      <c r="A54" s="1891" t="s">
        <v>3114</v>
      </c>
      <c r="B54" s="1898" t="s">
        <v>1141</v>
      </c>
      <c r="C54" s="1898" t="s">
        <v>1846</v>
      </c>
      <c r="D54" s="1898" t="s">
        <v>1847</v>
      </c>
      <c r="E54" s="1898" t="s">
        <v>1912</v>
      </c>
      <c r="F54" s="1898" t="s">
        <v>1915</v>
      </c>
      <c r="G54" s="1899">
        <v>838870000</v>
      </c>
      <c r="H54" s="1892"/>
    </row>
    <row r="55" spans="1:8" s="1893" customFormat="1" ht="23.25" customHeight="1" x14ac:dyDescent="0.3">
      <c r="A55" s="1891" t="s">
        <v>3114</v>
      </c>
      <c r="B55" s="1898" t="s">
        <v>1141</v>
      </c>
      <c r="C55" s="1898" t="s">
        <v>1846</v>
      </c>
      <c r="D55" s="1898" t="s">
        <v>1847</v>
      </c>
      <c r="E55" s="1898" t="s">
        <v>1912</v>
      </c>
      <c r="F55" s="1898" t="s">
        <v>1916</v>
      </c>
      <c r="G55" s="1899">
        <v>342621013</v>
      </c>
      <c r="H55" s="1892"/>
    </row>
    <row r="56" spans="1:8" s="1893" customFormat="1" ht="23.25" customHeight="1" x14ac:dyDescent="0.3">
      <c r="A56" s="1891" t="s">
        <v>3114</v>
      </c>
      <c r="B56" s="1898" t="s">
        <v>1825</v>
      </c>
      <c r="C56" s="1898" t="s">
        <v>1919</v>
      </c>
      <c r="D56" s="1898" t="s">
        <v>1920</v>
      </c>
      <c r="E56" s="1898" t="s">
        <v>1853</v>
      </c>
      <c r="F56" s="1898" t="s">
        <v>1856</v>
      </c>
      <c r="G56" s="1899">
        <v>4029773</v>
      </c>
      <c r="H56" s="1892"/>
    </row>
    <row r="57" spans="1:8" s="1893" customFormat="1" ht="23.25" customHeight="1" x14ac:dyDescent="0.3">
      <c r="A57" s="1891" t="s">
        <v>3114</v>
      </c>
      <c r="B57" s="1898" t="s">
        <v>1825</v>
      </c>
      <c r="C57" s="1898" t="s">
        <v>1919</v>
      </c>
      <c r="D57" s="1898" t="s">
        <v>1920</v>
      </c>
      <c r="E57" s="1898" t="s">
        <v>1869</v>
      </c>
      <c r="F57" s="1898" t="s">
        <v>1872</v>
      </c>
      <c r="G57" s="1899">
        <v>267120</v>
      </c>
      <c r="H57" s="1892"/>
    </row>
    <row r="58" spans="1:8" s="1893" customFormat="1" ht="23.25" customHeight="1" x14ac:dyDescent="0.3">
      <c r="A58" s="1891" t="s">
        <v>3114</v>
      </c>
      <c r="B58" s="1898" t="s">
        <v>1825</v>
      </c>
      <c r="C58" s="1898" t="s">
        <v>1919</v>
      </c>
      <c r="D58" s="1898" t="s">
        <v>1920</v>
      </c>
      <c r="E58" s="1898" t="s">
        <v>1885</v>
      </c>
      <c r="F58" s="1898" t="s">
        <v>1926</v>
      </c>
      <c r="G58" s="1899">
        <v>7500000</v>
      </c>
      <c r="H58" s="1892"/>
    </row>
    <row r="59" spans="1:8" s="1893" customFormat="1" ht="23.25" customHeight="1" x14ac:dyDescent="0.3">
      <c r="A59" s="1891" t="s">
        <v>3114</v>
      </c>
      <c r="B59" s="1898" t="s">
        <v>1825</v>
      </c>
      <c r="C59" s="1898" t="s">
        <v>1919</v>
      </c>
      <c r="D59" s="1898" t="s">
        <v>1920</v>
      </c>
      <c r="E59" s="1898" t="s">
        <v>1885</v>
      </c>
      <c r="F59" s="1898" t="s">
        <v>1927</v>
      </c>
      <c r="G59" s="1899">
        <v>5000000</v>
      </c>
      <c r="H59" s="1892"/>
    </row>
    <row r="60" spans="1:8" s="1893" customFormat="1" ht="23.25" customHeight="1" x14ac:dyDescent="0.3">
      <c r="A60" s="1891" t="s">
        <v>3114</v>
      </c>
      <c r="B60" s="1898" t="s">
        <v>1825</v>
      </c>
      <c r="C60" s="1898" t="s">
        <v>1919</v>
      </c>
      <c r="D60" s="1898" t="s">
        <v>1920</v>
      </c>
      <c r="E60" s="1898" t="s">
        <v>1885</v>
      </c>
      <c r="F60" s="1898" t="s">
        <v>1888</v>
      </c>
      <c r="G60" s="1899">
        <v>8250000</v>
      </c>
      <c r="H60" s="1892"/>
    </row>
    <row r="61" spans="1:8" s="1893" customFormat="1" ht="23.25" customHeight="1" x14ac:dyDescent="0.3">
      <c r="A61" s="1891" t="s">
        <v>3114</v>
      </c>
      <c r="B61" s="1898" t="s">
        <v>1825</v>
      </c>
      <c r="C61" s="1898" t="s">
        <v>1919</v>
      </c>
      <c r="D61" s="1898" t="s">
        <v>1920</v>
      </c>
      <c r="E61" s="1898" t="s">
        <v>1889</v>
      </c>
      <c r="F61" s="1898" t="s">
        <v>1890</v>
      </c>
      <c r="G61" s="1899">
        <v>400000</v>
      </c>
      <c r="H61" s="1892"/>
    </row>
    <row r="62" spans="1:8" s="1893" customFormat="1" ht="23.25" customHeight="1" x14ac:dyDescent="0.3">
      <c r="A62" s="1891" t="s">
        <v>3114</v>
      </c>
      <c r="B62" s="1898" t="s">
        <v>1825</v>
      </c>
      <c r="C62" s="1898" t="s">
        <v>1919</v>
      </c>
      <c r="D62" s="1898" t="s">
        <v>1920</v>
      </c>
      <c r="E62" s="1898" t="s">
        <v>1889</v>
      </c>
      <c r="F62" s="1898" t="s">
        <v>1922</v>
      </c>
      <c r="G62" s="1899">
        <v>219520</v>
      </c>
      <c r="H62" s="1892"/>
    </row>
    <row r="63" spans="1:8" s="1893" customFormat="1" ht="23.25" customHeight="1" x14ac:dyDescent="0.3">
      <c r="A63" s="1891" t="s">
        <v>3114</v>
      </c>
      <c r="B63" s="1898" t="s">
        <v>1825</v>
      </c>
      <c r="C63" s="1898" t="s">
        <v>1919</v>
      </c>
      <c r="D63" s="1898" t="s">
        <v>1920</v>
      </c>
      <c r="E63" s="1898" t="s">
        <v>1906</v>
      </c>
      <c r="F63" s="1898" t="s">
        <v>1909</v>
      </c>
      <c r="G63" s="1899">
        <v>10000000</v>
      </c>
      <c r="H63" s="1892"/>
    </row>
    <row r="64" spans="1:8" s="1893" customFormat="1" ht="23.25" customHeight="1" x14ac:dyDescent="0.3">
      <c r="A64" s="1891" t="s">
        <v>3114</v>
      </c>
      <c r="B64" s="1898" t="s">
        <v>1825</v>
      </c>
      <c r="C64" s="1898" t="s">
        <v>1919</v>
      </c>
      <c r="D64" s="1898" t="s">
        <v>1920</v>
      </c>
      <c r="E64" s="1898" t="s">
        <v>1912</v>
      </c>
      <c r="F64" s="1898" t="s">
        <v>1916</v>
      </c>
      <c r="G64" s="1899">
        <v>63135000</v>
      </c>
      <c r="H64" s="1892"/>
    </row>
    <row r="65" spans="1:8" s="1893" customFormat="1" ht="23.25" customHeight="1" x14ac:dyDescent="0.3">
      <c r="A65" s="1891" t="s">
        <v>3114</v>
      </c>
      <c r="B65" s="1898" t="s">
        <v>1825</v>
      </c>
      <c r="C65" s="1898" t="s">
        <v>1919</v>
      </c>
      <c r="D65" s="1898" t="s">
        <v>2005</v>
      </c>
      <c r="E65" s="1898" t="s">
        <v>1912</v>
      </c>
      <c r="F65" s="1898" t="s">
        <v>1916</v>
      </c>
      <c r="G65" s="1899">
        <v>2640129291</v>
      </c>
      <c r="H65" s="1892"/>
    </row>
    <row r="66" spans="1:8" s="1893" customFormat="1" ht="23.25" customHeight="1" x14ac:dyDescent="0.3">
      <c r="A66" s="1891" t="s">
        <v>3114</v>
      </c>
      <c r="B66" s="1898" t="s">
        <v>1825</v>
      </c>
      <c r="C66" s="1898" t="s">
        <v>1972</v>
      </c>
      <c r="D66" s="1898" t="s">
        <v>2235</v>
      </c>
      <c r="E66" s="1898" t="s">
        <v>1896</v>
      </c>
      <c r="F66" s="1898" t="s">
        <v>1902</v>
      </c>
      <c r="G66" s="1899">
        <v>19179787</v>
      </c>
      <c r="H66" s="1892"/>
    </row>
    <row r="67" spans="1:8" s="1893" customFormat="1" ht="23.25" customHeight="1" x14ac:dyDescent="0.3">
      <c r="A67" s="1891" t="s">
        <v>3114</v>
      </c>
      <c r="B67" s="1898" t="s">
        <v>1825</v>
      </c>
      <c r="C67" s="1898" t="s">
        <v>1846</v>
      </c>
      <c r="D67" s="1898" t="s">
        <v>1847</v>
      </c>
      <c r="E67" s="1898" t="s">
        <v>1848</v>
      </c>
      <c r="F67" s="1898" t="s">
        <v>1849</v>
      </c>
      <c r="G67" s="1899">
        <v>340019718</v>
      </c>
      <c r="H67" s="1892"/>
    </row>
    <row r="68" spans="1:8" s="1893" customFormat="1" ht="23.25" customHeight="1" x14ac:dyDescent="0.3">
      <c r="A68" s="1891" t="s">
        <v>3114</v>
      </c>
      <c r="B68" s="1898" t="s">
        <v>1825</v>
      </c>
      <c r="C68" s="1898" t="s">
        <v>1846</v>
      </c>
      <c r="D68" s="1898" t="s">
        <v>1847</v>
      </c>
      <c r="E68" s="1898" t="s">
        <v>1853</v>
      </c>
      <c r="F68" s="1898" t="s">
        <v>1854</v>
      </c>
      <c r="G68" s="1899">
        <v>8642000</v>
      </c>
      <c r="H68" s="1892"/>
    </row>
    <row r="69" spans="1:8" s="1893" customFormat="1" ht="23.25" customHeight="1" x14ac:dyDescent="0.3">
      <c r="A69" s="1891" t="s">
        <v>3114</v>
      </c>
      <c r="B69" s="1898" t="s">
        <v>1825</v>
      </c>
      <c r="C69" s="1898" t="s">
        <v>1846</v>
      </c>
      <c r="D69" s="1898" t="s">
        <v>1847</v>
      </c>
      <c r="E69" s="1898" t="s">
        <v>1853</v>
      </c>
      <c r="F69" s="1898" t="s">
        <v>1855</v>
      </c>
      <c r="G69" s="1899">
        <v>43955000</v>
      </c>
      <c r="H69" s="1892"/>
    </row>
    <row r="70" spans="1:8" s="1893" customFormat="1" ht="23.25" customHeight="1" x14ac:dyDescent="0.3">
      <c r="A70" s="1891" t="s">
        <v>3114</v>
      </c>
      <c r="B70" s="1898" t="s">
        <v>1825</v>
      </c>
      <c r="C70" s="1898" t="s">
        <v>1846</v>
      </c>
      <c r="D70" s="1898" t="s">
        <v>1847</v>
      </c>
      <c r="E70" s="1898" t="s">
        <v>1853</v>
      </c>
      <c r="F70" s="1898" t="s">
        <v>1856</v>
      </c>
      <c r="G70" s="1899">
        <v>88843400</v>
      </c>
      <c r="H70" s="1892"/>
    </row>
    <row r="71" spans="1:8" s="1893" customFormat="1" ht="23.25" customHeight="1" x14ac:dyDescent="0.3">
      <c r="A71" s="1891" t="s">
        <v>3114</v>
      </c>
      <c r="B71" s="1898" t="s">
        <v>1825</v>
      </c>
      <c r="C71" s="1898" t="s">
        <v>1846</v>
      </c>
      <c r="D71" s="1898" t="s">
        <v>1847</v>
      </c>
      <c r="E71" s="1898" t="s">
        <v>1853</v>
      </c>
      <c r="F71" s="1898" t="s">
        <v>1858</v>
      </c>
      <c r="G71" s="1899">
        <v>1788000</v>
      </c>
      <c r="H71" s="1892"/>
    </row>
    <row r="72" spans="1:8" s="1893" customFormat="1" ht="23.25" customHeight="1" x14ac:dyDescent="0.3">
      <c r="A72" s="1891" t="s">
        <v>3114</v>
      </c>
      <c r="B72" s="1898" t="s">
        <v>1825</v>
      </c>
      <c r="C72" s="1898" t="s">
        <v>1846</v>
      </c>
      <c r="D72" s="1898" t="s">
        <v>1847</v>
      </c>
      <c r="E72" s="1898" t="s">
        <v>1853</v>
      </c>
      <c r="F72" s="1898" t="s">
        <v>1859</v>
      </c>
      <c r="G72" s="1899">
        <v>87023450</v>
      </c>
      <c r="H72" s="1892"/>
    </row>
    <row r="73" spans="1:8" s="1893" customFormat="1" ht="23.25" customHeight="1" x14ac:dyDescent="0.3">
      <c r="A73" s="1891" t="s">
        <v>3114</v>
      </c>
      <c r="B73" s="1898" t="s">
        <v>1825</v>
      </c>
      <c r="C73" s="1898" t="s">
        <v>1846</v>
      </c>
      <c r="D73" s="1898" t="s">
        <v>1847</v>
      </c>
      <c r="E73" s="1898" t="s">
        <v>1860</v>
      </c>
      <c r="F73" s="1898" t="s">
        <v>1861</v>
      </c>
      <c r="G73" s="1899">
        <v>1800000</v>
      </c>
      <c r="H73" s="1892"/>
    </row>
    <row r="74" spans="1:8" s="1893" customFormat="1" ht="23.25" customHeight="1" x14ac:dyDescent="0.3">
      <c r="A74" s="1891" t="s">
        <v>3114</v>
      </c>
      <c r="B74" s="1898" t="s">
        <v>1825</v>
      </c>
      <c r="C74" s="1898" t="s">
        <v>1846</v>
      </c>
      <c r="D74" s="1898" t="s">
        <v>1847</v>
      </c>
      <c r="E74" s="1898" t="s">
        <v>1862</v>
      </c>
      <c r="F74" s="1898" t="s">
        <v>1863</v>
      </c>
      <c r="G74" s="1899">
        <v>60916414</v>
      </c>
      <c r="H74" s="1892"/>
    </row>
    <row r="75" spans="1:8" s="1893" customFormat="1" ht="23.25" customHeight="1" x14ac:dyDescent="0.3">
      <c r="A75" s="1891" t="s">
        <v>3114</v>
      </c>
      <c r="B75" s="1898" t="s">
        <v>1825</v>
      </c>
      <c r="C75" s="1898" t="s">
        <v>1846</v>
      </c>
      <c r="D75" s="1898" t="s">
        <v>1847</v>
      </c>
      <c r="E75" s="1898" t="s">
        <v>1862</v>
      </c>
      <c r="F75" s="1898" t="s">
        <v>1864</v>
      </c>
      <c r="G75" s="1899">
        <v>10442814</v>
      </c>
      <c r="H75" s="1892"/>
    </row>
    <row r="76" spans="1:8" s="1893" customFormat="1" ht="23.25" customHeight="1" x14ac:dyDescent="0.3">
      <c r="A76" s="1891" t="s">
        <v>3114</v>
      </c>
      <c r="B76" s="1898" t="s">
        <v>1825</v>
      </c>
      <c r="C76" s="1898" t="s">
        <v>1846</v>
      </c>
      <c r="D76" s="1898" t="s">
        <v>1847</v>
      </c>
      <c r="E76" s="1898" t="s">
        <v>1862</v>
      </c>
      <c r="F76" s="1898" t="s">
        <v>1865</v>
      </c>
      <c r="G76" s="1899">
        <v>6961876</v>
      </c>
      <c r="H76" s="1892"/>
    </row>
    <row r="77" spans="1:8" s="1893" customFormat="1" ht="23.25" customHeight="1" x14ac:dyDescent="0.3">
      <c r="A77" s="1891" t="s">
        <v>3114</v>
      </c>
      <c r="B77" s="1898" t="s">
        <v>1825</v>
      </c>
      <c r="C77" s="1898" t="s">
        <v>1846</v>
      </c>
      <c r="D77" s="1898" t="s">
        <v>1847</v>
      </c>
      <c r="E77" s="1898" t="s">
        <v>1867</v>
      </c>
      <c r="F77" s="1898" t="s">
        <v>1868</v>
      </c>
      <c r="G77" s="1899">
        <v>30048671</v>
      </c>
      <c r="H77" s="1892"/>
    </row>
    <row r="78" spans="1:8" s="1893" customFormat="1" ht="23.25" customHeight="1" x14ac:dyDescent="0.3">
      <c r="A78" s="1891" t="s">
        <v>3114</v>
      </c>
      <c r="B78" s="1898" t="s">
        <v>1825</v>
      </c>
      <c r="C78" s="1898" t="s">
        <v>1846</v>
      </c>
      <c r="D78" s="1898" t="s">
        <v>1847</v>
      </c>
      <c r="E78" s="1898" t="s">
        <v>1869</v>
      </c>
      <c r="F78" s="1898" t="s">
        <v>1870</v>
      </c>
      <c r="G78" s="1899">
        <v>9078056</v>
      </c>
      <c r="H78" s="1892"/>
    </row>
    <row r="79" spans="1:8" s="1893" customFormat="1" ht="23.25" customHeight="1" x14ac:dyDescent="0.3">
      <c r="A79" s="1891" t="s">
        <v>3114</v>
      </c>
      <c r="B79" s="1898" t="s">
        <v>1825</v>
      </c>
      <c r="C79" s="1898" t="s">
        <v>1846</v>
      </c>
      <c r="D79" s="1898" t="s">
        <v>1847</v>
      </c>
      <c r="E79" s="1898" t="s">
        <v>1869</v>
      </c>
      <c r="F79" s="1898" t="s">
        <v>1871</v>
      </c>
      <c r="G79" s="1899">
        <v>1155698</v>
      </c>
      <c r="H79" s="1892"/>
    </row>
    <row r="80" spans="1:8" s="1893" customFormat="1" ht="23.25" customHeight="1" x14ac:dyDescent="0.3">
      <c r="A80" s="1891" t="s">
        <v>3114</v>
      </c>
      <c r="B80" s="1898" t="s">
        <v>1825</v>
      </c>
      <c r="C80" s="1898" t="s">
        <v>1846</v>
      </c>
      <c r="D80" s="1898" t="s">
        <v>1847</v>
      </c>
      <c r="E80" s="1898" t="s">
        <v>1869</v>
      </c>
      <c r="F80" s="1898" t="s">
        <v>1872</v>
      </c>
      <c r="G80" s="1899">
        <v>600000</v>
      </c>
      <c r="H80" s="1892"/>
    </row>
    <row r="81" spans="1:8" s="1893" customFormat="1" ht="23.25" customHeight="1" x14ac:dyDescent="0.3">
      <c r="A81" s="1891" t="s">
        <v>3114</v>
      </c>
      <c r="B81" s="1898" t="s">
        <v>1825</v>
      </c>
      <c r="C81" s="1898" t="s">
        <v>1846</v>
      </c>
      <c r="D81" s="1898" t="s">
        <v>1847</v>
      </c>
      <c r="E81" s="1898" t="s">
        <v>1869</v>
      </c>
      <c r="F81" s="1898" t="s">
        <v>1873</v>
      </c>
      <c r="G81" s="1899">
        <v>720000</v>
      </c>
      <c r="H81" s="1892"/>
    </row>
    <row r="82" spans="1:8" s="1893" customFormat="1" ht="23.25" customHeight="1" x14ac:dyDescent="0.3">
      <c r="A82" s="1891" t="s">
        <v>3114</v>
      </c>
      <c r="B82" s="1898" t="s">
        <v>1825</v>
      </c>
      <c r="C82" s="1898" t="s">
        <v>1846</v>
      </c>
      <c r="D82" s="1898" t="s">
        <v>1847</v>
      </c>
      <c r="E82" s="1898" t="s">
        <v>1874</v>
      </c>
      <c r="F82" s="1898" t="s">
        <v>1875</v>
      </c>
      <c r="G82" s="1899">
        <v>9090000</v>
      </c>
      <c r="H82" s="1892"/>
    </row>
    <row r="83" spans="1:8" s="1893" customFormat="1" ht="23.25" customHeight="1" x14ac:dyDescent="0.3">
      <c r="A83" s="1891" t="s">
        <v>3114</v>
      </c>
      <c r="B83" s="1898" t="s">
        <v>1825</v>
      </c>
      <c r="C83" s="1898" t="s">
        <v>1846</v>
      </c>
      <c r="D83" s="1898" t="s">
        <v>1847</v>
      </c>
      <c r="E83" s="1898" t="s">
        <v>1874</v>
      </c>
      <c r="F83" s="1898" t="s">
        <v>1877</v>
      </c>
      <c r="G83" s="1899">
        <v>1150000</v>
      </c>
      <c r="H83" s="1892"/>
    </row>
    <row r="84" spans="1:8" s="1893" customFormat="1" ht="23.25" customHeight="1" x14ac:dyDescent="0.3">
      <c r="A84" s="1891" t="s">
        <v>3114</v>
      </c>
      <c r="B84" s="1898" t="s">
        <v>1825</v>
      </c>
      <c r="C84" s="1898" t="s">
        <v>1846</v>
      </c>
      <c r="D84" s="1898" t="s">
        <v>1847</v>
      </c>
      <c r="E84" s="1898" t="s">
        <v>1878</v>
      </c>
      <c r="F84" s="1898" t="s">
        <v>1879</v>
      </c>
      <c r="G84" s="1899">
        <v>866199</v>
      </c>
      <c r="H84" s="1892"/>
    </row>
    <row r="85" spans="1:8" s="1893" customFormat="1" ht="23.25" customHeight="1" x14ac:dyDescent="0.3">
      <c r="A85" s="1891" t="s">
        <v>3114</v>
      </c>
      <c r="B85" s="1898" t="s">
        <v>1825</v>
      </c>
      <c r="C85" s="1898" t="s">
        <v>1846</v>
      </c>
      <c r="D85" s="1898" t="s">
        <v>1847</v>
      </c>
      <c r="E85" s="1898" t="s">
        <v>1878</v>
      </c>
      <c r="F85" s="1898" t="s">
        <v>1882</v>
      </c>
      <c r="G85" s="1899">
        <v>2100000</v>
      </c>
      <c r="H85" s="1892"/>
    </row>
    <row r="86" spans="1:8" s="1893" customFormat="1" ht="23.25" customHeight="1" x14ac:dyDescent="0.3">
      <c r="A86" s="1891" t="s">
        <v>3114</v>
      </c>
      <c r="B86" s="1898" t="s">
        <v>1825</v>
      </c>
      <c r="C86" s="1898" t="s">
        <v>1846</v>
      </c>
      <c r="D86" s="1898" t="s">
        <v>1847</v>
      </c>
      <c r="E86" s="1898" t="s">
        <v>1885</v>
      </c>
      <c r="F86" s="1898" t="s">
        <v>1887</v>
      </c>
      <c r="G86" s="1899">
        <v>36750000</v>
      </c>
      <c r="H86" s="1892"/>
    </row>
    <row r="87" spans="1:8" s="1893" customFormat="1" ht="23.25" customHeight="1" x14ac:dyDescent="0.3">
      <c r="A87" s="1891" t="s">
        <v>3114</v>
      </c>
      <c r="B87" s="1898" t="s">
        <v>1825</v>
      </c>
      <c r="C87" s="1898" t="s">
        <v>1846</v>
      </c>
      <c r="D87" s="1898" t="s">
        <v>1847</v>
      </c>
      <c r="E87" s="1898" t="s">
        <v>1885</v>
      </c>
      <c r="F87" s="1898" t="s">
        <v>1888</v>
      </c>
      <c r="G87" s="1899">
        <v>3600000</v>
      </c>
      <c r="H87" s="1892"/>
    </row>
    <row r="88" spans="1:8" s="1893" customFormat="1" ht="23.25" customHeight="1" x14ac:dyDescent="0.3">
      <c r="A88" s="1891" t="s">
        <v>3114</v>
      </c>
      <c r="B88" s="1898" t="s">
        <v>1825</v>
      </c>
      <c r="C88" s="1898" t="s">
        <v>1846</v>
      </c>
      <c r="D88" s="1898" t="s">
        <v>1847</v>
      </c>
      <c r="E88" s="1898" t="s">
        <v>1889</v>
      </c>
      <c r="F88" s="1898" t="s">
        <v>1890</v>
      </c>
      <c r="G88" s="1899">
        <v>24596604</v>
      </c>
      <c r="H88" s="1892"/>
    </row>
    <row r="89" spans="1:8" s="1893" customFormat="1" ht="23.25" customHeight="1" x14ac:dyDescent="0.3">
      <c r="A89" s="1891" t="s">
        <v>3114</v>
      </c>
      <c r="B89" s="1898" t="s">
        <v>1825</v>
      </c>
      <c r="C89" s="1898" t="s">
        <v>1846</v>
      </c>
      <c r="D89" s="1898" t="s">
        <v>1847</v>
      </c>
      <c r="E89" s="1898" t="s">
        <v>1889</v>
      </c>
      <c r="F89" s="1898" t="s">
        <v>1922</v>
      </c>
      <c r="G89" s="1899">
        <v>8751052</v>
      </c>
      <c r="H89" s="1892"/>
    </row>
    <row r="90" spans="1:8" s="1893" customFormat="1" ht="23.25" customHeight="1" x14ac:dyDescent="0.3">
      <c r="A90" s="1891" t="s">
        <v>3114</v>
      </c>
      <c r="B90" s="1898" t="s">
        <v>1825</v>
      </c>
      <c r="C90" s="1898" t="s">
        <v>1846</v>
      </c>
      <c r="D90" s="1898" t="s">
        <v>1847</v>
      </c>
      <c r="E90" s="1898" t="s">
        <v>1893</v>
      </c>
      <c r="F90" s="1898" t="s">
        <v>1894</v>
      </c>
      <c r="G90" s="1899">
        <v>19900000</v>
      </c>
      <c r="H90" s="1892"/>
    </row>
    <row r="91" spans="1:8" s="1893" customFormat="1" ht="23.25" customHeight="1" x14ac:dyDescent="0.3">
      <c r="A91" s="1891" t="s">
        <v>3114</v>
      </c>
      <c r="B91" s="1898" t="s">
        <v>1825</v>
      </c>
      <c r="C91" s="1898" t="s">
        <v>1846</v>
      </c>
      <c r="D91" s="1898" t="s">
        <v>1847</v>
      </c>
      <c r="E91" s="1898" t="s">
        <v>1893</v>
      </c>
      <c r="F91" s="1898" t="s">
        <v>1895</v>
      </c>
      <c r="G91" s="1899">
        <v>2300000</v>
      </c>
      <c r="H91" s="1892"/>
    </row>
    <row r="92" spans="1:8" s="1893" customFormat="1" ht="23.25" customHeight="1" x14ac:dyDescent="0.3">
      <c r="A92" s="1891" t="s">
        <v>3114</v>
      </c>
      <c r="B92" s="1898" t="s">
        <v>1825</v>
      </c>
      <c r="C92" s="1898" t="s">
        <v>1846</v>
      </c>
      <c r="D92" s="1898" t="s">
        <v>1847</v>
      </c>
      <c r="E92" s="1898" t="s">
        <v>1896</v>
      </c>
      <c r="F92" s="1898" t="s">
        <v>1900</v>
      </c>
      <c r="G92" s="1899">
        <v>6499000</v>
      </c>
      <c r="H92" s="1892"/>
    </row>
    <row r="93" spans="1:8" s="1893" customFormat="1" ht="23.25" customHeight="1" x14ac:dyDescent="0.3">
      <c r="A93" s="1891" t="s">
        <v>3114</v>
      </c>
      <c r="B93" s="1898" t="s">
        <v>1825</v>
      </c>
      <c r="C93" s="1898" t="s">
        <v>1846</v>
      </c>
      <c r="D93" s="1898" t="s">
        <v>1847</v>
      </c>
      <c r="E93" s="1898" t="s">
        <v>1896</v>
      </c>
      <c r="F93" s="1898" t="s">
        <v>1901</v>
      </c>
      <c r="G93" s="1899">
        <v>1650000</v>
      </c>
      <c r="H93" s="1892"/>
    </row>
    <row r="94" spans="1:8" s="1893" customFormat="1" ht="23.25" customHeight="1" x14ac:dyDescent="0.3">
      <c r="A94" s="1891" t="s">
        <v>3114</v>
      </c>
      <c r="B94" s="1898" t="s">
        <v>1825</v>
      </c>
      <c r="C94" s="1898" t="s">
        <v>1846</v>
      </c>
      <c r="D94" s="1898" t="s">
        <v>1847</v>
      </c>
      <c r="E94" s="1898" t="s">
        <v>1896</v>
      </c>
      <c r="F94" s="1898" t="s">
        <v>1928</v>
      </c>
      <c r="G94" s="1899">
        <v>2170000</v>
      </c>
      <c r="H94" s="1892"/>
    </row>
    <row r="95" spans="1:8" s="1893" customFormat="1" ht="23.25" customHeight="1" x14ac:dyDescent="0.3">
      <c r="A95" s="1891" t="s">
        <v>3114</v>
      </c>
      <c r="B95" s="1898" t="s">
        <v>1825</v>
      </c>
      <c r="C95" s="1898" t="s">
        <v>1846</v>
      </c>
      <c r="D95" s="1898" t="s">
        <v>1847</v>
      </c>
      <c r="E95" s="1898" t="s">
        <v>1903</v>
      </c>
      <c r="F95" s="1898" t="s">
        <v>1904</v>
      </c>
      <c r="G95" s="1899">
        <v>14900000</v>
      </c>
      <c r="H95" s="1892"/>
    </row>
    <row r="96" spans="1:8" s="1893" customFormat="1" ht="23.25" customHeight="1" x14ac:dyDescent="0.3">
      <c r="A96" s="1891" t="s">
        <v>3114</v>
      </c>
      <c r="B96" s="1898" t="s">
        <v>1825</v>
      </c>
      <c r="C96" s="1898" t="s">
        <v>1846</v>
      </c>
      <c r="D96" s="1898" t="s">
        <v>1847</v>
      </c>
      <c r="E96" s="1898" t="s">
        <v>1906</v>
      </c>
      <c r="F96" s="1898" t="s">
        <v>1908</v>
      </c>
      <c r="G96" s="1899">
        <v>23200000</v>
      </c>
      <c r="H96" s="1892"/>
    </row>
    <row r="97" spans="1:8" s="1893" customFormat="1" ht="23.25" customHeight="1" x14ac:dyDescent="0.3">
      <c r="A97" s="1891" t="s">
        <v>3114</v>
      </c>
      <c r="B97" s="1898" t="s">
        <v>1825</v>
      </c>
      <c r="C97" s="1898" t="s">
        <v>1846</v>
      </c>
      <c r="D97" s="1898" t="s">
        <v>1847</v>
      </c>
      <c r="E97" s="1898" t="s">
        <v>1906</v>
      </c>
      <c r="F97" s="1898" t="s">
        <v>1909</v>
      </c>
      <c r="G97" s="1899">
        <v>17300000</v>
      </c>
      <c r="H97" s="1892"/>
    </row>
    <row r="98" spans="1:8" s="1893" customFormat="1" ht="23.25" customHeight="1" x14ac:dyDescent="0.3">
      <c r="A98" s="1891" t="s">
        <v>3114</v>
      </c>
      <c r="B98" s="1898" t="s">
        <v>1825</v>
      </c>
      <c r="C98" s="1898" t="s">
        <v>1846</v>
      </c>
      <c r="D98" s="1898" t="s">
        <v>1847</v>
      </c>
      <c r="E98" s="1898" t="s">
        <v>1912</v>
      </c>
      <c r="F98" s="1898" t="s">
        <v>1913</v>
      </c>
      <c r="G98" s="1899">
        <v>6024000</v>
      </c>
      <c r="H98" s="1892"/>
    </row>
    <row r="99" spans="1:8" s="1893" customFormat="1" ht="23.25" customHeight="1" x14ac:dyDescent="0.3">
      <c r="A99" s="1891" t="s">
        <v>3114</v>
      </c>
      <c r="B99" s="1898" t="s">
        <v>1825</v>
      </c>
      <c r="C99" s="1898" t="s">
        <v>1846</v>
      </c>
      <c r="D99" s="1898" t="s">
        <v>1847</v>
      </c>
      <c r="E99" s="1898" t="s">
        <v>1912</v>
      </c>
      <c r="F99" s="1898" t="s">
        <v>1915</v>
      </c>
      <c r="G99" s="1899">
        <v>9800000</v>
      </c>
      <c r="H99" s="1892"/>
    </row>
    <row r="100" spans="1:8" s="1893" customFormat="1" ht="23.25" customHeight="1" x14ac:dyDescent="0.3">
      <c r="A100" s="1891" t="s">
        <v>3114</v>
      </c>
      <c r="B100" s="1898" t="s">
        <v>1825</v>
      </c>
      <c r="C100" s="1898" t="s">
        <v>1846</v>
      </c>
      <c r="D100" s="1898" t="s">
        <v>1847</v>
      </c>
      <c r="E100" s="1898" t="s">
        <v>1912</v>
      </c>
      <c r="F100" s="1898" t="s">
        <v>1916</v>
      </c>
      <c r="G100" s="1899">
        <v>106600000</v>
      </c>
      <c r="H100" s="1892"/>
    </row>
    <row r="101" spans="1:8" s="1893" customFormat="1" ht="23.25" customHeight="1" x14ac:dyDescent="0.3">
      <c r="A101" s="1891" t="s">
        <v>3114</v>
      </c>
      <c r="B101" s="1898" t="s">
        <v>1142</v>
      </c>
      <c r="C101" s="1898" t="s">
        <v>1846</v>
      </c>
      <c r="D101" s="1898" t="s">
        <v>1847</v>
      </c>
      <c r="E101" s="1898" t="s">
        <v>1848</v>
      </c>
      <c r="F101" s="1898" t="s">
        <v>1849</v>
      </c>
      <c r="G101" s="1899">
        <v>141877800</v>
      </c>
      <c r="H101" s="1892"/>
    </row>
    <row r="102" spans="1:8" s="1893" customFormat="1" ht="23.25" customHeight="1" x14ac:dyDescent="0.3">
      <c r="A102" s="1891" t="s">
        <v>3114</v>
      </c>
      <c r="B102" s="1898" t="s">
        <v>1142</v>
      </c>
      <c r="C102" s="1898" t="s">
        <v>1846</v>
      </c>
      <c r="D102" s="1898" t="s">
        <v>1847</v>
      </c>
      <c r="E102" s="1898" t="s">
        <v>1853</v>
      </c>
      <c r="F102" s="1898" t="s">
        <v>1854</v>
      </c>
      <c r="G102" s="1899">
        <v>5960000</v>
      </c>
      <c r="H102" s="1892"/>
    </row>
    <row r="103" spans="1:8" s="1893" customFormat="1" ht="23.25" customHeight="1" x14ac:dyDescent="0.3">
      <c r="A103" s="1891" t="s">
        <v>3114</v>
      </c>
      <c r="B103" s="1898" t="s">
        <v>1142</v>
      </c>
      <c r="C103" s="1898" t="s">
        <v>1846</v>
      </c>
      <c r="D103" s="1898" t="s">
        <v>1847</v>
      </c>
      <c r="E103" s="1898" t="s">
        <v>1853</v>
      </c>
      <c r="F103" s="1898" t="s">
        <v>1855</v>
      </c>
      <c r="G103" s="1899">
        <v>20860000</v>
      </c>
      <c r="H103" s="1892"/>
    </row>
    <row r="104" spans="1:8" s="1893" customFormat="1" ht="23.25" customHeight="1" x14ac:dyDescent="0.3">
      <c r="A104" s="1891" t="s">
        <v>3114</v>
      </c>
      <c r="B104" s="1898" t="s">
        <v>1142</v>
      </c>
      <c r="C104" s="1898" t="s">
        <v>1846</v>
      </c>
      <c r="D104" s="1898" t="s">
        <v>1847</v>
      </c>
      <c r="E104" s="1898" t="s">
        <v>1853</v>
      </c>
      <c r="F104" s="1898" t="s">
        <v>1856</v>
      </c>
      <c r="G104" s="1899">
        <v>31799480</v>
      </c>
      <c r="H104" s="1892"/>
    </row>
    <row r="105" spans="1:8" s="1893" customFormat="1" ht="23.25" customHeight="1" x14ac:dyDescent="0.3">
      <c r="A105" s="1891" t="s">
        <v>3114</v>
      </c>
      <c r="B105" s="1898" t="s">
        <v>1142</v>
      </c>
      <c r="C105" s="1898" t="s">
        <v>1846</v>
      </c>
      <c r="D105" s="1898" t="s">
        <v>1847</v>
      </c>
      <c r="E105" s="1898" t="s">
        <v>1853</v>
      </c>
      <c r="F105" s="1898" t="s">
        <v>1859</v>
      </c>
      <c r="G105" s="1899">
        <v>36959450</v>
      </c>
      <c r="H105" s="1892"/>
    </row>
    <row r="106" spans="1:8" s="1893" customFormat="1" ht="23.25" customHeight="1" x14ac:dyDescent="0.3">
      <c r="A106" s="1891" t="s">
        <v>3114</v>
      </c>
      <c r="B106" s="1898" t="s">
        <v>1142</v>
      </c>
      <c r="C106" s="1898" t="s">
        <v>1846</v>
      </c>
      <c r="D106" s="1898" t="s">
        <v>1847</v>
      </c>
      <c r="E106" s="1898" t="s">
        <v>1860</v>
      </c>
      <c r="F106" s="1898" t="s">
        <v>1861</v>
      </c>
      <c r="G106" s="1899">
        <v>2100000</v>
      </c>
      <c r="H106" s="1892"/>
    </row>
    <row r="107" spans="1:8" s="1893" customFormat="1" ht="23.25" customHeight="1" x14ac:dyDescent="0.3">
      <c r="A107" s="1891" t="s">
        <v>3114</v>
      </c>
      <c r="B107" s="1898" t="s">
        <v>1142</v>
      </c>
      <c r="C107" s="1898" t="s">
        <v>1846</v>
      </c>
      <c r="D107" s="1898" t="s">
        <v>1847</v>
      </c>
      <c r="E107" s="1898" t="s">
        <v>1862</v>
      </c>
      <c r="F107" s="1898" t="s">
        <v>1863</v>
      </c>
      <c r="G107" s="1899">
        <v>25871615</v>
      </c>
      <c r="H107" s="1892"/>
    </row>
    <row r="108" spans="1:8" s="1893" customFormat="1" ht="23.25" customHeight="1" x14ac:dyDescent="0.3">
      <c r="A108" s="1891" t="s">
        <v>3114</v>
      </c>
      <c r="B108" s="1898" t="s">
        <v>1142</v>
      </c>
      <c r="C108" s="1898" t="s">
        <v>1846</v>
      </c>
      <c r="D108" s="1898" t="s">
        <v>1847</v>
      </c>
      <c r="E108" s="1898" t="s">
        <v>1862</v>
      </c>
      <c r="F108" s="1898" t="s">
        <v>1864</v>
      </c>
      <c r="G108" s="1899">
        <v>4435134</v>
      </c>
      <c r="H108" s="1892"/>
    </row>
    <row r="109" spans="1:8" s="1893" customFormat="1" ht="23.25" customHeight="1" x14ac:dyDescent="0.3">
      <c r="A109" s="1891" t="s">
        <v>3114</v>
      </c>
      <c r="B109" s="1898" t="s">
        <v>1142</v>
      </c>
      <c r="C109" s="1898" t="s">
        <v>1846</v>
      </c>
      <c r="D109" s="1898" t="s">
        <v>1847</v>
      </c>
      <c r="E109" s="1898" t="s">
        <v>1862</v>
      </c>
      <c r="F109" s="1898" t="s">
        <v>1865</v>
      </c>
      <c r="G109" s="1899">
        <v>3096220</v>
      </c>
      <c r="H109" s="1892"/>
    </row>
    <row r="110" spans="1:8" s="1893" customFormat="1" ht="23.25" customHeight="1" x14ac:dyDescent="0.3">
      <c r="A110" s="1891" t="s">
        <v>3114</v>
      </c>
      <c r="B110" s="1898" t="s">
        <v>1142</v>
      </c>
      <c r="C110" s="1898" t="s">
        <v>1846</v>
      </c>
      <c r="D110" s="1898" t="s">
        <v>1847</v>
      </c>
      <c r="E110" s="1898" t="s">
        <v>1867</v>
      </c>
      <c r="F110" s="1898" t="s">
        <v>1868</v>
      </c>
      <c r="G110" s="1899">
        <v>43614375</v>
      </c>
      <c r="H110" s="1892"/>
    </row>
    <row r="111" spans="1:8" s="1893" customFormat="1" ht="23.25" customHeight="1" x14ac:dyDescent="0.3">
      <c r="A111" s="1891" t="s">
        <v>3114</v>
      </c>
      <c r="B111" s="1898" t="s">
        <v>1142</v>
      </c>
      <c r="C111" s="1898" t="s">
        <v>1846</v>
      </c>
      <c r="D111" s="1898" t="s">
        <v>1847</v>
      </c>
      <c r="E111" s="1898" t="s">
        <v>1869</v>
      </c>
      <c r="F111" s="1898" t="s">
        <v>1870</v>
      </c>
      <c r="G111" s="1899">
        <v>8845822</v>
      </c>
      <c r="H111" s="1892"/>
    </row>
    <row r="112" spans="1:8" s="1893" customFormat="1" ht="23.25" customHeight="1" x14ac:dyDescent="0.3">
      <c r="A112" s="1891" t="s">
        <v>3114</v>
      </c>
      <c r="B112" s="1898" t="s">
        <v>1142</v>
      </c>
      <c r="C112" s="1898" t="s">
        <v>1846</v>
      </c>
      <c r="D112" s="1898" t="s">
        <v>1847</v>
      </c>
      <c r="E112" s="1898" t="s">
        <v>1869</v>
      </c>
      <c r="F112" s="1898" t="s">
        <v>1871</v>
      </c>
      <c r="G112" s="1899">
        <v>1549399</v>
      </c>
      <c r="H112" s="1892"/>
    </row>
    <row r="113" spans="1:8" s="1893" customFormat="1" ht="23.25" customHeight="1" x14ac:dyDescent="0.3">
      <c r="A113" s="1891" t="s">
        <v>3114</v>
      </c>
      <c r="B113" s="1898" t="s">
        <v>1142</v>
      </c>
      <c r="C113" s="1898" t="s">
        <v>1846</v>
      </c>
      <c r="D113" s="1898" t="s">
        <v>1847</v>
      </c>
      <c r="E113" s="1898" t="s">
        <v>1869</v>
      </c>
      <c r="F113" s="1898" t="s">
        <v>1873</v>
      </c>
      <c r="G113" s="1899">
        <v>720000</v>
      </c>
      <c r="H113" s="1892"/>
    </row>
    <row r="114" spans="1:8" s="1893" customFormat="1" ht="23.25" customHeight="1" x14ac:dyDescent="0.3">
      <c r="A114" s="1891" t="s">
        <v>3114</v>
      </c>
      <c r="B114" s="1898" t="s">
        <v>1142</v>
      </c>
      <c r="C114" s="1898" t="s">
        <v>1846</v>
      </c>
      <c r="D114" s="1898" t="s">
        <v>1847</v>
      </c>
      <c r="E114" s="1898" t="s">
        <v>1874</v>
      </c>
      <c r="F114" s="1898" t="s">
        <v>1875</v>
      </c>
      <c r="G114" s="1899">
        <v>4900000</v>
      </c>
      <c r="H114" s="1892"/>
    </row>
    <row r="115" spans="1:8" s="1893" customFormat="1" ht="23.25" customHeight="1" x14ac:dyDescent="0.3">
      <c r="A115" s="1891" t="s">
        <v>3114</v>
      </c>
      <c r="B115" s="1898" t="s">
        <v>1142</v>
      </c>
      <c r="C115" s="1898" t="s">
        <v>1846</v>
      </c>
      <c r="D115" s="1898" t="s">
        <v>1847</v>
      </c>
      <c r="E115" s="1898" t="s">
        <v>1874</v>
      </c>
      <c r="F115" s="1898" t="s">
        <v>1876</v>
      </c>
      <c r="G115" s="1899">
        <v>12650000</v>
      </c>
      <c r="H115" s="1892"/>
    </row>
    <row r="116" spans="1:8" s="1893" customFormat="1" ht="23.25" customHeight="1" x14ac:dyDescent="0.3">
      <c r="A116" s="1891" t="s">
        <v>3114</v>
      </c>
      <c r="B116" s="1898" t="s">
        <v>1142</v>
      </c>
      <c r="C116" s="1898" t="s">
        <v>1846</v>
      </c>
      <c r="D116" s="1898" t="s">
        <v>1847</v>
      </c>
      <c r="E116" s="1898" t="s">
        <v>1878</v>
      </c>
      <c r="F116" s="1898" t="s">
        <v>1879</v>
      </c>
      <c r="G116" s="1899">
        <v>139699</v>
      </c>
      <c r="H116" s="1892"/>
    </row>
    <row r="117" spans="1:8" s="1893" customFormat="1" ht="23.25" customHeight="1" x14ac:dyDescent="0.3">
      <c r="A117" s="1891" t="s">
        <v>3114</v>
      </c>
      <c r="B117" s="1898" t="s">
        <v>1142</v>
      </c>
      <c r="C117" s="1898" t="s">
        <v>1846</v>
      </c>
      <c r="D117" s="1898" t="s">
        <v>1847</v>
      </c>
      <c r="E117" s="1898" t="s">
        <v>1878</v>
      </c>
      <c r="F117" s="1898" t="s">
        <v>1880</v>
      </c>
      <c r="G117" s="1899">
        <v>400000</v>
      </c>
      <c r="H117" s="1892"/>
    </row>
    <row r="118" spans="1:8" s="1893" customFormat="1" ht="23.25" customHeight="1" x14ac:dyDescent="0.3">
      <c r="A118" s="1891" t="s">
        <v>3114</v>
      </c>
      <c r="B118" s="1898" t="s">
        <v>1142</v>
      </c>
      <c r="C118" s="1898" t="s">
        <v>1846</v>
      </c>
      <c r="D118" s="1898" t="s">
        <v>1847</v>
      </c>
      <c r="E118" s="1898" t="s">
        <v>1878</v>
      </c>
      <c r="F118" s="1898" t="s">
        <v>1882</v>
      </c>
      <c r="G118" s="1899">
        <v>2484000</v>
      </c>
      <c r="H118" s="1892"/>
    </row>
    <row r="119" spans="1:8" s="1893" customFormat="1" ht="23.25" customHeight="1" x14ac:dyDescent="0.3">
      <c r="A119" s="1891" t="s">
        <v>3114</v>
      </c>
      <c r="B119" s="1898" t="s">
        <v>1142</v>
      </c>
      <c r="C119" s="1898" t="s">
        <v>1846</v>
      </c>
      <c r="D119" s="1898" t="s">
        <v>1847</v>
      </c>
      <c r="E119" s="1898" t="s">
        <v>1885</v>
      </c>
      <c r="F119" s="1898" t="s">
        <v>1925</v>
      </c>
      <c r="G119" s="1899">
        <v>8360000</v>
      </c>
      <c r="H119" s="1892"/>
    </row>
    <row r="120" spans="1:8" s="1893" customFormat="1" ht="23.25" customHeight="1" x14ac:dyDescent="0.3">
      <c r="A120" s="1891" t="s">
        <v>3114</v>
      </c>
      <c r="B120" s="1898" t="s">
        <v>1142</v>
      </c>
      <c r="C120" s="1898" t="s">
        <v>1846</v>
      </c>
      <c r="D120" s="1898" t="s">
        <v>1847</v>
      </c>
      <c r="E120" s="1898" t="s">
        <v>1885</v>
      </c>
      <c r="F120" s="1898" t="s">
        <v>1886</v>
      </c>
      <c r="G120" s="1899">
        <v>4500000</v>
      </c>
      <c r="H120" s="1892"/>
    </row>
    <row r="121" spans="1:8" s="1893" customFormat="1" ht="23.25" customHeight="1" x14ac:dyDescent="0.3">
      <c r="A121" s="1891" t="s">
        <v>3114</v>
      </c>
      <c r="B121" s="1898" t="s">
        <v>1142</v>
      </c>
      <c r="C121" s="1898" t="s">
        <v>1846</v>
      </c>
      <c r="D121" s="1898" t="s">
        <v>1847</v>
      </c>
      <c r="E121" s="1898" t="s">
        <v>1885</v>
      </c>
      <c r="F121" s="1898" t="s">
        <v>1887</v>
      </c>
      <c r="G121" s="1899">
        <v>14840000</v>
      </c>
      <c r="H121" s="1892"/>
    </row>
    <row r="122" spans="1:8" s="1893" customFormat="1" ht="23.25" customHeight="1" x14ac:dyDescent="0.3">
      <c r="A122" s="1891" t="s">
        <v>3114</v>
      </c>
      <c r="B122" s="1898" t="s">
        <v>1142</v>
      </c>
      <c r="C122" s="1898" t="s">
        <v>1846</v>
      </c>
      <c r="D122" s="1898" t="s">
        <v>1847</v>
      </c>
      <c r="E122" s="1898" t="s">
        <v>1885</v>
      </c>
      <c r="F122" s="1898" t="s">
        <v>1888</v>
      </c>
      <c r="G122" s="1899">
        <v>4580000</v>
      </c>
      <c r="H122" s="1892"/>
    </row>
    <row r="123" spans="1:8" s="1893" customFormat="1" ht="23.25" customHeight="1" x14ac:dyDescent="0.3">
      <c r="A123" s="1891" t="s">
        <v>3114</v>
      </c>
      <c r="B123" s="1898" t="s">
        <v>1142</v>
      </c>
      <c r="C123" s="1898" t="s">
        <v>1846</v>
      </c>
      <c r="D123" s="1898" t="s">
        <v>1847</v>
      </c>
      <c r="E123" s="1898" t="s">
        <v>1889</v>
      </c>
      <c r="F123" s="1898" t="s">
        <v>1890</v>
      </c>
      <c r="G123" s="1899">
        <v>4800000</v>
      </c>
      <c r="H123" s="1892"/>
    </row>
    <row r="124" spans="1:8" s="1893" customFormat="1" ht="23.25" customHeight="1" x14ac:dyDescent="0.3">
      <c r="A124" s="1891" t="s">
        <v>3114</v>
      </c>
      <c r="B124" s="1898" t="s">
        <v>1142</v>
      </c>
      <c r="C124" s="1898" t="s">
        <v>1846</v>
      </c>
      <c r="D124" s="1898" t="s">
        <v>1847</v>
      </c>
      <c r="E124" s="1898" t="s">
        <v>1889</v>
      </c>
      <c r="F124" s="1898" t="s">
        <v>1892</v>
      </c>
      <c r="G124" s="1899">
        <v>14800000</v>
      </c>
      <c r="H124" s="1892"/>
    </row>
    <row r="125" spans="1:8" s="1893" customFormat="1" ht="23.25" customHeight="1" x14ac:dyDescent="0.3">
      <c r="A125" s="1891" t="s">
        <v>3114</v>
      </c>
      <c r="B125" s="1898" t="s">
        <v>1142</v>
      </c>
      <c r="C125" s="1898" t="s">
        <v>1846</v>
      </c>
      <c r="D125" s="1898" t="s">
        <v>1847</v>
      </c>
      <c r="E125" s="1898" t="s">
        <v>1889</v>
      </c>
      <c r="F125" s="1898" t="s">
        <v>1922</v>
      </c>
      <c r="G125" s="1899">
        <v>2387000</v>
      </c>
      <c r="H125" s="1892"/>
    </row>
    <row r="126" spans="1:8" s="1893" customFormat="1" ht="23.25" customHeight="1" x14ac:dyDescent="0.3">
      <c r="A126" s="1891" t="s">
        <v>3114</v>
      </c>
      <c r="B126" s="1898" t="s">
        <v>1142</v>
      </c>
      <c r="C126" s="1898" t="s">
        <v>1846</v>
      </c>
      <c r="D126" s="1898" t="s">
        <v>1847</v>
      </c>
      <c r="E126" s="1898" t="s">
        <v>1893</v>
      </c>
      <c r="F126" s="1898" t="s">
        <v>1894</v>
      </c>
      <c r="G126" s="1899">
        <v>1800000</v>
      </c>
      <c r="H126" s="1892"/>
    </row>
    <row r="127" spans="1:8" s="1893" customFormat="1" ht="23.25" customHeight="1" x14ac:dyDescent="0.3">
      <c r="A127" s="1891" t="s">
        <v>3114</v>
      </c>
      <c r="B127" s="1898" t="s">
        <v>1142</v>
      </c>
      <c r="C127" s="1898" t="s">
        <v>1846</v>
      </c>
      <c r="D127" s="1898" t="s">
        <v>1847</v>
      </c>
      <c r="E127" s="1898" t="s">
        <v>1896</v>
      </c>
      <c r="F127" s="1898" t="s">
        <v>1900</v>
      </c>
      <c r="G127" s="1899">
        <v>3000000</v>
      </c>
      <c r="H127" s="1892"/>
    </row>
    <row r="128" spans="1:8" s="1893" customFormat="1" ht="23.25" customHeight="1" x14ac:dyDescent="0.3">
      <c r="A128" s="1891" t="s">
        <v>3114</v>
      </c>
      <c r="B128" s="1898" t="s">
        <v>1142</v>
      </c>
      <c r="C128" s="1898" t="s">
        <v>1846</v>
      </c>
      <c r="D128" s="1898" t="s">
        <v>1847</v>
      </c>
      <c r="E128" s="1898" t="s">
        <v>1903</v>
      </c>
      <c r="F128" s="1898" t="s">
        <v>1905</v>
      </c>
      <c r="G128" s="1899">
        <v>12390000</v>
      </c>
      <c r="H128" s="1892"/>
    </row>
    <row r="129" spans="1:8" s="1893" customFormat="1" ht="23.25" customHeight="1" x14ac:dyDescent="0.3">
      <c r="A129" s="1891" t="s">
        <v>3114</v>
      </c>
      <c r="B129" s="1898" t="s">
        <v>1142</v>
      </c>
      <c r="C129" s="1898" t="s">
        <v>1846</v>
      </c>
      <c r="D129" s="1898" t="s">
        <v>1847</v>
      </c>
      <c r="E129" s="1898" t="s">
        <v>1906</v>
      </c>
      <c r="F129" s="1898" t="s">
        <v>1909</v>
      </c>
      <c r="G129" s="1899">
        <v>23327000</v>
      </c>
      <c r="H129" s="1892"/>
    </row>
    <row r="130" spans="1:8" s="1893" customFormat="1" ht="23.25" customHeight="1" x14ac:dyDescent="0.3">
      <c r="A130" s="1891" t="s">
        <v>3114</v>
      </c>
      <c r="B130" s="1898" t="s">
        <v>1142</v>
      </c>
      <c r="C130" s="1898" t="s">
        <v>1846</v>
      </c>
      <c r="D130" s="1898" t="s">
        <v>1847</v>
      </c>
      <c r="E130" s="1898" t="s">
        <v>1912</v>
      </c>
      <c r="F130" s="1898" t="s">
        <v>1915</v>
      </c>
      <c r="G130" s="1899">
        <v>2600000</v>
      </c>
      <c r="H130" s="1892"/>
    </row>
    <row r="131" spans="1:8" s="1893" customFormat="1" ht="23.25" customHeight="1" x14ac:dyDescent="0.3">
      <c r="A131" s="1891" t="s">
        <v>3114</v>
      </c>
      <c r="B131" s="1898" t="s">
        <v>1142</v>
      </c>
      <c r="C131" s="1898" t="s">
        <v>1846</v>
      </c>
      <c r="D131" s="1898" t="s">
        <v>1847</v>
      </c>
      <c r="E131" s="1898" t="s">
        <v>1912</v>
      </c>
      <c r="F131" s="1898" t="s">
        <v>1916</v>
      </c>
      <c r="G131" s="1899">
        <v>9870000</v>
      </c>
      <c r="H131" s="1892"/>
    </row>
    <row r="132" spans="1:8" s="1893" customFormat="1" ht="23.25" customHeight="1" x14ac:dyDescent="0.3">
      <c r="A132" s="1891" t="s">
        <v>3114</v>
      </c>
      <c r="B132" s="1898" t="s">
        <v>1146</v>
      </c>
      <c r="C132" s="1898" t="s">
        <v>1846</v>
      </c>
      <c r="D132" s="1898" t="s">
        <v>1847</v>
      </c>
      <c r="E132" s="1898" t="s">
        <v>1848</v>
      </c>
      <c r="F132" s="1898" t="s">
        <v>1849</v>
      </c>
      <c r="G132" s="1899">
        <v>414890500</v>
      </c>
      <c r="H132" s="1892"/>
    </row>
    <row r="133" spans="1:8" s="1893" customFormat="1" ht="23.25" customHeight="1" x14ac:dyDescent="0.3">
      <c r="A133" s="1891" t="s">
        <v>3114</v>
      </c>
      <c r="B133" s="1898" t="s">
        <v>1146</v>
      </c>
      <c r="C133" s="1898" t="s">
        <v>1846</v>
      </c>
      <c r="D133" s="1898" t="s">
        <v>1847</v>
      </c>
      <c r="E133" s="1898" t="s">
        <v>1853</v>
      </c>
      <c r="F133" s="1898" t="s">
        <v>1854</v>
      </c>
      <c r="G133" s="1899">
        <v>8940000</v>
      </c>
      <c r="H133" s="1892"/>
    </row>
    <row r="134" spans="1:8" s="1893" customFormat="1" ht="23.25" customHeight="1" x14ac:dyDescent="0.3">
      <c r="A134" s="1891" t="s">
        <v>3114</v>
      </c>
      <c r="B134" s="1898" t="s">
        <v>1146</v>
      </c>
      <c r="C134" s="1898" t="s">
        <v>1846</v>
      </c>
      <c r="D134" s="1898" t="s">
        <v>1847</v>
      </c>
      <c r="E134" s="1898" t="s">
        <v>1853</v>
      </c>
      <c r="F134" s="1898" t="s">
        <v>1855</v>
      </c>
      <c r="G134" s="1899">
        <v>53640000</v>
      </c>
      <c r="H134" s="1892"/>
    </row>
    <row r="135" spans="1:8" s="1893" customFormat="1" ht="23.25" customHeight="1" x14ac:dyDescent="0.3">
      <c r="A135" s="1891" t="s">
        <v>3114</v>
      </c>
      <c r="B135" s="1898" t="s">
        <v>1146</v>
      </c>
      <c r="C135" s="1898" t="s">
        <v>1846</v>
      </c>
      <c r="D135" s="1898" t="s">
        <v>1847</v>
      </c>
      <c r="E135" s="1898" t="s">
        <v>1853</v>
      </c>
      <c r="F135" s="1898" t="s">
        <v>1856</v>
      </c>
      <c r="G135" s="1899">
        <v>94962985</v>
      </c>
      <c r="H135" s="1892"/>
    </row>
    <row r="136" spans="1:8" s="1893" customFormat="1" ht="23.25" customHeight="1" x14ac:dyDescent="0.3">
      <c r="A136" s="1891" t="s">
        <v>3114</v>
      </c>
      <c r="B136" s="1898" t="s">
        <v>1146</v>
      </c>
      <c r="C136" s="1898" t="s">
        <v>1846</v>
      </c>
      <c r="D136" s="1898" t="s">
        <v>1847</v>
      </c>
      <c r="E136" s="1898" t="s">
        <v>1853</v>
      </c>
      <c r="F136" s="1898" t="s">
        <v>1858</v>
      </c>
      <c r="G136" s="1899">
        <v>4470000</v>
      </c>
      <c r="H136" s="1892"/>
    </row>
    <row r="137" spans="1:8" s="1893" customFormat="1" ht="23.25" customHeight="1" x14ac:dyDescent="0.3">
      <c r="A137" s="1891" t="s">
        <v>3114</v>
      </c>
      <c r="B137" s="1898" t="s">
        <v>1146</v>
      </c>
      <c r="C137" s="1898" t="s">
        <v>1846</v>
      </c>
      <c r="D137" s="1898" t="s">
        <v>1847</v>
      </c>
      <c r="E137" s="1898" t="s">
        <v>1853</v>
      </c>
      <c r="F137" s="1898" t="s">
        <v>1859</v>
      </c>
      <c r="G137" s="1899">
        <v>105957625</v>
      </c>
      <c r="H137" s="1892"/>
    </row>
    <row r="138" spans="1:8" s="1893" customFormat="1" ht="23.25" customHeight="1" x14ac:dyDescent="0.3">
      <c r="A138" s="1891" t="s">
        <v>3114</v>
      </c>
      <c r="B138" s="1898" t="s">
        <v>1146</v>
      </c>
      <c r="C138" s="1898" t="s">
        <v>1846</v>
      </c>
      <c r="D138" s="1898" t="s">
        <v>1847</v>
      </c>
      <c r="E138" s="1898" t="s">
        <v>1860</v>
      </c>
      <c r="F138" s="1898" t="s">
        <v>1861</v>
      </c>
      <c r="G138" s="1899">
        <v>2250000</v>
      </c>
      <c r="H138" s="1892"/>
    </row>
    <row r="139" spans="1:8" s="1893" customFormat="1" ht="23.25" customHeight="1" x14ac:dyDescent="0.3">
      <c r="A139" s="1891" t="s">
        <v>3114</v>
      </c>
      <c r="B139" s="1898" t="s">
        <v>1146</v>
      </c>
      <c r="C139" s="1898" t="s">
        <v>1846</v>
      </c>
      <c r="D139" s="1898" t="s">
        <v>1847</v>
      </c>
      <c r="E139" s="1898" t="s">
        <v>1860</v>
      </c>
      <c r="F139" s="1898" t="s">
        <v>1930</v>
      </c>
      <c r="G139" s="1899">
        <v>1200000</v>
      </c>
      <c r="H139" s="1892"/>
    </row>
    <row r="140" spans="1:8" s="1893" customFormat="1" ht="23.25" customHeight="1" x14ac:dyDescent="0.3">
      <c r="A140" s="1891" t="s">
        <v>3114</v>
      </c>
      <c r="B140" s="1898" t="s">
        <v>1146</v>
      </c>
      <c r="C140" s="1898" t="s">
        <v>1846</v>
      </c>
      <c r="D140" s="1898" t="s">
        <v>1847</v>
      </c>
      <c r="E140" s="1898" t="s">
        <v>1862</v>
      </c>
      <c r="F140" s="1898" t="s">
        <v>1863</v>
      </c>
      <c r="G140" s="1899">
        <v>74170368</v>
      </c>
      <c r="H140" s="1892"/>
    </row>
    <row r="141" spans="1:8" s="1893" customFormat="1" ht="23.25" customHeight="1" x14ac:dyDescent="0.3">
      <c r="A141" s="1891" t="s">
        <v>3114</v>
      </c>
      <c r="B141" s="1898" t="s">
        <v>1146</v>
      </c>
      <c r="C141" s="1898" t="s">
        <v>1846</v>
      </c>
      <c r="D141" s="1898" t="s">
        <v>1847</v>
      </c>
      <c r="E141" s="1898" t="s">
        <v>1862</v>
      </c>
      <c r="F141" s="1898" t="s">
        <v>1864</v>
      </c>
      <c r="G141" s="1899">
        <v>12714915</v>
      </c>
      <c r="H141" s="1892"/>
    </row>
    <row r="142" spans="1:8" s="1893" customFormat="1" ht="23.25" customHeight="1" x14ac:dyDescent="0.3">
      <c r="A142" s="1891" t="s">
        <v>3114</v>
      </c>
      <c r="B142" s="1898" t="s">
        <v>1146</v>
      </c>
      <c r="C142" s="1898" t="s">
        <v>1846</v>
      </c>
      <c r="D142" s="1898" t="s">
        <v>1847</v>
      </c>
      <c r="E142" s="1898" t="s">
        <v>1862</v>
      </c>
      <c r="F142" s="1898" t="s">
        <v>1865</v>
      </c>
      <c r="G142" s="1899">
        <v>8476610</v>
      </c>
      <c r="H142" s="1892"/>
    </row>
    <row r="143" spans="1:8" s="1893" customFormat="1" ht="23.25" customHeight="1" x14ac:dyDescent="0.3">
      <c r="A143" s="1891" t="s">
        <v>3114</v>
      </c>
      <c r="B143" s="1898" t="s">
        <v>1146</v>
      </c>
      <c r="C143" s="1898" t="s">
        <v>1846</v>
      </c>
      <c r="D143" s="1898" t="s">
        <v>1847</v>
      </c>
      <c r="E143" s="1898" t="s">
        <v>1867</v>
      </c>
      <c r="F143" s="1898" t="s">
        <v>1868</v>
      </c>
      <c r="G143" s="1899">
        <v>72505600</v>
      </c>
      <c r="H143" s="1892"/>
    </row>
    <row r="144" spans="1:8" s="1893" customFormat="1" ht="23.25" customHeight="1" x14ac:dyDescent="0.3">
      <c r="A144" s="1891" t="s">
        <v>3114</v>
      </c>
      <c r="B144" s="1898" t="s">
        <v>1146</v>
      </c>
      <c r="C144" s="1898" t="s">
        <v>1846</v>
      </c>
      <c r="D144" s="1898" t="s">
        <v>1847</v>
      </c>
      <c r="E144" s="1898" t="s">
        <v>1869</v>
      </c>
      <c r="F144" s="1898" t="s">
        <v>1870</v>
      </c>
      <c r="G144" s="1899">
        <v>18087069</v>
      </c>
      <c r="H144" s="1892"/>
    </row>
    <row r="145" spans="1:8" s="1893" customFormat="1" ht="23.25" customHeight="1" x14ac:dyDescent="0.3">
      <c r="A145" s="1891" t="s">
        <v>3114</v>
      </c>
      <c r="B145" s="1898" t="s">
        <v>1146</v>
      </c>
      <c r="C145" s="1898" t="s">
        <v>1846</v>
      </c>
      <c r="D145" s="1898" t="s">
        <v>1847</v>
      </c>
      <c r="E145" s="1898" t="s">
        <v>1869</v>
      </c>
      <c r="F145" s="1898" t="s">
        <v>1871</v>
      </c>
      <c r="G145" s="1899">
        <v>5969000</v>
      </c>
      <c r="H145" s="1892"/>
    </row>
    <row r="146" spans="1:8" s="1893" customFormat="1" ht="23.25" customHeight="1" x14ac:dyDescent="0.3">
      <c r="A146" s="1891" t="s">
        <v>3114</v>
      </c>
      <c r="B146" s="1898" t="s">
        <v>1146</v>
      </c>
      <c r="C146" s="1898" t="s">
        <v>1846</v>
      </c>
      <c r="D146" s="1898" t="s">
        <v>1847</v>
      </c>
      <c r="E146" s="1898" t="s">
        <v>1874</v>
      </c>
      <c r="F146" s="1898" t="s">
        <v>1875</v>
      </c>
      <c r="G146" s="1899">
        <v>10503000</v>
      </c>
      <c r="H146" s="1892"/>
    </row>
    <row r="147" spans="1:8" s="1893" customFormat="1" ht="23.25" customHeight="1" x14ac:dyDescent="0.3">
      <c r="A147" s="1891" t="s">
        <v>3114</v>
      </c>
      <c r="B147" s="1898" t="s">
        <v>1146</v>
      </c>
      <c r="C147" s="1898" t="s">
        <v>1846</v>
      </c>
      <c r="D147" s="1898" t="s">
        <v>1847</v>
      </c>
      <c r="E147" s="1898" t="s">
        <v>1874</v>
      </c>
      <c r="F147" s="1898" t="s">
        <v>1877</v>
      </c>
      <c r="G147" s="1899">
        <v>952000</v>
      </c>
      <c r="H147" s="1892"/>
    </row>
    <row r="148" spans="1:8" s="1893" customFormat="1" ht="23.25" customHeight="1" x14ac:dyDescent="0.3">
      <c r="A148" s="1891" t="s">
        <v>3114</v>
      </c>
      <c r="B148" s="1898" t="s">
        <v>1146</v>
      </c>
      <c r="C148" s="1898" t="s">
        <v>1846</v>
      </c>
      <c r="D148" s="1898" t="s">
        <v>1847</v>
      </c>
      <c r="E148" s="1898" t="s">
        <v>1878</v>
      </c>
      <c r="F148" s="1898" t="s">
        <v>1879</v>
      </c>
      <c r="G148" s="1899">
        <v>1835280</v>
      </c>
      <c r="H148" s="1892"/>
    </row>
    <row r="149" spans="1:8" s="1893" customFormat="1" ht="23.25" customHeight="1" x14ac:dyDescent="0.3">
      <c r="A149" s="1891" t="s">
        <v>3114</v>
      </c>
      <c r="B149" s="1898" t="s">
        <v>1146</v>
      </c>
      <c r="C149" s="1898" t="s">
        <v>1846</v>
      </c>
      <c r="D149" s="1898" t="s">
        <v>1847</v>
      </c>
      <c r="E149" s="1898" t="s">
        <v>1878</v>
      </c>
      <c r="F149" s="1898" t="s">
        <v>1881</v>
      </c>
      <c r="G149" s="1899">
        <v>13104048</v>
      </c>
      <c r="H149" s="1892"/>
    </row>
    <row r="150" spans="1:8" s="1893" customFormat="1" ht="23.25" customHeight="1" x14ac:dyDescent="0.3">
      <c r="A150" s="1891" t="s">
        <v>3114</v>
      </c>
      <c r="B150" s="1898" t="s">
        <v>1146</v>
      </c>
      <c r="C150" s="1898" t="s">
        <v>1846</v>
      </c>
      <c r="D150" s="1898" t="s">
        <v>1847</v>
      </c>
      <c r="E150" s="1898" t="s">
        <v>1889</v>
      </c>
      <c r="F150" s="1898" t="s">
        <v>1890</v>
      </c>
      <c r="G150" s="1899">
        <v>800000</v>
      </c>
      <c r="H150" s="1892"/>
    </row>
    <row r="151" spans="1:8" s="1893" customFormat="1" ht="23.25" customHeight="1" x14ac:dyDescent="0.3">
      <c r="A151" s="1891" t="s">
        <v>3114</v>
      </c>
      <c r="B151" s="1898" t="s">
        <v>1146</v>
      </c>
      <c r="C151" s="1898" t="s">
        <v>1846</v>
      </c>
      <c r="D151" s="1898" t="s">
        <v>1847</v>
      </c>
      <c r="E151" s="1898" t="s">
        <v>1889</v>
      </c>
      <c r="F151" s="1898" t="s">
        <v>1891</v>
      </c>
      <c r="G151" s="1899">
        <v>700000</v>
      </c>
      <c r="H151" s="1892"/>
    </row>
    <row r="152" spans="1:8" s="1893" customFormat="1" ht="23.25" customHeight="1" x14ac:dyDescent="0.3">
      <c r="A152" s="1891" t="s">
        <v>3114</v>
      </c>
      <c r="B152" s="1898" t="s">
        <v>1146</v>
      </c>
      <c r="C152" s="1898" t="s">
        <v>1846</v>
      </c>
      <c r="D152" s="1898" t="s">
        <v>1847</v>
      </c>
      <c r="E152" s="1898" t="s">
        <v>1889</v>
      </c>
      <c r="F152" s="1898" t="s">
        <v>1892</v>
      </c>
      <c r="G152" s="1899">
        <v>28800000</v>
      </c>
      <c r="H152" s="1892"/>
    </row>
    <row r="153" spans="1:8" s="1893" customFormat="1" ht="23.25" customHeight="1" x14ac:dyDescent="0.3">
      <c r="A153" s="1891" t="s">
        <v>3114</v>
      </c>
      <c r="B153" s="1898" t="s">
        <v>1146</v>
      </c>
      <c r="C153" s="1898" t="s">
        <v>1846</v>
      </c>
      <c r="D153" s="1898" t="s">
        <v>1847</v>
      </c>
      <c r="E153" s="1898" t="s">
        <v>1889</v>
      </c>
      <c r="F153" s="1898" t="s">
        <v>1922</v>
      </c>
      <c r="G153" s="1899">
        <v>246000</v>
      </c>
      <c r="H153" s="1892"/>
    </row>
    <row r="154" spans="1:8" s="1893" customFormat="1" ht="23.25" customHeight="1" x14ac:dyDescent="0.3">
      <c r="A154" s="1891" t="s">
        <v>3114</v>
      </c>
      <c r="B154" s="1898" t="s">
        <v>1146</v>
      </c>
      <c r="C154" s="1898" t="s">
        <v>1846</v>
      </c>
      <c r="D154" s="1898" t="s">
        <v>1847</v>
      </c>
      <c r="E154" s="1898" t="s">
        <v>1896</v>
      </c>
      <c r="F154" s="1898" t="s">
        <v>1898</v>
      </c>
      <c r="G154" s="1899">
        <v>76600000</v>
      </c>
      <c r="H154" s="1892"/>
    </row>
    <row r="155" spans="1:8" s="1893" customFormat="1" ht="23.25" customHeight="1" x14ac:dyDescent="0.3">
      <c r="A155" s="1891" t="s">
        <v>3114</v>
      </c>
      <c r="B155" s="1898" t="s">
        <v>1146</v>
      </c>
      <c r="C155" s="1898" t="s">
        <v>1846</v>
      </c>
      <c r="D155" s="1898" t="s">
        <v>1847</v>
      </c>
      <c r="E155" s="1898" t="s">
        <v>1896</v>
      </c>
      <c r="F155" s="1898" t="s">
        <v>1928</v>
      </c>
      <c r="G155" s="1899">
        <v>1980000</v>
      </c>
      <c r="H155" s="1892"/>
    </row>
    <row r="156" spans="1:8" s="1893" customFormat="1" ht="23.25" customHeight="1" x14ac:dyDescent="0.3">
      <c r="A156" s="1891" t="s">
        <v>3114</v>
      </c>
      <c r="B156" s="1898" t="s">
        <v>1146</v>
      </c>
      <c r="C156" s="1898" t="s">
        <v>1846</v>
      </c>
      <c r="D156" s="1898" t="s">
        <v>1847</v>
      </c>
      <c r="E156" s="1898" t="s">
        <v>1906</v>
      </c>
      <c r="F156" s="1898" t="s">
        <v>1909</v>
      </c>
      <c r="G156" s="1899">
        <v>7214000</v>
      </c>
      <c r="H156" s="1892"/>
    </row>
    <row r="157" spans="1:8" s="1893" customFormat="1" ht="23.25" customHeight="1" x14ac:dyDescent="0.3">
      <c r="A157" s="1891" t="s">
        <v>3114</v>
      </c>
      <c r="B157" s="1898" t="s">
        <v>1146</v>
      </c>
      <c r="C157" s="1898" t="s">
        <v>1846</v>
      </c>
      <c r="D157" s="1898" t="s">
        <v>1847</v>
      </c>
      <c r="E157" s="1898" t="s">
        <v>1912</v>
      </c>
      <c r="F157" s="1898" t="s">
        <v>1913</v>
      </c>
      <c r="G157" s="1899">
        <v>7600000</v>
      </c>
      <c r="H157" s="1892"/>
    </row>
    <row r="158" spans="1:8" s="1893" customFormat="1" ht="23.25" customHeight="1" x14ac:dyDescent="0.3">
      <c r="A158" s="1891" t="s">
        <v>3114</v>
      </c>
      <c r="B158" s="1898" t="s">
        <v>1146</v>
      </c>
      <c r="C158" s="1898" t="s">
        <v>1846</v>
      </c>
      <c r="D158" s="1898" t="s">
        <v>1847</v>
      </c>
      <c r="E158" s="1898" t="s">
        <v>1912</v>
      </c>
      <c r="F158" s="1898" t="s">
        <v>1915</v>
      </c>
      <c r="G158" s="1899">
        <v>22650000</v>
      </c>
      <c r="H158" s="1892"/>
    </row>
    <row r="159" spans="1:8" s="1893" customFormat="1" ht="23.25" customHeight="1" x14ac:dyDescent="0.3">
      <c r="A159" s="1891" t="s">
        <v>3114</v>
      </c>
      <c r="B159" s="1898" t="s">
        <v>1146</v>
      </c>
      <c r="C159" s="1898" t="s">
        <v>1846</v>
      </c>
      <c r="D159" s="1898" t="s">
        <v>1847</v>
      </c>
      <c r="E159" s="1898" t="s">
        <v>1912</v>
      </c>
      <c r="F159" s="1898" t="s">
        <v>1916</v>
      </c>
      <c r="G159" s="1899">
        <v>2310000</v>
      </c>
      <c r="H159" s="1892"/>
    </row>
    <row r="160" spans="1:8" s="1893" customFormat="1" ht="23.25" customHeight="1" x14ac:dyDescent="0.3">
      <c r="A160" s="1891" t="s">
        <v>3114</v>
      </c>
      <c r="B160" s="1898" t="s">
        <v>1151</v>
      </c>
      <c r="C160" s="1898" t="s">
        <v>1933</v>
      </c>
      <c r="D160" s="1898" t="s">
        <v>1934</v>
      </c>
      <c r="E160" s="1898" t="s">
        <v>1906</v>
      </c>
      <c r="F160" s="1898" t="s">
        <v>1907</v>
      </c>
      <c r="G160" s="1899">
        <v>0</v>
      </c>
      <c r="H160" s="1892"/>
    </row>
    <row r="161" spans="1:8" s="1893" customFormat="1" ht="23.25" customHeight="1" x14ac:dyDescent="0.3">
      <c r="A161" s="1891" t="s">
        <v>3114</v>
      </c>
      <c r="B161" s="1898" t="s">
        <v>1151</v>
      </c>
      <c r="C161" s="1898" t="s">
        <v>1970</v>
      </c>
      <c r="D161" s="1898" t="s">
        <v>2050</v>
      </c>
      <c r="E161" s="1898" t="s">
        <v>1906</v>
      </c>
      <c r="F161" s="1898" t="s">
        <v>1909</v>
      </c>
      <c r="G161" s="1899">
        <v>83043880</v>
      </c>
      <c r="H161" s="1892"/>
    </row>
    <row r="162" spans="1:8" s="1893" customFormat="1" ht="23.25" customHeight="1" x14ac:dyDescent="0.3">
      <c r="A162" s="1891" t="s">
        <v>3114</v>
      </c>
      <c r="B162" s="1898" t="s">
        <v>1151</v>
      </c>
      <c r="C162" s="1898" t="s">
        <v>1970</v>
      </c>
      <c r="D162" s="1898" t="s">
        <v>1971</v>
      </c>
      <c r="E162" s="1898" t="s">
        <v>1869</v>
      </c>
      <c r="F162" s="1898" t="s">
        <v>1873</v>
      </c>
      <c r="G162" s="1899">
        <v>313357500</v>
      </c>
      <c r="H162" s="1892"/>
    </row>
    <row r="163" spans="1:8" s="1893" customFormat="1" ht="23.25" customHeight="1" x14ac:dyDescent="0.3">
      <c r="A163" s="1891" t="s">
        <v>3114</v>
      </c>
      <c r="B163" s="1898" t="s">
        <v>1151</v>
      </c>
      <c r="C163" s="1898" t="s">
        <v>1919</v>
      </c>
      <c r="D163" s="1898" t="s">
        <v>1931</v>
      </c>
      <c r="E163" s="1898" t="s">
        <v>1896</v>
      </c>
      <c r="F163" s="1898" t="s">
        <v>1932</v>
      </c>
      <c r="G163" s="1899">
        <v>2143279957</v>
      </c>
      <c r="H163" s="1892"/>
    </row>
    <row r="164" spans="1:8" s="1893" customFormat="1" ht="23.25" customHeight="1" x14ac:dyDescent="0.3">
      <c r="A164" s="1891" t="s">
        <v>3114</v>
      </c>
      <c r="B164" s="1898" t="s">
        <v>1151</v>
      </c>
      <c r="C164" s="1898" t="s">
        <v>1972</v>
      </c>
      <c r="D164" s="1898" t="s">
        <v>2054</v>
      </c>
      <c r="E164" s="1898" t="s">
        <v>1896</v>
      </c>
      <c r="F164" s="1898" t="s">
        <v>1932</v>
      </c>
      <c r="G164" s="1899">
        <v>129803396</v>
      </c>
      <c r="H164" s="1892"/>
    </row>
    <row r="165" spans="1:8" s="1893" customFormat="1" ht="23.25" customHeight="1" x14ac:dyDescent="0.3">
      <c r="A165" s="1891" t="s">
        <v>3114</v>
      </c>
      <c r="B165" s="1898" t="s">
        <v>1151</v>
      </c>
      <c r="C165" s="1898" t="s">
        <v>1972</v>
      </c>
      <c r="D165" s="1898" t="s">
        <v>1973</v>
      </c>
      <c r="E165" s="1898" t="s">
        <v>1974</v>
      </c>
      <c r="F165" s="1898" t="s">
        <v>2241</v>
      </c>
      <c r="G165" s="1899">
        <v>800000000</v>
      </c>
      <c r="H165" s="1892"/>
    </row>
    <row r="166" spans="1:8" s="1893" customFormat="1" ht="23.25" customHeight="1" x14ac:dyDescent="0.3">
      <c r="A166" s="1891" t="s">
        <v>3114</v>
      </c>
      <c r="B166" s="1898" t="s">
        <v>1151</v>
      </c>
      <c r="C166" s="1898" t="s">
        <v>1972</v>
      </c>
      <c r="D166" s="1898" t="s">
        <v>2235</v>
      </c>
      <c r="E166" s="1898" t="s">
        <v>1869</v>
      </c>
      <c r="F166" s="1898" t="s">
        <v>1872</v>
      </c>
      <c r="G166" s="1899">
        <v>737616</v>
      </c>
      <c r="H166" s="1892"/>
    </row>
    <row r="167" spans="1:8" s="1893" customFormat="1" ht="23.25" customHeight="1" x14ac:dyDescent="0.3">
      <c r="A167" s="1891" t="s">
        <v>3114</v>
      </c>
      <c r="B167" s="1898" t="s">
        <v>1151</v>
      </c>
      <c r="C167" s="1898" t="s">
        <v>1972</v>
      </c>
      <c r="D167" s="1898" t="s">
        <v>2235</v>
      </c>
      <c r="E167" s="1898" t="s">
        <v>1869</v>
      </c>
      <c r="F167" s="1898" t="s">
        <v>1873</v>
      </c>
      <c r="G167" s="1899">
        <v>450000</v>
      </c>
      <c r="H167" s="1892"/>
    </row>
    <row r="168" spans="1:8" s="1893" customFormat="1" ht="23.25" customHeight="1" x14ac:dyDescent="0.3">
      <c r="A168" s="1891" t="s">
        <v>3114</v>
      </c>
      <c r="B168" s="1898" t="s">
        <v>1151</v>
      </c>
      <c r="C168" s="1898" t="s">
        <v>1972</v>
      </c>
      <c r="D168" s="1898" t="s">
        <v>2235</v>
      </c>
      <c r="E168" s="1898" t="s">
        <v>1893</v>
      </c>
      <c r="F168" s="1898" t="s">
        <v>1894</v>
      </c>
      <c r="G168" s="1899">
        <v>10500000</v>
      </c>
      <c r="H168" s="1892"/>
    </row>
    <row r="169" spans="1:8" s="1893" customFormat="1" ht="23.25" customHeight="1" x14ac:dyDescent="0.3">
      <c r="A169" s="1891" t="s">
        <v>3114</v>
      </c>
      <c r="B169" s="1898" t="s">
        <v>1151</v>
      </c>
      <c r="C169" s="1898" t="s">
        <v>1972</v>
      </c>
      <c r="D169" s="1898" t="s">
        <v>2235</v>
      </c>
      <c r="E169" s="1898" t="s">
        <v>1893</v>
      </c>
      <c r="F169" s="1898" t="s">
        <v>1895</v>
      </c>
      <c r="G169" s="1899">
        <v>15499000</v>
      </c>
      <c r="H169" s="1892"/>
    </row>
    <row r="170" spans="1:8" s="1893" customFormat="1" ht="23.25" customHeight="1" x14ac:dyDescent="0.3">
      <c r="A170" s="1891" t="s">
        <v>3114</v>
      </c>
      <c r="B170" s="1898" t="s">
        <v>1151</v>
      </c>
      <c r="C170" s="1898" t="s">
        <v>1972</v>
      </c>
      <c r="D170" s="1898" t="s">
        <v>2235</v>
      </c>
      <c r="E170" s="1898" t="s">
        <v>1896</v>
      </c>
      <c r="F170" s="1898" t="s">
        <v>1902</v>
      </c>
      <c r="G170" s="1899">
        <v>37590686</v>
      </c>
      <c r="H170" s="1892"/>
    </row>
    <row r="171" spans="1:8" s="1893" customFormat="1" ht="23.25" customHeight="1" x14ac:dyDescent="0.3">
      <c r="A171" s="1891" t="s">
        <v>3114</v>
      </c>
      <c r="B171" s="1898" t="s">
        <v>1151</v>
      </c>
      <c r="C171" s="1898" t="s">
        <v>1972</v>
      </c>
      <c r="D171" s="1898" t="s">
        <v>2235</v>
      </c>
      <c r="E171" s="1898" t="s">
        <v>1906</v>
      </c>
      <c r="F171" s="1898" t="s">
        <v>1909</v>
      </c>
      <c r="G171" s="1899">
        <v>63825300</v>
      </c>
      <c r="H171" s="1892"/>
    </row>
    <row r="172" spans="1:8" s="1893" customFormat="1" ht="23.25" customHeight="1" x14ac:dyDescent="0.3">
      <c r="A172" s="1891" t="s">
        <v>3114</v>
      </c>
      <c r="B172" s="1898" t="s">
        <v>1151</v>
      </c>
      <c r="C172" s="1898" t="s">
        <v>1846</v>
      </c>
      <c r="D172" s="1898" t="s">
        <v>1847</v>
      </c>
      <c r="E172" s="1898" t="s">
        <v>1848</v>
      </c>
      <c r="F172" s="1898" t="s">
        <v>1849</v>
      </c>
      <c r="G172" s="1899">
        <v>287733904</v>
      </c>
      <c r="H172" s="1892"/>
    </row>
    <row r="173" spans="1:8" s="1893" customFormat="1" ht="23.25" customHeight="1" x14ac:dyDescent="0.3">
      <c r="A173" s="1891" t="s">
        <v>3114</v>
      </c>
      <c r="B173" s="1898" t="s">
        <v>1151</v>
      </c>
      <c r="C173" s="1898" t="s">
        <v>1846</v>
      </c>
      <c r="D173" s="1898" t="s">
        <v>1847</v>
      </c>
      <c r="E173" s="1898" t="s">
        <v>1853</v>
      </c>
      <c r="F173" s="1898" t="s">
        <v>1854</v>
      </c>
      <c r="G173" s="1899">
        <v>7152000</v>
      </c>
      <c r="H173" s="1892"/>
    </row>
    <row r="174" spans="1:8" s="1893" customFormat="1" ht="23.25" customHeight="1" x14ac:dyDescent="0.3">
      <c r="A174" s="1891" t="s">
        <v>3114</v>
      </c>
      <c r="B174" s="1898" t="s">
        <v>1151</v>
      </c>
      <c r="C174" s="1898" t="s">
        <v>1846</v>
      </c>
      <c r="D174" s="1898" t="s">
        <v>1847</v>
      </c>
      <c r="E174" s="1898" t="s">
        <v>1853</v>
      </c>
      <c r="F174" s="1898" t="s">
        <v>1855</v>
      </c>
      <c r="G174" s="1899">
        <v>50660000</v>
      </c>
      <c r="H174" s="1892"/>
    </row>
    <row r="175" spans="1:8" s="1893" customFormat="1" ht="23.25" customHeight="1" x14ac:dyDescent="0.3">
      <c r="A175" s="1891" t="s">
        <v>3114</v>
      </c>
      <c r="B175" s="1898" t="s">
        <v>1151</v>
      </c>
      <c r="C175" s="1898" t="s">
        <v>1846</v>
      </c>
      <c r="D175" s="1898" t="s">
        <v>1847</v>
      </c>
      <c r="E175" s="1898" t="s">
        <v>1853</v>
      </c>
      <c r="F175" s="1898" t="s">
        <v>1856</v>
      </c>
      <c r="G175" s="1899">
        <v>34189186</v>
      </c>
      <c r="H175" s="1892"/>
    </row>
    <row r="176" spans="1:8" s="1893" customFormat="1" ht="23.25" customHeight="1" x14ac:dyDescent="0.3">
      <c r="A176" s="1891" t="s">
        <v>3114</v>
      </c>
      <c r="B176" s="1898" t="s">
        <v>1151</v>
      </c>
      <c r="C176" s="1898" t="s">
        <v>1846</v>
      </c>
      <c r="D176" s="1898" t="s">
        <v>1847</v>
      </c>
      <c r="E176" s="1898" t="s">
        <v>1853</v>
      </c>
      <c r="F176" s="1898" t="s">
        <v>1858</v>
      </c>
      <c r="G176" s="1899">
        <v>7152000</v>
      </c>
      <c r="H176" s="1892"/>
    </row>
    <row r="177" spans="1:8" s="1893" customFormat="1" ht="23.25" customHeight="1" x14ac:dyDescent="0.3">
      <c r="A177" s="1891" t="s">
        <v>3114</v>
      </c>
      <c r="B177" s="1898" t="s">
        <v>1151</v>
      </c>
      <c r="C177" s="1898" t="s">
        <v>1846</v>
      </c>
      <c r="D177" s="1898" t="s">
        <v>1847</v>
      </c>
      <c r="E177" s="1898" t="s">
        <v>1853</v>
      </c>
      <c r="F177" s="1898" t="s">
        <v>1859</v>
      </c>
      <c r="G177" s="1899">
        <v>73730415</v>
      </c>
      <c r="H177" s="1892"/>
    </row>
    <row r="178" spans="1:8" s="1893" customFormat="1" ht="23.25" customHeight="1" x14ac:dyDescent="0.3">
      <c r="A178" s="1891" t="s">
        <v>3114</v>
      </c>
      <c r="B178" s="1898" t="s">
        <v>1151</v>
      </c>
      <c r="C178" s="1898" t="s">
        <v>1846</v>
      </c>
      <c r="D178" s="1898" t="s">
        <v>1847</v>
      </c>
      <c r="E178" s="1898" t="s">
        <v>1853</v>
      </c>
      <c r="F178" s="1898" t="s">
        <v>1939</v>
      </c>
      <c r="G178" s="1899">
        <v>6319090</v>
      </c>
      <c r="H178" s="1892"/>
    </row>
    <row r="179" spans="1:8" s="1893" customFormat="1" ht="23.25" customHeight="1" x14ac:dyDescent="0.3">
      <c r="A179" s="1891" t="s">
        <v>3114</v>
      </c>
      <c r="B179" s="1898" t="s">
        <v>1151</v>
      </c>
      <c r="C179" s="1898" t="s">
        <v>1846</v>
      </c>
      <c r="D179" s="1898" t="s">
        <v>1847</v>
      </c>
      <c r="E179" s="1898" t="s">
        <v>1860</v>
      </c>
      <c r="F179" s="1898" t="s">
        <v>1861</v>
      </c>
      <c r="G179" s="1899">
        <v>1350000</v>
      </c>
      <c r="H179" s="1892"/>
    </row>
    <row r="180" spans="1:8" s="1893" customFormat="1" ht="23.25" customHeight="1" x14ac:dyDescent="0.3">
      <c r="A180" s="1891" t="s">
        <v>3114</v>
      </c>
      <c r="B180" s="1898" t="s">
        <v>1151</v>
      </c>
      <c r="C180" s="1898" t="s">
        <v>1846</v>
      </c>
      <c r="D180" s="1898" t="s">
        <v>1847</v>
      </c>
      <c r="E180" s="1898" t="s">
        <v>1862</v>
      </c>
      <c r="F180" s="1898" t="s">
        <v>1863</v>
      </c>
      <c r="G180" s="1899">
        <v>51605039</v>
      </c>
      <c r="H180" s="1892"/>
    </row>
    <row r="181" spans="1:8" s="1893" customFormat="1" ht="23.25" customHeight="1" x14ac:dyDescent="0.3">
      <c r="A181" s="1891" t="s">
        <v>3114</v>
      </c>
      <c r="B181" s="1898" t="s">
        <v>1151</v>
      </c>
      <c r="C181" s="1898" t="s">
        <v>1846</v>
      </c>
      <c r="D181" s="1898" t="s">
        <v>1847</v>
      </c>
      <c r="E181" s="1898" t="s">
        <v>1862</v>
      </c>
      <c r="F181" s="1898" t="s">
        <v>1864</v>
      </c>
      <c r="G181" s="1899">
        <v>8846573</v>
      </c>
      <c r="H181" s="1892"/>
    </row>
    <row r="182" spans="1:8" s="1893" customFormat="1" ht="23.25" customHeight="1" x14ac:dyDescent="0.3">
      <c r="A182" s="1891" t="s">
        <v>3114</v>
      </c>
      <c r="B182" s="1898" t="s">
        <v>1151</v>
      </c>
      <c r="C182" s="1898" t="s">
        <v>1846</v>
      </c>
      <c r="D182" s="1898" t="s">
        <v>1847</v>
      </c>
      <c r="E182" s="1898" t="s">
        <v>1862</v>
      </c>
      <c r="F182" s="1898" t="s">
        <v>1865</v>
      </c>
      <c r="G182" s="1899">
        <v>5897718</v>
      </c>
      <c r="H182" s="1892"/>
    </row>
    <row r="183" spans="1:8" s="1893" customFormat="1" ht="23.25" customHeight="1" x14ac:dyDescent="0.3">
      <c r="A183" s="1891" t="s">
        <v>3114</v>
      </c>
      <c r="B183" s="1898" t="s">
        <v>1151</v>
      </c>
      <c r="C183" s="1898" t="s">
        <v>1846</v>
      </c>
      <c r="D183" s="1898" t="s">
        <v>1847</v>
      </c>
      <c r="E183" s="1898" t="s">
        <v>1867</v>
      </c>
      <c r="F183" s="1898" t="s">
        <v>1868</v>
      </c>
      <c r="G183" s="1899">
        <v>56375458</v>
      </c>
      <c r="H183" s="1892"/>
    </row>
    <row r="184" spans="1:8" s="1893" customFormat="1" ht="23.25" customHeight="1" x14ac:dyDescent="0.3">
      <c r="A184" s="1891" t="s">
        <v>3114</v>
      </c>
      <c r="B184" s="1898" t="s">
        <v>1151</v>
      </c>
      <c r="C184" s="1898" t="s">
        <v>1846</v>
      </c>
      <c r="D184" s="1898" t="s">
        <v>1847</v>
      </c>
      <c r="E184" s="1898" t="s">
        <v>1869</v>
      </c>
      <c r="F184" s="1898" t="s">
        <v>1870</v>
      </c>
      <c r="G184" s="1899">
        <v>7770431</v>
      </c>
      <c r="H184" s="1892"/>
    </row>
    <row r="185" spans="1:8" s="1893" customFormat="1" ht="23.25" customHeight="1" x14ac:dyDescent="0.3">
      <c r="A185" s="1891" t="s">
        <v>3114</v>
      </c>
      <c r="B185" s="1898" t="s">
        <v>1151</v>
      </c>
      <c r="C185" s="1898" t="s">
        <v>1846</v>
      </c>
      <c r="D185" s="1898" t="s">
        <v>1847</v>
      </c>
      <c r="E185" s="1898" t="s">
        <v>1869</v>
      </c>
      <c r="F185" s="1898" t="s">
        <v>1871</v>
      </c>
      <c r="G185" s="1899">
        <v>1536698</v>
      </c>
      <c r="H185" s="1892"/>
    </row>
    <row r="186" spans="1:8" s="1893" customFormat="1" ht="23.25" customHeight="1" x14ac:dyDescent="0.3">
      <c r="A186" s="1891" t="s">
        <v>3114</v>
      </c>
      <c r="B186" s="1898" t="s">
        <v>1151</v>
      </c>
      <c r="C186" s="1898" t="s">
        <v>1846</v>
      </c>
      <c r="D186" s="1898" t="s">
        <v>1847</v>
      </c>
      <c r="E186" s="1898" t="s">
        <v>1869</v>
      </c>
      <c r="F186" s="1898" t="s">
        <v>1873</v>
      </c>
      <c r="G186" s="1899">
        <v>0</v>
      </c>
      <c r="H186" s="1892"/>
    </row>
    <row r="187" spans="1:8" s="1893" customFormat="1" ht="23.25" customHeight="1" x14ac:dyDescent="0.3">
      <c r="A187" s="1891" t="s">
        <v>3114</v>
      </c>
      <c r="B187" s="1898" t="s">
        <v>1151</v>
      </c>
      <c r="C187" s="1898" t="s">
        <v>1846</v>
      </c>
      <c r="D187" s="1898" t="s">
        <v>1847</v>
      </c>
      <c r="E187" s="1898" t="s">
        <v>1874</v>
      </c>
      <c r="F187" s="1898" t="s">
        <v>1875</v>
      </c>
      <c r="G187" s="1899">
        <v>1900000</v>
      </c>
      <c r="H187" s="1892"/>
    </row>
    <row r="188" spans="1:8" s="1893" customFormat="1" ht="23.25" customHeight="1" x14ac:dyDescent="0.3">
      <c r="A188" s="1891" t="s">
        <v>3114</v>
      </c>
      <c r="B188" s="1898" t="s">
        <v>1151</v>
      </c>
      <c r="C188" s="1898" t="s">
        <v>1846</v>
      </c>
      <c r="D188" s="1898" t="s">
        <v>1847</v>
      </c>
      <c r="E188" s="1898" t="s">
        <v>1874</v>
      </c>
      <c r="F188" s="1898" t="s">
        <v>1877</v>
      </c>
      <c r="G188" s="1899">
        <v>3090000</v>
      </c>
      <c r="H188" s="1892"/>
    </row>
    <row r="189" spans="1:8" s="1893" customFormat="1" ht="23.25" customHeight="1" x14ac:dyDescent="0.3">
      <c r="A189" s="1891" t="s">
        <v>3114</v>
      </c>
      <c r="B189" s="1898" t="s">
        <v>1151</v>
      </c>
      <c r="C189" s="1898" t="s">
        <v>1846</v>
      </c>
      <c r="D189" s="1898" t="s">
        <v>1847</v>
      </c>
      <c r="E189" s="1898" t="s">
        <v>1878</v>
      </c>
      <c r="F189" s="1898" t="s">
        <v>1879</v>
      </c>
      <c r="G189" s="1899">
        <v>534238</v>
      </c>
      <c r="H189" s="1892"/>
    </row>
    <row r="190" spans="1:8" s="1893" customFormat="1" ht="23.25" customHeight="1" x14ac:dyDescent="0.3">
      <c r="A190" s="1891" t="s">
        <v>3114</v>
      </c>
      <c r="B190" s="1898" t="s">
        <v>1151</v>
      </c>
      <c r="C190" s="1898" t="s">
        <v>1846</v>
      </c>
      <c r="D190" s="1898" t="s">
        <v>1847</v>
      </c>
      <c r="E190" s="1898" t="s">
        <v>1889</v>
      </c>
      <c r="F190" s="1898" t="s">
        <v>1892</v>
      </c>
      <c r="G190" s="1899">
        <v>21000000</v>
      </c>
      <c r="H190" s="1892"/>
    </row>
    <row r="191" spans="1:8" s="1893" customFormat="1" ht="23.25" customHeight="1" x14ac:dyDescent="0.3">
      <c r="A191" s="1891" t="s">
        <v>3114</v>
      </c>
      <c r="B191" s="1898" t="s">
        <v>1151</v>
      </c>
      <c r="C191" s="1898" t="s">
        <v>1846</v>
      </c>
      <c r="D191" s="1898" t="s">
        <v>1847</v>
      </c>
      <c r="E191" s="1898" t="s">
        <v>1893</v>
      </c>
      <c r="F191" s="1898" t="s">
        <v>1895</v>
      </c>
      <c r="G191" s="1899">
        <v>0</v>
      </c>
      <c r="H191" s="1892"/>
    </row>
    <row r="192" spans="1:8" s="1893" customFormat="1" ht="23.25" customHeight="1" x14ac:dyDescent="0.3">
      <c r="A192" s="1891" t="s">
        <v>3114</v>
      </c>
      <c r="B192" s="1898" t="s">
        <v>1151</v>
      </c>
      <c r="C192" s="1898" t="s">
        <v>1846</v>
      </c>
      <c r="D192" s="1898" t="s">
        <v>1847</v>
      </c>
      <c r="E192" s="1898" t="s">
        <v>1896</v>
      </c>
      <c r="F192" s="1898" t="s">
        <v>1900</v>
      </c>
      <c r="G192" s="1899">
        <v>3600000</v>
      </c>
      <c r="H192" s="1892"/>
    </row>
    <row r="193" spans="1:8" s="1893" customFormat="1" ht="23.25" customHeight="1" x14ac:dyDescent="0.3">
      <c r="A193" s="1891" t="s">
        <v>3114</v>
      </c>
      <c r="B193" s="1898" t="s">
        <v>1151</v>
      </c>
      <c r="C193" s="1898" t="s">
        <v>1846</v>
      </c>
      <c r="D193" s="1898" t="s">
        <v>1847</v>
      </c>
      <c r="E193" s="1898" t="s">
        <v>1906</v>
      </c>
      <c r="F193" s="1898" t="s">
        <v>1907</v>
      </c>
      <c r="G193" s="1899">
        <v>1140000</v>
      </c>
      <c r="H193" s="1892"/>
    </row>
    <row r="194" spans="1:8" s="1893" customFormat="1" ht="23.25" customHeight="1" x14ac:dyDescent="0.3">
      <c r="A194" s="1891" t="s">
        <v>3114</v>
      </c>
      <c r="B194" s="1898" t="s">
        <v>1151</v>
      </c>
      <c r="C194" s="1898" t="s">
        <v>1846</v>
      </c>
      <c r="D194" s="1898" t="s">
        <v>1847</v>
      </c>
      <c r="E194" s="1898" t="s">
        <v>1906</v>
      </c>
      <c r="F194" s="1898" t="s">
        <v>1909</v>
      </c>
      <c r="G194" s="1899">
        <v>14149000</v>
      </c>
      <c r="H194" s="1892"/>
    </row>
    <row r="195" spans="1:8" s="1893" customFormat="1" ht="23.25" customHeight="1" x14ac:dyDescent="0.3">
      <c r="A195" s="1891" t="s">
        <v>3114</v>
      </c>
      <c r="B195" s="1898" t="s">
        <v>1151</v>
      </c>
      <c r="C195" s="1898" t="s">
        <v>1846</v>
      </c>
      <c r="D195" s="1898" t="s">
        <v>1847</v>
      </c>
      <c r="E195" s="1898" t="s">
        <v>1912</v>
      </c>
      <c r="F195" s="1898" t="s">
        <v>1913</v>
      </c>
      <c r="G195" s="1899">
        <v>3600000</v>
      </c>
      <c r="H195" s="1892"/>
    </row>
    <row r="196" spans="1:8" s="1893" customFormat="1" ht="23.25" customHeight="1" x14ac:dyDescent="0.3">
      <c r="A196" s="1891" t="s">
        <v>3114</v>
      </c>
      <c r="B196" s="1898" t="s">
        <v>1151</v>
      </c>
      <c r="C196" s="1898" t="s">
        <v>1846</v>
      </c>
      <c r="D196" s="1898" t="s">
        <v>1847</v>
      </c>
      <c r="E196" s="1898" t="s">
        <v>1912</v>
      </c>
      <c r="F196" s="1898" t="s">
        <v>1915</v>
      </c>
      <c r="G196" s="1899">
        <v>24020000</v>
      </c>
      <c r="H196" s="1892"/>
    </row>
    <row r="197" spans="1:8" s="1893" customFormat="1" ht="23.25" customHeight="1" x14ac:dyDescent="0.3">
      <c r="A197" s="1891" t="s">
        <v>3114</v>
      </c>
      <c r="B197" s="1898" t="s">
        <v>1151</v>
      </c>
      <c r="C197" s="1898" t="s">
        <v>1846</v>
      </c>
      <c r="D197" s="1898" t="s">
        <v>1847</v>
      </c>
      <c r="E197" s="1898" t="s">
        <v>1912</v>
      </c>
      <c r="F197" s="1898" t="s">
        <v>1916</v>
      </c>
      <c r="G197" s="1899">
        <v>9170000</v>
      </c>
      <c r="H197" s="1892"/>
    </row>
    <row r="198" spans="1:8" s="1893" customFormat="1" ht="23.25" customHeight="1" x14ac:dyDescent="0.3">
      <c r="A198" s="1891" t="s">
        <v>3114</v>
      </c>
      <c r="B198" s="1898" t="s">
        <v>1153</v>
      </c>
      <c r="C198" s="1898" t="s">
        <v>1933</v>
      </c>
      <c r="D198" s="1898" t="s">
        <v>1934</v>
      </c>
      <c r="E198" s="1898" t="s">
        <v>1848</v>
      </c>
      <c r="F198" s="1898" t="s">
        <v>1849</v>
      </c>
      <c r="G198" s="1899">
        <v>14488554141</v>
      </c>
      <c r="H198" s="1892"/>
    </row>
    <row r="199" spans="1:8" s="1893" customFormat="1" ht="23.25" customHeight="1" x14ac:dyDescent="0.3">
      <c r="A199" s="1891" t="s">
        <v>3114</v>
      </c>
      <c r="B199" s="1898" t="s">
        <v>1153</v>
      </c>
      <c r="C199" s="1898" t="s">
        <v>1933</v>
      </c>
      <c r="D199" s="1898" t="s">
        <v>1934</v>
      </c>
      <c r="E199" s="1898" t="s">
        <v>1848</v>
      </c>
      <c r="F199" s="1898" t="s">
        <v>1850</v>
      </c>
      <c r="G199" s="1899">
        <v>255222627</v>
      </c>
      <c r="H199" s="1892"/>
    </row>
    <row r="200" spans="1:8" s="1893" customFormat="1" ht="23.25" customHeight="1" x14ac:dyDescent="0.3">
      <c r="A200" s="1891" t="s">
        <v>3114</v>
      </c>
      <c r="B200" s="1898" t="s">
        <v>1153</v>
      </c>
      <c r="C200" s="1898" t="s">
        <v>1933</v>
      </c>
      <c r="D200" s="1898" t="s">
        <v>1934</v>
      </c>
      <c r="E200" s="1898" t="s">
        <v>1851</v>
      </c>
      <c r="F200" s="1898" t="s">
        <v>1852</v>
      </c>
      <c r="G200" s="1899">
        <v>1430901723</v>
      </c>
      <c r="H200" s="1892"/>
    </row>
    <row r="201" spans="1:8" s="1893" customFormat="1" ht="23.25" customHeight="1" x14ac:dyDescent="0.3">
      <c r="A201" s="1891" t="s">
        <v>3114</v>
      </c>
      <c r="B201" s="1898" t="s">
        <v>1153</v>
      </c>
      <c r="C201" s="1898" t="s">
        <v>1933</v>
      </c>
      <c r="D201" s="1898" t="s">
        <v>1934</v>
      </c>
      <c r="E201" s="1898" t="s">
        <v>1853</v>
      </c>
      <c r="F201" s="1898" t="s">
        <v>1854</v>
      </c>
      <c r="G201" s="1899">
        <v>409769508</v>
      </c>
      <c r="H201" s="1892"/>
    </row>
    <row r="202" spans="1:8" s="1893" customFormat="1" ht="23.25" customHeight="1" x14ac:dyDescent="0.3">
      <c r="A202" s="1891" t="s">
        <v>3114</v>
      </c>
      <c r="B202" s="1898" t="s">
        <v>1153</v>
      </c>
      <c r="C202" s="1898" t="s">
        <v>1933</v>
      </c>
      <c r="D202" s="1898" t="s">
        <v>1934</v>
      </c>
      <c r="E202" s="1898" t="s">
        <v>1853</v>
      </c>
      <c r="F202" s="1898" t="s">
        <v>1855</v>
      </c>
      <c r="G202" s="1899">
        <v>2402021103</v>
      </c>
      <c r="H202" s="1892"/>
    </row>
    <row r="203" spans="1:8" s="1893" customFormat="1" ht="23.25" customHeight="1" x14ac:dyDescent="0.3">
      <c r="A203" s="1891" t="s">
        <v>3114</v>
      </c>
      <c r="B203" s="1898" t="s">
        <v>1153</v>
      </c>
      <c r="C203" s="1898" t="s">
        <v>1933</v>
      </c>
      <c r="D203" s="1898" t="s">
        <v>1934</v>
      </c>
      <c r="E203" s="1898" t="s">
        <v>1853</v>
      </c>
      <c r="F203" s="1898" t="s">
        <v>1935</v>
      </c>
      <c r="G203" s="1899">
        <v>1379776317</v>
      </c>
      <c r="H203" s="1892"/>
    </row>
    <row r="204" spans="1:8" s="1893" customFormat="1" ht="23.25" customHeight="1" x14ac:dyDescent="0.3">
      <c r="A204" s="1891" t="s">
        <v>3114</v>
      </c>
      <c r="B204" s="1898" t="s">
        <v>1153</v>
      </c>
      <c r="C204" s="1898" t="s">
        <v>1933</v>
      </c>
      <c r="D204" s="1898" t="s">
        <v>1934</v>
      </c>
      <c r="E204" s="1898" t="s">
        <v>1853</v>
      </c>
      <c r="F204" s="1898" t="s">
        <v>1856</v>
      </c>
      <c r="G204" s="1899">
        <v>462080374</v>
      </c>
      <c r="H204" s="1892"/>
    </row>
    <row r="205" spans="1:8" s="1893" customFormat="1" ht="23.25" customHeight="1" x14ac:dyDescent="0.3">
      <c r="A205" s="1891" t="s">
        <v>3114</v>
      </c>
      <c r="B205" s="1898" t="s">
        <v>1153</v>
      </c>
      <c r="C205" s="1898" t="s">
        <v>1933</v>
      </c>
      <c r="D205" s="1898" t="s">
        <v>1934</v>
      </c>
      <c r="E205" s="1898" t="s">
        <v>1853</v>
      </c>
      <c r="F205" s="1898" t="s">
        <v>1937</v>
      </c>
      <c r="G205" s="1899">
        <v>8612470771</v>
      </c>
      <c r="H205" s="1892"/>
    </row>
    <row r="206" spans="1:8" s="1893" customFormat="1" ht="23.25" customHeight="1" x14ac:dyDescent="0.3">
      <c r="A206" s="1891" t="s">
        <v>3114</v>
      </c>
      <c r="B206" s="1898" t="s">
        <v>1153</v>
      </c>
      <c r="C206" s="1898" t="s">
        <v>1933</v>
      </c>
      <c r="D206" s="1898" t="s">
        <v>1934</v>
      </c>
      <c r="E206" s="1898" t="s">
        <v>1853</v>
      </c>
      <c r="F206" s="1898" t="s">
        <v>1858</v>
      </c>
      <c r="G206" s="1899">
        <v>35164000</v>
      </c>
      <c r="H206" s="1892"/>
    </row>
    <row r="207" spans="1:8" s="1893" customFormat="1" ht="23.25" customHeight="1" x14ac:dyDescent="0.3">
      <c r="A207" s="1891" t="s">
        <v>3114</v>
      </c>
      <c r="B207" s="1898" t="s">
        <v>1153</v>
      </c>
      <c r="C207" s="1898" t="s">
        <v>1933</v>
      </c>
      <c r="D207" s="1898" t="s">
        <v>1934</v>
      </c>
      <c r="E207" s="1898" t="s">
        <v>1853</v>
      </c>
      <c r="F207" s="1898" t="s">
        <v>1929</v>
      </c>
      <c r="G207" s="1899">
        <v>1935303591</v>
      </c>
      <c r="H207" s="1892"/>
    </row>
    <row r="208" spans="1:8" s="1893" customFormat="1" ht="23.25" customHeight="1" x14ac:dyDescent="0.3">
      <c r="A208" s="1891" t="s">
        <v>3114</v>
      </c>
      <c r="B208" s="1898" t="s">
        <v>1153</v>
      </c>
      <c r="C208" s="1898" t="s">
        <v>1933</v>
      </c>
      <c r="D208" s="1898" t="s">
        <v>1934</v>
      </c>
      <c r="E208" s="1898" t="s">
        <v>1853</v>
      </c>
      <c r="F208" s="1898" t="s">
        <v>1938</v>
      </c>
      <c r="G208" s="1899">
        <v>639657000</v>
      </c>
      <c r="H208" s="1892"/>
    </row>
    <row r="209" spans="1:8" s="1893" customFormat="1" ht="23.25" customHeight="1" x14ac:dyDescent="0.3">
      <c r="A209" s="1891" t="s">
        <v>3114</v>
      </c>
      <c r="B209" s="1898" t="s">
        <v>1153</v>
      </c>
      <c r="C209" s="1898" t="s">
        <v>1933</v>
      </c>
      <c r="D209" s="1898" t="s">
        <v>1934</v>
      </c>
      <c r="E209" s="1898" t="s">
        <v>1853</v>
      </c>
      <c r="F209" s="1898" t="s">
        <v>1939</v>
      </c>
      <c r="G209" s="1899">
        <v>193193897</v>
      </c>
      <c r="H209" s="1892"/>
    </row>
    <row r="210" spans="1:8" s="1893" customFormat="1" ht="23.25" customHeight="1" x14ac:dyDescent="0.3">
      <c r="A210" s="1891" t="s">
        <v>3114</v>
      </c>
      <c r="B210" s="1898" t="s">
        <v>1153</v>
      </c>
      <c r="C210" s="1898" t="s">
        <v>1933</v>
      </c>
      <c r="D210" s="1898" t="s">
        <v>1934</v>
      </c>
      <c r="E210" s="1898" t="s">
        <v>1940</v>
      </c>
      <c r="F210" s="1898" t="s">
        <v>1942</v>
      </c>
      <c r="G210" s="1899">
        <v>1077069000</v>
      </c>
      <c r="H210" s="1892"/>
    </row>
    <row r="211" spans="1:8" s="1893" customFormat="1" ht="23.25" customHeight="1" x14ac:dyDescent="0.3">
      <c r="A211" s="1891" t="s">
        <v>3114</v>
      </c>
      <c r="B211" s="1898" t="s">
        <v>1153</v>
      </c>
      <c r="C211" s="1898" t="s">
        <v>1933</v>
      </c>
      <c r="D211" s="1898" t="s">
        <v>1934</v>
      </c>
      <c r="E211" s="1898" t="s">
        <v>1860</v>
      </c>
      <c r="F211" s="1898" t="s">
        <v>1861</v>
      </c>
      <c r="G211" s="1899">
        <v>161352000</v>
      </c>
      <c r="H211" s="1892"/>
    </row>
    <row r="212" spans="1:8" s="1893" customFormat="1" ht="23.25" customHeight="1" x14ac:dyDescent="0.3">
      <c r="A212" s="1891" t="s">
        <v>3114</v>
      </c>
      <c r="B212" s="1898" t="s">
        <v>1153</v>
      </c>
      <c r="C212" s="1898" t="s">
        <v>1933</v>
      </c>
      <c r="D212" s="1898" t="s">
        <v>1934</v>
      </c>
      <c r="E212" s="1898" t="s">
        <v>1860</v>
      </c>
      <c r="F212" s="1898" t="s">
        <v>1930</v>
      </c>
      <c r="G212" s="1899">
        <v>4270000</v>
      </c>
      <c r="H212" s="1892"/>
    </row>
    <row r="213" spans="1:8" s="1893" customFormat="1" ht="23.25" customHeight="1" x14ac:dyDescent="0.3">
      <c r="A213" s="1891" t="s">
        <v>3114</v>
      </c>
      <c r="B213" s="1898" t="s">
        <v>1153</v>
      </c>
      <c r="C213" s="1898" t="s">
        <v>1933</v>
      </c>
      <c r="D213" s="1898" t="s">
        <v>1934</v>
      </c>
      <c r="E213" s="1898" t="s">
        <v>1943</v>
      </c>
      <c r="F213" s="1898" t="s">
        <v>1944</v>
      </c>
      <c r="G213" s="1899">
        <v>5054000</v>
      </c>
      <c r="H213" s="1892"/>
    </row>
    <row r="214" spans="1:8" s="1893" customFormat="1" ht="23.25" customHeight="1" x14ac:dyDescent="0.3">
      <c r="A214" s="1891" t="s">
        <v>3114</v>
      </c>
      <c r="B214" s="1898" t="s">
        <v>1153</v>
      </c>
      <c r="C214" s="1898" t="s">
        <v>1933</v>
      </c>
      <c r="D214" s="1898" t="s">
        <v>1934</v>
      </c>
      <c r="E214" s="1898" t="s">
        <v>1862</v>
      </c>
      <c r="F214" s="1898" t="s">
        <v>1863</v>
      </c>
      <c r="G214" s="1899">
        <v>2815198906</v>
      </c>
      <c r="H214" s="1892"/>
    </row>
    <row r="215" spans="1:8" s="1893" customFormat="1" ht="23.25" customHeight="1" x14ac:dyDescent="0.3">
      <c r="A215" s="1891" t="s">
        <v>3114</v>
      </c>
      <c r="B215" s="1898" t="s">
        <v>1153</v>
      </c>
      <c r="C215" s="1898" t="s">
        <v>1933</v>
      </c>
      <c r="D215" s="1898" t="s">
        <v>1934</v>
      </c>
      <c r="E215" s="1898" t="s">
        <v>1862</v>
      </c>
      <c r="F215" s="1898" t="s">
        <v>1864</v>
      </c>
      <c r="G215" s="1899">
        <v>510601944</v>
      </c>
      <c r="H215" s="1892"/>
    </row>
    <row r="216" spans="1:8" s="1893" customFormat="1" ht="23.25" customHeight="1" x14ac:dyDescent="0.3">
      <c r="A216" s="1891" t="s">
        <v>3114</v>
      </c>
      <c r="B216" s="1898" t="s">
        <v>1153</v>
      </c>
      <c r="C216" s="1898" t="s">
        <v>1933</v>
      </c>
      <c r="D216" s="1898" t="s">
        <v>1934</v>
      </c>
      <c r="E216" s="1898" t="s">
        <v>1862</v>
      </c>
      <c r="F216" s="1898" t="s">
        <v>1865</v>
      </c>
      <c r="G216" s="1899">
        <v>340012626</v>
      </c>
      <c r="H216" s="1892"/>
    </row>
    <row r="217" spans="1:8" s="1893" customFormat="1" ht="23.25" customHeight="1" x14ac:dyDescent="0.3">
      <c r="A217" s="1891" t="s">
        <v>3114</v>
      </c>
      <c r="B217" s="1898" t="s">
        <v>1153</v>
      </c>
      <c r="C217" s="1898" t="s">
        <v>1933</v>
      </c>
      <c r="D217" s="1898" t="s">
        <v>1934</v>
      </c>
      <c r="E217" s="1898" t="s">
        <v>1862</v>
      </c>
      <c r="F217" s="1898" t="s">
        <v>1866</v>
      </c>
      <c r="G217" s="1899">
        <v>207317769</v>
      </c>
      <c r="H217" s="1892"/>
    </row>
    <row r="218" spans="1:8" s="1893" customFormat="1" ht="23.25" customHeight="1" x14ac:dyDescent="0.3">
      <c r="A218" s="1891" t="s">
        <v>3114</v>
      </c>
      <c r="B218" s="1898" t="s">
        <v>1153</v>
      </c>
      <c r="C218" s="1898" t="s">
        <v>1933</v>
      </c>
      <c r="D218" s="1898" t="s">
        <v>1934</v>
      </c>
      <c r="E218" s="1898" t="s">
        <v>1862</v>
      </c>
      <c r="F218" s="1898" t="s">
        <v>1945</v>
      </c>
      <c r="G218" s="1899">
        <v>87172859</v>
      </c>
      <c r="H218" s="1892"/>
    </row>
    <row r="219" spans="1:8" s="1893" customFormat="1" ht="23.25" customHeight="1" x14ac:dyDescent="0.3">
      <c r="A219" s="1891" t="s">
        <v>3114</v>
      </c>
      <c r="B219" s="1898" t="s">
        <v>1153</v>
      </c>
      <c r="C219" s="1898" t="s">
        <v>1933</v>
      </c>
      <c r="D219" s="1898" t="s">
        <v>1934</v>
      </c>
      <c r="E219" s="1898" t="s">
        <v>1867</v>
      </c>
      <c r="F219" s="1898" t="s">
        <v>1946</v>
      </c>
      <c r="G219" s="1899">
        <v>1733680000</v>
      </c>
      <c r="H219" s="1892"/>
    </row>
    <row r="220" spans="1:8" s="1893" customFormat="1" ht="23.25" customHeight="1" x14ac:dyDescent="0.3">
      <c r="A220" s="1891" t="s">
        <v>3114</v>
      </c>
      <c r="B220" s="1898" t="s">
        <v>1153</v>
      </c>
      <c r="C220" s="1898" t="s">
        <v>1933</v>
      </c>
      <c r="D220" s="1898" t="s">
        <v>1934</v>
      </c>
      <c r="E220" s="1898" t="s">
        <v>1867</v>
      </c>
      <c r="F220" s="1898" t="s">
        <v>1868</v>
      </c>
      <c r="G220" s="1899">
        <v>381111371</v>
      </c>
      <c r="H220" s="1892"/>
    </row>
    <row r="221" spans="1:8" s="1893" customFormat="1" ht="23.25" customHeight="1" x14ac:dyDescent="0.3">
      <c r="A221" s="1891" t="s">
        <v>3114</v>
      </c>
      <c r="B221" s="1898" t="s">
        <v>1153</v>
      </c>
      <c r="C221" s="1898" t="s">
        <v>1933</v>
      </c>
      <c r="D221" s="1898" t="s">
        <v>1934</v>
      </c>
      <c r="E221" s="1898" t="s">
        <v>1867</v>
      </c>
      <c r="F221" s="1898" t="s">
        <v>1947</v>
      </c>
      <c r="G221" s="1899">
        <v>190468935</v>
      </c>
      <c r="H221" s="1892"/>
    </row>
    <row r="222" spans="1:8" s="1893" customFormat="1" ht="23.25" customHeight="1" x14ac:dyDescent="0.3">
      <c r="A222" s="1891" t="s">
        <v>3114</v>
      </c>
      <c r="B222" s="1898" t="s">
        <v>1153</v>
      </c>
      <c r="C222" s="1898" t="s">
        <v>1933</v>
      </c>
      <c r="D222" s="1898" t="s">
        <v>1934</v>
      </c>
      <c r="E222" s="1898" t="s">
        <v>1869</v>
      </c>
      <c r="F222" s="1898" t="s">
        <v>1870</v>
      </c>
      <c r="G222" s="1899">
        <v>197079323</v>
      </c>
      <c r="H222" s="1892"/>
    </row>
    <row r="223" spans="1:8" s="1893" customFormat="1" ht="23.25" customHeight="1" x14ac:dyDescent="0.3">
      <c r="A223" s="1891" t="s">
        <v>3114</v>
      </c>
      <c r="B223" s="1898" t="s">
        <v>1153</v>
      </c>
      <c r="C223" s="1898" t="s">
        <v>1933</v>
      </c>
      <c r="D223" s="1898" t="s">
        <v>1934</v>
      </c>
      <c r="E223" s="1898" t="s">
        <v>1869</v>
      </c>
      <c r="F223" s="1898" t="s">
        <v>1871</v>
      </c>
      <c r="G223" s="1899">
        <v>36893472</v>
      </c>
      <c r="H223" s="1892"/>
    </row>
    <row r="224" spans="1:8" s="1893" customFormat="1" ht="23.25" customHeight="1" x14ac:dyDescent="0.3">
      <c r="A224" s="1891" t="s">
        <v>3114</v>
      </c>
      <c r="B224" s="1898" t="s">
        <v>1153</v>
      </c>
      <c r="C224" s="1898" t="s">
        <v>1933</v>
      </c>
      <c r="D224" s="1898" t="s">
        <v>1934</v>
      </c>
      <c r="E224" s="1898" t="s">
        <v>1869</v>
      </c>
      <c r="F224" s="1898" t="s">
        <v>1873</v>
      </c>
      <c r="G224" s="1899">
        <v>2400000</v>
      </c>
      <c r="H224" s="1892"/>
    </row>
    <row r="225" spans="1:8" s="1893" customFormat="1" ht="23.25" customHeight="1" x14ac:dyDescent="0.3">
      <c r="A225" s="1891" t="s">
        <v>3114</v>
      </c>
      <c r="B225" s="1898" t="s">
        <v>1153</v>
      </c>
      <c r="C225" s="1898" t="s">
        <v>1933</v>
      </c>
      <c r="D225" s="1898" t="s">
        <v>1934</v>
      </c>
      <c r="E225" s="1898" t="s">
        <v>1874</v>
      </c>
      <c r="F225" s="1898" t="s">
        <v>1875</v>
      </c>
      <c r="G225" s="1899">
        <v>258399390</v>
      </c>
      <c r="H225" s="1892"/>
    </row>
    <row r="226" spans="1:8" s="1893" customFormat="1" ht="23.25" customHeight="1" x14ac:dyDescent="0.3">
      <c r="A226" s="1891" t="s">
        <v>3114</v>
      </c>
      <c r="B226" s="1898" t="s">
        <v>1153</v>
      </c>
      <c r="C226" s="1898" t="s">
        <v>1933</v>
      </c>
      <c r="D226" s="1898" t="s">
        <v>1934</v>
      </c>
      <c r="E226" s="1898" t="s">
        <v>1874</v>
      </c>
      <c r="F226" s="1898" t="s">
        <v>1876</v>
      </c>
      <c r="G226" s="1899">
        <v>942024877</v>
      </c>
      <c r="H226" s="1892"/>
    </row>
    <row r="227" spans="1:8" s="1893" customFormat="1" ht="23.25" customHeight="1" x14ac:dyDescent="0.3">
      <c r="A227" s="1891" t="s">
        <v>3114</v>
      </c>
      <c r="B227" s="1898" t="s">
        <v>1153</v>
      </c>
      <c r="C227" s="1898" t="s">
        <v>1933</v>
      </c>
      <c r="D227" s="1898" t="s">
        <v>1934</v>
      </c>
      <c r="E227" s="1898" t="s">
        <v>1874</v>
      </c>
      <c r="F227" s="1898" t="s">
        <v>1877</v>
      </c>
      <c r="G227" s="1899">
        <v>585798524</v>
      </c>
      <c r="H227" s="1892"/>
    </row>
    <row r="228" spans="1:8" s="1893" customFormat="1" ht="23.25" customHeight="1" x14ac:dyDescent="0.3">
      <c r="A228" s="1891" t="s">
        <v>3114</v>
      </c>
      <c r="B228" s="1898" t="s">
        <v>1153</v>
      </c>
      <c r="C228" s="1898" t="s">
        <v>1933</v>
      </c>
      <c r="D228" s="1898" t="s">
        <v>1934</v>
      </c>
      <c r="E228" s="1898" t="s">
        <v>1878</v>
      </c>
      <c r="F228" s="1898" t="s">
        <v>1879</v>
      </c>
      <c r="G228" s="1899">
        <v>33923562</v>
      </c>
      <c r="H228" s="1892"/>
    </row>
    <row r="229" spans="1:8" s="1893" customFormat="1" ht="23.25" customHeight="1" x14ac:dyDescent="0.3">
      <c r="A229" s="1891" t="s">
        <v>3114</v>
      </c>
      <c r="B229" s="1898" t="s">
        <v>1153</v>
      </c>
      <c r="C229" s="1898" t="s">
        <v>1933</v>
      </c>
      <c r="D229" s="1898" t="s">
        <v>1934</v>
      </c>
      <c r="E229" s="1898" t="s">
        <v>1878</v>
      </c>
      <c r="F229" s="1898" t="s">
        <v>1881</v>
      </c>
      <c r="G229" s="1899">
        <v>87463135</v>
      </c>
      <c r="H229" s="1892"/>
    </row>
    <row r="230" spans="1:8" s="1893" customFormat="1" ht="23.25" customHeight="1" x14ac:dyDescent="0.3">
      <c r="A230" s="1891" t="s">
        <v>3114</v>
      </c>
      <c r="B230" s="1898" t="s">
        <v>1153</v>
      </c>
      <c r="C230" s="1898" t="s">
        <v>1933</v>
      </c>
      <c r="D230" s="1898" t="s">
        <v>1934</v>
      </c>
      <c r="E230" s="1898" t="s">
        <v>1878</v>
      </c>
      <c r="F230" s="1898" t="s">
        <v>1882</v>
      </c>
      <c r="G230" s="1899">
        <v>23600000</v>
      </c>
      <c r="H230" s="1892"/>
    </row>
    <row r="231" spans="1:8" s="1893" customFormat="1" ht="23.25" customHeight="1" x14ac:dyDescent="0.3">
      <c r="A231" s="1891" t="s">
        <v>3114</v>
      </c>
      <c r="B231" s="1898" t="s">
        <v>1153</v>
      </c>
      <c r="C231" s="1898" t="s">
        <v>1933</v>
      </c>
      <c r="D231" s="1898" t="s">
        <v>1934</v>
      </c>
      <c r="E231" s="1898" t="s">
        <v>1878</v>
      </c>
      <c r="F231" s="1898" t="s">
        <v>1883</v>
      </c>
      <c r="G231" s="1899">
        <v>7568700</v>
      </c>
      <c r="H231" s="1892"/>
    </row>
    <row r="232" spans="1:8" s="1893" customFormat="1" ht="23.25" customHeight="1" x14ac:dyDescent="0.3">
      <c r="A232" s="1891" t="s">
        <v>3114</v>
      </c>
      <c r="B232" s="1898" t="s">
        <v>1153</v>
      </c>
      <c r="C232" s="1898" t="s">
        <v>1933</v>
      </c>
      <c r="D232" s="1898" t="s">
        <v>1934</v>
      </c>
      <c r="E232" s="1898" t="s">
        <v>1878</v>
      </c>
      <c r="F232" s="1898" t="s">
        <v>1949</v>
      </c>
      <c r="G232" s="1899">
        <v>1100000</v>
      </c>
      <c r="H232" s="1892"/>
    </row>
    <row r="233" spans="1:8" s="1893" customFormat="1" ht="23.25" customHeight="1" x14ac:dyDescent="0.3">
      <c r="A233" s="1891" t="s">
        <v>3114</v>
      </c>
      <c r="B233" s="1898" t="s">
        <v>1153</v>
      </c>
      <c r="C233" s="1898" t="s">
        <v>1933</v>
      </c>
      <c r="D233" s="1898" t="s">
        <v>1934</v>
      </c>
      <c r="E233" s="1898" t="s">
        <v>1885</v>
      </c>
      <c r="F233" s="1898" t="s">
        <v>1886</v>
      </c>
      <c r="G233" s="1899">
        <v>3000000</v>
      </c>
      <c r="H233" s="1892"/>
    </row>
    <row r="234" spans="1:8" s="1893" customFormat="1" ht="23.25" customHeight="1" x14ac:dyDescent="0.3">
      <c r="A234" s="1891" t="s">
        <v>3114</v>
      </c>
      <c r="B234" s="1898" t="s">
        <v>1153</v>
      </c>
      <c r="C234" s="1898" t="s">
        <v>1933</v>
      </c>
      <c r="D234" s="1898" t="s">
        <v>1934</v>
      </c>
      <c r="E234" s="1898" t="s">
        <v>1885</v>
      </c>
      <c r="F234" s="1898" t="s">
        <v>1926</v>
      </c>
      <c r="G234" s="1899">
        <v>1200000</v>
      </c>
      <c r="H234" s="1892"/>
    </row>
    <row r="235" spans="1:8" s="1893" customFormat="1" ht="23.25" customHeight="1" x14ac:dyDescent="0.3">
      <c r="A235" s="1891" t="s">
        <v>3114</v>
      </c>
      <c r="B235" s="1898" t="s">
        <v>1153</v>
      </c>
      <c r="C235" s="1898" t="s">
        <v>1933</v>
      </c>
      <c r="D235" s="1898" t="s">
        <v>1934</v>
      </c>
      <c r="E235" s="1898" t="s">
        <v>1885</v>
      </c>
      <c r="F235" s="1898" t="s">
        <v>1927</v>
      </c>
      <c r="G235" s="1899">
        <v>8200000</v>
      </c>
      <c r="H235" s="1892"/>
    </row>
    <row r="236" spans="1:8" s="1893" customFormat="1" ht="23.25" customHeight="1" x14ac:dyDescent="0.3">
      <c r="A236" s="1891" t="s">
        <v>3114</v>
      </c>
      <c r="B236" s="1898" t="s">
        <v>1153</v>
      </c>
      <c r="C236" s="1898" t="s">
        <v>1933</v>
      </c>
      <c r="D236" s="1898" t="s">
        <v>1934</v>
      </c>
      <c r="E236" s="1898" t="s">
        <v>1885</v>
      </c>
      <c r="F236" s="1898" t="s">
        <v>1888</v>
      </c>
      <c r="G236" s="1899">
        <v>37436000</v>
      </c>
      <c r="H236" s="1892"/>
    </row>
    <row r="237" spans="1:8" s="1893" customFormat="1" ht="23.25" customHeight="1" x14ac:dyDescent="0.3">
      <c r="A237" s="1891" t="s">
        <v>3114</v>
      </c>
      <c r="B237" s="1898" t="s">
        <v>1153</v>
      </c>
      <c r="C237" s="1898" t="s">
        <v>1933</v>
      </c>
      <c r="D237" s="1898" t="s">
        <v>1934</v>
      </c>
      <c r="E237" s="1898" t="s">
        <v>1889</v>
      </c>
      <c r="F237" s="1898" t="s">
        <v>1921</v>
      </c>
      <c r="G237" s="1899">
        <v>6592000</v>
      </c>
      <c r="H237" s="1892"/>
    </row>
    <row r="238" spans="1:8" s="1893" customFormat="1" ht="23.25" customHeight="1" x14ac:dyDescent="0.3">
      <c r="A238" s="1891" t="s">
        <v>3114</v>
      </c>
      <c r="B238" s="1898" t="s">
        <v>1153</v>
      </c>
      <c r="C238" s="1898" t="s">
        <v>1933</v>
      </c>
      <c r="D238" s="1898" t="s">
        <v>1934</v>
      </c>
      <c r="E238" s="1898" t="s">
        <v>1889</v>
      </c>
      <c r="F238" s="1898" t="s">
        <v>1890</v>
      </c>
      <c r="G238" s="1899">
        <v>119539000</v>
      </c>
      <c r="H238" s="1892"/>
    </row>
    <row r="239" spans="1:8" s="1893" customFormat="1" ht="23.25" customHeight="1" x14ac:dyDescent="0.3">
      <c r="A239" s="1891" t="s">
        <v>3114</v>
      </c>
      <c r="B239" s="1898" t="s">
        <v>1153</v>
      </c>
      <c r="C239" s="1898" t="s">
        <v>1933</v>
      </c>
      <c r="D239" s="1898" t="s">
        <v>1934</v>
      </c>
      <c r="E239" s="1898" t="s">
        <v>1889</v>
      </c>
      <c r="F239" s="1898" t="s">
        <v>1891</v>
      </c>
      <c r="G239" s="1899">
        <v>44780000</v>
      </c>
      <c r="H239" s="1892"/>
    </row>
    <row r="240" spans="1:8" s="1893" customFormat="1" ht="23.25" customHeight="1" x14ac:dyDescent="0.3">
      <c r="A240" s="1891" t="s">
        <v>3114</v>
      </c>
      <c r="B240" s="1898" t="s">
        <v>1153</v>
      </c>
      <c r="C240" s="1898" t="s">
        <v>1933</v>
      </c>
      <c r="D240" s="1898" t="s">
        <v>1934</v>
      </c>
      <c r="E240" s="1898" t="s">
        <v>1889</v>
      </c>
      <c r="F240" s="1898" t="s">
        <v>1892</v>
      </c>
      <c r="G240" s="1899">
        <v>7800000</v>
      </c>
      <c r="H240" s="1892"/>
    </row>
    <row r="241" spans="1:8" s="1893" customFormat="1" ht="23.25" customHeight="1" x14ac:dyDescent="0.3">
      <c r="A241" s="1891" t="s">
        <v>3114</v>
      </c>
      <c r="B241" s="1898" t="s">
        <v>1153</v>
      </c>
      <c r="C241" s="1898" t="s">
        <v>1933</v>
      </c>
      <c r="D241" s="1898" t="s">
        <v>1934</v>
      </c>
      <c r="E241" s="1898" t="s">
        <v>1889</v>
      </c>
      <c r="F241" s="1898" t="s">
        <v>1922</v>
      </c>
      <c r="G241" s="1899">
        <v>96120400</v>
      </c>
      <c r="H241" s="1892"/>
    </row>
    <row r="242" spans="1:8" s="1893" customFormat="1" ht="23.25" customHeight="1" x14ac:dyDescent="0.3">
      <c r="A242" s="1891" t="s">
        <v>3114</v>
      </c>
      <c r="B242" s="1898" t="s">
        <v>1153</v>
      </c>
      <c r="C242" s="1898" t="s">
        <v>1933</v>
      </c>
      <c r="D242" s="1898" t="s">
        <v>1934</v>
      </c>
      <c r="E242" s="1898" t="s">
        <v>1893</v>
      </c>
      <c r="F242" s="1898" t="s">
        <v>2051</v>
      </c>
      <c r="G242" s="1899">
        <v>328800000</v>
      </c>
      <c r="H242" s="1892"/>
    </row>
    <row r="243" spans="1:8" s="1893" customFormat="1" ht="23.25" customHeight="1" x14ac:dyDescent="0.3">
      <c r="A243" s="1891" t="s">
        <v>3114</v>
      </c>
      <c r="B243" s="1898" t="s">
        <v>1153</v>
      </c>
      <c r="C243" s="1898" t="s">
        <v>1933</v>
      </c>
      <c r="D243" s="1898" t="s">
        <v>1934</v>
      </c>
      <c r="E243" s="1898" t="s">
        <v>1893</v>
      </c>
      <c r="F243" s="1898" t="s">
        <v>1895</v>
      </c>
      <c r="G243" s="1899">
        <v>12100000</v>
      </c>
      <c r="H243" s="1892"/>
    </row>
    <row r="244" spans="1:8" s="1893" customFormat="1" ht="23.25" customHeight="1" x14ac:dyDescent="0.3">
      <c r="A244" s="1891" t="s">
        <v>3114</v>
      </c>
      <c r="B244" s="1898" t="s">
        <v>1153</v>
      </c>
      <c r="C244" s="1898" t="s">
        <v>1933</v>
      </c>
      <c r="D244" s="1898" t="s">
        <v>1934</v>
      </c>
      <c r="E244" s="1898" t="s">
        <v>1896</v>
      </c>
      <c r="F244" s="1898" t="s">
        <v>1899</v>
      </c>
      <c r="G244" s="1899">
        <v>969238204</v>
      </c>
      <c r="H244" s="1892"/>
    </row>
    <row r="245" spans="1:8" s="1893" customFormat="1" ht="23.25" customHeight="1" x14ac:dyDescent="0.3">
      <c r="A245" s="1891" t="s">
        <v>3114</v>
      </c>
      <c r="B245" s="1898" t="s">
        <v>1153</v>
      </c>
      <c r="C245" s="1898" t="s">
        <v>1933</v>
      </c>
      <c r="D245" s="1898" t="s">
        <v>1934</v>
      </c>
      <c r="E245" s="1898" t="s">
        <v>1896</v>
      </c>
      <c r="F245" s="1898" t="s">
        <v>1900</v>
      </c>
      <c r="G245" s="1899">
        <v>166703000</v>
      </c>
      <c r="H245" s="1892"/>
    </row>
    <row r="246" spans="1:8" s="1893" customFormat="1" ht="23.25" customHeight="1" x14ac:dyDescent="0.3">
      <c r="A246" s="1891" t="s">
        <v>3114</v>
      </c>
      <c r="B246" s="1898" t="s">
        <v>1153</v>
      </c>
      <c r="C246" s="1898" t="s">
        <v>1933</v>
      </c>
      <c r="D246" s="1898" t="s">
        <v>1934</v>
      </c>
      <c r="E246" s="1898" t="s">
        <v>1896</v>
      </c>
      <c r="F246" s="1898" t="s">
        <v>1928</v>
      </c>
      <c r="G246" s="1899">
        <v>98821000</v>
      </c>
      <c r="H246" s="1892"/>
    </row>
    <row r="247" spans="1:8" s="1893" customFormat="1" ht="23.25" customHeight="1" x14ac:dyDescent="0.3">
      <c r="A247" s="1891" t="s">
        <v>3114</v>
      </c>
      <c r="B247" s="1898" t="s">
        <v>1153</v>
      </c>
      <c r="C247" s="1898" t="s">
        <v>1933</v>
      </c>
      <c r="D247" s="1898" t="s">
        <v>1934</v>
      </c>
      <c r="E247" s="1898" t="s">
        <v>1896</v>
      </c>
      <c r="F247" s="1898" t="s">
        <v>1902</v>
      </c>
      <c r="G247" s="1899">
        <v>646809975</v>
      </c>
      <c r="H247" s="1892"/>
    </row>
    <row r="248" spans="1:8" s="1893" customFormat="1" ht="23.25" customHeight="1" x14ac:dyDescent="0.3">
      <c r="A248" s="1891" t="s">
        <v>3114</v>
      </c>
      <c r="B248" s="1898" t="s">
        <v>1153</v>
      </c>
      <c r="C248" s="1898" t="s">
        <v>1933</v>
      </c>
      <c r="D248" s="1898" t="s">
        <v>1934</v>
      </c>
      <c r="E248" s="1898" t="s">
        <v>1903</v>
      </c>
      <c r="F248" s="1898" t="s">
        <v>1950</v>
      </c>
      <c r="G248" s="1899">
        <v>34950000</v>
      </c>
      <c r="H248" s="1892"/>
    </row>
    <row r="249" spans="1:8" s="1893" customFormat="1" ht="23.25" customHeight="1" x14ac:dyDescent="0.3">
      <c r="A249" s="1891" t="s">
        <v>3114</v>
      </c>
      <c r="B249" s="1898" t="s">
        <v>1153</v>
      </c>
      <c r="C249" s="1898" t="s">
        <v>1933</v>
      </c>
      <c r="D249" s="1898" t="s">
        <v>1934</v>
      </c>
      <c r="E249" s="1898" t="s">
        <v>1903</v>
      </c>
      <c r="F249" s="1898" t="s">
        <v>1904</v>
      </c>
      <c r="G249" s="1899">
        <v>174124000</v>
      </c>
      <c r="H249" s="1892"/>
    </row>
    <row r="250" spans="1:8" s="1893" customFormat="1" ht="23.25" customHeight="1" x14ac:dyDescent="0.3">
      <c r="A250" s="1891" t="s">
        <v>3114</v>
      </c>
      <c r="B250" s="1898" t="s">
        <v>1153</v>
      </c>
      <c r="C250" s="1898" t="s">
        <v>1933</v>
      </c>
      <c r="D250" s="1898" t="s">
        <v>1934</v>
      </c>
      <c r="E250" s="1898" t="s">
        <v>1903</v>
      </c>
      <c r="F250" s="1898" t="s">
        <v>1905</v>
      </c>
      <c r="G250" s="1899">
        <v>645553000</v>
      </c>
      <c r="H250" s="1892"/>
    </row>
    <row r="251" spans="1:8" s="1893" customFormat="1" ht="23.25" customHeight="1" x14ac:dyDescent="0.3">
      <c r="A251" s="1891" t="s">
        <v>3114</v>
      </c>
      <c r="B251" s="1898" t="s">
        <v>1153</v>
      </c>
      <c r="C251" s="1898" t="s">
        <v>1933</v>
      </c>
      <c r="D251" s="1898" t="s">
        <v>1934</v>
      </c>
      <c r="E251" s="1898" t="s">
        <v>1906</v>
      </c>
      <c r="F251" s="1898" t="s">
        <v>1907</v>
      </c>
      <c r="G251" s="1899">
        <v>299736097</v>
      </c>
      <c r="H251" s="1892"/>
    </row>
    <row r="252" spans="1:8" s="1893" customFormat="1" ht="23.25" customHeight="1" x14ac:dyDescent="0.3">
      <c r="A252" s="1891" t="s">
        <v>3114</v>
      </c>
      <c r="B252" s="1898" t="s">
        <v>1153</v>
      </c>
      <c r="C252" s="1898" t="s">
        <v>1933</v>
      </c>
      <c r="D252" s="1898" t="s">
        <v>1934</v>
      </c>
      <c r="E252" s="1898" t="s">
        <v>1906</v>
      </c>
      <c r="F252" s="1898" t="s">
        <v>1908</v>
      </c>
      <c r="G252" s="1899">
        <v>14456000</v>
      </c>
      <c r="H252" s="1892"/>
    </row>
    <row r="253" spans="1:8" s="1893" customFormat="1" ht="23.25" customHeight="1" x14ac:dyDescent="0.3">
      <c r="A253" s="1891" t="s">
        <v>3114</v>
      </c>
      <c r="B253" s="1898" t="s">
        <v>1153</v>
      </c>
      <c r="C253" s="1898" t="s">
        <v>1933</v>
      </c>
      <c r="D253" s="1898" t="s">
        <v>1934</v>
      </c>
      <c r="E253" s="1898" t="s">
        <v>1906</v>
      </c>
      <c r="F253" s="1898" t="s">
        <v>1909</v>
      </c>
      <c r="G253" s="1899">
        <v>448208543</v>
      </c>
      <c r="H253" s="1892"/>
    </row>
    <row r="254" spans="1:8" s="1893" customFormat="1" ht="23.25" customHeight="1" x14ac:dyDescent="0.3">
      <c r="A254" s="1891" t="s">
        <v>3114</v>
      </c>
      <c r="B254" s="1898" t="s">
        <v>1153</v>
      </c>
      <c r="C254" s="1898" t="s">
        <v>1933</v>
      </c>
      <c r="D254" s="1898" t="s">
        <v>1934</v>
      </c>
      <c r="E254" s="1898" t="s">
        <v>1968</v>
      </c>
      <c r="F254" s="1898" t="s">
        <v>1969</v>
      </c>
      <c r="G254" s="1899">
        <v>61399000</v>
      </c>
      <c r="H254" s="1892"/>
    </row>
    <row r="255" spans="1:8" s="1893" customFormat="1" ht="23.25" customHeight="1" x14ac:dyDescent="0.3">
      <c r="A255" s="1891" t="s">
        <v>3114</v>
      </c>
      <c r="B255" s="1898" t="s">
        <v>1153</v>
      </c>
      <c r="C255" s="1898" t="s">
        <v>1933</v>
      </c>
      <c r="D255" s="1898" t="s">
        <v>1934</v>
      </c>
      <c r="E255" s="1898" t="s">
        <v>1912</v>
      </c>
      <c r="F255" s="1898" t="s">
        <v>1913</v>
      </c>
      <c r="G255" s="1899">
        <v>131267600</v>
      </c>
      <c r="H255" s="1892"/>
    </row>
    <row r="256" spans="1:8" s="1893" customFormat="1" ht="23.25" customHeight="1" x14ac:dyDescent="0.3">
      <c r="A256" s="1891" t="s">
        <v>3114</v>
      </c>
      <c r="B256" s="1898" t="s">
        <v>1153</v>
      </c>
      <c r="C256" s="1898" t="s">
        <v>1933</v>
      </c>
      <c r="D256" s="1898" t="s">
        <v>1934</v>
      </c>
      <c r="E256" s="1898" t="s">
        <v>1912</v>
      </c>
      <c r="F256" s="1898" t="s">
        <v>1915</v>
      </c>
      <c r="G256" s="1899">
        <v>10200000</v>
      </c>
      <c r="H256" s="1892"/>
    </row>
    <row r="257" spans="1:8" s="1893" customFormat="1" ht="23.25" customHeight="1" x14ac:dyDescent="0.3">
      <c r="A257" s="1891" t="s">
        <v>3114</v>
      </c>
      <c r="B257" s="1898" t="s">
        <v>1153</v>
      </c>
      <c r="C257" s="1898" t="s">
        <v>1933</v>
      </c>
      <c r="D257" s="1898" t="s">
        <v>1934</v>
      </c>
      <c r="E257" s="1898" t="s">
        <v>1912</v>
      </c>
      <c r="F257" s="1898" t="s">
        <v>1951</v>
      </c>
      <c r="G257" s="1899">
        <v>117828480</v>
      </c>
      <c r="H257" s="1892"/>
    </row>
    <row r="258" spans="1:8" s="1893" customFormat="1" ht="23.25" customHeight="1" x14ac:dyDescent="0.3">
      <c r="A258" s="1891" t="s">
        <v>3114</v>
      </c>
      <c r="B258" s="1898" t="s">
        <v>1153</v>
      </c>
      <c r="C258" s="1898" t="s">
        <v>1933</v>
      </c>
      <c r="D258" s="1898" t="s">
        <v>1934</v>
      </c>
      <c r="E258" s="1898" t="s">
        <v>1912</v>
      </c>
      <c r="F258" s="1898" t="s">
        <v>1916</v>
      </c>
      <c r="G258" s="1899">
        <v>1119729933</v>
      </c>
      <c r="H258" s="1892"/>
    </row>
    <row r="259" spans="1:8" s="1893" customFormat="1" ht="23.25" customHeight="1" x14ac:dyDescent="0.3">
      <c r="A259" s="1891" t="s">
        <v>3114</v>
      </c>
      <c r="B259" s="1898" t="s">
        <v>1153</v>
      </c>
      <c r="C259" s="1898" t="s">
        <v>1933</v>
      </c>
      <c r="D259" s="1898" t="s">
        <v>1952</v>
      </c>
      <c r="E259" s="1898" t="s">
        <v>1848</v>
      </c>
      <c r="F259" s="1898" t="s">
        <v>1849</v>
      </c>
      <c r="G259" s="1899">
        <v>16337042061</v>
      </c>
      <c r="H259" s="1892"/>
    </row>
    <row r="260" spans="1:8" s="1893" customFormat="1" ht="23.25" customHeight="1" x14ac:dyDescent="0.3">
      <c r="A260" s="1891" t="s">
        <v>3114</v>
      </c>
      <c r="B260" s="1898" t="s">
        <v>1153</v>
      </c>
      <c r="C260" s="1898" t="s">
        <v>1933</v>
      </c>
      <c r="D260" s="1898" t="s">
        <v>1952</v>
      </c>
      <c r="E260" s="1898" t="s">
        <v>1848</v>
      </c>
      <c r="F260" s="1898" t="s">
        <v>1850</v>
      </c>
      <c r="G260" s="1899">
        <v>253290630</v>
      </c>
      <c r="H260" s="1892"/>
    </row>
    <row r="261" spans="1:8" s="1893" customFormat="1" ht="23.25" customHeight="1" x14ac:dyDescent="0.3">
      <c r="A261" s="1891" t="s">
        <v>3114</v>
      </c>
      <c r="B261" s="1898" t="s">
        <v>1153</v>
      </c>
      <c r="C261" s="1898" t="s">
        <v>1933</v>
      </c>
      <c r="D261" s="1898" t="s">
        <v>1952</v>
      </c>
      <c r="E261" s="1898" t="s">
        <v>1851</v>
      </c>
      <c r="F261" s="1898" t="s">
        <v>1852</v>
      </c>
      <c r="G261" s="1899">
        <v>1591674480</v>
      </c>
      <c r="H261" s="1892"/>
    </row>
    <row r="262" spans="1:8" s="1893" customFormat="1" ht="23.25" customHeight="1" x14ac:dyDescent="0.3">
      <c r="A262" s="1891" t="s">
        <v>3114</v>
      </c>
      <c r="B262" s="1898" t="s">
        <v>1153</v>
      </c>
      <c r="C262" s="1898" t="s">
        <v>1933</v>
      </c>
      <c r="D262" s="1898" t="s">
        <v>1952</v>
      </c>
      <c r="E262" s="1898" t="s">
        <v>1853</v>
      </c>
      <c r="F262" s="1898" t="s">
        <v>1854</v>
      </c>
      <c r="G262" s="1899">
        <v>360369596</v>
      </c>
      <c r="H262" s="1892"/>
    </row>
    <row r="263" spans="1:8" s="1893" customFormat="1" ht="23.25" customHeight="1" x14ac:dyDescent="0.3">
      <c r="A263" s="1891" t="s">
        <v>3114</v>
      </c>
      <c r="B263" s="1898" t="s">
        <v>1153</v>
      </c>
      <c r="C263" s="1898" t="s">
        <v>1933</v>
      </c>
      <c r="D263" s="1898" t="s">
        <v>1952</v>
      </c>
      <c r="E263" s="1898" t="s">
        <v>1853</v>
      </c>
      <c r="F263" s="1898" t="s">
        <v>1855</v>
      </c>
      <c r="G263" s="1899">
        <v>2333969301</v>
      </c>
      <c r="H263" s="1892"/>
    </row>
    <row r="264" spans="1:8" s="1893" customFormat="1" ht="23.25" customHeight="1" x14ac:dyDescent="0.3">
      <c r="A264" s="1891" t="s">
        <v>3114</v>
      </c>
      <c r="B264" s="1898" t="s">
        <v>1153</v>
      </c>
      <c r="C264" s="1898" t="s">
        <v>1933</v>
      </c>
      <c r="D264" s="1898" t="s">
        <v>1952</v>
      </c>
      <c r="E264" s="1898" t="s">
        <v>1853</v>
      </c>
      <c r="F264" s="1898" t="s">
        <v>1935</v>
      </c>
      <c r="G264" s="1899">
        <v>917435614</v>
      </c>
      <c r="H264" s="1892"/>
    </row>
    <row r="265" spans="1:8" s="1893" customFormat="1" ht="23.25" customHeight="1" x14ac:dyDescent="0.3">
      <c r="A265" s="1891" t="s">
        <v>3114</v>
      </c>
      <c r="B265" s="1898" t="s">
        <v>1153</v>
      </c>
      <c r="C265" s="1898" t="s">
        <v>1933</v>
      </c>
      <c r="D265" s="1898" t="s">
        <v>1952</v>
      </c>
      <c r="E265" s="1898" t="s">
        <v>1853</v>
      </c>
      <c r="F265" s="1898" t="s">
        <v>1856</v>
      </c>
      <c r="G265" s="1899">
        <v>476390025</v>
      </c>
      <c r="H265" s="1892"/>
    </row>
    <row r="266" spans="1:8" s="1893" customFormat="1" ht="23.25" customHeight="1" x14ac:dyDescent="0.3">
      <c r="A266" s="1891" t="s">
        <v>3114</v>
      </c>
      <c r="B266" s="1898" t="s">
        <v>1153</v>
      </c>
      <c r="C266" s="1898" t="s">
        <v>1933</v>
      </c>
      <c r="D266" s="1898" t="s">
        <v>1952</v>
      </c>
      <c r="E266" s="1898" t="s">
        <v>1853</v>
      </c>
      <c r="F266" s="1898" t="s">
        <v>1936</v>
      </c>
      <c r="G266" s="1899">
        <v>35760000</v>
      </c>
      <c r="H266" s="1892"/>
    </row>
    <row r="267" spans="1:8" s="1893" customFormat="1" ht="23.25" customHeight="1" x14ac:dyDescent="0.3">
      <c r="A267" s="1891" t="s">
        <v>3114</v>
      </c>
      <c r="B267" s="1898" t="s">
        <v>1153</v>
      </c>
      <c r="C267" s="1898" t="s">
        <v>1933</v>
      </c>
      <c r="D267" s="1898" t="s">
        <v>1952</v>
      </c>
      <c r="E267" s="1898" t="s">
        <v>1853</v>
      </c>
      <c r="F267" s="1898" t="s">
        <v>1937</v>
      </c>
      <c r="G267" s="1899">
        <v>9065733604</v>
      </c>
      <c r="H267" s="1892"/>
    </row>
    <row r="268" spans="1:8" s="1893" customFormat="1" ht="23.25" customHeight="1" x14ac:dyDescent="0.3">
      <c r="A268" s="1891" t="s">
        <v>3114</v>
      </c>
      <c r="B268" s="1898" t="s">
        <v>1153</v>
      </c>
      <c r="C268" s="1898" t="s">
        <v>1933</v>
      </c>
      <c r="D268" s="1898" t="s">
        <v>1952</v>
      </c>
      <c r="E268" s="1898" t="s">
        <v>1853</v>
      </c>
      <c r="F268" s="1898" t="s">
        <v>1858</v>
      </c>
      <c r="G268" s="1899">
        <v>81354000</v>
      </c>
      <c r="H268" s="1892"/>
    </row>
    <row r="269" spans="1:8" s="1893" customFormat="1" ht="23.25" customHeight="1" x14ac:dyDescent="0.3">
      <c r="A269" s="1891" t="s">
        <v>3114</v>
      </c>
      <c r="B269" s="1898" t="s">
        <v>1153</v>
      </c>
      <c r="C269" s="1898" t="s">
        <v>1933</v>
      </c>
      <c r="D269" s="1898" t="s">
        <v>1952</v>
      </c>
      <c r="E269" s="1898" t="s">
        <v>1853</v>
      </c>
      <c r="F269" s="1898" t="s">
        <v>1929</v>
      </c>
      <c r="G269" s="1899">
        <v>3338713116</v>
      </c>
      <c r="H269" s="1892"/>
    </row>
    <row r="270" spans="1:8" s="1893" customFormat="1" ht="23.25" customHeight="1" x14ac:dyDescent="0.3">
      <c r="A270" s="1891" t="s">
        <v>3114</v>
      </c>
      <c r="B270" s="1898" t="s">
        <v>1153</v>
      </c>
      <c r="C270" s="1898" t="s">
        <v>1933</v>
      </c>
      <c r="D270" s="1898" t="s">
        <v>1952</v>
      </c>
      <c r="E270" s="1898" t="s">
        <v>1853</v>
      </c>
      <c r="F270" s="1898" t="s">
        <v>1938</v>
      </c>
      <c r="G270" s="1899">
        <v>960878650</v>
      </c>
      <c r="H270" s="1892"/>
    </row>
    <row r="271" spans="1:8" s="1893" customFormat="1" ht="23.25" customHeight="1" x14ac:dyDescent="0.3">
      <c r="A271" s="1891" t="s">
        <v>3114</v>
      </c>
      <c r="B271" s="1898" t="s">
        <v>1153</v>
      </c>
      <c r="C271" s="1898" t="s">
        <v>1933</v>
      </c>
      <c r="D271" s="1898" t="s">
        <v>1952</v>
      </c>
      <c r="E271" s="1898" t="s">
        <v>1853</v>
      </c>
      <c r="F271" s="1898" t="s">
        <v>1939</v>
      </c>
      <c r="G271" s="1899">
        <v>448139850</v>
      </c>
      <c r="H271" s="1892"/>
    </row>
    <row r="272" spans="1:8" s="1893" customFormat="1" ht="23.25" customHeight="1" x14ac:dyDescent="0.3">
      <c r="A272" s="1891" t="s">
        <v>3114</v>
      </c>
      <c r="B272" s="1898" t="s">
        <v>1153</v>
      </c>
      <c r="C272" s="1898" t="s">
        <v>1933</v>
      </c>
      <c r="D272" s="1898" t="s">
        <v>1952</v>
      </c>
      <c r="E272" s="1898" t="s">
        <v>1940</v>
      </c>
      <c r="F272" s="1898" t="s">
        <v>1941</v>
      </c>
      <c r="G272" s="1899">
        <v>15496000</v>
      </c>
      <c r="H272" s="1892"/>
    </row>
    <row r="273" spans="1:8" s="1893" customFormat="1" ht="23.25" customHeight="1" x14ac:dyDescent="0.3">
      <c r="A273" s="1891" t="s">
        <v>3114</v>
      </c>
      <c r="B273" s="1898" t="s">
        <v>1153</v>
      </c>
      <c r="C273" s="1898" t="s">
        <v>1933</v>
      </c>
      <c r="D273" s="1898" t="s">
        <v>1952</v>
      </c>
      <c r="E273" s="1898" t="s">
        <v>1940</v>
      </c>
      <c r="F273" s="1898" t="s">
        <v>1942</v>
      </c>
      <c r="G273" s="1899">
        <v>1241900000</v>
      </c>
      <c r="H273" s="1892"/>
    </row>
    <row r="274" spans="1:8" s="1893" customFormat="1" ht="23.25" customHeight="1" x14ac:dyDescent="0.3">
      <c r="A274" s="1891" t="s">
        <v>3114</v>
      </c>
      <c r="B274" s="1898" t="s">
        <v>1153</v>
      </c>
      <c r="C274" s="1898" t="s">
        <v>1933</v>
      </c>
      <c r="D274" s="1898" t="s">
        <v>1952</v>
      </c>
      <c r="E274" s="1898" t="s">
        <v>1860</v>
      </c>
      <c r="F274" s="1898" t="s">
        <v>1861</v>
      </c>
      <c r="G274" s="1899">
        <v>149150000</v>
      </c>
      <c r="H274" s="1892"/>
    </row>
    <row r="275" spans="1:8" s="1893" customFormat="1" ht="23.25" customHeight="1" x14ac:dyDescent="0.3">
      <c r="A275" s="1891" t="s">
        <v>3114</v>
      </c>
      <c r="B275" s="1898" t="s">
        <v>1153</v>
      </c>
      <c r="C275" s="1898" t="s">
        <v>1933</v>
      </c>
      <c r="D275" s="1898" t="s">
        <v>1952</v>
      </c>
      <c r="E275" s="1898" t="s">
        <v>1860</v>
      </c>
      <c r="F275" s="1898" t="s">
        <v>1930</v>
      </c>
      <c r="G275" s="1899">
        <v>250000</v>
      </c>
      <c r="H275" s="1892"/>
    </row>
    <row r="276" spans="1:8" s="1893" customFormat="1" ht="23.25" customHeight="1" x14ac:dyDescent="0.3">
      <c r="A276" s="1891" t="s">
        <v>3114</v>
      </c>
      <c r="B276" s="1898" t="s">
        <v>1153</v>
      </c>
      <c r="C276" s="1898" t="s">
        <v>1933</v>
      </c>
      <c r="D276" s="1898" t="s">
        <v>1952</v>
      </c>
      <c r="E276" s="1898" t="s">
        <v>1862</v>
      </c>
      <c r="F276" s="1898" t="s">
        <v>1863</v>
      </c>
      <c r="G276" s="1899">
        <v>3460633315</v>
      </c>
      <c r="H276" s="1892"/>
    </row>
    <row r="277" spans="1:8" s="1893" customFormat="1" ht="23.25" customHeight="1" x14ac:dyDescent="0.3">
      <c r="A277" s="1891" t="s">
        <v>3114</v>
      </c>
      <c r="B277" s="1898" t="s">
        <v>1153</v>
      </c>
      <c r="C277" s="1898" t="s">
        <v>1933</v>
      </c>
      <c r="D277" s="1898" t="s">
        <v>1952</v>
      </c>
      <c r="E277" s="1898" t="s">
        <v>1862</v>
      </c>
      <c r="F277" s="1898" t="s">
        <v>1864</v>
      </c>
      <c r="G277" s="1899">
        <v>626328655</v>
      </c>
      <c r="H277" s="1892"/>
    </row>
    <row r="278" spans="1:8" s="1893" customFormat="1" ht="23.25" customHeight="1" x14ac:dyDescent="0.3">
      <c r="A278" s="1891" t="s">
        <v>3114</v>
      </c>
      <c r="B278" s="1898" t="s">
        <v>1153</v>
      </c>
      <c r="C278" s="1898" t="s">
        <v>1933</v>
      </c>
      <c r="D278" s="1898" t="s">
        <v>1952</v>
      </c>
      <c r="E278" s="1898" t="s">
        <v>1862</v>
      </c>
      <c r="F278" s="1898" t="s">
        <v>1865</v>
      </c>
      <c r="G278" s="1899">
        <v>419256456</v>
      </c>
      <c r="H278" s="1892"/>
    </row>
    <row r="279" spans="1:8" s="1893" customFormat="1" ht="23.25" customHeight="1" x14ac:dyDescent="0.3">
      <c r="A279" s="1891" t="s">
        <v>3114</v>
      </c>
      <c r="B279" s="1898" t="s">
        <v>1153</v>
      </c>
      <c r="C279" s="1898" t="s">
        <v>1933</v>
      </c>
      <c r="D279" s="1898" t="s">
        <v>1952</v>
      </c>
      <c r="E279" s="1898" t="s">
        <v>1862</v>
      </c>
      <c r="F279" s="1898" t="s">
        <v>1866</v>
      </c>
      <c r="G279" s="1899">
        <v>175188315</v>
      </c>
      <c r="H279" s="1892"/>
    </row>
    <row r="280" spans="1:8" s="1893" customFormat="1" ht="23.25" customHeight="1" x14ac:dyDescent="0.3">
      <c r="A280" s="1891" t="s">
        <v>3114</v>
      </c>
      <c r="B280" s="1898" t="s">
        <v>1153</v>
      </c>
      <c r="C280" s="1898" t="s">
        <v>1933</v>
      </c>
      <c r="D280" s="1898" t="s">
        <v>1952</v>
      </c>
      <c r="E280" s="1898" t="s">
        <v>1862</v>
      </c>
      <c r="F280" s="1898" t="s">
        <v>1945</v>
      </c>
      <c r="G280" s="1899">
        <v>96425060</v>
      </c>
      <c r="H280" s="1892"/>
    </row>
    <row r="281" spans="1:8" s="1893" customFormat="1" ht="23.25" customHeight="1" x14ac:dyDescent="0.3">
      <c r="A281" s="1891" t="s">
        <v>3114</v>
      </c>
      <c r="B281" s="1898" t="s">
        <v>1153</v>
      </c>
      <c r="C281" s="1898" t="s">
        <v>1933</v>
      </c>
      <c r="D281" s="1898" t="s">
        <v>1952</v>
      </c>
      <c r="E281" s="1898" t="s">
        <v>1867</v>
      </c>
      <c r="F281" s="1898" t="s">
        <v>1868</v>
      </c>
      <c r="G281" s="1899">
        <v>277626226</v>
      </c>
      <c r="H281" s="1892"/>
    </row>
    <row r="282" spans="1:8" s="1893" customFormat="1" ht="23.25" customHeight="1" x14ac:dyDescent="0.3">
      <c r="A282" s="1891" t="s">
        <v>3114</v>
      </c>
      <c r="B282" s="1898" t="s">
        <v>1153</v>
      </c>
      <c r="C282" s="1898" t="s">
        <v>1933</v>
      </c>
      <c r="D282" s="1898" t="s">
        <v>1952</v>
      </c>
      <c r="E282" s="1898" t="s">
        <v>1867</v>
      </c>
      <c r="F282" s="1898" t="s">
        <v>1947</v>
      </c>
      <c r="G282" s="1899">
        <v>457921253</v>
      </c>
      <c r="H282" s="1892"/>
    </row>
    <row r="283" spans="1:8" s="1893" customFormat="1" ht="23.25" customHeight="1" x14ac:dyDescent="0.3">
      <c r="A283" s="1891" t="s">
        <v>3114</v>
      </c>
      <c r="B283" s="1898" t="s">
        <v>1153</v>
      </c>
      <c r="C283" s="1898" t="s">
        <v>1933</v>
      </c>
      <c r="D283" s="1898" t="s">
        <v>1952</v>
      </c>
      <c r="E283" s="1898" t="s">
        <v>1869</v>
      </c>
      <c r="F283" s="1898" t="s">
        <v>1870</v>
      </c>
      <c r="G283" s="1899">
        <v>162006193</v>
      </c>
      <c r="H283" s="1892"/>
    </row>
    <row r="284" spans="1:8" s="1893" customFormat="1" ht="23.25" customHeight="1" x14ac:dyDescent="0.3">
      <c r="A284" s="1891" t="s">
        <v>3114</v>
      </c>
      <c r="B284" s="1898" t="s">
        <v>1153</v>
      </c>
      <c r="C284" s="1898" t="s">
        <v>1933</v>
      </c>
      <c r="D284" s="1898" t="s">
        <v>1952</v>
      </c>
      <c r="E284" s="1898" t="s">
        <v>1869</v>
      </c>
      <c r="F284" s="1898" t="s">
        <v>1871</v>
      </c>
      <c r="G284" s="1899">
        <v>19723078</v>
      </c>
      <c r="H284" s="1892"/>
    </row>
    <row r="285" spans="1:8" s="1893" customFormat="1" ht="23.25" customHeight="1" x14ac:dyDescent="0.3">
      <c r="A285" s="1891" t="s">
        <v>3114</v>
      </c>
      <c r="B285" s="1898" t="s">
        <v>1153</v>
      </c>
      <c r="C285" s="1898" t="s">
        <v>1933</v>
      </c>
      <c r="D285" s="1898" t="s">
        <v>1952</v>
      </c>
      <c r="E285" s="1898" t="s">
        <v>1869</v>
      </c>
      <c r="F285" s="1898" t="s">
        <v>1873</v>
      </c>
      <c r="G285" s="1899">
        <v>2400000</v>
      </c>
      <c r="H285" s="1892"/>
    </row>
    <row r="286" spans="1:8" s="1893" customFormat="1" ht="23.25" customHeight="1" x14ac:dyDescent="0.3">
      <c r="A286" s="1891" t="s">
        <v>3114</v>
      </c>
      <c r="B286" s="1898" t="s">
        <v>1153</v>
      </c>
      <c r="C286" s="1898" t="s">
        <v>1933</v>
      </c>
      <c r="D286" s="1898" t="s">
        <v>1952</v>
      </c>
      <c r="E286" s="1898" t="s">
        <v>1874</v>
      </c>
      <c r="F286" s="1898" t="s">
        <v>1875</v>
      </c>
      <c r="G286" s="1899">
        <v>266943038</v>
      </c>
      <c r="H286" s="1892"/>
    </row>
    <row r="287" spans="1:8" s="1893" customFormat="1" ht="23.25" customHeight="1" x14ac:dyDescent="0.3">
      <c r="A287" s="1891" t="s">
        <v>3114</v>
      </c>
      <c r="B287" s="1898" t="s">
        <v>1153</v>
      </c>
      <c r="C287" s="1898" t="s">
        <v>1933</v>
      </c>
      <c r="D287" s="1898" t="s">
        <v>1952</v>
      </c>
      <c r="E287" s="1898" t="s">
        <v>1874</v>
      </c>
      <c r="F287" s="1898" t="s">
        <v>1876</v>
      </c>
      <c r="G287" s="1899">
        <v>658314000</v>
      </c>
      <c r="H287" s="1892"/>
    </row>
    <row r="288" spans="1:8" s="1893" customFormat="1" ht="23.25" customHeight="1" x14ac:dyDescent="0.3">
      <c r="A288" s="1891" t="s">
        <v>3114</v>
      </c>
      <c r="B288" s="1898" t="s">
        <v>1153</v>
      </c>
      <c r="C288" s="1898" t="s">
        <v>1933</v>
      </c>
      <c r="D288" s="1898" t="s">
        <v>1952</v>
      </c>
      <c r="E288" s="1898" t="s">
        <v>1874</v>
      </c>
      <c r="F288" s="1898" t="s">
        <v>1877</v>
      </c>
      <c r="G288" s="1899">
        <v>343666000</v>
      </c>
      <c r="H288" s="1892"/>
    </row>
    <row r="289" spans="1:8" s="1893" customFormat="1" ht="23.25" customHeight="1" x14ac:dyDescent="0.3">
      <c r="A289" s="1891" t="s">
        <v>3114</v>
      </c>
      <c r="B289" s="1898" t="s">
        <v>1153</v>
      </c>
      <c r="C289" s="1898" t="s">
        <v>1933</v>
      </c>
      <c r="D289" s="1898" t="s">
        <v>1952</v>
      </c>
      <c r="E289" s="1898" t="s">
        <v>1878</v>
      </c>
      <c r="F289" s="1898" t="s">
        <v>1879</v>
      </c>
      <c r="G289" s="1899">
        <v>17953812</v>
      </c>
      <c r="H289" s="1892"/>
    </row>
    <row r="290" spans="1:8" s="1893" customFormat="1" ht="23.25" customHeight="1" x14ac:dyDescent="0.3">
      <c r="A290" s="1891" t="s">
        <v>3114</v>
      </c>
      <c r="B290" s="1898" t="s">
        <v>1153</v>
      </c>
      <c r="C290" s="1898" t="s">
        <v>1933</v>
      </c>
      <c r="D290" s="1898" t="s">
        <v>1952</v>
      </c>
      <c r="E290" s="1898" t="s">
        <v>1878</v>
      </c>
      <c r="F290" s="1898" t="s">
        <v>1881</v>
      </c>
      <c r="G290" s="1899">
        <v>66738296</v>
      </c>
      <c r="H290" s="1892"/>
    </row>
    <row r="291" spans="1:8" s="1893" customFormat="1" ht="23.25" customHeight="1" x14ac:dyDescent="0.3">
      <c r="A291" s="1891" t="s">
        <v>3114</v>
      </c>
      <c r="B291" s="1898" t="s">
        <v>1153</v>
      </c>
      <c r="C291" s="1898" t="s">
        <v>1933</v>
      </c>
      <c r="D291" s="1898" t="s">
        <v>1952</v>
      </c>
      <c r="E291" s="1898" t="s">
        <v>1878</v>
      </c>
      <c r="F291" s="1898" t="s">
        <v>1882</v>
      </c>
      <c r="G291" s="1899">
        <v>8130000</v>
      </c>
      <c r="H291" s="1892"/>
    </row>
    <row r="292" spans="1:8" s="1893" customFormat="1" ht="23.25" customHeight="1" x14ac:dyDescent="0.3">
      <c r="A292" s="1891" t="s">
        <v>3114</v>
      </c>
      <c r="B292" s="1898" t="s">
        <v>1153</v>
      </c>
      <c r="C292" s="1898" t="s">
        <v>1933</v>
      </c>
      <c r="D292" s="1898" t="s">
        <v>1952</v>
      </c>
      <c r="E292" s="1898" t="s">
        <v>1878</v>
      </c>
      <c r="F292" s="1898" t="s">
        <v>1883</v>
      </c>
      <c r="G292" s="1899">
        <v>36730400</v>
      </c>
      <c r="H292" s="1892"/>
    </row>
    <row r="293" spans="1:8" s="1893" customFormat="1" ht="23.25" customHeight="1" x14ac:dyDescent="0.3">
      <c r="A293" s="1891" t="s">
        <v>3114</v>
      </c>
      <c r="B293" s="1898" t="s">
        <v>1153</v>
      </c>
      <c r="C293" s="1898" t="s">
        <v>1933</v>
      </c>
      <c r="D293" s="1898" t="s">
        <v>1952</v>
      </c>
      <c r="E293" s="1898" t="s">
        <v>1878</v>
      </c>
      <c r="F293" s="1898" t="s">
        <v>1949</v>
      </c>
      <c r="G293" s="1899">
        <v>1100000</v>
      </c>
      <c r="H293" s="1892"/>
    </row>
    <row r="294" spans="1:8" s="1893" customFormat="1" ht="23.25" customHeight="1" x14ac:dyDescent="0.3">
      <c r="A294" s="1891" t="s">
        <v>3114</v>
      </c>
      <c r="B294" s="1898" t="s">
        <v>1153</v>
      </c>
      <c r="C294" s="1898" t="s">
        <v>1933</v>
      </c>
      <c r="D294" s="1898" t="s">
        <v>1952</v>
      </c>
      <c r="E294" s="1898" t="s">
        <v>1885</v>
      </c>
      <c r="F294" s="1898" t="s">
        <v>1886</v>
      </c>
      <c r="G294" s="1899">
        <v>5400000</v>
      </c>
      <c r="H294" s="1892"/>
    </row>
    <row r="295" spans="1:8" s="1893" customFormat="1" ht="23.25" customHeight="1" x14ac:dyDescent="0.3">
      <c r="A295" s="1891" t="s">
        <v>3114</v>
      </c>
      <c r="B295" s="1898" t="s">
        <v>1153</v>
      </c>
      <c r="C295" s="1898" t="s">
        <v>1933</v>
      </c>
      <c r="D295" s="1898" t="s">
        <v>1952</v>
      </c>
      <c r="E295" s="1898" t="s">
        <v>1885</v>
      </c>
      <c r="F295" s="1898" t="s">
        <v>1927</v>
      </c>
      <c r="G295" s="1899">
        <v>1700000</v>
      </c>
      <c r="H295" s="1892"/>
    </row>
    <row r="296" spans="1:8" s="1893" customFormat="1" ht="23.25" customHeight="1" x14ac:dyDescent="0.3">
      <c r="A296" s="1891" t="s">
        <v>3114</v>
      </c>
      <c r="B296" s="1898" t="s">
        <v>1153</v>
      </c>
      <c r="C296" s="1898" t="s">
        <v>1933</v>
      </c>
      <c r="D296" s="1898" t="s">
        <v>1952</v>
      </c>
      <c r="E296" s="1898" t="s">
        <v>1885</v>
      </c>
      <c r="F296" s="1898" t="s">
        <v>1888</v>
      </c>
      <c r="G296" s="1899">
        <v>43341000</v>
      </c>
      <c r="H296" s="1892"/>
    </row>
    <row r="297" spans="1:8" s="1893" customFormat="1" ht="23.25" customHeight="1" x14ac:dyDescent="0.3">
      <c r="A297" s="1891" t="s">
        <v>3114</v>
      </c>
      <c r="B297" s="1898" t="s">
        <v>1153</v>
      </c>
      <c r="C297" s="1898" t="s">
        <v>1933</v>
      </c>
      <c r="D297" s="1898" t="s">
        <v>1952</v>
      </c>
      <c r="E297" s="1898" t="s">
        <v>1889</v>
      </c>
      <c r="F297" s="1898" t="s">
        <v>1890</v>
      </c>
      <c r="G297" s="1899">
        <v>304025000</v>
      </c>
      <c r="H297" s="1892"/>
    </row>
    <row r="298" spans="1:8" s="1893" customFormat="1" ht="23.25" customHeight="1" x14ac:dyDescent="0.3">
      <c r="A298" s="1891" t="s">
        <v>3114</v>
      </c>
      <c r="B298" s="1898" t="s">
        <v>1153</v>
      </c>
      <c r="C298" s="1898" t="s">
        <v>1933</v>
      </c>
      <c r="D298" s="1898" t="s">
        <v>1952</v>
      </c>
      <c r="E298" s="1898" t="s">
        <v>1889</v>
      </c>
      <c r="F298" s="1898" t="s">
        <v>1891</v>
      </c>
      <c r="G298" s="1899">
        <v>200240000</v>
      </c>
      <c r="H298" s="1892"/>
    </row>
    <row r="299" spans="1:8" s="1893" customFormat="1" ht="23.25" customHeight="1" x14ac:dyDescent="0.3">
      <c r="A299" s="1891" t="s">
        <v>3114</v>
      </c>
      <c r="B299" s="1898" t="s">
        <v>1153</v>
      </c>
      <c r="C299" s="1898" t="s">
        <v>1933</v>
      </c>
      <c r="D299" s="1898" t="s">
        <v>1952</v>
      </c>
      <c r="E299" s="1898" t="s">
        <v>1889</v>
      </c>
      <c r="F299" s="1898" t="s">
        <v>1892</v>
      </c>
      <c r="G299" s="1899">
        <v>28550000</v>
      </c>
      <c r="H299" s="1892"/>
    </row>
    <row r="300" spans="1:8" s="1893" customFormat="1" ht="23.25" customHeight="1" x14ac:dyDescent="0.3">
      <c r="A300" s="1891" t="s">
        <v>3114</v>
      </c>
      <c r="B300" s="1898" t="s">
        <v>1153</v>
      </c>
      <c r="C300" s="1898" t="s">
        <v>1933</v>
      </c>
      <c r="D300" s="1898" t="s">
        <v>1952</v>
      </c>
      <c r="E300" s="1898" t="s">
        <v>1889</v>
      </c>
      <c r="F300" s="1898" t="s">
        <v>1922</v>
      </c>
      <c r="G300" s="1899">
        <v>234537830</v>
      </c>
      <c r="H300" s="1892"/>
    </row>
    <row r="301" spans="1:8" s="1893" customFormat="1" ht="23.25" customHeight="1" x14ac:dyDescent="0.3">
      <c r="A301" s="1891" t="s">
        <v>3114</v>
      </c>
      <c r="B301" s="1898" t="s">
        <v>1153</v>
      </c>
      <c r="C301" s="1898" t="s">
        <v>1933</v>
      </c>
      <c r="D301" s="1898" t="s">
        <v>1952</v>
      </c>
      <c r="E301" s="1898" t="s">
        <v>1893</v>
      </c>
      <c r="F301" s="1898" t="s">
        <v>1894</v>
      </c>
      <c r="G301" s="1899">
        <v>25044000</v>
      </c>
      <c r="H301" s="1892"/>
    </row>
    <row r="302" spans="1:8" s="1893" customFormat="1" ht="23.25" customHeight="1" x14ac:dyDescent="0.3">
      <c r="A302" s="1891" t="s">
        <v>3114</v>
      </c>
      <c r="B302" s="1898" t="s">
        <v>1153</v>
      </c>
      <c r="C302" s="1898" t="s">
        <v>1933</v>
      </c>
      <c r="D302" s="1898" t="s">
        <v>1952</v>
      </c>
      <c r="E302" s="1898" t="s">
        <v>1893</v>
      </c>
      <c r="F302" s="1898" t="s">
        <v>2051</v>
      </c>
      <c r="G302" s="1899">
        <v>279920000</v>
      </c>
      <c r="H302" s="1892"/>
    </row>
    <row r="303" spans="1:8" s="1893" customFormat="1" ht="23.25" customHeight="1" x14ac:dyDescent="0.3">
      <c r="A303" s="1891" t="s">
        <v>3114</v>
      </c>
      <c r="B303" s="1898" t="s">
        <v>1153</v>
      </c>
      <c r="C303" s="1898" t="s">
        <v>1933</v>
      </c>
      <c r="D303" s="1898" t="s">
        <v>1952</v>
      </c>
      <c r="E303" s="1898" t="s">
        <v>1893</v>
      </c>
      <c r="F303" s="1898" t="s">
        <v>1895</v>
      </c>
      <c r="G303" s="1899">
        <v>7620000</v>
      </c>
      <c r="H303" s="1892"/>
    </row>
    <row r="304" spans="1:8" s="1893" customFormat="1" ht="23.25" customHeight="1" x14ac:dyDescent="0.3">
      <c r="A304" s="1891" t="s">
        <v>3114</v>
      </c>
      <c r="B304" s="1898" t="s">
        <v>1153</v>
      </c>
      <c r="C304" s="1898" t="s">
        <v>1933</v>
      </c>
      <c r="D304" s="1898" t="s">
        <v>1952</v>
      </c>
      <c r="E304" s="1898" t="s">
        <v>1896</v>
      </c>
      <c r="F304" s="1898" t="s">
        <v>1899</v>
      </c>
      <c r="G304" s="1899">
        <v>2115698531</v>
      </c>
      <c r="H304" s="1892"/>
    </row>
    <row r="305" spans="1:8" s="1893" customFormat="1" ht="23.25" customHeight="1" x14ac:dyDescent="0.3">
      <c r="A305" s="1891" t="s">
        <v>3114</v>
      </c>
      <c r="B305" s="1898" t="s">
        <v>1153</v>
      </c>
      <c r="C305" s="1898" t="s">
        <v>1933</v>
      </c>
      <c r="D305" s="1898" t="s">
        <v>1952</v>
      </c>
      <c r="E305" s="1898" t="s">
        <v>1896</v>
      </c>
      <c r="F305" s="1898" t="s">
        <v>1900</v>
      </c>
      <c r="G305" s="1899">
        <v>201383000</v>
      </c>
      <c r="H305" s="1892"/>
    </row>
    <row r="306" spans="1:8" s="1893" customFormat="1" ht="23.25" customHeight="1" x14ac:dyDescent="0.3">
      <c r="A306" s="1891" t="s">
        <v>3114</v>
      </c>
      <c r="B306" s="1898" t="s">
        <v>1153</v>
      </c>
      <c r="C306" s="1898" t="s">
        <v>1933</v>
      </c>
      <c r="D306" s="1898" t="s">
        <v>1952</v>
      </c>
      <c r="E306" s="1898" t="s">
        <v>1896</v>
      </c>
      <c r="F306" s="1898" t="s">
        <v>1901</v>
      </c>
      <c r="G306" s="1899">
        <v>8100000</v>
      </c>
      <c r="H306" s="1892"/>
    </row>
    <row r="307" spans="1:8" s="1893" customFormat="1" ht="23.25" customHeight="1" x14ac:dyDescent="0.3">
      <c r="A307" s="1891" t="s">
        <v>3114</v>
      </c>
      <c r="B307" s="1898" t="s">
        <v>1153</v>
      </c>
      <c r="C307" s="1898" t="s">
        <v>1933</v>
      </c>
      <c r="D307" s="1898" t="s">
        <v>1952</v>
      </c>
      <c r="E307" s="1898" t="s">
        <v>1896</v>
      </c>
      <c r="F307" s="1898" t="s">
        <v>1928</v>
      </c>
      <c r="G307" s="1899">
        <v>124872561</v>
      </c>
      <c r="H307" s="1892"/>
    </row>
    <row r="308" spans="1:8" s="1893" customFormat="1" ht="23.25" customHeight="1" x14ac:dyDescent="0.3">
      <c r="A308" s="1891" t="s">
        <v>3114</v>
      </c>
      <c r="B308" s="1898" t="s">
        <v>1153</v>
      </c>
      <c r="C308" s="1898" t="s">
        <v>1933</v>
      </c>
      <c r="D308" s="1898" t="s">
        <v>1952</v>
      </c>
      <c r="E308" s="1898" t="s">
        <v>1896</v>
      </c>
      <c r="F308" s="1898" t="s">
        <v>1902</v>
      </c>
      <c r="G308" s="1899">
        <v>588388138</v>
      </c>
      <c r="H308" s="1892"/>
    </row>
    <row r="309" spans="1:8" s="1893" customFormat="1" ht="23.25" customHeight="1" x14ac:dyDescent="0.3">
      <c r="A309" s="1891" t="s">
        <v>3114</v>
      </c>
      <c r="B309" s="1898" t="s">
        <v>1153</v>
      </c>
      <c r="C309" s="1898" t="s">
        <v>1933</v>
      </c>
      <c r="D309" s="1898" t="s">
        <v>1952</v>
      </c>
      <c r="E309" s="1898" t="s">
        <v>1903</v>
      </c>
      <c r="F309" s="1898" t="s">
        <v>1904</v>
      </c>
      <c r="G309" s="1899">
        <v>115521000</v>
      </c>
      <c r="H309" s="1892"/>
    </row>
    <row r="310" spans="1:8" s="1893" customFormat="1" ht="23.25" customHeight="1" x14ac:dyDescent="0.3">
      <c r="A310" s="1891" t="s">
        <v>3114</v>
      </c>
      <c r="B310" s="1898" t="s">
        <v>1153</v>
      </c>
      <c r="C310" s="1898" t="s">
        <v>1933</v>
      </c>
      <c r="D310" s="1898" t="s">
        <v>1952</v>
      </c>
      <c r="E310" s="1898" t="s">
        <v>1903</v>
      </c>
      <c r="F310" s="1898" t="s">
        <v>1905</v>
      </c>
      <c r="G310" s="1899">
        <v>501149000</v>
      </c>
      <c r="H310" s="1892"/>
    </row>
    <row r="311" spans="1:8" s="1893" customFormat="1" ht="23.25" customHeight="1" x14ac:dyDescent="0.3">
      <c r="A311" s="1891" t="s">
        <v>3114</v>
      </c>
      <c r="B311" s="1898" t="s">
        <v>1153</v>
      </c>
      <c r="C311" s="1898" t="s">
        <v>1933</v>
      </c>
      <c r="D311" s="1898" t="s">
        <v>1952</v>
      </c>
      <c r="E311" s="1898" t="s">
        <v>1906</v>
      </c>
      <c r="F311" s="1898" t="s">
        <v>1907</v>
      </c>
      <c r="G311" s="1899">
        <v>301339195</v>
      </c>
      <c r="H311" s="1892"/>
    </row>
    <row r="312" spans="1:8" s="1893" customFormat="1" ht="23.25" customHeight="1" x14ac:dyDescent="0.3">
      <c r="A312" s="1891" t="s">
        <v>3114</v>
      </c>
      <c r="B312" s="1898" t="s">
        <v>1153</v>
      </c>
      <c r="C312" s="1898" t="s">
        <v>1933</v>
      </c>
      <c r="D312" s="1898" t="s">
        <v>1952</v>
      </c>
      <c r="E312" s="1898" t="s">
        <v>1906</v>
      </c>
      <c r="F312" s="1898" t="s">
        <v>1908</v>
      </c>
      <c r="G312" s="1899">
        <v>22294000</v>
      </c>
      <c r="H312" s="1892"/>
    </row>
    <row r="313" spans="1:8" s="1893" customFormat="1" ht="23.25" customHeight="1" x14ac:dyDescent="0.3">
      <c r="A313" s="1891" t="s">
        <v>3114</v>
      </c>
      <c r="B313" s="1898" t="s">
        <v>1153</v>
      </c>
      <c r="C313" s="1898" t="s">
        <v>1933</v>
      </c>
      <c r="D313" s="1898" t="s">
        <v>1952</v>
      </c>
      <c r="E313" s="1898" t="s">
        <v>1906</v>
      </c>
      <c r="F313" s="1898" t="s">
        <v>1909</v>
      </c>
      <c r="G313" s="1899">
        <v>478929705</v>
      </c>
      <c r="H313" s="1892"/>
    </row>
    <row r="314" spans="1:8" s="1893" customFormat="1" ht="23.25" customHeight="1" x14ac:dyDescent="0.3">
      <c r="A314" s="1891" t="s">
        <v>3114</v>
      </c>
      <c r="B314" s="1898" t="s">
        <v>1153</v>
      </c>
      <c r="C314" s="1898" t="s">
        <v>1933</v>
      </c>
      <c r="D314" s="1898" t="s">
        <v>1952</v>
      </c>
      <c r="E314" s="1898" t="s">
        <v>1968</v>
      </c>
      <c r="F314" s="1898" t="s">
        <v>1969</v>
      </c>
      <c r="G314" s="1899">
        <v>40100000</v>
      </c>
      <c r="H314" s="1892"/>
    </row>
    <row r="315" spans="1:8" s="1893" customFormat="1" ht="23.25" customHeight="1" x14ac:dyDescent="0.3">
      <c r="A315" s="1891" t="s">
        <v>3114</v>
      </c>
      <c r="B315" s="1898" t="s">
        <v>1153</v>
      </c>
      <c r="C315" s="1898" t="s">
        <v>1933</v>
      </c>
      <c r="D315" s="1898" t="s">
        <v>1952</v>
      </c>
      <c r="E315" s="1898" t="s">
        <v>1912</v>
      </c>
      <c r="F315" s="1898" t="s">
        <v>1913</v>
      </c>
      <c r="G315" s="1899">
        <v>91965000</v>
      </c>
      <c r="H315" s="1892"/>
    </row>
    <row r="316" spans="1:8" s="1893" customFormat="1" ht="23.25" customHeight="1" x14ac:dyDescent="0.3">
      <c r="A316" s="1891" t="s">
        <v>3114</v>
      </c>
      <c r="B316" s="1898" t="s">
        <v>1153</v>
      </c>
      <c r="C316" s="1898" t="s">
        <v>1933</v>
      </c>
      <c r="D316" s="1898" t="s">
        <v>1952</v>
      </c>
      <c r="E316" s="1898" t="s">
        <v>1912</v>
      </c>
      <c r="F316" s="1898" t="s">
        <v>1915</v>
      </c>
      <c r="G316" s="1899">
        <v>5400000</v>
      </c>
      <c r="H316" s="1892"/>
    </row>
    <row r="317" spans="1:8" s="1893" customFormat="1" ht="23.25" customHeight="1" x14ac:dyDescent="0.3">
      <c r="A317" s="1891" t="s">
        <v>3114</v>
      </c>
      <c r="B317" s="1898" t="s">
        <v>1153</v>
      </c>
      <c r="C317" s="1898" t="s">
        <v>1933</v>
      </c>
      <c r="D317" s="1898" t="s">
        <v>1952</v>
      </c>
      <c r="E317" s="1898" t="s">
        <v>1912</v>
      </c>
      <c r="F317" s="1898" t="s">
        <v>1916</v>
      </c>
      <c r="G317" s="1899">
        <v>2128113184</v>
      </c>
      <c r="H317" s="1892"/>
    </row>
    <row r="318" spans="1:8" s="1893" customFormat="1" ht="23.25" customHeight="1" x14ac:dyDescent="0.3">
      <c r="A318" s="1891" t="s">
        <v>3114</v>
      </c>
      <c r="B318" s="1898" t="s">
        <v>1153</v>
      </c>
      <c r="C318" s="1898" t="s">
        <v>1933</v>
      </c>
      <c r="D318" s="1898" t="s">
        <v>1954</v>
      </c>
      <c r="E318" s="1898" t="s">
        <v>1848</v>
      </c>
      <c r="F318" s="1898" t="s">
        <v>1849</v>
      </c>
      <c r="G318" s="1899">
        <v>20714522944</v>
      </c>
      <c r="H318" s="1892"/>
    </row>
    <row r="319" spans="1:8" s="1893" customFormat="1" ht="23.25" customHeight="1" x14ac:dyDescent="0.3">
      <c r="A319" s="1891" t="s">
        <v>3114</v>
      </c>
      <c r="B319" s="1898" t="s">
        <v>1153</v>
      </c>
      <c r="C319" s="1898" t="s">
        <v>1933</v>
      </c>
      <c r="D319" s="1898" t="s">
        <v>1954</v>
      </c>
      <c r="E319" s="1898" t="s">
        <v>1848</v>
      </c>
      <c r="F319" s="1898" t="s">
        <v>1850</v>
      </c>
      <c r="G319" s="1899">
        <v>384280815</v>
      </c>
      <c r="H319" s="1892"/>
    </row>
    <row r="320" spans="1:8" s="1893" customFormat="1" ht="23.25" customHeight="1" x14ac:dyDescent="0.3">
      <c r="A320" s="1891" t="s">
        <v>3114</v>
      </c>
      <c r="B320" s="1898" t="s">
        <v>1153</v>
      </c>
      <c r="C320" s="1898" t="s">
        <v>1933</v>
      </c>
      <c r="D320" s="1898" t="s">
        <v>1954</v>
      </c>
      <c r="E320" s="1898" t="s">
        <v>1851</v>
      </c>
      <c r="F320" s="1898" t="s">
        <v>1852</v>
      </c>
      <c r="G320" s="1899">
        <v>1769342271</v>
      </c>
      <c r="H320" s="1892"/>
    </row>
    <row r="321" spans="1:8" s="1893" customFormat="1" ht="23.25" customHeight="1" x14ac:dyDescent="0.3">
      <c r="A321" s="1891" t="s">
        <v>3114</v>
      </c>
      <c r="B321" s="1898" t="s">
        <v>1153</v>
      </c>
      <c r="C321" s="1898" t="s">
        <v>1933</v>
      </c>
      <c r="D321" s="1898" t="s">
        <v>1954</v>
      </c>
      <c r="E321" s="1898" t="s">
        <v>1851</v>
      </c>
      <c r="F321" s="1898" t="s">
        <v>2065</v>
      </c>
      <c r="G321" s="1899">
        <v>19900000</v>
      </c>
      <c r="H321" s="1892"/>
    </row>
    <row r="322" spans="1:8" s="1893" customFormat="1" ht="23.25" customHeight="1" x14ac:dyDescent="0.3">
      <c r="A322" s="1891" t="s">
        <v>3114</v>
      </c>
      <c r="B322" s="1898" t="s">
        <v>1153</v>
      </c>
      <c r="C322" s="1898" t="s">
        <v>1933</v>
      </c>
      <c r="D322" s="1898" t="s">
        <v>1954</v>
      </c>
      <c r="E322" s="1898" t="s">
        <v>1853</v>
      </c>
      <c r="F322" s="1898" t="s">
        <v>1854</v>
      </c>
      <c r="G322" s="1899">
        <v>422683243</v>
      </c>
      <c r="H322" s="1892"/>
    </row>
    <row r="323" spans="1:8" s="1893" customFormat="1" ht="23.25" customHeight="1" x14ac:dyDescent="0.3">
      <c r="A323" s="1891" t="s">
        <v>3114</v>
      </c>
      <c r="B323" s="1898" t="s">
        <v>1153</v>
      </c>
      <c r="C323" s="1898" t="s">
        <v>1933</v>
      </c>
      <c r="D323" s="1898" t="s">
        <v>1954</v>
      </c>
      <c r="E323" s="1898" t="s">
        <v>1853</v>
      </c>
      <c r="F323" s="1898" t="s">
        <v>1855</v>
      </c>
      <c r="G323" s="1899">
        <v>2910924934</v>
      </c>
      <c r="H323" s="1892"/>
    </row>
    <row r="324" spans="1:8" s="1893" customFormat="1" ht="23.25" customHeight="1" x14ac:dyDescent="0.3">
      <c r="A324" s="1891" t="s">
        <v>3114</v>
      </c>
      <c r="B324" s="1898" t="s">
        <v>1153</v>
      </c>
      <c r="C324" s="1898" t="s">
        <v>1933</v>
      </c>
      <c r="D324" s="1898" t="s">
        <v>1954</v>
      </c>
      <c r="E324" s="1898" t="s">
        <v>1853</v>
      </c>
      <c r="F324" s="1898" t="s">
        <v>1935</v>
      </c>
      <c r="G324" s="1899">
        <v>1012635374</v>
      </c>
      <c r="H324" s="1892"/>
    </row>
    <row r="325" spans="1:8" s="1893" customFormat="1" ht="23.25" customHeight="1" x14ac:dyDescent="0.3">
      <c r="A325" s="1891" t="s">
        <v>3114</v>
      </c>
      <c r="B325" s="1898" t="s">
        <v>1153</v>
      </c>
      <c r="C325" s="1898" t="s">
        <v>1933</v>
      </c>
      <c r="D325" s="1898" t="s">
        <v>1954</v>
      </c>
      <c r="E325" s="1898" t="s">
        <v>1853</v>
      </c>
      <c r="F325" s="1898" t="s">
        <v>1856</v>
      </c>
      <c r="G325" s="1899">
        <v>475593063</v>
      </c>
      <c r="H325" s="1892"/>
    </row>
    <row r="326" spans="1:8" s="1893" customFormat="1" ht="23.25" customHeight="1" x14ac:dyDescent="0.3">
      <c r="A326" s="1891" t="s">
        <v>3114</v>
      </c>
      <c r="B326" s="1898" t="s">
        <v>1153</v>
      </c>
      <c r="C326" s="1898" t="s">
        <v>1933</v>
      </c>
      <c r="D326" s="1898" t="s">
        <v>1954</v>
      </c>
      <c r="E326" s="1898" t="s">
        <v>1853</v>
      </c>
      <c r="F326" s="1898" t="s">
        <v>1936</v>
      </c>
      <c r="G326" s="1899">
        <v>35760000</v>
      </c>
      <c r="H326" s="1892"/>
    </row>
    <row r="327" spans="1:8" s="1893" customFormat="1" ht="23.25" customHeight="1" x14ac:dyDescent="0.3">
      <c r="A327" s="1891" t="s">
        <v>3114</v>
      </c>
      <c r="B327" s="1898" t="s">
        <v>1153</v>
      </c>
      <c r="C327" s="1898" t="s">
        <v>1933</v>
      </c>
      <c r="D327" s="1898" t="s">
        <v>1954</v>
      </c>
      <c r="E327" s="1898" t="s">
        <v>1853</v>
      </c>
      <c r="F327" s="1898" t="s">
        <v>1937</v>
      </c>
      <c r="G327" s="1899">
        <v>10340499786</v>
      </c>
      <c r="H327" s="1892"/>
    </row>
    <row r="328" spans="1:8" s="1893" customFormat="1" ht="23.25" customHeight="1" x14ac:dyDescent="0.3">
      <c r="A328" s="1891" t="s">
        <v>3114</v>
      </c>
      <c r="B328" s="1898" t="s">
        <v>1153</v>
      </c>
      <c r="C328" s="1898" t="s">
        <v>1933</v>
      </c>
      <c r="D328" s="1898" t="s">
        <v>1954</v>
      </c>
      <c r="E328" s="1898" t="s">
        <v>1853</v>
      </c>
      <c r="F328" s="1898" t="s">
        <v>1858</v>
      </c>
      <c r="G328" s="1899">
        <v>249476675</v>
      </c>
      <c r="H328" s="1892"/>
    </row>
    <row r="329" spans="1:8" s="1893" customFormat="1" ht="23.25" customHeight="1" x14ac:dyDescent="0.3">
      <c r="A329" s="1891" t="s">
        <v>3114</v>
      </c>
      <c r="B329" s="1898" t="s">
        <v>1153</v>
      </c>
      <c r="C329" s="1898" t="s">
        <v>1933</v>
      </c>
      <c r="D329" s="1898" t="s">
        <v>1954</v>
      </c>
      <c r="E329" s="1898" t="s">
        <v>1853</v>
      </c>
      <c r="F329" s="1898" t="s">
        <v>1929</v>
      </c>
      <c r="G329" s="1899">
        <v>4012442779</v>
      </c>
      <c r="H329" s="1892"/>
    </row>
    <row r="330" spans="1:8" s="1893" customFormat="1" ht="23.25" customHeight="1" x14ac:dyDescent="0.3">
      <c r="A330" s="1891" t="s">
        <v>3114</v>
      </c>
      <c r="B330" s="1898" t="s">
        <v>1153</v>
      </c>
      <c r="C330" s="1898" t="s">
        <v>1933</v>
      </c>
      <c r="D330" s="1898" t="s">
        <v>1954</v>
      </c>
      <c r="E330" s="1898" t="s">
        <v>1853</v>
      </c>
      <c r="F330" s="1898" t="s">
        <v>1938</v>
      </c>
      <c r="G330" s="1899">
        <v>958641868</v>
      </c>
      <c r="H330" s="1892"/>
    </row>
    <row r="331" spans="1:8" s="1893" customFormat="1" ht="23.25" customHeight="1" x14ac:dyDescent="0.3">
      <c r="A331" s="1891" t="s">
        <v>3114</v>
      </c>
      <c r="B331" s="1898" t="s">
        <v>1153</v>
      </c>
      <c r="C331" s="1898" t="s">
        <v>1933</v>
      </c>
      <c r="D331" s="1898" t="s">
        <v>1954</v>
      </c>
      <c r="E331" s="1898" t="s">
        <v>1853</v>
      </c>
      <c r="F331" s="1898" t="s">
        <v>1977</v>
      </c>
      <c r="G331" s="1899">
        <v>1341000</v>
      </c>
      <c r="H331" s="1892"/>
    </row>
    <row r="332" spans="1:8" s="1893" customFormat="1" ht="23.25" customHeight="1" x14ac:dyDescent="0.3">
      <c r="A332" s="1891" t="s">
        <v>3114</v>
      </c>
      <c r="B332" s="1898" t="s">
        <v>1153</v>
      </c>
      <c r="C332" s="1898" t="s">
        <v>1933</v>
      </c>
      <c r="D332" s="1898" t="s">
        <v>1954</v>
      </c>
      <c r="E332" s="1898" t="s">
        <v>1853</v>
      </c>
      <c r="F332" s="1898" t="s">
        <v>1939</v>
      </c>
      <c r="G332" s="1899">
        <v>386187140</v>
      </c>
      <c r="H332" s="1892"/>
    </row>
    <row r="333" spans="1:8" s="1893" customFormat="1" ht="23.25" customHeight="1" x14ac:dyDescent="0.3">
      <c r="A333" s="1891" t="s">
        <v>3114</v>
      </c>
      <c r="B333" s="1898" t="s">
        <v>1153</v>
      </c>
      <c r="C333" s="1898" t="s">
        <v>1933</v>
      </c>
      <c r="D333" s="1898" t="s">
        <v>1954</v>
      </c>
      <c r="E333" s="1898" t="s">
        <v>1940</v>
      </c>
      <c r="F333" s="1898" t="s">
        <v>2242</v>
      </c>
      <c r="G333" s="1899">
        <v>3680316667</v>
      </c>
      <c r="H333" s="1892"/>
    </row>
    <row r="334" spans="1:8" s="1893" customFormat="1" ht="23.25" customHeight="1" x14ac:dyDescent="0.3">
      <c r="A334" s="1891" t="s">
        <v>3114</v>
      </c>
      <c r="B334" s="1898" t="s">
        <v>1153</v>
      </c>
      <c r="C334" s="1898" t="s">
        <v>1933</v>
      </c>
      <c r="D334" s="1898" t="s">
        <v>1954</v>
      </c>
      <c r="E334" s="1898" t="s">
        <v>1940</v>
      </c>
      <c r="F334" s="1898" t="s">
        <v>1942</v>
      </c>
      <c r="G334" s="1899">
        <v>1445591000</v>
      </c>
      <c r="H334" s="1892"/>
    </row>
    <row r="335" spans="1:8" s="1893" customFormat="1" ht="23.25" customHeight="1" x14ac:dyDescent="0.3">
      <c r="A335" s="1891" t="s">
        <v>3114</v>
      </c>
      <c r="B335" s="1898" t="s">
        <v>1153</v>
      </c>
      <c r="C335" s="1898" t="s">
        <v>1933</v>
      </c>
      <c r="D335" s="1898" t="s">
        <v>1954</v>
      </c>
      <c r="E335" s="1898" t="s">
        <v>1940</v>
      </c>
      <c r="F335" s="1898" t="s">
        <v>1967</v>
      </c>
      <c r="G335" s="1899">
        <v>11787000</v>
      </c>
      <c r="H335" s="1892"/>
    </row>
    <row r="336" spans="1:8" s="1893" customFormat="1" ht="23.25" customHeight="1" x14ac:dyDescent="0.3">
      <c r="A336" s="1891" t="s">
        <v>3114</v>
      </c>
      <c r="B336" s="1898" t="s">
        <v>1153</v>
      </c>
      <c r="C336" s="1898" t="s">
        <v>1933</v>
      </c>
      <c r="D336" s="1898" t="s">
        <v>1954</v>
      </c>
      <c r="E336" s="1898" t="s">
        <v>1860</v>
      </c>
      <c r="F336" s="1898" t="s">
        <v>1861</v>
      </c>
      <c r="G336" s="1899">
        <v>183860000</v>
      </c>
      <c r="H336" s="1892"/>
    </row>
    <row r="337" spans="1:8" s="1893" customFormat="1" ht="23.25" customHeight="1" x14ac:dyDescent="0.3">
      <c r="A337" s="1891" t="s">
        <v>3114</v>
      </c>
      <c r="B337" s="1898" t="s">
        <v>1153</v>
      </c>
      <c r="C337" s="1898" t="s">
        <v>1933</v>
      </c>
      <c r="D337" s="1898" t="s">
        <v>1954</v>
      </c>
      <c r="E337" s="1898" t="s">
        <v>1860</v>
      </c>
      <c r="F337" s="1898" t="s">
        <v>1930</v>
      </c>
      <c r="G337" s="1899">
        <v>2760000</v>
      </c>
      <c r="H337" s="1892"/>
    </row>
    <row r="338" spans="1:8" s="1893" customFormat="1" ht="23.25" customHeight="1" x14ac:dyDescent="0.3">
      <c r="A338" s="1891" t="s">
        <v>3114</v>
      </c>
      <c r="B338" s="1898" t="s">
        <v>1153</v>
      </c>
      <c r="C338" s="1898" t="s">
        <v>1933</v>
      </c>
      <c r="D338" s="1898" t="s">
        <v>1954</v>
      </c>
      <c r="E338" s="1898" t="s">
        <v>1943</v>
      </c>
      <c r="F338" s="1898" t="s">
        <v>1944</v>
      </c>
      <c r="G338" s="1899">
        <v>44061000</v>
      </c>
      <c r="H338" s="1892"/>
    </row>
    <row r="339" spans="1:8" s="1893" customFormat="1" ht="23.25" customHeight="1" x14ac:dyDescent="0.3">
      <c r="A339" s="1891" t="s">
        <v>3114</v>
      </c>
      <c r="B339" s="1898" t="s">
        <v>1153</v>
      </c>
      <c r="C339" s="1898" t="s">
        <v>1933</v>
      </c>
      <c r="D339" s="1898" t="s">
        <v>1954</v>
      </c>
      <c r="E339" s="1898" t="s">
        <v>1862</v>
      </c>
      <c r="F339" s="1898" t="s">
        <v>1863</v>
      </c>
      <c r="G339" s="1899">
        <v>4372034060</v>
      </c>
      <c r="H339" s="1892"/>
    </row>
    <row r="340" spans="1:8" s="1893" customFormat="1" ht="23.25" customHeight="1" x14ac:dyDescent="0.3">
      <c r="A340" s="1891" t="s">
        <v>3114</v>
      </c>
      <c r="B340" s="1898" t="s">
        <v>1153</v>
      </c>
      <c r="C340" s="1898" t="s">
        <v>1933</v>
      </c>
      <c r="D340" s="1898" t="s">
        <v>1954</v>
      </c>
      <c r="E340" s="1898" t="s">
        <v>1862</v>
      </c>
      <c r="F340" s="1898" t="s">
        <v>1864</v>
      </c>
      <c r="G340" s="1899">
        <v>755850354</v>
      </c>
      <c r="H340" s="1892"/>
    </row>
    <row r="341" spans="1:8" s="1893" customFormat="1" ht="23.25" customHeight="1" x14ac:dyDescent="0.3">
      <c r="A341" s="1891" t="s">
        <v>3114</v>
      </c>
      <c r="B341" s="1898" t="s">
        <v>1153</v>
      </c>
      <c r="C341" s="1898" t="s">
        <v>1933</v>
      </c>
      <c r="D341" s="1898" t="s">
        <v>1954</v>
      </c>
      <c r="E341" s="1898" t="s">
        <v>1862</v>
      </c>
      <c r="F341" s="1898" t="s">
        <v>1865</v>
      </c>
      <c r="G341" s="1899">
        <v>518352725</v>
      </c>
      <c r="H341" s="1892"/>
    </row>
    <row r="342" spans="1:8" s="1893" customFormat="1" ht="23.25" customHeight="1" x14ac:dyDescent="0.3">
      <c r="A342" s="1891" t="s">
        <v>3114</v>
      </c>
      <c r="B342" s="1898" t="s">
        <v>1153</v>
      </c>
      <c r="C342" s="1898" t="s">
        <v>1933</v>
      </c>
      <c r="D342" s="1898" t="s">
        <v>1954</v>
      </c>
      <c r="E342" s="1898" t="s">
        <v>1862</v>
      </c>
      <c r="F342" s="1898" t="s">
        <v>1866</v>
      </c>
      <c r="G342" s="1899">
        <v>243043858</v>
      </c>
      <c r="H342" s="1892"/>
    </row>
    <row r="343" spans="1:8" s="1893" customFormat="1" ht="23.25" customHeight="1" x14ac:dyDescent="0.3">
      <c r="A343" s="1891" t="s">
        <v>3114</v>
      </c>
      <c r="B343" s="1898" t="s">
        <v>1153</v>
      </c>
      <c r="C343" s="1898" t="s">
        <v>1933</v>
      </c>
      <c r="D343" s="1898" t="s">
        <v>1954</v>
      </c>
      <c r="E343" s="1898" t="s">
        <v>1862</v>
      </c>
      <c r="F343" s="1898" t="s">
        <v>1945</v>
      </c>
      <c r="G343" s="1899">
        <v>131723133</v>
      </c>
      <c r="H343" s="1892"/>
    </row>
    <row r="344" spans="1:8" s="1893" customFormat="1" ht="23.25" customHeight="1" x14ac:dyDescent="0.3">
      <c r="A344" s="1891" t="s">
        <v>3114</v>
      </c>
      <c r="B344" s="1898" t="s">
        <v>1153</v>
      </c>
      <c r="C344" s="1898" t="s">
        <v>1933</v>
      </c>
      <c r="D344" s="1898" t="s">
        <v>1954</v>
      </c>
      <c r="E344" s="1898" t="s">
        <v>1867</v>
      </c>
      <c r="F344" s="1898" t="s">
        <v>1868</v>
      </c>
      <c r="G344" s="1899">
        <v>344486314</v>
      </c>
      <c r="H344" s="1892"/>
    </row>
    <row r="345" spans="1:8" s="1893" customFormat="1" ht="23.25" customHeight="1" x14ac:dyDescent="0.3">
      <c r="A345" s="1891" t="s">
        <v>3114</v>
      </c>
      <c r="B345" s="1898" t="s">
        <v>1153</v>
      </c>
      <c r="C345" s="1898" t="s">
        <v>1933</v>
      </c>
      <c r="D345" s="1898" t="s">
        <v>1954</v>
      </c>
      <c r="E345" s="1898" t="s">
        <v>1867</v>
      </c>
      <c r="F345" s="1898" t="s">
        <v>1947</v>
      </c>
      <c r="G345" s="1899">
        <v>566817531</v>
      </c>
      <c r="H345" s="1892"/>
    </row>
    <row r="346" spans="1:8" s="1893" customFormat="1" ht="23.25" customHeight="1" x14ac:dyDescent="0.3">
      <c r="A346" s="1891" t="s">
        <v>3114</v>
      </c>
      <c r="B346" s="1898" t="s">
        <v>1153</v>
      </c>
      <c r="C346" s="1898" t="s">
        <v>1933</v>
      </c>
      <c r="D346" s="1898" t="s">
        <v>1954</v>
      </c>
      <c r="E346" s="1898" t="s">
        <v>1869</v>
      </c>
      <c r="F346" s="1898" t="s">
        <v>1870</v>
      </c>
      <c r="G346" s="1899">
        <v>289240873</v>
      </c>
      <c r="H346" s="1892"/>
    </row>
    <row r="347" spans="1:8" s="1893" customFormat="1" ht="23.25" customHeight="1" x14ac:dyDescent="0.3">
      <c r="A347" s="1891" t="s">
        <v>3114</v>
      </c>
      <c r="B347" s="1898" t="s">
        <v>1153</v>
      </c>
      <c r="C347" s="1898" t="s">
        <v>1933</v>
      </c>
      <c r="D347" s="1898" t="s">
        <v>1954</v>
      </c>
      <c r="E347" s="1898" t="s">
        <v>1869</v>
      </c>
      <c r="F347" s="1898" t="s">
        <v>1871</v>
      </c>
      <c r="G347" s="1899">
        <v>63295388</v>
      </c>
      <c r="H347" s="1892"/>
    </row>
    <row r="348" spans="1:8" s="1893" customFormat="1" ht="23.25" customHeight="1" x14ac:dyDescent="0.3">
      <c r="A348" s="1891" t="s">
        <v>3114</v>
      </c>
      <c r="B348" s="1898" t="s">
        <v>1153</v>
      </c>
      <c r="C348" s="1898" t="s">
        <v>1933</v>
      </c>
      <c r="D348" s="1898" t="s">
        <v>1954</v>
      </c>
      <c r="E348" s="1898" t="s">
        <v>1869</v>
      </c>
      <c r="F348" s="1898" t="s">
        <v>1873</v>
      </c>
      <c r="G348" s="1899">
        <v>3720000</v>
      </c>
      <c r="H348" s="1892"/>
    </row>
    <row r="349" spans="1:8" s="1893" customFormat="1" ht="23.25" customHeight="1" x14ac:dyDescent="0.3">
      <c r="A349" s="1891" t="s">
        <v>3114</v>
      </c>
      <c r="B349" s="1898" t="s">
        <v>1153</v>
      </c>
      <c r="C349" s="1898" t="s">
        <v>1933</v>
      </c>
      <c r="D349" s="1898" t="s">
        <v>1954</v>
      </c>
      <c r="E349" s="1898" t="s">
        <v>1874</v>
      </c>
      <c r="F349" s="1898" t="s">
        <v>1875</v>
      </c>
      <c r="G349" s="1899">
        <v>343991504</v>
      </c>
      <c r="H349" s="1892"/>
    </row>
    <row r="350" spans="1:8" s="1893" customFormat="1" ht="23.25" customHeight="1" x14ac:dyDescent="0.3">
      <c r="A350" s="1891" t="s">
        <v>3114</v>
      </c>
      <c r="B350" s="1898" t="s">
        <v>1153</v>
      </c>
      <c r="C350" s="1898" t="s">
        <v>1933</v>
      </c>
      <c r="D350" s="1898" t="s">
        <v>1954</v>
      </c>
      <c r="E350" s="1898" t="s">
        <v>1874</v>
      </c>
      <c r="F350" s="1898" t="s">
        <v>1876</v>
      </c>
      <c r="G350" s="1899">
        <v>804482280</v>
      </c>
      <c r="H350" s="1892"/>
    </row>
    <row r="351" spans="1:8" s="1893" customFormat="1" ht="23.25" customHeight="1" x14ac:dyDescent="0.3">
      <c r="A351" s="1891" t="s">
        <v>3114</v>
      </c>
      <c r="B351" s="1898" t="s">
        <v>1153</v>
      </c>
      <c r="C351" s="1898" t="s">
        <v>1933</v>
      </c>
      <c r="D351" s="1898" t="s">
        <v>1954</v>
      </c>
      <c r="E351" s="1898" t="s">
        <v>1874</v>
      </c>
      <c r="F351" s="1898" t="s">
        <v>2062</v>
      </c>
      <c r="G351" s="1899">
        <v>12840000</v>
      </c>
      <c r="H351" s="1892"/>
    </row>
    <row r="352" spans="1:8" s="1893" customFormat="1" ht="23.25" customHeight="1" x14ac:dyDescent="0.3">
      <c r="A352" s="1891" t="s">
        <v>3114</v>
      </c>
      <c r="B352" s="1898" t="s">
        <v>1153</v>
      </c>
      <c r="C352" s="1898" t="s">
        <v>1933</v>
      </c>
      <c r="D352" s="1898" t="s">
        <v>1954</v>
      </c>
      <c r="E352" s="1898" t="s">
        <v>1874</v>
      </c>
      <c r="F352" s="1898" t="s">
        <v>1877</v>
      </c>
      <c r="G352" s="1899">
        <v>391296256</v>
      </c>
      <c r="H352" s="1892"/>
    </row>
    <row r="353" spans="1:8" s="1893" customFormat="1" ht="23.25" customHeight="1" x14ac:dyDescent="0.3">
      <c r="A353" s="1891" t="s">
        <v>3114</v>
      </c>
      <c r="B353" s="1898" t="s">
        <v>1153</v>
      </c>
      <c r="C353" s="1898" t="s">
        <v>1933</v>
      </c>
      <c r="D353" s="1898" t="s">
        <v>1954</v>
      </c>
      <c r="E353" s="1898" t="s">
        <v>1878</v>
      </c>
      <c r="F353" s="1898" t="s">
        <v>1879</v>
      </c>
      <c r="G353" s="1899">
        <v>15636083</v>
      </c>
      <c r="H353" s="1892"/>
    </row>
    <row r="354" spans="1:8" s="1893" customFormat="1" ht="23.25" customHeight="1" x14ac:dyDescent="0.3">
      <c r="A354" s="1891" t="s">
        <v>3114</v>
      </c>
      <c r="B354" s="1898" t="s">
        <v>1153</v>
      </c>
      <c r="C354" s="1898" t="s">
        <v>1933</v>
      </c>
      <c r="D354" s="1898" t="s">
        <v>1954</v>
      </c>
      <c r="E354" s="1898" t="s">
        <v>1878</v>
      </c>
      <c r="F354" s="1898" t="s">
        <v>1880</v>
      </c>
      <c r="G354" s="1899">
        <v>400000</v>
      </c>
      <c r="H354" s="1892"/>
    </row>
    <row r="355" spans="1:8" s="1893" customFormat="1" ht="23.25" customHeight="1" x14ac:dyDescent="0.3">
      <c r="A355" s="1891" t="s">
        <v>3114</v>
      </c>
      <c r="B355" s="1898" t="s">
        <v>1153</v>
      </c>
      <c r="C355" s="1898" t="s">
        <v>1933</v>
      </c>
      <c r="D355" s="1898" t="s">
        <v>1954</v>
      </c>
      <c r="E355" s="1898" t="s">
        <v>1878</v>
      </c>
      <c r="F355" s="1898" t="s">
        <v>1881</v>
      </c>
      <c r="G355" s="1899">
        <v>74717790</v>
      </c>
      <c r="H355" s="1892"/>
    </row>
    <row r="356" spans="1:8" s="1893" customFormat="1" ht="23.25" customHeight="1" x14ac:dyDescent="0.3">
      <c r="A356" s="1891" t="s">
        <v>3114</v>
      </c>
      <c r="B356" s="1898" t="s">
        <v>1153</v>
      </c>
      <c r="C356" s="1898" t="s">
        <v>1933</v>
      </c>
      <c r="D356" s="1898" t="s">
        <v>1954</v>
      </c>
      <c r="E356" s="1898" t="s">
        <v>1878</v>
      </c>
      <c r="F356" s="1898" t="s">
        <v>1882</v>
      </c>
      <c r="G356" s="1899">
        <v>13066551</v>
      </c>
      <c r="H356" s="1892"/>
    </row>
    <row r="357" spans="1:8" s="1893" customFormat="1" ht="23.25" customHeight="1" x14ac:dyDescent="0.3">
      <c r="A357" s="1891" t="s">
        <v>3114</v>
      </c>
      <c r="B357" s="1898" t="s">
        <v>1153</v>
      </c>
      <c r="C357" s="1898" t="s">
        <v>1933</v>
      </c>
      <c r="D357" s="1898" t="s">
        <v>1954</v>
      </c>
      <c r="E357" s="1898" t="s">
        <v>1878</v>
      </c>
      <c r="F357" s="1898" t="s">
        <v>1883</v>
      </c>
      <c r="G357" s="1899">
        <v>44179000</v>
      </c>
      <c r="H357" s="1892"/>
    </row>
    <row r="358" spans="1:8" s="1893" customFormat="1" ht="23.25" customHeight="1" x14ac:dyDescent="0.3">
      <c r="A358" s="1891" t="s">
        <v>3114</v>
      </c>
      <c r="B358" s="1898" t="s">
        <v>1153</v>
      </c>
      <c r="C358" s="1898" t="s">
        <v>1933</v>
      </c>
      <c r="D358" s="1898" t="s">
        <v>1954</v>
      </c>
      <c r="E358" s="1898" t="s">
        <v>1878</v>
      </c>
      <c r="F358" s="1898" t="s">
        <v>1884</v>
      </c>
      <c r="G358" s="1899">
        <v>2400000</v>
      </c>
      <c r="H358" s="1892"/>
    </row>
    <row r="359" spans="1:8" s="1893" customFormat="1" ht="23.25" customHeight="1" x14ac:dyDescent="0.3">
      <c r="A359" s="1891" t="s">
        <v>3114</v>
      </c>
      <c r="B359" s="1898" t="s">
        <v>1153</v>
      </c>
      <c r="C359" s="1898" t="s">
        <v>1933</v>
      </c>
      <c r="D359" s="1898" t="s">
        <v>1954</v>
      </c>
      <c r="E359" s="1898" t="s">
        <v>1885</v>
      </c>
      <c r="F359" s="1898" t="s">
        <v>1925</v>
      </c>
      <c r="G359" s="1899">
        <v>350000</v>
      </c>
      <c r="H359" s="1892"/>
    </row>
    <row r="360" spans="1:8" s="1893" customFormat="1" ht="23.25" customHeight="1" x14ac:dyDescent="0.3">
      <c r="A360" s="1891" t="s">
        <v>3114</v>
      </c>
      <c r="B360" s="1898" t="s">
        <v>1153</v>
      </c>
      <c r="C360" s="1898" t="s">
        <v>1933</v>
      </c>
      <c r="D360" s="1898" t="s">
        <v>1954</v>
      </c>
      <c r="E360" s="1898" t="s">
        <v>1885</v>
      </c>
      <c r="F360" s="1898" t="s">
        <v>1886</v>
      </c>
      <c r="G360" s="1899">
        <v>13200000</v>
      </c>
      <c r="H360" s="1892"/>
    </row>
    <row r="361" spans="1:8" s="1893" customFormat="1" ht="23.25" customHeight="1" x14ac:dyDescent="0.3">
      <c r="A361" s="1891" t="s">
        <v>3114</v>
      </c>
      <c r="B361" s="1898" t="s">
        <v>1153</v>
      </c>
      <c r="C361" s="1898" t="s">
        <v>1933</v>
      </c>
      <c r="D361" s="1898" t="s">
        <v>1954</v>
      </c>
      <c r="E361" s="1898" t="s">
        <v>1885</v>
      </c>
      <c r="F361" s="1898" t="s">
        <v>1927</v>
      </c>
      <c r="G361" s="1899">
        <v>15565000</v>
      </c>
      <c r="H361" s="1892"/>
    </row>
    <row r="362" spans="1:8" s="1893" customFormat="1" ht="23.25" customHeight="1" x14ac:dyDescent="0.3">
      <c r="A362" s="1891" t="s">
        <v>3114</v>
      </c>
      <c r="B362" s="1898" t="s">
        <v>1153</v>
      </c>
      <c r="C362" s="1898" t="s">
        <v>1933</v>
      </c>
      <c r="D362" s="1898" t="s">
        <v>1954</v>
      </c>
      <c r="E362" s="1898" t="s">
        <v>1885</v>
      </c>
      <c r="F362" s="1898" t="s">
        <v>1888</v>
      </c>
      <c r="G362" s="1899">
        <v>90376500</v>
      </c>
      <c r="H362" s="1892"/>
    </row>
    <row r="363" spans="1:8" s="1893" customFormat="1" ht="23.25" customHeight="1" x14ac:dyDescent="0.3">
      <c r="A363" s="1891" t="s">
        <v>3114</v>
      </c>
      <c r="B363" s="1898" t="s">
        <v>1153</v>
      </c>
      <c r="C363" s="1898" t="s">
        <v>1933</v>
      </c>
      <c r="D363" s="1898" t="s">
        <v>1954</v>
      </c>
      <c r="E363" s="1898" t="s">
        <v>1889</v>
      </c>
      <c r="F363" s="1898" t="s">
        <v>1921</v>
      </c>
      <c r="G363" s="1899">
        <v>48035000</v>
      </c>
      <c r="H363" s="1892"/>
    </row>
    <row r="364" spans="1:8" s="1893" customFormat="1" ht="23.25" customHeight="1" x14ac:dyDescent="0.3">
      <c r="A364" s="1891" t="s">
        <v>3114</v>
      </c>
      <c r="B364" s="1898" t="s">
        <v>1153</v>
      </c>
      <c r="C364" s="1898" t="s">
        <v>1933</v>
      </c>
      <c r="D364" s="1898" t="s">
        <v>1954</v>
      </c>
      <c r="E364" s="1898" t="s">
        <v>1889</v>
      </c>
      <c r="F364" s="1898" t="s">
        <v>1890</v>
      </c>
      <c r="G364" s="1899">
        <v>474345000</v>
      </c>
      <c r="H364" s="1892"/>
    </row>
    <row r="365" spans="1:8" s="1893" customFormat="1" ht="23.25" customHeight="1" x14ac:dyDescent="0.3">
      <c r="A365" s="1891" t="s">
        <v>3114</v>
      </c>
      <c r="B365" s="1898" t="s">
        <v>1153</v>
      </c>
      <c r="C365" s="1898" t="s">
        <v>1933</v>
      </c>
      <c r="D365" s="1898" t="s">
        <v>1954</v>
      </c>
      <c r="E365" s="1898" t="s">
        <v>1889</v>
      </c>
      <c r="F365" s="1898" t="s">
        <v>1891</v>
      </c>
      <c r="G365" s="1899">
        <v>291309000</v>
      </c>
      <c r="H365" s="1892"/>
    </row>
    <row r="366" spans="1:8" s="1893" customFormat="1" ht="23.25" customHeight="1" x14ac:dyDescent="0.3">
      <c r="A366" s="1891" t="s">
        <v>3114</v>
      </c>
      <c r="B366" s="1898" t="s">
        <v>1153</v>
      </c>
      <c r="C366" s="1898" t="s">
        <v>1933</v>
      </c>
      <c r="D366" s="1898" t="s">
        <v>1954</v>
      </c>
      <c r="E366" s="1898" t="s">
        <v>1889</v>
      </c>
      <c r="F366" s="1898" t="s">
        <v>1892</v>
      </c>
      <c r="G366" s="1899">
        <v>22900000</v>
      </c>
      <c r="H366" s="1892"/>
    </row>
    <row r="367" spans="1:8" s="1893" customFormat="1" ht="23.25" customHeight="1" x14ac:dyDescent="0.3">
      <c r="A367" s="1891" t="s">
        <v>3114</v>
      </c>
      <c r="B367" s="1898" t="s">
        <v>1153</v>
      </c>
      <c r="C367" s="1898" t="s">
        <v>1933</v>
      </c>
      <c r="D367" s="1898" t="s">
        <v>1954</v>
      </c>
      <c r="E367" s="1898" t="s">
        <v>1889</v>
      </c>
      <c r="F367" s="1898" t="s">
        <v>1922</v>
      </c>
      <c r="G367" s="1899">
        <v>297687429</v>
      </c>
      <c r="H367" s="1892"/>
    </row>
    <row r="368" spans="1:8" s="1893" customFormat="1" ht="23.25" customHeight="1" x14ac:dyDescent="0.3">
      <c r="A368" s="1891" t="s">
        <v>3114</v>
      </c>
      <c r="B368" s="1898" t="s">
        <v>1153</v>
      </c>
      <c r="C368" s="1898" t="s">
        <v>1933</v>
      </c>
      <c r="D368" s="1898" t="s">
        <v>1954</v>
      </c>
      <c r="E368" s="1898" t="s">
        <v>1893</v>
      </c>
      <c r="F368" s="1898" t="s">
        <v>1894</v>
      </c>
      <c r="G368" s="1899">
        <v>42664900</v>
      </c>
      <c r="H368" s="1892"/>
    </row>
    <row r="369" spans="1:8" s="1893" customFormat="1" ht="23.25" customHeight="1" x14ac:dyDescent="0.3">
      <c r="A369" s="1891" t="s">
        <v>3114</v>
      </c>
      <c r="B369" s="1898" t="s">
        <v>1153</v>
      </c>
      <c r="C369" s="1898" t="s">
        <v>1933</v>
      </c>
      <c r="D369" s="1898" t="s">
        <v>1954</v>
      </c>
      <c r="E369" s="1898" t="s">
        <v>1893</v>
      </c>
      <c r="F369" s="1898" t="s">
        <v>2051</v>
      </c>
      <c r="G369" s="1899">
        <v>454220000</v>
      </c>
      <c r="H369" s="1892"/>
    </row>
    <row r="370" spans="1:8" s="1893" customFormat="1" ht="23.25" customHeight="1" x14ac:dyDescent="0.3">
      <c r="A370" s="1891" t="s">
        <v>3114</v>
      </c>
      <c r="B370" s="1898" t="s">
        <v>1153</v>
      </c>
      <c r="C370" s="1898" t="s">
        <v>1933</v>
      </c>
      <c r="D370" s="1898" t="s">
        <v>1954</v>
      </c>
      <c r="E370" s="1898" t="s">
        <v>1893</v>
      </c>
      <c r="F370" s="1898" t="s">
        <v>1895</v>
      </c>
      <c r="G370" s="1899">
        <v>20953800</v>
      </c>
      <c r="H370" s="1892"/>
    </row>
    <row r="371" spans="1:8" s="1893" customFormat="1" ht="23.25" customHeight="1" x14ac:dyDescent="0.3">
      <c r="A371" s="1891" t="s">
        <v>3114</v>
      </c>
      <c r="B371" s="1898" t="s">
        <v>1153</v>
      </c>
      <c r="C371" s="1898" t="s">
        <v>1933</v>
      </c>
      <c r="D371" s="1898" t="s">
        <v>1954</v>
      </c>
      <c r="E371" s="1898" t="s">
        <v>1896</v>
      </c>
      <c r="F371" s="1898" t="s">
        <v>1899</v>
      </c>
      <c r="G371" s="1899">
        <v>1543161567</v>
      </c>
      <c r="H371" s="1892"/>
    </row>
    <row r="372" spans="1:8" s="1893" customFormat="1" ht="23.25" customHeight="1" x14ac:dyDescent="0.3">
      <c r="A372" s="1891" t="s">
        <v>3114</v>
      </c>
      <c r="B372" s="1898" t="s">
        <v>1153</v>
      </c>
      <c r="C372" s="1898" t="s">
        <v>1933</v>
      </c>
      <c r="D372" s="1898" t="s">
        <v>1954</v>
      </c>
      <c r="E372" s="1898" t="s">
        <v>1896</v>
      </c>
      <c r="F372" s="1898" t="s">
        <v>1900</v>
      </c>
      <c r="G372" s="1899">
        <v>215338283</v>
      </c>
      <c r="H372" s="1892"/>
    </row>
    <row r="373" spans="1:8" s="1893" customFormat="1" ht="23.25" customHeight="1" x14ac:dyDescent="0.3">
      <c r="A373" s="1891" t="s">
        <v>3114</v>
      </c>
      <c r="B373" s="1898" t="s">
        <v>1153</v>
      </c>
      <c r="C373" s="1898" t="s">
        <v>1933</v>
      </c>
      <c r="D373" s="1898" t="s">
        <v>1954</v>
      </c>
      <c r="E373" s="1898" t="s">
        <v>1896</v>
      </c>
      <c r="F373" s="1898" t="s">
        <v>1901</v>
      </c>
      <c r="G373" s="1899">
        <v>9250000</v>
      </c>
      <c r="H373" s="1892"/>
    </row>
    <row r="374" spans="1:8" s="1893" customFormat="1" ht="23.25" customHeight="1" x14ac:dyDescent="0.3">
      <c r="A374" s="1891" t="s">
        <v>3114</v>
      </c>
      <c r="B374" s="1898" t="s">
        <v>1153</v>
      </c>
      <c r="C374" s="1898" t="s">
        <v>1933</v>
      </c>
      <c r="D374" s="1898" t="s">
        <v>1954</v>
      </c>
      <c r="E374" s="1898" t="s">
        <v>1896</v>
      </c>
      <c r="F374" s="1898" t="s">
        <v>1928</v>
      </c>
      <c r="G374" s="1899">
        <v>175454240</v>
      </c>
      <c r="H374" s="1892"/>
    </row>
    <row r="375" spans="1:8" s="1893" customFormat="1" ht="23.25" customHeight="1" x14ac:dyDescent="0.3">
      <c r="A375" s="1891" t="s">
        <v>3114</v>
      </c>
      <c r="B375" s="1898" t="s">
        <v>1153</v>
      </c>
      <c r="C375" s="1898" t="s">
        <v>1933</v>
      </c>
      <c r="D375" s="1898" t="s">
        <v>1954</v>
      </c>
      <c r="E375" s="1898" t="s">
        <v>1896</v>
      </c>
      <c r="F375" s="1898" t="s">
        <v>1902</v>
      </c>
      <c r="G375" s="1899">
        <v>524058908</v>
      </c>
      <c r="H375" s="1892"/>
    </row>
    <row r="376" spans="1:8" s="1893" customFormat="1" ht="23.25" customHeight="1" x14ac:dyDescent="0.3">
      <c r="A376" s="1891" t="s">
        <v>3114</v>
      </c>
      <c r="B376" s="1898" t="s">
        <v>1153</v>
      </c>
      <c r="C376" s="1898" t="s">
        <v>1933</v>
      </c>
      <c r="D376" s="1898" t="s">
        <v>1954</v>
      </c>
      <c r="E376" s="1898" t="s">
        <v>1903</v>
      </c>
      <c r="F376" s="1898" t="s">
        <v>1950</v>
      </c>
      <c r="G376" s="1899">
        <v>42800000</v>
      </c>
      <c r="H376" s="1892"/>
    </row>
    <row r="377" spans="1:8" s="1893" customFormat="1" ht="23.25" customHeight="1" x14ac:dyDescent="0.3">
      <c r="A377" s="1891" t="s">
        <v>3114</v>
      </c>
      <c r="B377" s="1898" t="s">
        <v>1153</v>
      </c>
      <c r="C377" s="1898" t="s">
        <v>1933</v>
      </c>
      <c r="D377" s="1898" t="s">
        <v>1954</v>
      </c>
      <c r="E377" s="1898" t="s">
        <v>1903</v>
      </c>
      <c r="F377" s="1898" t="s">
        <v>1904</v>
      </c>
      <c r="G377" s="1899">
        <v>336089000</v>
      </c>
      <c r="H377" s="1892"/>
    </row>
    <row r="378" spans="1:8" s="1893" customFormat="1" ht="23.25" customHeight="1" x14ac:dyDescent="0.3">
      <c r="A378" s="1891" t="s">
        <v>3114</v>
      </c>
      <c r="B378" s="1898" t="s">
        <v>1153</v>
      </c>
      <c r="C378" s="1898" t="s">
        <v>1933</v>
      </c>
      <c r="D378" s="1898" t="s">
        <v>1954</v>
      </c>
      <c r="E378" s="1898" t="s">
        <v>1903</v>
      </c>
      <c r="F378" s="1898" t="s">
        <v>1905</v>
      </c>
      <c r="G378" s="1899">
        <v>420686433</v>
      </c>
      <c r="H378" s="1892"/>
    </row>
    <row r="379" spans="1:8" s="1893" customFormat="1" ht="23.25" customHeight="1" x14ac:dyDescent="0.3">
      <c r="A379" s="1891" t="s">
        <v>3114</v>
      </c>
      <c r="B379" s="1898" t="s">
        <v>1153</v>
      </c>
      <c r="C379" s="1898" t="s">
        <v>1933</v>
      </c>
      <c r="D379" s="1898" t="s">
        <v>1954</v>
      </c>
      <c r="E379" s="1898" t="s">
        <v>1906</v>
      </c>
      <c r="F379" s="1898" t="s">
        <v>1907</v>
      </c>
      <c r="G379" s="1899">
        <v>621340400</v>
      </c>
      <c r="H379" s="1892"/>
    </row>
    <row r="380" spans="1:8" s="1893" customFormat="1" ht="23.25" customHeight="1" x14ac:dyDescent="0.3">
      <c r="A380" s="1891" t="s">
        <v>3114</v>
      </c>
      <c r="B380" s="1898" t="s">
        <v>1153</v>
      </c>
      <c r="C380" s="1898" t="s">
        <v>1933</v>
      </c>
      <c r="D380" s="1898" t="s">
        <v>1954</v>
      </c>
      <c r="E380" s="1898" t="s">
        <v>1906</v>
      </c>
      <c r="F380" s="1898" t="s">
        <v>1908</v>
      </c>
      <c r="G380" s="1899">
        <v>107010000</v>
      </c>
      <c r="H380" s="1892"/>
    </row>
    <row r="381" spans="1:8" s="1893" customFormat="1" ht="23.25" customHeight="1" x14ac:dyDescent="0.3">
      <c r="A381" s="1891" t="s">
        <v>3114</v>
      </c>
      <c r="B381" s="1898" t="s">
        <v>1153</v>
      </c>
      <c r="C381" s="1898" t="s">
        <v>1933</v>
      </c>
      <c r="D381" s="1898" t="s">
        <v>1954</v>
      </c>
      <c r="E381" s="1898" t="s">
        <v>1906</v>
      </c>
      <c r="F381" s="1898" t="s">
        <v>1909</v>
      </c>
      <c r="G381" s="1899">
        <v>1084446191</v>
      </c>
      <c r="H381" s="1892"/>
    </row>
    <row r="382" spans="1:8" s="1893" customFormat="1" ht="23.25" customHeight="1" x14ac:dyDescent="0.3">
      <c r="A382" s="1891" t="s">
        <v>3114</v>
      </c>
      <c r="B382" s="1898" t="s">
        <v>1153</v>
      </c>
      <c r="C382" s="1898" t="s">
        <v>1933</v>
      </c>
      <c r="D382" s="1898" t="s">
        <v>1954</v>
      </c>
      <c r="E382" s="1898" t="s">
        <v>1968</v>
      </c>
      <c r="F382" s="1898" t="s">
        <v>1969</v>
      </c>
      <c r="G382" s="1899">
        <v>42000000</v>
      </c>
      <c r="H382" s="1892"/>
    </row>
    <row r="383" spans="1:8" s="1893" customFormat="1" ht="23.25" customHeight="1" x14ac:dyDescent="0.3">
      <c r="A383" s="1891" t="s">
        <v>3114</v>
      </c>
      <c r="B383" s="1898" t="s">
        <v>1153</v>
      </c>
      <c r="C383" s="1898" t="s">
        <v>1933</v>
      </c>
      <c r="D383" s="1898" t="s">
        <v>1954</v>
      </c>
      <c r="E383" s="1898" t="s">
        <v>1912</v>
      </c>
      <c r="F383" s="1898" t="s">
        <v>1913</v>
      </c>
      <c r="G383" s="1899">
        <v>118570600</v>
      </c>
      <c r="H383" s="1892"/>
    </row>
    <row r="384" spans="1:8" s="1893" customFormat="1" ht="23.25" customHeight="1" x14ac:dyDescent="0.3">
      <c r="A384" s="1891" t="s">
        <v>3114</v>
      </c>
      <c r="B384" s="1898" t="s">
        <v>1153</v>
      </c>
      <c r="C384" s="1898" t="s">
        <v>1933</v>
      </c>
      <c r="D384" s="1898" t="s">
        <v>1954</v>
      </c>
      <c r="E384" s="1898" t="s">
        <v>1912</v>
      </c>
      <c r="F384" s="1898" t="s">
        <v>1915</v>
      </c>
      <c r="G384" s="1899">
        <v>9300000</v>
      </c>
      <c r="H384" s="1892"/>
    </row>
    <row r="385" spans="1:8" s="1893" customFormat="1" ht="23.25" customHeight="1" x14ac:dyDescent="0.3">
      <c r="A385" s="1891" t="s">
        <v>3114</v>
      </c>
      <c r="B385" s="1898" t="s">
        <v>1153</v>
      </c>
      <c r="C385" s="1898" t="s">
        <v>1933</v>
      </c>
      <c r="D385" s="1898" t="s">
        <v>1954</v>
      </c>
      <c r="E385" s="1898" t="s">
        <v>1912</v>
      </c>
      <c r="F385" s="1898" t="s">
        <v>1951</v>
      </c>
      <c r="G385" s="1899">
        <v>116189820</v>
      </c>
      <c r="H385" s="1892"/>
    </row>
    <row r="386" spans="1:8" s="1893" customFormat="1" ht="23.25" customHeight="1" x14ac:dyDescent="0.3">
      <c r="A386" s="1891" t="s">
        <v>3114</v>
      </c>
      <c r="B386" s="1898" t="s">
        <v>1153</v>
      </c>
      <c r="C386" s="1898" t="s">
        <v>1933</v>
      </c>
      <c r="D386" s="1898" t="s">
        <v>1954</v>
      </c>
      <c r="E386" s="1898" t="s">
        <v>1912</v>
      </c>
      <c r="F386" s="1898" t="s">
        <v>1916</v>
      </c>
      <c r="G386" s="1899">
        <v>3430557294</v>
      </c>
      <c r="H386" s="1892"/>
    </row>
    <row r="387" spans="1:8" s="1893" customFormat="1" ht="23.25" customHeight="1" x14ac:dyDescent="0.3">
      <c r="A387" s="1891" t="s">
        <v>3114</v>
      </c>
      <c r="B387" s="1898" t="s">
        <v>1153</v>
      </c>
      <c r="C387" s="1898" t="s">
        <v>1846</v>
      </c>
      <c r="D387" s="1898" t="s">
        <v>1847</v>
      </c>
      <c r="E387" s="1898" t="s">
        <v>1848</v>
      </c>
      <c r="F387" s="1898" t="s">
        <v>1849</v>
      </c>
      <c r="G387" s="1899">
        <v>528444864</v>
      </c>
      <c r="H387" s="1892"/>
    </row>
    <row r="388" spans="1:8" s="1893" customFormat="1" ht="23.25" customHeight="1" x14ac:dyDescent="0.3">
      <c r="A388" s="1891" t="s">
        <v>3114</v>
      </c>
      <c r="B388" s="1898" t="s">
        <v>1153</v>
      </c>
      <c r="C388" s="1898" t="s">
        <v>1846</v>
      </c>
      <c r="D388" s="1898" t="s">
        <v>1847</v>
      </c>
      <c r="E388" s="1898" t="s">
        <v>1853</v>
      </c>
      <c r="F388" s="1898" t="s">
        <v>1854</v>
      </c>
      <c r="G388" s="1899">
        <v>8344000</v>
      </c>
      <c r="H388" s="1892"/>
    </row>
    <row r="389" spans="1:8" s="1893" customFormat="1" ht="23.25" customHeight="1" x14ac:dyDescent="0.3">
      <c r="A389" s="1891" t="s">
        <v>3114</v>
      </c>
      <c r="B389" s="1898" t="s">
        <v>1153</v>
      </c>
      <c r="C389" s="1898" t="s">
        <v>1846</v>
      </c>
      <c r="D389" s="1898" t="s">
        <v>1847</v>
      </c>
      <c r="E389" s="1898" t="s">
        <v>1853</v>
      </c>
      <c r="F389" s="1898" t="s">
        <v>1855</v>
      </c>
      <c r="G389" s="1899">
        <v>64815000</v>
      </c>
      <c r="H389" s="1892"/>
    </row>
    <row r="390" spans="1:8" s="1893" customFormat="1" ht="23.25" customHeight="1" x14ac:dyDescent="0.3">
      <c r="A390" s="1891" t="s">
        <v>3114</v>
      </c>
      <c r="B390" s="1898" t="s">
        <v>1153</v>
      </c>
      <c r="C390" s="1898" t="s">
        <v>1846</v>
      </c>
      <c r="D390" s="1898" t="s">
        <v>1847</v>
      </c>
      <c r="E390" s="1898" t="s">
        <v>1853</v>
      </c>
      <c r="F390" s="1898" t="s">
        <v>1856</v>
      </c>
      <c r="G390" s="1899">
        <v>70466900</v>
      </c>
      <c r="H390" s="1892"/>
    </row>
    <row r="391" spans="1:8" s="1893" customFormat="1" ht="23.25" customHeight="1" x14ac:dyDescent="0.3">
      <c r="A391" s="1891" t="s">
        <v>3114</v>
      </c>
      <c r="B391" s="1898" t="s">
        <v>1153</v>
      </c>
      <c r="C391" s="1898" t="s">
        <v>1846</v>
      </c>
      <c r="D391" s="1898" t="s">
        <v>1847</v>
      </c>
      <c r="E391" s="1898" t="s">
        <v>1853</v>
      </c>
      <c r="F391" s="1898" t="s">
        <v>1859</v>
      </c>
      <c r="G391" s="1899">
        <v>134236037</v>
      </c>
      <c r="H391" s="1892"/>
    </row>
    <row r="392" spans="1:8" s="1893" customFormat="1" ht="23.25" customHeight="1" x14ac:dyDescent="0.3">
      <c r="A392" s="1891" t="s">
        <v>3114</v>
      </c>
      <c r="B392" s="1898" t="s">
        <v>1153</v>
      </c>
      <c r="C392" s="1898" t="s">
        <v>1846</v>
      </c>
      <c r="D392" s="1898" t="s">
        <v>1847</v>
      </c>
      <c r="E392" s="1898" t="s">
        <v>1860</v>
      </c>
      <c r="F392" s="1898" t="s">
        <v>1861</v>
      </c>
      <c r="G392" s="1899">
        <v>2250000</v>
      </c>
      <c r="H392" s="1892"/>
    </row>
    <row r="393" spans="1:8" s="1893" customFormat="1" ht="23.25" customHeight="1" x14ac:dyDescent="0.3">
      <c r="A393" s="1891" t="s">
        <v>3114</v>
      </c>
      <c r="B393" s="1898" t="s">
        <v>1153</v>
      </c>
      <c r="C393" s="1898" t="s">
        <v>1846</v>
      </c>
      <c r="D393" s="1898" t="s">
        <v>1847</v>
      </c>
      <c r="E393" s="1898" t="s">
        <v>1862</v>
      </c>
      <c r="F393" s="1898" t="s">
        <v>1863</v>
      </c>
      <c r="G393" s="1899">
        <v>91291853</v>
      </c>
      <c r="H393" s="1892"/>
    </row>
    <row r="394" spans="1:8" s="1893" customFormat="1" ht="23.25" customHeight="1" x14ac:dyDescent="0.3">
      <c r="A394" s="1891" t="s">
        <v>3114</v>
      </c>
      <c r="B394" s="1898" t="s">
        <v>1153</v>
      </c>
      <c r="C394" s="1898" t="s">
        <v>1846</v>
      </c>
      <c r="D394" s="1898" t="s">
        <v>1847</v>
      </c>
      <c r="E394" s="1898" t="s">
        <v>1862</v>
      </c>
      <c r="F394" s="1898" t="s">
        <v>1864</v>
      </c>
      <c r="G394" s="1899">
        <v>16110363</v>
      </c>
      <c r="H394" s="1892"/>
    </row>
    <row r="395" spans="1:8" s="1893" customFormat="1" ht="23.25" customHeight="1" x14ac:dyDescent="0.3">
      <c r="A395" s="1891" t="s">
        <v>3114</v>
      </c>
      <c r="B395" s="1898" t="s">
        <v>1153</v>
      </c>
      <c r="C395" s="1898" t="s">
        <v>1846</v>
      </c>
      <c r="D395" s="1898" t="s">
        <v>1847</v>
      </c>
      <c r="E395" s="1898" t="s">
        <v>1862</v>
      </c>
      <c r="F395" s="1898" t="s">
        <v>1865</v>
      </c>
      <c r="G395" s="1899">
        <v>10720550</v>
      </c>
      <c r="H395" s="1892"/>
    </row>
    <row r="396" spans="1:8" s="1893" customFormat="1" ht="23.25" customHeight="1" x14ac:dyDescent="0.3">
      <c r="A396" s="1891" t="s">
        <v>3114</v>
      </c>
      <c r="B396" s="1898" t="s">
        <v>1153</v>
      </c>
      <c r="C396" s="1898" t="s">
        <v>1846</v>
      </c>
      <c r="D396" s="1898" t="s">
        <v>1847</v>
      </c>
      <c r="E396" s="1898" t="s">
        <v>1862</v>
      </c>
      <c r="F396" s="1898" t="s">
        <v>1945</v>
      </c>
      <c r="G396" s="1899">
        <v>2685061</v>
      </c>
      <c r="H396" s="1892"/>
    </row>
    <row r="397" spans="1:8" s="1893" customFormat="1" ht="23.25" customHeight="1" x14ac:dyDescent="0.3">
      <c r="A397" s="1891" t="s">
        <v>3114</v>
      </c>
      <c r="B397" s="1898" t="s">
        <v>1153</v>
      </c>
      <c r="C397" s="1898" t="s">
        <v>1846</v>
      </c>
      <c r="D397" s="1898" t="s">
        <v>1847</v>
      </c>
      <c r="E397" s="1898" t="s">
        <v>1867</v>
      </c>
      <c r="F397" s="1898" t="s">
        <v>1868</v>
      </c>
      <c r="G397" s="1899">
        <v>48111000</v>
      </c>
      <c r="H397" s="1892"/>
    </row>
    <row r="398" spans="1:8" s="1893" customFormat="1" ht="23.25" customHeight="1" x14ac:dyDescent="0.3">
      <c r="A398" s="1891" t="s">
        <v>3114</v>
      </c>
      <c r="B398" s="1898" t="s">
        <v>1153</v>
      </c>
      <c r="C398" s="1898" t="s">
        <v>1846</v>
      </c>
      <c r="D398" s="1898" t="s">
        <v>1847</v>
      </c>
      <c r="E398" s="1898" t="s">
        <v>1869</v>
      </c>
      <c r="F398" s="1898" t="s">
        <v>1870</v>
      </c>
      <c r="G398" s="1899">
        <v>21139589</v>
      </c>
      <c r="H398" s="1892"/>
    </row>
    <row r="399" spans="1:8" s="1893" customFormat="1" ht="23.25" customHeight="1" x14ac:dyDescent="0.3">
      <c r="A399" s="1891" t="s">
        <v>3114</v>
      </c>
      <c r="B399" s="1898" t="s">
        <v>1153</v>
      </c>
      <c r="C399" s="1898" t="s">
        <v>1846</v>
      </c>
      <c r="D399" s="1898" t="s">
        <v>1847</v>
      </c>
      <c r="E399" s="1898" t="s">
        <v>1869</v>
      </c>
      <c r="F399" s="1898" t="s">
        <v>1871</v>
      </c>
      <c r="G399" s="1899">
        <v>1511199</v>
      </c>
      <c r="H399" s="1892"/>
    </row>
    <row r="400" spans="1:8" s="1893" customFormat="1" ht="23.25" customHeight="1" x14ac:dyDescent="0.3">
      <c r="A400" s="1891" t="s">
        <v>3114</v>
      </c>
      <c r="B400" s="1898" t="s">
        <v>1153</v>
      </c>
      <c r="C400" s="1898" t="s">
        <v>1846</v>
      </c>
      <c r="D400" s="1898" t="s">
        <v>1847</v>
      </c>
      <c r="E400" s="1898" t="s">
        <v>1869</v>
      </c>
      <c r="F400" s="1898" t="s">
        <v>1873</v>
      </c>
      <c r="G400" s="1899">
        <v>1080000</v>
      </c>
      <c r="H400" s="1892"/>
    </row>
    <row r="401" spans="1:8" s="1893" customFormat="1" ht="23.25" customHeight="1" x14ac:dyDescent="0.3">
      <c r="A401" s="1891" t="s">
        <v>3114</v>
      </c>
      <c r="B401" s="1898" t="s">
        <v>1153</v>
      </c>
      <c r="C401" s="1898" t="s">
        <v>1846</v>
      </c>
      <c r="D401" s="1898" t="s">
        <v>1847</v>
      </c>
      <c r="E401" s="1898" t="s">
        <v>1874</v>
      </c>
      <c r="F401" s="1898" t="s">
        <v>1875</v>
      </c>
      <c r="G401" s="1899">
        <v>19354000</v>
      </c>
      <c r="H401" s="1892"/>
    </row>
    <row r="402" spans="1:8" s="1893" customFormat="1" ht="23.25" customHeight="1" x14ac:dyDescent="0.3">
      <c r="A402" s="1891" t="s">
        <v>3114</v>
      </c>
      <c r="B402" s="1898" t="s">
        <v>1153</v>
      </c>
      <c r="C402" s="1898" t="s">
        <v>1846</v>
      </c>
      <c r="D402" s="1898" t="s">
        <v>1847</v>
      </c>
      <c r="E402" s="1898" t="s">
        <v>1874</v>
      </c>
      <c r="F402" s="1898" t="s">
        <v>1876</v>
      </c>
      <c r="G402" s="1899">
        <v>12957194</v>
      </c>
      <c r="H402" s="1892"/>
    </row>
    <row r="403" spans="1:8" s="1893" customFormat="1" ht="23.25" customHeight="1" x14ac:dyDescent="0.3">
      <c r="A403" s="1891" t="s">
        <v>3114</v>
      </c>
      <c r="B403" s="1898" t="s">
        <v>1153</v>
      </c>
      <c r="C403" s="1898" t="s">
        <v>1846</v>
      </c>
      <c r="D403" s="1898" t="s">
        <v>1847</v>
      </c>
      <c r="E403" s="1898" t="s">
        <v>1874</v>
      </c>
      <c r="F403" s="1898" t="s">
        <v>1877</v>
      </c>
      <c r="G403" s="1899">
        <v>2400000</v>
      </c>
      <c r="H403" s="1892"/>
    </row>
    <row r="404" spans="1:8" s="1893" customFormat="1" ht="23.25" customHeight="1" x14ac:dyDescent="0.3">
      <c r="A404" s="1891" t="s">
        <v>3114</v>
      </c>
      <c r="B404" s="1898" t="s">
        <v>1153</v>
      </c>
      <c r="C404" s="1898" t="s">
        <v>1846</v>
      </c>
      <c r="D404" s="1898" t="s">
        <v>1847</v>
      </c>
      <c r="E404" s="1898" t="s">
        <v>1878</v>
      </c>
      <c r="F404" s="1898" t="s">
        <v>1879</v>
      </c>
      <c r="G404" s="1899">
        <v>2351752</v>
      </c>
      <c r="H404" s="1892"/>
    </row>
    <row r="405" spans="1:8" s="1893" customFormat="1" ht="23.25" customHeight="1" x14ac:dyDescent="0.3">
      <c r="A405" s="1891" t="s">
        <v>3114</v>
      </c>
      <c r="B405" s="1898" t="s">
        <v>1153</v>
      </c>
      <c r="C405" s="1898" t="s">
        <v>1846</v>
      </c>
      <c r="D405" s="1898" t="s">
        <v>1847</v>
      </c>
      <c r="E405" s="1898" t="s">
        <v>1878</v>
      </c>
      <c r="F405" s="1898" t="s">
        <v>1880</v>
      </c>
      <c r="G405" s="1899">
        <v>1040000</v>
      </c>
      <c r="H405" s="1892"/>
    </row>
    <row r="406" spans="1:8" s="1893" customFormat="1" ht="23.25" customHeight="1" x14ac:dyDescent="0.3">
      <c r="A406" s="1891" t="s">
        <v>3114</v>
      </c>
      <c r="B406" s="1898" t="s">
        <v>1153</v>
      </c>
      <c r="C406" s="1898" t="s">
        <v>1846</v>
      </c>
      <c r="D406" s="1898" t="s">
        <v>1847</v>
      </c>
      <c r="E406" s="1898" t="s">
        <v>1878</v>
      </c>
      <c r="F406" s="1898" t="s">
        <v>1881</v>
      </c>
      <c r="G406" s="1899">
        <v>19331138</v>
      </c>
      <c r="H406" s="1892"/>
    </row>
    <row r="407" spans="1:8" s="1893" customFormat="1" ht="23.25" customHeight="1" x14ac:dyDescent="0.3">
      <c r="A407" s="1891" t="s">
        <v>3114</v>
      </c>
      <c r="B407" s="1898" t="s">
        <v>1153</v>
      </c>
      <c r="C407" s="1898" t="s">
        <v>1846</v>
      </c>
      <c r="D407" s="1898" t="s">
        <v>1847</v>
      </c>
      <c r="E407" s="1898" t="s">
        <v>1878</v>
      </c>
      <c r="F407" s="1898" t="s">
        <v>1883</v>
      </c>
      <c r="G407" s="1899">
        <v>1392500</v>
      </c>
      <c r="H407" s="1892"/>
    </row>
    <row r="408" spans="1:8" s="1893" customFormat="1" ht="23.25" customHeight="1" x14ac:dyDescent="0.3">
      <c r="A408" s="1891" t="s">
        <v>3114</v>
      </c>
      <c r="B408" s="1898" t="s">
        <v>1153</v>
      </c>
      <c r="C408" s="1898" t="s">
        <v>1846</v>
      </c>
      <c r="D408" s="1898" t="s">
        <v>1847</v>
      </c>
      <c r="E408" s="1898" t="s">
        <v>1885</v>
      </c>
      <c r="F408" s="1898" t="s">
        <v>1927</v>
      </c>
      <c r="G408" s="1899">
        <v>400000</v>
      </c>
      <c r="H408" s="1892"/>
    </row>
    <row r="409" spans="1:8" s="1893" customFormat="1" ht="23.25" customHeight="1" x14ac:dyDescent="0.3">
      <c r="A409" s="1891" t="s">
        <v>3114</v>
      </c>
      <c r="B409" s="1898" t="s">
        <v>1153</v>
      </c>
      <c r="C409" s="1898" t="s">
        <v>1846</v>
      </c>
      <c r="D409" s="1898" t="s">
        <v>1847</v>
      </c>
      <c r="E409" s="1898" t="s">
        <v>1885</v>
      </c>
      <c r="F409" s="1898" t="s">
        <v>1888</v>
      </c>
      <c r="G409" s="1899">
        <v>220000</v>
      </c>
      <c r="H409" s="1892"/>
    </row>
    <row r="410" spans="1:8" s="1893" customFormat="1" ht="23.25" customHeight="1" x14ac:dyDescent="0.3">
      <c r="A410" s="1891" t="s">
        <v>3114</v>
      </c>
      <c r="B410" s="1898" t="s">
        <v>1153</v>
      </c>
      <c r="C410" s="1898" t="s">
        <v>1846</v>
      </c>
      <c r="D410" s="1898" t="s">
        <v>1847</v>
      </c>
      <c r="E410" s="1898" t="s">
        <v>1889</v>
      </c>
      <c r="F410" s="1898" t="s">
        <v>1890</v>
      </c>
      <c r="G410" s="1899">
        <v>19870000</v>
      </c>
      <c r="H410" s="1892"/>
    </row>
    <row r="411" spans="1:8" s="1893" customFormat="1" ht="23.25" customHeight="1" x14ac:dyDescent="0.3">
      <c r="A411" s="1891" t="s">
        <v>3114</v>
      </c>
      <c r="B411" s="1898" t="s">
        <v>1153</v>
      </c>
      <c r="C411" s="1898" t="s">
        <v>1846</v>
      </c>
      <c r="D411" s="1898" t="s">
        <v>1847</v>
      </c>
      <c r="E411" s="1898" t="s">
        <v>1889</v>
      </c>
      <c r="F411" s="1898" t="s">
        <v>1891</v>
      </c>
      <c r="G411" s="1899">
        <v>14250000</v>
      </c>
      <c r="H411" s="1892"/>
    </row>
    <row r="412" spans="1:8" s="1893" customFormat="1" ht="23.25" customHeight="1" x14ac:dyDescent="0.3">
      <c r="A412" s="1891" t="s">
        <v>3114</v>
      </c>
      <c r="B412" s="1898" t="s">
        <v>1153</v>
      </c>
      <c r="C412" s="1898" t="s">
        <v>1846</v>
      </c>
      <c r="D412" s="1898" t="s">
        <v>1847</v>
      </c>
      <c r="E412" s="1898" t="s">
        <v>1889</v>
      </c>
      <c r="F412" s="1898" t="s">
        <v>1892</v>
      </c>
      <c r="G412" s="1899">
        <v>56400000</v>
      </c>
      <c r="H412" s="1892"/>
    </row>
    <row r="413" spans="1:8" s="1893" customFormat="1" ht="23.25" customHeight="1" x14ac:dyDescent="0.3">
      <c r="A413" s="1891" t="s">
        <v>3114</v>
      </c>
      <c r="B413" s="1898" t="s">
        <v>1153</v>
      </c>
      <c r="C413" s="1898" t="s">
        <v>1846</v>
      </c>
      <c r="D413" s="1898" t="s">
        <v>1847</v>
      </c>
      <c r="E413" s="1898" t="s">
        <v>1889</v>
      </c>
      <c r="F413" s="1898" t="s">
        <v>1922</v>
      </c>
      <c r="G413" s="1899">
        <v>15048000</v>
      </c>
      <c r="H413" s="1892"/>
    </row>
    <row r="414" spans="1:8" s="1893" customFormat="1" ht="23.25" customHeight="1" x14ac:dyDescent="0.3">
      <c r="A414" s="1891" t="s">
        <v>3114</v>
      </c>
      <c r="B414" s="1898" t="s">
        <v>1153</v>
      </c>
      <c r="C414" s="1898" t="s">
        <v>1846</v>
      </c>
      <c r="D414" s="1898" t="s">
        <v>1847</v>
      </c>
      <c r="E414" s="1898" t="s">
        <v>1896</v>
      </c>
      <c r="F414" s="1898" t="s">
        <v>1900</v>
      </c>
      <c r="G414" s="1899">
        <v>18485000</v>
      </c>
      <c r="H414" s="1892"/>
    </row>
    <row r="415" spans="1:8" s="1893" customFormat="1" ht="23.25" customHeight="1" x14ac:dyDescent="0.3">
      <c r="A415" s="1891" t="s">
        <v>3114</v>
      </c>
      <c r="B415" s="1898" t="s">
        <v>1153</v>
      </c>
      <c r="C415" s="1898" t="s">
        <v>1846</v>
      </c>
      <c r="D415" s="1898" t="s">
        <v>1847</v>
      </c>
      <c r="E415" s="1898" t="s">
        <v>1896</v>
      </c>
      <c r="F415" s="1898" t="s">
        <v>1901</v>
      </c>
      <c r="G415" s="1899">
        <v>2770000</v>
      </c>
      <c r="H415" s="1892"/>
    </row>
    <row r="416" spans="1:8" s="1893" customFormat="1" ht="23.25" customHeight="1" x14ac:dyDescent="0.3">
      <c r="A416" s="1891" t="s">
        <v>3114</v>
      </c>
      <c r="B416" s="1898" t="s">
        <v>1153</v>
      </c>
      <c r="C416" s="1898" t="s">
        <v>1846</v>
      </c>
      <c r="D416" s="1898" t="s">
        <v>1847</v>
      </c>
      <c r="E416" s="1898" t="s">
        <v>1896</v>
      </c>
      <c r="F416" s="1898" t="s">
        <v>1928</v>
      </c>
      <c r="G416" s="1899">
        <v>7028000</v>
      </c>
      <c r="H416" s="1892"/>
    </row>
    <row r="417" spans="1:8" s="1893" customFormat="1" ht="23.25" customHeight="1" x14ac:dyDescent="0.3">
      <c r="A417" s="1891" t="s">
        <v>3114</v>
      </c>
      <c r="B417" s="1898" t="s">
        <v>1153</v>
      </c>
      <c r="C417" s="1898" t="s">
        <v>1846</v>
      </c>
      <c r="D417" s="1898" t="s">
        <v>1847</v>
      </c>
      <c r="E417" s="1898" t="s">
        <v>1903</v>
      </c>
      <c r="F417" s="1898" t="s">
        <v>1904</v>
      </c>
      <c r="G417" s="1899">
        <v>11110000</v>
      </c>
      <c r="H417" s="1892"/>
    </row>
    <row r="418" spans="1:8" s="1893" customFormat="1" ht="23.25" customHeight="1" x14ac:dyDescent="0.3">
      <c r="A418" s="1891" t="s">
        <v>3114</v>
      </c>
      <c r="B418" s="1898" t="s">
        <v>1153</v>
      </c>
      <c r="C418" s="1898" t="s">
        <v>1846</v>
      </c>
      <c r="D418" s="1898" t="s">
        <v>1847</v>
      </c>
      <c r="E418" s="1898" t="s">
        <v>1906</v>
      </c>
      <c r="F418" s="1898" t="s">
        <v>1907</v>
      </c>
      <c r="G418" s="1899">
        <v>4905000</v>
      </c>
      <c r="H418" s="1892"/>
    </row>
    <row r="419" spans="1:8" s="1893" customFormat="1" ht="23.25" customHeight="1" x14ac:dyDescent="0.3">
      <c r="A419" s="1891" t="s">
        <v>3114</v>
      </c>
      <c r="B419" s="1898" t="s">
        <v>1153</v>
      </c>
      <c r="C419" s="1898" t="s">
        <v>1846</v>
      </c>
      <c r="D419" s="1898" t="s">
        <v>1847</v>
      </c>
      <c r="E419" s="1898" t="s">
        <v>1906</v>
      </c>
      <c r="F419" s="1898" t="s">
        <v>1909</v>
      </c>
      <c r="G419" s="1899">
        <v>20125000</v>
      </c>
      <c r="H419" s="1892"/>
    </row>
    <row r="420" spans="1:8" s="1893" customFormat="1" ht="23.25" customHeight="1" x14ac:dyDescent="0.3">
      <c r="A420" s="1891" t="s">
        <v>3114</v>
      </c>
      <c r="B420" s="1898" t="s">
        <v>1153</v>
      </c>
      <c r="C420" s="1898" t="s">
        <v>1846</v>
      </c>
      <c r="D420" s="1898" t="s">
        <v>1847</v>
      </c>
      <c r="E420" s="1898" t="s">
        <v>1968</v>
      </c>
      <c r="F420" s="1898" t="s">
        <v>1969</v>
      </c>
      <c r="G420" s="1899">
        <v>10000000</v>
      </c>
      <c r="H420" s="1892"/>
    </row>
    <row r="421" spans="1:8" s="1893" customFormat="1" ht="23.25" customHeight="1" x14ac:dyDescent="0.3">
      <c r="A421" s="1891" t="s">
        <v>3114</v>
      </c>
      <c r="B421" s="1898" t="s">
        <v>1153</v>
      </c>
      <c r="C421" s="1898" t="s">
        <v>1846</v>
      </c>
      <c r="D421" s="1898" t="s">
        <v>1847</v>
      </c>
      <c r="E421" s="1898" t="s">
        <v>1912</v>
      </c>
      <c r="F421" s="1898" t="s">
        <v>1913</v>
      </c>
      <c r="G421" s="1899">
        <v>10600000</v>
      </c>
      <c r="H421" s="1892"/>
    </row>
    <row r="422" spans="1:8" s="1893" customFormat="1" ht="23.25" customHeight="1" x14ac:dyDescent="0.3">
      <c r="A422" s="1891" t="s">
        <v>3114</v>
      </c>
      <c r="B422" s="1898" t="s">
        <v>1153</v>
      </c>
      <c r="C422" s="1898" t="s">
        <v>1846</v>
      </c>
      <c r="D422" s="1898" t="s">
        <v>1847</v>
      </c>
      <c r="E422" s="1898" t="s">
        <v>1912</v>
      </c>
      <c r="F422" s="1898" t="s">
        <v>1916</v>
      </c>
      <c r="G422" s="1899">
        <v>17864000</v>
      </c>
      <c r="H422" s="1892"/>
    </row>
    <row r="423" spans="1:8" s="1893" customFormat="1" ht="23.25" customHeight="1" x14ac:dyDescent="0.3">
      <c r="A423" s="1891" t="s">
        <v>3114</v>
      </c>
      <c r="B423" s="1898" t="s">
        <v>1154</v>
      </c>
      <c r="C423" s="1898" t="s">
        <v>1933</v>
      </c>
      <c r="D423" s="1898" t="s">
        <v>1957</v>
      </c>
      <c r="E423" s="1898" t="s">
        <v>1940</v>
      </c>
      <c r="F423" s="1898" t="s">
        <v>1956</v>
      </c>
      <c r="G423" s="1899">
        <v>1352800000</v>
      </c>
      <c r="H423" s="1892"/>
    </row>
    <row r="424" spans="1:8" s="1893" customFormat="1" ht="23.25" customHeight="1" x14ac:dyDescent="0.3">
      <c r="A424" s="1891" t="s">
        <v>3114</v>
      </c>
      <c r="B424" s="1898" t="s">
        <v>1154</v>
      </c>
      <c r="C424" s="1898" t="s">
        <v>1933</v>
      </c>
      <c r="D424" s="1898" t="s">
        <v>2243</v>
      </c>
      <c r="E424" s="1898" t="s">
        <v>1940</v>
      </c>
      <c r="F424" s="1898" t="s">
        <v>1942</v>
      </c>
      <c r="G424" s="1899">
        <v>3290000</v>
      </c>
      <c r="H424" s="1892"/>
    </row>
    <row r="425" spans="1:8" s="1893" customFormat="1" ht="23.25" customHeight="1" x14ac:dyDescent="0.3">
      <c r="A425" s="1891" t="s">
        <v>3114</v>
      </c>
      <c r="B425" s="1898" t="s">
        <v>1154</v>
      </c>
      <c r="C425" s="1898" t="s">
        <v>1846</v>
      </c>
      <c r="D425" s="1898" t="s">
        <v>1847</v>
      </c>
      <c r="E425" s="1898" t="s">
        <v>1848</v>
      </c>
      <c r="F425" s="1898" t="s">
        <v>1849</v>
      </c>
      <c r="G425" s="1899">
        <v>401737958</v>
      </c>
      <c r="H425" s="1892"/>
    </row>
    <row r="426" spans="1:8" s="1893" customFormat="1" ht="23.25" customHeight="1" x14ac:dyDescent="0.3">
      <c r="A426" s="1891" t="s">
        <v>3114</v>
      </c>
      <c r="B426" s="1898" t="s">
        <v>1154</v>
      </c>
      <c r="C426" s="1898" t="s">
        <v>1846</v>
      </c>
      <c r="D426" s="1898" t="s">
        <v>1847</v>
      </c>
      <c r="E426" s="1898" t="s">
        <v>1853</v>
      </c>
      <c r="F426" s="1898" t="s">
        <v>1854</v>
      </c>
      <c r="G426" s="1899">
        <v>8939980</v>
      </c>
      <c r="H426" s="1892"/>
    </row>
    <row r="427" spans="1:8" s="1893" customFormat="1" ht="23.25" customHeight="1" x14ac:dyDescent="0.3">
      <c r="A427" s="1891" t="s">
        <v>3114</v>
      </c>
      <c r="B427" s="1898" t="s">
        <v>1154</v>
      </c>
      <c r="C427" s="1898" t="s">
        <v>1846</v>
      </c>
      <c r="D427" s="1898" t="s">
        <v>1847</v>
      </c>
      <c r="E427" s="1898" t="s">
        <v>1853</v>
      </c>
      <c r="F427" s="1898" t="s">
        <v>1855</v>
      </c>
      <c r="G427" s="1899">
        <v>51912954</v>
      </c>
      <c r="H427" s="1892"/>
    </row>
    <row r="428" spans="1:8" s="1893" customFormat="1" ht="23.25" customHeight="1" x14ac:dyDescent="0.3">
      <c r="A428" s="1891" t="s">
        <v>3114</v>
      </c>
      <c r="B428" s="1898" t="s">
        <v>1154</v>
      </c>
      <c r="C428" s="1898" t="s">
        <v>1846</v>
      </c>
      <c r="D428" s="1898" t="s">
        <v>1847</v>
      </c>
      <c r="E428" s="1898" t="s">
        <v>1853</v>
      </c>
      <c r="F428" s="1898" t="s">
        <v>1856</v>
      </c>
      <c r="G428" s="1899">
        <v>57268121</v>
      </c>
      <c r="H428" s="1892"/>
    </row>
    <row r="429" spans="1:8" s="1893" customFormat="1" ht="23.25" customHeight="1" x14ac:dyDescent="0.3">
      <c r="A429" s="1891" t="s">
        <v>3114</v>
      </c>
      <c r="B429" s="1898" t="s">
        <v>1154</v>
      </c>
      <c r="C429" s="1898" t="s">
        <v>1846</v>
      </c>
      <c r="D429" s="1898" t="s">
        <v>1847</v>
      </c>
      <c r="E429" s="1898" t="s">
        <v>1853</v>
      </c>
      <c r="F429" s="1898" t="s">
        <v>1858</v>
      </c>
      <c r="G429" s="1899">
        <v>894000</v>
      </c>
      <c r="H429" s="1892"/>
    </row>
    <row r="430" spans="1:8" s="1893" customFormat="1" ht="23.25" customHeight="1" x14ac:dyDescent="0.3">
      <c r="A430" s="1891" t="s">
        <v>3114</v>
      </c>
      <c r="B430" s="1898" t="s">
        <v>1154</v>
      </c>
      <c r="C430" s="1898" t="s">
        <v>1846</v>
      </c>
      <c r="D430" s="1898" t="s">
        <v>1847</v>
      </c>
      <c r="E430" s="1898" t="s">
        <v>1853</v>
      </c>
      <c r="F430" s="1898" t="s">
        <v>1929</v>
      </c>
      <c r="G430" s="1899">
        <v>4268639</v>
      </c>
      <c r="H430" s="1892"/>
    </row>
    <row r="431" spans="1:8" s="1893" customFormat="1" ht="23.25" customHeight="1" x14ac:dyDescent="0.3">
      <c r="A431" s="1891" t="s">
        <v>3114</v>
      </c>
      <c r="B431" s="1898" t="s">
        <v>1154</v>
      </c>
      <c r="C431" s="1898" t="s">
        <v>1846</v>
      </c>
      <c r="D431" s="1898" t="s">
        <v>1847</v>
      </c>
      <c r="E431" s="1898" t="s">
        <v>1853</v>
      </c>
      <c r="F431" s="1898" t="s">
        <v>1859</v>
      </c>
      <c r="G431" s="1899">
        <v>103685896</v>
      </c>
      <c r="H431" s="1892"/>
    </row>
    <row r="432" spans="1:8" s="1893" customFormat="1" ht="23.25" customHeight="1" x14ac:dyDescent="0.3">
      <c r="A432" s="1891" t="s">
        <v>3114</v>
      </c>
      <c r="B432" s="1898" t="s">
        <v>1154</v>
      </c>
      <c r="C432" s="1898" t="s">
        <v>1846</v>
      </c>
      <c r="D432" s="1898" t="s">
        <v>1847</v>
      </c>
      <c r="E432" s="1898" t="s">
        <v>1853</v>
      </c>
      <c r="F432" s="1898" t="s">
        <v>1939</v>
      </c>
      <c r="G432" s="1899">
        <v>1788000</v>
      </c>
      <c r="H432" s="1892"/>
    </row>
    <row r="433" spans="1:8" s="1893" customFormat="1" ht="23.25" customHeight="1" x14ac:dyDescent="0.3">
      <c r="A433" s="1891" t="s">
        <v>3114</v>
      </c>
      <c r="B433" s="1898" t="s">
        <v>1154</v>
      </c>
      <c r="C433" s="1898" t="s">
        <v>1846</v>
      </c>
      <c r="D433" s="1898" t="s">
        <v>1847</v>
      </c>
      <c r="E433" s="1898" t="s">
        <v>1860</v>
      </c>
      <c r="F433" s="1898" t="s">
        <v>1861</v>
      </c>
      <c r="G433" s="1899">
        <v>2250000</v>
      </c>
      <c r="H433" s="1892"/>
    </row>
    <row r="434" spans="1:8" s="1893" customFormat="1" ht="23.25" customHeight="1" x14ac:dyDescent="0.3">
      <c r="A434" s="1891" t="s">
        <v>3114</v>
      </c>
      <c r="B434" s="1898" t="s">
        <v>1154</v>
      </c>
      <c r="C434" s="1898" t="s">
        <v>1846</v>
      </c>
      <c r="D434" s="1898" t="s">
        <v>1847</v>
      </c>
      <c r="E434" s="1898" t="s">
        <v>1862</v>
      </c>
      <c r="F434" s="1898" t="s">
        <v>1863</v>
      </c>
      <c r="G434" s="1899">
        <v>72995345</v>
      </c>
      <c r="H434" s="1892"/>
    </row>
    <row r="435" spans="1:8" s="1893" customFormat="1" ht="23.25" customHeight="1" x14ac:dyDescent="0.3">
      <c r="A435" s="1891" t="s">
        <v>3114</v>
      </c>
      <c r="B435" s="1898" t="s">
        <v>1154</v>
      </c>
      <c r="C435" s="1898" t="s">
        <v>1846</v>
      </c>
      <c r="D435" s="1898" t="s">
        <v>1847</v>
      </c>
      <c r="E435" s="1898" t="s">
        <v>1862</v>
      </c>
      <c r="F435" s="1898" t="s">
        <v>1864</v>
      </c>
      <c r="G435" s="1899">
        <v>12513486</v>
      </c>
      <c r="H435" s="1892"/>
    </row>
    <row r="436" spans="1:8" s="1893" customFormat="1" ht="23.25" customHeight="1" x14ac:dyDescent="0.3">
      <c r="A436" s="1891" t="s">
        <v>3114</v>
      </c>
      <c r="B436" s="1898" t="s">
        <v>1154</v>
      </c>
      <c r="C436" s="1898" t="s">
        <v>1846</v>
      </c>
      <c r="D436" s="1898" t="s">
        <v>1847</v>
      </c>
      <c r="E436" s="1898" t="s">
        <v>1862</v>
      </c>
      <c r="F436" s="1898" t="s">
        <v>1865</v>
      </c>
      <c r="G436" s="1899">
        <v>7530722</v>
      </c>
      <c r="H436" s="1892"/>
    </row>
    <row r="437" spans="1:8" s="1893" customFormat="1" ht="23.25" customHeight="1" x14ac:dyDescent="0.3">
      <c r="A437" s="1891" t="s">
        <v>3114</v>
      </c>
      <c r="B437" s="1898" t="s">
        <v>1154</v>
      </c>
      <c r="C437" s="1898" t="s">
        <v>1846</v>
      </c>
      <c r="D437" s="1898" t="s">
        <v>1847</v>
      </c>
      <c r="E437" s="1898" t="s">
        <v>1867</v>
      </c>
      <c r="F437" s="1898" t="s">
        <v>1868</v>
      </c>
      <c r="G437" s="1899">
        <v>37519887</v>
      </c>
      <c r="H437" s="1892"/>
    </row>
    <row r="438" spans="1:8" s="1893" customFormat="1" ht="23.25" customHeight="1" x14ac:dyDescent="0.3">
      <c r="A438" s="1891" t="s">
        <v>3114</v>
      </c>
      <c r="B438" s="1898" t="s">
        <v>1154</v>
      </c>
      <c r="C438" s="1898" t="s">
        <v>1846</v>
      </c>
      <c r="D438" s="1898" t="s">
        <v>1847</v>
      </c>
      <c r="E438" s="1898" t="s">
        <v>1869</v>
      </c>
      <c r="F438" s="1898" t="s">
        <v>1870</v>
      </c>
      <c r="G438" s="1899">
        <v>9203588</v>
      </c>
      <c r="H438" s="1892"/>
    </row>
    <row r="439" spans="1:8" s="1893" customFormat="1" ht="23.25" customHeight="1" x14ac:dyDescent="0.3">
      <c r="A439" s="1891" t="s">
        <v>3114</v>
      </c>
      <c r="B439" s="1898" t="s">
        <v>1154</v>
      </c>
      <c r="C439" s="1898" t="s">
        <v>1846</v>
      </c>
      <c r="D439" s="1898" t="s">
        <v>1847</v>
      </c>
      <c r="E439" s="1898" t="s">
        <v>1869</v>
      </c>
      <c r="F439" s="1898" t="s">
        <v>1871</v>
      </c>
      <c r="G439" s="1899">
        <v>1346195</v>
      </c>
      <c r="H439" s="1892"/>
    </row>
    <row r="440" spans="1:8" s="1893" customFormat="1" ht="23.25" customHeight="1" x14ac:dyDescent="0.3">
      <c r="A440" s="1891" t="s">
        <v>3114</v>
      </c>
      <c r="B440" s="1898" t="s">
        <v>1154</v>
      </c>
      <c r="C440" s="1898" t="s">
        <v>1846</v>
      </c>
      <c r="D440" s="1898" t="s">
        <v>1847</v>
      </c>
      <c r="E440" s="1898" t="s">
        <v>1869</v>
      </c>
      <c r="F440" s="1898" t="s">
        <v>1872</v>
      </c>
      <c r="G440" s="1899">
        <v>2604890</v>
      </c>
      <c r="H440" s="1892"/>
    </row>
    <row r="441" spans="1:8" s="1893" customFormat="1" ht="23.25" customHeight="1" x14ac:dyDescent="0.3">
      <c r="A441" s="1891" t="s">
        <v>3114</v>
      </c>
      <c r="B441" s="1898" t="s">
        <v>1154</v>
      </c>
      <c r="C441" s="1898" t="s">
        <v>1846</v>
      </c>
      <c r="D441" s="1898" t="s">
        <v>1847</v>
      </c>
      <c r="E441" s="1898" t="s">
        <v>1869</v>
      </c>
      <c r="F441" s="1898" t="s">
        <v>1873</v>
      </c>
      <c r="G441" s="1899">
        <v>720000</v>
      </c>
      <c r="H441" s="1892"/>
    </row>
    <row r="442" spans="1:8" s="1893" customFormat="1" ht="23.25" customHeight="1" x14ac:dyDescent="0.3">
      <c r="A442" s="1891" t="s">
        <v>3114</v>
      </c>
      <c r="B442" s="1898" t="s">
        <v>1154</v>
      </c>
      <c r="C442" s="1898" t="s">
        <v>1846</v>
      </c>
      <c r="D442" s="1898" t="s">
        <v>1847</v>
      </c>
      <c r="E442" s="1898" t="s">
        <v>1874</v>
      </c>
      <c r="F442" s="1898" t="s">
        <v>1875</v>
      </c>
      <c r="G442" s="1899">
        <v>200000</v>
      </c>
      <c r="H442" s="1892"/>
    </row>
    <row r="443" spans="1:8" s="1893" customFormat="1" ht="23.25" customHeight="1" x14ac:dyDescent="0.3">
      <c r="A443" s="1891" t="s">
        <v>3114</v>
      </c>
      <c r="B443" s="1898" t="s">
        <v>1154</v>
      </c>
      <c r="C443" s="1898" t="s">
        <v>1846</v>
      </c>
      <c r="D443" s="1898" t="s">
        <v>1847</v>
      </c>
      <c r="E443" s="1898" t="s">
        <v>1874</v>
      </c>
      <c r="F443" s="1898" t="s">
        <v>1877</v>
      </c>
      <c r="G443" s="1899">
        <v>280000</v>
      </c>
      <c r="H443" s="1892"/>
    </row>
    <row r="444" spans="1:8" s="1893" customFormat="1" ht="23.25" customHeight="1" x14ac:dyDescent="0.3">
      <c r="A444" s="1891" t="s">
        <v>3114</v>
      </c>
      <c r="B444" s="1898" t="s">
        <v>1154</v>
      </c>
      <c r="C444" s="1898" t="s">
        <v>1846</v>
      </c>
      <c r="D444" s="1898" t="s">
        <v>1847</v>
      </c>
      <c r="E444" s="1898" t="s">
        <v>1878</v>
      </c>
      <c r="F444" s="1898" t="s">
        <v>1879</v>
      </c>
      <c r="G444" s="1899">
        <v>1253296</v>
      </c>
      <c r="H444" s="1892"/>
    </row>
    <row r="445" spans="1:8" s="1893" customFormat="1" ht="23.25" customHeight="1" x14ac:dyDescent="0.3">
      <c r="A445" s="1891" t="s">
        <v>3114</v>
      </c>
      <c r="B445" s="1898" t="s">
        <v>1154</v>
      </c>
      <c r="C445" s="1898" t="s">
        <v>1846</v>
      </c>
      <c r="D445" s="1898" t="s">
        <v>1847</v>
      </c>
      <c r="E445" s="1898" t="s">
        <v>1878</v>
      </c>
      <c r="F445" s="1898" t="s">
        <v>1882</v>
      </c>
      <c r="G445" s="1899">
        <v>5000000</v>
      </c>
      <c r="H445" s="1892"/>
    </row>
    <row r="446" spans="1:8" s="1893" customFormat="1" ht="23.25" customHeight="1" x14ac:dyDescent="0.3">
      <c r="A446" s="1891" t="s">
        <v>3114</v>
      </c>
      <c r="B446" s="1898" t="s">
        <v>1154</v>
      </c>
      <c r="C446" s="1898" t="s">
        <v>1846</v>
      </c>
      <c r="D446" s="1898" t="s">
        <v>1847</v>
      </c>
      <c r="E446" s="1898" t="s">
        <v>1885</v>
      </c>
      <c r="F446" s="1898" t="s">
        <v>1925</v>
      </c>
      <c r="G446" s="1899">
        <v>9036000</v>
      </c>
      <c r="H446" s="1892"/>
    </row>
    <row r="447" spans="1:8" s="1893" customFormat="1" ht="23.25" customHeight="1" x14ac:dyDescent="0.3">
      <c r="A447" s="1891" t="s">
        <v>3114</v>
      </c>
      <c r="B447" s="1898" t="s">
        <v>1154</v>
      </c>
      <c r="C447" s="1898" t="s">
        <v>1846</v>
      </c>
      <c r="D447" s="1898" t="s">
        <v>1847</v>
      </c>
      <c r="E447" s="1898" t="s">
        <v>1885</v>
      </c>
      <c r="F447" s="1898" t="s">
        <v>1886</v>
      </c>
      <c r="G447" s="1899">
        <v>5600000</v>
      </c>
      <c r="H447" s="1892"/>
    </row>
    <row r="448" spans="1:8" s="1893" customFormat="1" ht="23.25" customHeight="1" x14ac:dyDescent="0.3">
      <c r="A448" s="1891" t="s">
        <v>3114</v>
      </c>
      <c r="B448" s="1898" t="s">
        <v>1154</v>
      </c>
      <c r="C448" s="1898" t="s">
        <v>1846</v>
      </c>
      <c r="D448" s="1898" t="s">
        <v>1847</v>
      </c>
      <c r="E448" s="1898" t="s">
        <v>1885</v>
      </c>
      <c r="F448" s="1898" t="s">
        <v>1926</v>
      </c>
      <c r="G448" s="1899">
        <v>5000000</v>
      </c>
      <c r="H448" s="1892"/>
    </row>
    <row r="449" spans="1:8" s="1893" customFormat="1" ht="23.25" customHeight="1" x14ac:dyDescent="0.3">
      <c r="A449" s="1891" t="s">
        <v>3114</v>
      </c>
      <c r="B449" s="1898" t="s">
        <v>1154</v>
      </c>
      <c r="C449" s="1898" t="s">
        <v>1846</v>
      </c>
      <c r="D449" s="1898" t="s">
        <v>1847</v>
      </c>
      <c r="E449" s="1898" t="s">
        <v>1885</v>
      </c>
      <c r="F449" s="1898" t="s">
        <v>1887</v>
      </c>
      <c r="G449" s="1899">
        <v>50515000</v>
      </c>
      <c r="H449" s="1892"/>
    </row>
    <row r="450" spans="1:8" s="1893" customFormat="1" ht="23.25" customHeight="1" x14ac:dyDescent="0.3">
      <c r="A450" s="1891" t="s">
        <v>3114</v>
      </c>
      <c r="B450" s="1898" t="s">
        <v>1154</v>
      </c>
      <c r="C450" s="1898" t="s">
        <v>1846</v>
      </c>
      <c r="D450" s="1898" t="s">
        <v>1847</v>
      </c>
      <c r="E450" s="1898" t="s">
        <v>1885</v>
      </c>
      <c r="F450" s="1898" t="s">
        <v>1888</v>
      </c>
      <c r="G450" s="1899">
        <v>90133600</v>
      </c>
      <c r="H450" s="1892"/>
    </row>
    <row r="451" spans="1:8" s="1893" customFormat="1" ht="23.25" customHeight="1" x14ac:dyDescent="0.3">
      <c r="A451" s="1891" t="s">
        <v>3114</v>
      </c>
      <c r="B451" s="1898" t="s">
        <v>1154</v>
      </c>
      <c r="C451" s="1898" t="s">
        <v>1846</v>
      </c>
      <c r="D451" s="1898" t="s">
        <v>1847</v>
      </c>
      <c r="E451" s="1898" t="s">
        <v>1889</v>
      </c>
      <c r="F451" s="1898" t="s">
        <v>1890</v>
      </c>
      <c r="G451" s="1899">
        <v>11440000</v>
      </c>
      <c r="H451" s="1892"/>
    </row>
    <row r="452" spans="1:8" s="1893" customFormat="1" ht="23.25" customHeight="1" x14ac:dyDescent="0.3">
      <c r="A452" s="1891" t="s">
        <v>3114</v>
      </c>
      <c r="B452" s="1898" t="s">
        <v>1154</v>
      </c>
      <c r="C452" s="1898" t="s">
        <v>1846</v>
      </c>
      <c r="D452" s="1898" t="s">
        <v>1847</v>
      </c>
      <c r="E452" s="1898" t="s">
        <v>1889</v>
      </c>
      <c r="F452" s="1898" t="s">
        <v>1892</v>
      </c>
      <c r="G452" s="1899">
        <v>34200000</v>
      </c>
      <c r="H452" s="1892"/>
    </row>
    <row r="453" spans="1:8" s="1893" customFormat="1" ht="23.25" customHeight="1" x14ac:dyDescent="0.3">
      <c r="A453" s="1891" t="s">
        <v>3114</v>
      </c>
      <c r="B453" s="1898" t="s">
        <v>1154</v>
      </c>
      <c r="C453" s="1898" t="s">
        <v>1846</v>
      </c>
      <c r="D453" s="1898" t="s">
        <v>1847</v>
      </c>
      <c r="E453" s="1898" t="s">
        <v>1889</v>
      </c>
      <c r="F453" s="1898" t="s">
        <v>1922</v>
      </c>
      <c r="G453" s="1899">
        <v>2176000</v>
      </c>
      <c r="H453" s="1892"/>
    </row>
    <row r="454" spans="1:8" s="1893" customFormat="1" ht="23.25" customHeight="1" x14ac:dyDescent="0.3">
      <c r="A454" s="1891" t="s">
        <v>3114</v>
      </c>
      <c r="B454" s="1898" t="s">
        <v>1154</v>
      </c>
      <c r="C454" s="1898" t="s">
        <v>1846</v>
      </c>
      <c r="D454" s="1898" t="s">
        <v>1847</v>
      </c>
      <c r="E454" s="1898" t="s">
        <v>1893</v>
      </c>
      <c r="F454" s="1898" t="s">
        <v>1894</v>
      </c>
      <c r="G454" s="1899">
        <v>9400000</v>
      </c>
      <c r="H454" s="1892"/>
    </row>
    <row r="455" spans="1:8" s="1893" customFormat="1" ht="23.25" customHeight="1" x14ac:dyDescent="0.3">
      <c r="A455" s="1891" t="s">
        <v>3114</v>
      </c>
      <c r="B455" s="1898" t="s">
        <v>1154</v>
      </c>
      <c r="C455" s="1898" t="s">
        <v>1846</v>
      </c>
      <c r="D455" s="1898" t="s">
        <v>1847</v>
      </c>
      <c r="E455" s="1898" t="s">
        <v>1896</v>
      </c>
      <c r="F455" s="1898" t="s">
        <v>1900</v>
      </c>
      <c r="G455" s="1899">
        <v>3650000</v>
      </c>
      <c r="H455" s="1892"/>
    </row>
    <row r="456" spans="1:8" s="1893" customFormat="1" ht="23.25" customHeight="1" x14ac:dyDescent="0.3">
      <c r="A456" s="1891" t="s">
        <v>3114</v>
      </c>
      <c r="B456" s="1898" t="s">
        <v>1154</v>
      </c>
      <c r="C456" s="1898" t="s">
        <v>1846</v>
      </c>
      <c r="D456" s="1898" t="s">
        <v>1847</v>
      </c>
      <c r="E456" s="1898" t="s">
        <v>1968</v>
      </c>
      <c r="F456" s="1898" t="s">
        <v>1969</v>
      </c>
      <c r="G456" s="1899">
        <v>299000</v>
      </c>
      <c r="H456" s="1892"/>
    </row>
    <row r="457" spans="1:8" s="1893" customFormat="1" ht="23.25" customHeight="1" x14ac:dyDescent="0.3">
      <c r="A457" s="1891" t="s">
        <v>3114</v>
      </c>
      <c r="B457" s="1898" t="s">
        <v>1154</v>
      </c>
      <c r="C457" s="1898" t="s">
        <v>1846</v>
      </c>
      <c r="D457" s="1898" t="s">
        <v>1847</v>
      </c>
      <c r="E457" s="1898" t="s">
        <v>1912</v>
      </c>
      <c r="F457" s="1898" t="s">
        <v>1913</v>
      </c>
      <c r="G457" s="1899">
        <v>3600000</v>
      </c>
      <c r="H457" s="1892"/>
    </row>
    <row r="458" spans="1:8" s="1893" customFormat="1" ht="23.25" customHeight="1" x14ac:dyDescent="0.3">
      <c r="A458" s="1891" t="s">
        <v>3114</v>
      </c>
      <c r="B458" s="1898" t="s">
        <v>1154</v>
      </c>
      <c r="C458" s="1898" t="s">
        <v>1846</v>
      </c>
      <c r="D458" s="1898" t="s">
        <v>1847</v>
      </c>
      <c r="E458" s="1898" t="s">
        <v>1912</v>
      </c>
      <c r="F458" s="1898" t="s">
        <v>1915</v>
      </c>
      <c r="G458" s="1899">
        <v>8460000</v>
      </c>
      <c r="H458" s="1892"/>
    </row>
    <row r="459" spans="1:8" s="1893" customFormat="1" ht="23.25" customHeight="1" x14ac:dyDescent="0.3">
      <c r="A459" s="1891" t="s">
        <v>3114</v>
      </c>
      <c r="B459" s="1898" t="s">
        <v>1154</v>
      </c>
      <c r="C459" s="1898" t="s">
        <v>1846</v>
      </c>
      <c r="D459" s="1898" t="s">
        <v>1847</v>
      </c>
      <c r="E459" s="1898" t="s">
        <v>1912</v>
      </c>
      <c r="F459" s="1898" t="s">
        <v>1916</v>
      </c>
      <c r="G459" s="1899">
        <v>156135000</v>
      </c>
      <c r="H459" s="1892"/>
    </row>
    <row r="460" spans="1:8" s="1893" customFormat="1" ht="23.25" customHeight="1" x14ac:dyDescent="0.3">
      <c r="A460" s="1891" t="s">
        <v>3114</v>
      </c>
      <c r="B460" s="1898" t="s">
        <v>1154</v>
      </c>
      <c r="C460" s="1898" t="s">
        <v>1958</v>
      </c>
      <c r="D460" s="1898" t="s">
        <v>1959</v>
      </c>
      <c r="E460" s="1898" t="s">
        <v>1853</v>
      </c>
      <c r="F460" s="1898" t="s">
        <v>1856</v>
      </c>
      <c r="G460" s="1899">
        <v>21301294</v>
      </c>
      <c r="H460" s="1892"/>
    </row>
    <row r="461" spans="1:8" s="1893" customFormat="1" ht="23.25" customHeight="1" x14ac:dyDescent="0.3">
      <c r="A461" s="1891" t="s">
        <v>3114</v>
      </c>
      <c r="B461" s="1898" t="s">
        <v>1154</v>
      </c>
      <c r="C461" s="1898" t="s">
        <v>1958</v>
      </c>
      <c r="D461" s="1898" t="s">
        <v>1959</v>
      </c>
      <c r="E461" s="1898" t="s">
        <v>1869</v>
      </c>
      <c r="F461" s="1898" t="s">
        <v>1871</v>
      </c>
      <c r="G461" s="1899">
        <v>177798</v>
      </c>
      <c r="H461" s="1892"/>
    </row>
    <row r="462" spans="1:8" s="1893" customFormat="1" ht="23.25" customHeight="1" x14ac:dyDescent="0.3">
      <c r="A462" s="1891" t="s">
        <v>3114</v>
      </c>
      <c r="B462" s="1898" t="s">
        <v>1154</v>
      </c>
      <c r="C462" s="1898" t="s">
        <v>1958</v>
      </c>
      <c r="D462" s="1898" t="s">
        <v>1959</v>
      </c>
      <c r="E462" s="1898" t="s">
        <v>1869</v>
      </c>
      <c r="F462" s="1898" t="s">
        <v>1872</v>
      </c>
      <c r="G462" s="1899">
        <v>4384890</v>
      </c>
      <c r="H462" s="1892"/>
    </row>
    <row r="463" spans="1:8" s="1893" customFormat="1" ht="23.25" customHeight="1" x14ac:dyDescent="0.3">
      <c r="A463" s="1891" t="s">
        <v>3114</v>
      </c>
      <c r="B463" s="1898" t="s">
        <v>1154</v>
      </c>
      <c r="C463" s="1898" t="s">
        <v>1958</v>
      </c>
      <c r="D463" s="1898" t="s">
        <v>1959</v>
      </c>
      <c r="E463" s="1898" t="s">
        <v>1885</v>
      </c>
      <c r="F463" s="1898" t="s">
        <v>1925</v>
      </c>
      <c r="G463" s="1899">
        <v>5244000</v>
      </c>
      <c r="H463" s="1892"/>
    </row>
    <row r="464" spans="1:8" s="1893" customFormat="1" ht="23.25" customHeight="1" x14ac:dyDescent="0.3">
      <c r="A464" s="1891" t="s">
        <v>3114</v>
      </c>
      <c r="B464" s="1898" t="s">
        <v>1154</v>
      </c>
      <c r="C464" s="1898" t="s">
        <v>1958</v>
      </c>
      <c r="D464" s="1898" t="s">
        <v>1959</v>
      </c>
      <c r="E464" s="1898" t="s">
        <v>1885</v>
      </c>
      <c r="F464" s="1898" t="s">
        <v>1886</v>
      </c>
      <c r="G464" s="1899">
        <v>2400000</v>
      </c>
      <c r="H464" s="1892"/>
    </row>
    <row r="465" spans="1:8" s="1893" customFormat="1" ht="23.25" customHeight="1" x14ac:dyDescent="0.3">
      <c r="A465" s="1891" t="s">
        <v>3114</v>
      </c>
      <c r="B465" s="1898" t="s">
        <v>1154</v>
      </c>
      <c r="C465" s="1898" t="s">
        <v>1958</v>
      </c>
      <c r="D465" s="1898" t="s">
        <v>1959</v>
      </c>
      <c r="E465" s="1898" t="s">
        <v>1885</v>
      </c>
      <c r="F465" s="1898" t="s">
        <v>1926</v>
      </c>
      <c r="G465" s="1899">
        <v>1600000</v>
      </c>
      <c r="H465" s="1892"/>
    </row>
    <row r="466" spans="1:8" s="1893" customFormat="1" ht="23.25" customHeight="1" x14ac:dyDescent="0.3">
      <c r="A466" s="1891" t="s">
        <v>3114</v>
      </c>
      <c r="B466" s="1898" t="s">
        <v>1154</v>
      </c>
      <c r="C466" s="1898" t="s">
        <v>1958</v>
      </c>
      <c r="D466" s="1898" t="s">
        <v>1959</v>
      </c>
      <c r="E466" s="1898" t="s">
        <v>1885</v>
      </c>
      <c r="F466" s="1898" t="s">
        <v>1887</v>
      </c>
      <c r="G466" s="1899">
        <v>16650000</v>
      </c>
      <c r="H466" s="1892"/>
    </row>
    <row r="467" spans="1:8" s="1893" customFormat="1" ht="23.25" customHeight="1" x14ac:dyDescent="0.3">
      <c r="A467" s="1891" t="s">
        <v>3114</v>
      </c>
      <c r="B467" s="1898" t="s">
        <v>1154</v>
      </c>
      <c r="C467" s="1898" t="s">
        <v>1958</v>
      </c>
      <c r="D467" s="1898" t="s">
        <v>1959</v>
      </c>
      <c r="E467" s="1898" t="s">
        <v>1885</v>
      </c>
      <c r="F467" s="1898" t="s">
        <v>1888</v>
      </c>
      <c r="G467" s="1899">
        <v>24412000</v>
      </c>
      <c r="H467" s="1892"/>
    </row>
    <row r="468" spans="1:8" s="1893" customFormat="1" ht="23.25" customHeight="1" x14ac:dyDescent="0.3">
      <c r="A468" s="1891" t="s">
        <v>3114</v>
      </c>
      <c r="B468" s="1898" t="s">
        <v>1154</v>
      </c>
      <c r="C468" s="1898" t="s">
        <v>1958</v>
      </c>
      <c r="D468" s="1898" t="s">
        <v>1959</v>
      </c>
      <c r="E468" s="1898" t="s">
        <v>1893</v>
      </c>
      <c r="F468" s="1898" t="s">
        <v>1894</v>
      </c>
      <c r="G468" s="1899">
        <v>14000000</v>
      </c>
      <c r="H468" s="1892"/>
    </row>
    <row r="469" spans="1:8" s="1893" customFormat="1" ht="23.25" customHeight="1" x14ac:dyDescent="0.3">
      <c r="A469" s="1891" t="s">
        <v>3114</v>
      </c>
      <c r="B469" s="1898" t="s">
        <v>1154</v>
      </c>
      <c r="C469" s="1898" t="s">
        <v>1958</v>
      </c>
      <c r="D469" s="1898" t="s">
        <v>1959</v>
      </c>
      <c r="E469" s="1898" t="s">
        <v>1923</v>
      </c>
      <c r="F469" s="1898" t="s">
        <v>2007</v>
      </c>
      <c r="G469" s="1899">
        <v>1137963000</v>
      </c>
      <c r="H469" s="1892"/>
    </row>
    <row r="470" spans="1:8" s="1893" customFormat="1" ht="23.25" customHeight="1" x14ac:dyDescent="0.3">
      <c r="A470" s="1891" t="s">
        <v>3114</v>
      </c>
      <c r="B470" s="1898" t="s">
        <v>1154</v>
      </c>
      <c r="C470" s="1898" t="s">
        <v>1958</v>
      </c>
      <c r="D470" s="1898" t="s">
        <v>1959</v>
      </c>
      <c r="E470" s="1898" t="s">
        <v>1910</v>
      </c>
      <c r="F470" s="1898" t="s">
        <v>1911</v>
      </c>
      <c r="G470" s="1899">
        <v>17600000</v>
      </c>
      <c r="H470" s="1892"/>
    </row>
    <row r="471" spans="1:8" s="1893" customFormat="1" ht="23.25" customHeight="1" x14ac:dyDescent="0.3">
      <c r="A471" s="1891" t="s">
        <v>3114</v>
      </c>
      <c r="B471" s="1898" t="s">
        <v>1154</v>
      </c>
      <c r="C471" s="1898" t="s">
        <v>1958</v>
      </c>
      <c r="D471" s="1898" t="s">
        <v>1959</v>
      </c>
      <c r="E471" s="1898" t="s">
        <v>1962</v>
      </c>
      <c r="F471" s="1898" t="s">
        <v>1963</v>
      </c>
      <c r="G471" s="1899">
        <v>859500000</v>
      </c>
      <c r="H471" s="1892"/>
    </row>
    <row r="472" spans="1:8" s="1893" customFormat="1" ht="23.25" customHeight="1" x14ac:dyDescent="0.3">
      <c r="A472" s="1891" t="s">
        <v>3114</v>
      </c>
      <c r="B472" s="1898" t="s">
        <v>1154</v>
      </c>
      <c r="C472" s="1898" t="s">
        <v>1958</v>
      </c>
      <c r="D472" s="1898" t="s">
        <v>1959</v>
      </c>
      <c r="E472" s="1898" t="s">
        <v>1834</v>
      </c>
      <c r="F472" s="1898" t="s">
        <v>1964</v>
      </c>
      <c r="G472" s="1899">
        <v>881975700</v>
      </c>
      <c r="H472" s="1892"/>
    </row>
    <row r="473" spans="1:8" s="1893" customFormat="1" ht="23.25" customHeight="1" x14ac:dyDescent="0.3">
      <c r="A473" s="1891" t="s">
        <v>3114</v>
      </c>
      <c r="B473" s="1898" t="s">
        <v>1154</v>
      </c>
      <c r="C473" s="1898" t="s">
        <v>1958</v>
      </c>
      <c r="D473" s="1898" t="s">
        <v>1959</v>
      </c>
      <c r="E473" s="1898" t="s">
        <v>1834</v>
      </c>
      <c r="F473" s="1898" t="s">
        <v>1835</v>
      </c>
      <c r="G473" s="1899">
        <v>11357710000</v>
      </c>
      <c r="H473" s="1892"/>
    </row>
    <row r="474" spans="1:8" s="1893" customFormat="1" ht="23.25" customHeight="1" x14ac:dyDescent="0.3">
      <c r="A474" s="1891" t="s">
        <v>3114</v>
      </c>
      <c r="B474" s="1898" t="s">
        <v>1154</v>
      </c>
      <c r="C474" s="1898" t="s">
        <v>1958</v>
      </c>
      <c r="D474" s="1898" t="s">
        <v>1959</v>
      </c>
      <c r="E474" s="1898" t="s">
        <v>1834</v>
      </c>
      <c r="F474" s="1898" t="s">
        <v>1965</v>
      </c>
      <c r="G474" s="1899">
        <v>134300000</v>
      </c>
      <c r="H474" s="1892"/>
    </row>
    <row r="475" spans="1:8" s="1893" customFormat="1" ht="23.25" customHeight="1" x14ac:dyDescent="0.3">
      <c r="A475" s="1891" t="s">
        <v>3114</v>
      </c>
      <c r="B475" s="1898" t="s">
        <v>1154</v>
      </c>
      <c r="C475" s="1898" t="s">
        <v>1958</v>
      </c>
      <c r="D475" s="1898" t="s">
        <v>1959</v>
      </c>
      <c r="E475" s="1898" t="s">
        <v>1834</v>
      </c>
      <c r="F475" s="1898" t="s">
        <v>1966</v>
      </c>
      <c r="G475" s="1899">
        <v>795106000</v>
      </c>
      <c r="H475" s="1892"/>
    </row>
    <row r="476" spans="1:8" s="1893" customFormat="1" ht="23.25" customHeight="1" x14ac:dyDescent="0.3">
      <c r="A476" s="1891" t="s">
        <v>3114</v>
      </c>
      <c r="B476" s="1898" t="s">
        <v>1154</v>
      </c>
      <c r="C476" s="1898" t="s">
        <v>1958</v>
      </c>
      <c r="D476" s="1898" t="s">
        <v>1959</v>
      </c>
      <c r="E476" s="1898" t="s">
        <v>1912</v>
      </c>
      <c r="F476" s="1898" t="s">
        <v>1916</v>
      </c>
      <c r="G476" s="1899">
        <v>62742000</v>
      </c>
      <c r="H476" s="1892"/>
    </row>
    <row r="477" spans="1:8" s="1893" customFormat="1" ht="23.25" customHeight="1" x14ac:dyDescent="0.3">
      <c r="A477" s="1891" t="s">
        <v>3114</v>
      </c>
      <c r="B477" s="1898" t="s">
        <v>1155</v>
      </c>
      <c r="C477" s="1898" t="s">
        <v>1846</v>
      </c>
      <c r="D477" s="1898" t="s">
        <v>1847</v>
      </c>
      <c r="E477" s="1898" t="s">
        <v>1848</v>
      </c>
      <c r="F477" s="1898" t="s">
        <v>1849</v>
      </c>
      <c r="G477" s="1899">
        <v>205754110</v>
      </c>
      <c r="H477" s="1892"/>
    </row>
    <row r="478" spans="1:8" s="1893" customFormat="1" ht="23.25" customHeight="1" x14ac:dyDescent="0.3">
      <c r="A478" s="1891" t="s">
        <v>3114</v>
      </c>
      <c r="B478" s="1898" t="s">
        <v>1155</v>
      </c>
      <c r="C478" s="1898" t="s">
        <v>1846</v>
      </c>
      <c r="D478" s="1898" t="s">
        <v>1847</v>
      </c>
      <c r="E478" s="1898" t="s">
        <v>1853</v>
      </c>
      <c r="F478" s="1898" t="s">
        <v>1854</v>
      </c>
      <c r="G478" s="1899">
        <v>5960001</v>
      </c>
      <c r="H478" s="1892"/>
    </row>
    <row r="479" spans="1:8" s="1893" customFormat="1" ht="23.25" customHeight="1" x14ac:dyDescent="0.3">
      <c r="A479" s="1891" t="s">
        <v>3114</v>
      </c>
      <c r="B479" s="1898" t="s">
        <v>1155</v>
      </c>
      <c r="C479" s="1898" t="s">
        <v>1846</v>
      </c>
      <c r="D479" s="1898" t="s">
        <v>1847</v>
      </c>
      <c r="E479" s="1898" t="s">
        <v>1853</v>
      </c>
      <c r="F479" s="1898" t="s">
        <v>1855</v>
      </c>
      <c r="G479" s="1899">
        <v>28310000</v>
      </c>
      <c r="H479" s="1892"/>
    </row>
    <row r="480" spans="1:8" s="1893" customFormat="1" ht="23.25" customHeight="1" x14ac:dyDescent="0.3">
      <c r="A480" s="1891" t="s">
        <v>3114</v>
      </c>
      <c r="B480" s="1898" t="s">
        <v>1155</v>
      </c>
      <c r="C480" s="1898" t="s">
        <v>1846</v>
      </c>
      <c r="D480" s="1898" t="s">
        <v>1847</v>
      </c>
      <c r="E480" s="1898" t="s">
        <v>1853</v>
      </c>
      <c r="F480" s="1898" t="s">
        <v>1856</v>
      </c>
      <c r="G480" s="1899">
        <v>49979021</v>
      </c>
      <c r="H480" s="1892"/>
    </row>
    <row r="481" spans="1:8" s="1893" customFormat="1" ht="23.25" customHeight="1" x14ac:dyDescent="0.3">
      <c r="A481" s="1891" t="s">
        <v>3114</v>
      </c>
      <c r="B481" s="1898" t="s">
        <v>1155</v>
      </c>
      <c r="C481" s="1898" t="s">
        <v>1846</v>
      </c>
      <c r="D481" s="1898" t="s">
        <v>1847</v>
      </c>
      <c r="E481" s="1898" t="s">
        <v>1853</v>
      </c>
      <c r="F481" s="1898" t="s">
        <v>1858</v>
      </c>
      <c r="G481" s="1899">
        <v>1788000</v>
      </c>
      <c r="H481" s="1892"/>
    </row>
    <row r="482" spans="1:8" s="1893" customFormat="1" ht="23.25" customHeight="1" x14ac:dyDescent="0.3">
      <c r="A482" s="1891" t="s">
        <v>3114</v>
      </c>
      <c r="B482" s="1898" t="s">
        <v>1155</v>
      </c>
      <c r="C482" s="1898" t="s">
        <v>1846</v>
      </c>
      <c r="D482" s="1898" t="s">
        <v>1847</v>
      </c>
      <c r="E482" s="1898" t="s">
        <v>1853</v>
      </c>
      <c r="F482" s="1898" t="s">
        <v>1859</v>
      </c>
      <c r="G482" s="1899">
        <v>52916847</v>
      </c>
      <c r="H482" s="1892"/>
    </row>
    <row r="483" spans="1:8" s="1893" customFormat="1" ht="23.25" customHeight="1" x14ac:dyDescent="0.3">
      <c r="A483" s="1891" t="s">
        <v>3114</v>
      </c>
      <c r="B483" s="1898" t="s">
        <v>1155</v>
      </c>
      <c r="C483" s="1898" t="s">
        <v>1846</v>
      </c>
      <c r="D483" s="1898" t="s">
        <v>1847</v>
      </c>
      <c r="E483" s="1898" t="s">
        <v>1860</v>
      </c>
      <c r="F483" s="1898" t="s">
        <v>1861</v>
      </c>
      <c r="G483" s="1899">
        <v>5250000</v>
      </c>
      <c r="H483" s="1892"/>
    </row>
    <row r="484" spans="1:8" s="1893" customFormat="1" ht="23.25" customHeight="1" x14ac:dyDescent="0.3">
      <c r="A484" s="1891" t="s">
        <v>3114</v>
      </c>
      <c r="B484" s="1898" t="s">
        <v>1155</v>
      </c>
      <c r="C484" s="1898" t="s">
        <v>1846</v>
      </c>
      <c r="D484" s="1898" t="s">
        <v>1847</v>
      </c>
      <c r="E484" s="1898" t="s">
        <v>1862</v>
      </c>
      <c r="F484" s="1898" t="s">
        <v>1863</v>
      </c>
      <c r="G484" s="1899">
        <v>37049972</v>
      </c>
      <c r="H484" s="1892"/>
    </row>
    <row r="485" spans="1:8" s="1893" customFormat="1" ht="23.25" customHeight="1" x14ac:dyDescent="0.3">
      <c r="A485" s="1891" t="s">
        <v>3114</v>
      </c>
      <c r="B485" s="1898" t="s">
        <v>1155</v>
      </c>
      <c r="C485" s="1898" t="s">
        <v>1846</v>
      </c>
      <c r="D485" s="1898" t="s">
        <v>1847</v>
      </c>
      <c r="E485" s="1898" t="s">
        <v>1862</v>
      </c>
      <c r="F485" s="1898" t="s">
        <v>1864</v>
      </c>
      <c r="G485" s="1899">
        <v>6351423</v>
      </c>
      <c r="H485" s="1892"/>
    </row>
    <row r="486" spans="1:8" s="1893" customFormat="1" ht="23.25" customHeight="1" x14ac:dyDescent="0.3">
      <c r="A486" s="1891" t="s">
        <v>3114</v>
      </c>
      <c r="B486" s="1898" t="s">
        <v>1155</v>
      </c>
      <c r="C486" s="1898" t="s">
        <v>1846</v>
      </c>
      <c r="D486" s="1898" t="s">
        <v>1847</v>
      </c>
      <c r="E486" s="1898" t="s">
        <v>1862</v>
      </c>
      <c r="F486" s="1898" t="s">
        <v>1865</v>
      </c>
      <c r="G486" s="1899">
        <v>4234282</v>
      </c>
      <c r="H486" s="1892"/>
    </row>
    <row r="487" spans="1:8" s="1893" customFormat="1" ht="23.25" customHeight="1" x14ac:dyDescent="0.3">
      <c r="A487" s="1891" t="s">
        <v>3114</v>
      </c>
      <c r="B487" s="1898" t="s">
        <v>1155</v>
      </c>
      <c r="C487" s="1898" t="s">
        <v>1846</v>
      </c>
      <c r="D487" s="1898" t="s">
        <v>1847</v>
      </c>
      <c r="E487" s="1898" t="s">
        <v>1869</v>
      </c>
      <c r="F487" s="1898" t="s">
        <v>1870</v>
      </c>
      <c r="G487" s="1899">
        <v>6720147</v>
      </c>
      <c r="H487" s="1892"/>
    </row>
    <row r="488" spans="1:8" s="1893" customFormat="1" ht="23.25" customHeight="1" x14ac:dyDescent="0.3">
      <c r="A488" s="1891" t="s">
        <v>3114</v>
      </c>
      <c r="B488" s="1898" t="s">
        <v>1155</v>
      </c>
      <c r="C488" s="1898" t="s">
        <v>1846</v>
      </c>
      <c r="D488" s="1898" t="s">
        <v>1847</v>
      </c>
      <c r="E488" s="1898" t="s">
        <v>1869</v>
      </c>
      <c r="F488" s="1898" t="s">
        <v>1873</v>
      </c>
      <c r="G488" s="1899">
        <v>720000</v>
      </c>
      <c r="H488" s="1892"/>
    </row>
    <row r="489" spans="1:8" s="1893" customFormat="1" ht="23.25" customHeight="1" x14ac:dyDescent="0.3">
      <c r="A489" s="1891" t="s">
        <v>3114</v>
      </c>
      <c r="B489" s="1898" t="s">
        <v>1155</v>
      </c>
      <c r="C489" s="1898" t="s">
        <v>1846</v>
      </c>
      <c r="D489" s="1898" t="s">
        <v>1847</v>
      </c>
      <c r="E489" s="1898" t="s">
        <v>1874</v>
      </c>
      <c r="F489" s="1898" t="s">
        <v>1875</v>
      </c>
      <c r="G489" s="1899">
        <v>9737000</v>
      </c>
      <c r="H489" s="1892"/>
    </row>
    <row r="490" spans="1:8" s="1893" customFormat="1" ht="23.25" customHeight="1" x14ac:dyDescent="0.3">
      <c r="A490" s="1891" t="s">
        <v>3114</v>
      </c>
      <c r="B490" s="1898" t="s">
        <v>1155</v>
      </c>
      <c r="C490" s="1898" t="s">
        <v>1846</v>
      </c>
      <c r="D490" s="1898" t="s">
        <v>1847</v>
      </c>
      <c r="E490" s="1898" t="s">
        <v>1874</v>
      </c>
      <c r="F490" s="1898" t="s">
        <v>1876</v>
      </c>
      <c r="G490" s="1899">
        <v>37390000</v>
      </c>
      <c r="H490" s="1892"/>
    </row>
    <row r="491" spans="1:8" s="1893" customFormat="1" ht="23.25" customHeight="1" x14ac:dyDescent="0.3">
      <c r="A491" s="1891" t="s">
        <v>3114</v>
      </c>
      <c r="B491" s="1898" t="s">
        <v>1155</v>
      </c>
      <c r="C491" s="1898" t="s">
        <v>1846</v>
      </c>
      <c r="D491" s="1898" t="s">
        <v>1847</v>
      </c>
      <c r="E491" s="1898" t="s">
        <v>1878</v>
      </c>
      <c r="F491" s="1898" t="s">
        <v>1879</v>
      </c>
      <c r="G491" s="1899">
        <v>443838</v>
      </c>
      <c r="H491" s="1892"/>
    </row>
    <row r="492" spans="1:8" s="1893" customFormat="1" ht="23.25" customHeight="1" x14ac:dyDescent="0.3">
      <c r="A492" s="1891" t="s">
        <v>3114</v>
      </c>
      <c r="B492" s="1898" t="s">
        <v>1155</v>
      </c>
      <c r="C492" s="1898" t="s">
        <v>1846</v>
      </c>
      <c r="D492" s="1898" t="s">
        <v>1847</v>
      </c>
      <c r="E492" s="1898" t="s">
        <v>1878</v>
      </c>
      <c r="F492" s="1898" t="s">
        <v>1880</v>
      </c>
      <c r="G492" s="1899">
        <v>1600000</v>
      </c>
      <c r="H492" s="1892"/>
    </row>
    <row r="493" spans="1:8" s="1893" customFormat="1" ht="23.25" customHeight="1" x14ac:dyDescent="0.3">
      <c r="A493" s="1891" t="s">
        <v>3114</v>
      </c>
      <c r="B493" s="1898" t="s">
        <v>1155</v>
      </c>
      <c r="C493" s="1898" t="s">
        <v>1846</v>
      </c>
      <c r="D493" s="1898" t="s">
        <v>1847</v>
      </c>
      <c r="E493" s="1898" t="s">
        <v>1878</v>
      </c>
      <c r="F493" s="1898" t="s">
        <v>1881</v>
      </c>
      <c r="G493" s="1899">
        <v>22352000</v>
      </c>
      <c r="H493" s="1892"/>
    </row>
    <row r="494" spans="1:8" s="1893" customFormat="1" ht="23.25" customHeight="1" x14ac:dyDescent="0.3">
      <c r="A494" s="1891" t="s">
        <v>3114</v>
      </c>
      <c r="B494" s="1898" t="s">
        <v>1155</v>
      </c>
      <c r="C494" s="1898" t="s">
        <v>1846</v>
      </c>
      <c r="D494" s="1898" t="s">
        <v>1847</v>
      </c>
      <c r="E494" s="1898" t="s">
        <v>1878</v>
      </c>
      <c r="F494" s="1898" t="s">
        <v>1882</v>
      </c>
      <c r="G494" s="1899">
        <v>30850000</v>
      </c>
      <c r="H494" s="1892"/>
    </row>
    <row r="495" spans="1:8" s="1893" customFormat="1" ht="23.25" customHeight="1" x14ac:dyDescent="0.3">
      <c r="A495" s="1891" t="s">
        <v>3114</v>
      </c>
      <c r="B495" s="1898" t="s">
        <v>1155</v>
      </c>
      <c r="C495" s="1898" t="s">
        <v>1846</v>
      </c>
      <c r="D495" s="1898" t="s">
        <v>1847</v>
      </c>
      <c r="E495" s="1898" t="s">
        <v>1885</v>
      </c>
      <c r="F495" s="1898" t="s">
        <v>1925</v>
      </c>
      <c r="G495" s="1899">
        <v>840000</v>
      </c>
      <c r="H495" s="1892"/>
    </row>
    <row r="496" spans="1:8" s="1893" customFormat="1" ht="23.25" customHeight="1" x14ac:dyDescent="0.3">
      <c r="A496" s="1891" t="s">
        <v>3114</v>
      </c>
      <c r="B496" s="1898" t="s">
        <v>1155</v>
      </c>
      <c r="C496" s="1898" t="s">
        <v>1846</v>
      </c>
      <c r="D496" s="1898" t="s">
        <v>1847</v>
      </c>
      <c r="E496" s="1898" t="s">
        <v>1885</v>
      </c>
      <c r="F496" s="1898" t="s">
        <v>1886</v>
      </c>
      <c r="G496" s="1899">
        <v>8000000</v>
      </c>
      <c r="H496" s="1892"/>
    </row>
    <row r="497" spans="1:8" s="1893" customFormat="1" ht="23.25" customHeight="1" x14ac:dyDescent="0.3">
      <c r="A497" s="1891" t="s">
        <v>3114</v>
      </c>
      <c r="B497" s="1898" t="s">
        <v>1155</v>
      </c>
      <c r="C497" s="1898" t="s">
        <v>1846</v>
      </c>
      <c r="D497" s="1898" t="s">
        <v>1847</v>
      </c>
      <c r="E497" s="1898" t="s">
        <v>1885</v>
      </c>
      <c r="F497" s="1898" t="s">
        <v>2244</v>
      </c>
      <c r="G497" s="1899">
        <v>2270000</v>
      </c>
      <c r="H497" s="1892"/>
    </row>
    <row r="498" spans="1:8" s="1893" customFormat="1" ht="23.25" customHeight="1" x14ac:dyDescent="0.3">
      <c r="A498" s="1891" t="s">
        <v>3114</v>
      </c>
      <c r="B498" s="1898" t="s">
        <v>1155</v>
      </c>
      <c r="C498" s="1898" t="s">
        <v>1846</v>
      </c>
      <c r="D498" s="1898" t="s">
        <v>1847</v>
      </c>
      <c r="E498" s="1898" t="s">
        <v>1885</v>
      </c>
      <c r="F498" s="1898" t="s">
        <v>1926</v>
      </c>
      <c r="G498" s="1899">
        <v>6700000</v>
      </c>
      <c r="H498" s="1892"/>
    </row>
    <row r="499" spans="1:8" s="1893" customFormat="1" ht="23.25" customHeight="1" x14ac:dyDescent="0.3">
      <c r="A499" s="1891" t="s">
        <v>3114</v>
      </c>
      <c r="B499" s="1898" t="s">
        <v>1155</v>
      </c>
      <c r="C499" s="1898" t="s">
        <v>1846</v>
      </c>
      <c r="D499" s="1898" t="s">
        <v>1847</v>
      </c>
      <c r="E499" s="1898" t="s">
        <v>1885</v>
      </c>
      <c r="F499" s="1898" t="s">
        <v>1927</v>
      </c>
      <c r="G499" s="1899">
        <v>3800000</v>
      </c>
      <c r="H499" s="1892"/>
    </row>
    <row r="500" spans="1:8" s="1893" customFormat="1" ht="23.25" customHeight="1" x14ac:dyDescent="0.3">
      <c r="A500" s="1891" t="s">
        <v>3114</v>
      </c>
      <c r="B500" s="1898" t="s">
        <v>1155</v>
      </c>
      <c r="C500" s="1898" t="s">
        <v>1846</v>
      </c>
      <c r="D500" s="1898" t="s">
        <v>1847</v>
      </c>
      <c r="E500" s="1898" t="s">
        <v>1885</v>
      </c>
      <c r="F500" s="1898" t="s">
        <v>1887</v>
      </c>
      <c r="G500" s="1899">
        <v>76200000</v>
      </c>
      <c r="H500" s="1892"/>
    </row>
    <row r="501" spans="1:8" s="1893" customFormat="1" ht="23.25" customHeight="1" x14ac:dyDescent="0.3">
      <c r="A501" s="1891" t="s">
        <v>3114</v>
      </c>
      <c r="B501" s="1898" t="s">
        <v>1155</v>
      </c>
      <c r="C501" s="1898" t="s">
        <v>1846</v>
      </c>
      <c r="D501" s="1898" t="s">
        <v>1847</v>
      </c>
      <c r="E501" s="1898" t="s">
        <v>1885</v>
      </c>
      <c r="F501" s="1898" t="s">
        <v>1888</v>
      </c>
      <c r="G501" s="1899">
        <v>45462000</v>
      </c>
      <c r="H501" s="1892"/>
    </row>
    <row r="502" spans="1:8" s="1893" customFormat="1" ht="23.25" customHeight="1" x14ac:dyDescent="0.3">
      <c r="A502" s="1891" t="s">
        <v>3114</v>
      </c>
      <c r="B502" s="1898" t="s">
        <v>1155</v>
      </c>
      <c r="C502" s="1898" t="s">
        <v>1846</v>
      </c>
      <c r="D502" s="1898" t="s">
        <v>1847</v>
      </c>
      <c r="E502" s="1898" t="s">
        <v>1889</v>
      </c>
      <c r="F502" s="1898" t="s">
        <v>1890</v>
      </c>
      <c r="G502" s="1899">
        <v>21400000</v>
      </c>
      <c r="H502" s="1892"/>
    </row>
    <row r="503" spans="1:8" s="1893" customFormat="1" ht="23.25" customHeight="1" x14ac:dyDescent="0.3">
      <c r="A503" s="1891" t="s">
        <v>3114</v>
      </c>
      <c r="B503" s="1898" t="s">
        <v>1155</v>
      </c>
      <c r="C503" s="1898" t="s">
        <v>1846</v>
      </c>
      <c r="D503" s="1898" t="s">
        <v>1847</v>
      </c>
      <c r="E503" s="1898" t="s">
        <v>1889</v>
      </c>
      <c r="F503" s="1898" t="s">
        <v>1891</v>
      </c>
      <c r="G503" s="1899">
        <v>6600000</v>
      </c>
      <c r="H503" s="1892"/>
    </row>
    <row r="504" spans="1:8" s="1893" customFormat="1" ht="23.25" customHeight="1" x14ac:dyDescent="0.3">
      <c r="A504" s="1891" t="s">
        <v>3114</v>
      </c>
      <c r="B504" s="1898" t="s">
        <v>1155</v>
      </c>
      <c r="C504" s="1898" t="s">
        <v>1846</v>
      </c>
      <c r="D504" s="1898" t="s">
        <v>1847</v>
      </c>
      <c r="E504" s="1898" t="s">
        <v>1889</v>
      </c>
      <c r="F504" s="1898" t="s">
        <v>1892</v>
      </c>
      <c r="G504" s="1899">
        <v>19000000</v>
      </c>
      <c r="H504" s="1892"/>
    </row>
    <row r="505" spans="1:8" s="1893" customFormat="1" ht="23.25" customHeight="1" x14ac:dyDescent="0.3">
      <c r="A505" s="1891" t="s">
        <v>3114</v>
      </c>
      <c r="B505" s="1898" t="s">
        <v>1155</v>
      </c>
      <c r="C505" s="1898" t="s">
        <v>1846</v>
      </c>
      <c r="D505" s="1898" t="s">
        <v>1847</v>
      </c>
      <c r="E505" s="1898" t="s">
        <v>1889</v>
      </c>
      <c r="F505" s="1898" t="s">
        <v>1922</v>
      </c>
      <c r="G505" s="1899">
        <v>4147600</v>
      </c>
      <c r="H505" s="1892"/>
    </row>
    <row r="506" spans="1:8" s="1893" customFormat="1" ht="23.25" customHeight="1" x14ac:dyDescent="0.3">
      <c r="A506" s="1891" t="s">
        <v>3114</v>
      </c>
      <c r="B506" s="1898" t="s">
        <v>1155</v>
      </c>
      <c r="C506" s="1898" t="s">
        <v>1846</v>
      </c>
      <c r="D506" s="1898" t="s">
        <v>1847</v>
      </c>
      <c r="E506" s="1898" t="s">
        <v>1893</v>
      </c>
      <c r="F506" s="1898" t="s">
        <v>1894</v>
      </c>
      <c r="G506" s="1899">
        <v>16200000</v>
      </c>
      <c r="H506" s="1892"/>
    </row>
    <row r="507" spans="1:8" s="1893" customFormat="1" ht="23.25" customHeight="1" x14ac:dyDescent="0.3">
      <c r="A507" s="1891" t="s">
        <v>3114</v>
      </c>
      <c r="B507" s="1898" t="s">
        <v>1155</v>
      </c>
      <c r="C507" s="1898" t="s">
        <v>1846</v>
      </c>
      <c r="D507" s="1898" t="s">
        <v>1847</v>
      </c>
      <c r="E507" s="1898" t="s">
        <v>1893</v>
      </c>
      <c r="F507" s="1898" t="s">
        <v>1981</v>
      </c>
      <c r="G507" s="1899">
        <v>9010000</v>
      </c>
      <c r="H507" s="1892"/>
    </row>
    <row r="508" spans="1:8" s="1893" customFormat="1" ht="23.25" customHeight="1" x14ac:dyDescent="0.3">
      <c r="A508" s="1891" t="s">
        <v>3114</v>
      </c>
      <c r="B508" s="1898" t="s">
        <v>1155</v>
      </c>
      <c r="C508" s="1898" t="s">
        <v>1846</v>
      </c>
      <c r="D508" s="1898" t="s">
        <v>1847</v>
      </c>
      <c r="E508" s="1898" t="s">
        <v>1896</v>
      </c>
      <c r="F508" s="1898" t="s">
        <v>1900</v>
      </c>
      <c r="G508" s="1899">
        <v>4549000</v>
      </c>
      <c r="H508" s="1892"/>
    </row>
    <row r="509" spans="1:8" s="1893" customFormat="1" ht="23.25" customHeight="1" x14ac:dyDescent="0.3">
      <c r="A509" s="1891" t="s">
        <v>3114</v>
      </c>
      <c r="B509" s="1898" t="s">
        <v>1155</v>
      </c>
      <c r="C509" s="1898" t="s">
        <v>1846</v>
      </c>
      <c r="D509" s="1898" t="s">
        <v>1847</v>
      </c>
      <c r="E509" s="1898" t="s">
        <v>1896</v>
      </c>
      <c r="F509" s="1898" t="s">
        <v>1902</v>
      </c>
      <c r="G509" s="1899">
        <v>25371807</v>
      </c>
      <c r="H509" s="1892"/>
    </row>
    <row r="510" spans="1:8" s="1893" customFormat="1" ht="23.25" customHeight="1" x14ac:dyDescent="0.3">
      <c r="A510" s="1891" t="s">
        <v>3114</v>
      </c>
      <c r="B510" s="1898" t="s">
        <v>1155</v>
      </c>
      <c r="C510" s="1898" t="s">
        <v>1846</v>
      </c>
      <c r="D510" s="1898" t="s">
        <v>1847</v>
      </c>
      <c r="E510" s="1898" t="s">
        <v>1903</v>
      </c>
      <c r="F510" s="1898" t="s">
        <v>1904</v>
      </c>
      <c r="G510" s="1899">
        <v>11275000</v>
      </c>
      <c r="H510" s="1892"/>
    </row>
    <row r="511" spans="1:8" s="1893" customFormat="1" ht="23.25" customHeight="1" x14ac:dyDescent="0.3">
      <c r="A511" s="1891" t="s">
        <v>3114</v>
      </c>
      <c r="B511" s="1898" t="s">
        <v>1155</v>
      </c>
      <c r="C511" s="1898" t="s">
        <v>1846</v>
      </c>
      <c r="D511" s="1898" t="s">
        <v>1847</v>
      </c>
      <c r="E511" s="1898" t="s">
        <v>1906</v>
      </c>
      <c r="F511" s="1898" t="s">
        <v>1907</v>
      </c>
      <c r="G511" s="1899">
        <v>1229759</v>
      </c>
      <c r="H511" s="1892"/>
    </row>
    <row r="512" spans="1:8" s="1893" customFormat="1" ht="23.25" customHeight="1" x14ac:dyDescent="0.3">
      <c r="A512" s="1891" t="s">
        <v>3114</v>
      </c>
      <c r="B512" s="1898" t="s">
        <v>1155</v>
      </c>
      <c r="C512" s="1898" t="s">
        <v>1846</v>
      </c>
      <c r="D512" s="1898" t="s">
        <v>1847</v>
      </c>
      <c r="E512" s="1898" t="s">
        <v>1906</v>
      </c>
      <c r="F512" s="1898" t="s">
        <v>1908</v>
      </c>
      <c r="G512" s="1899">
        <v>66700000</v>
      </c>
      <c r="H512" s="1892"/>
    </row>
    <row r="513" spans="1:8" s="1893" customFormat="1" ht="23.25" customHeight="1" x14ac:dyDescent="0.3">
      <c r="A513" s="1891" t="s">
        <v>3114</v>
      </c>
      <c r="B513" s="1898" t="s">
        <v>1155</v>
      </c>
      <c r="C513" s="1898" t="s">
        <v>1846</v>
      </c>
      <c r="D513" s="1898" t="s">
        <v>1847</v>
      </c>
      <c r="E513" s="1898" t="s">
        <v>1906</v>
      </c>
      <c r="F513" s="1898" t="s">
        <v>1909</v>
      </c>
      <c r="G513" s="1899">
        <v>1413485346</v>
      </c>
      <c r="H513" s="1892"/>
    </row>
    <row r="514" spans="1:8" s="1893" customFormat="1" ht="23.25" customHeight="1" x14ac:dyDescent="0.3">
      <c r="A514" s="1891" t="s">
        <v>3114</v>
      </c>
      <c r="B514" s="1898" t="s">
        <v>1155</v>
      </c>
      <c r="C514" s="1898" t="s">
        <v>1846</v>
      </c>
      <c r="D514" s="1898" t="s">
        <v>1847</v>
      </c>
      <c r="E514" s="1898" t="s">
        <v>1912</v>
      </c>
      <c r="F514" s="1898" t="s">
        <v>1913</v>
      </c>
      <c r="G514" s="1899">
        <v>3600000</v>
      </c>
      <c r="H514" s="1892"/>
    </row>
    <row r="515" spans="1:8" s="1893" customFormat="1" ht="23.25" customHeight="1" x14ac:dyDescent="0.3">
      <c r="A515" s="1891" t="s">
        <v>3114</v>
      </c>
      <c r="B515" s="1898" t="s">
        <v>1155</v>
      </c>
      <c r="C515" s="1898" t="s">
        <v>1846</v>
      </c>
      <c r="D515" s="1898" t="s">
        <v>1847</v>
      </c>
      <c r="E515" s="1898" t="s">
        <v>1912</v>
      </c>
      <c r="F515" s="1898" t="s">
        <v>1916</v>
      </c>
      <c r="G515" s="1899">
        <v>8780000</v>
      </c>
      <c r="H515" s="1892"/>
    </row>
    <row r="516" spans="1:8" s="1893" customFormat="1" ht="23.25" customHeight="1" x14ac:dyDescent="0.3">
      <c r="A516" s="1891" t="s">
        <v>3114</v>
      </c>
      <c r="B516" s="1898" t="s">
        <v>1155</v>
      </c>
      <c r="C516" s="1898" t="s">
        <v>1846</v>
      </c>
      <c r="D516" s="1898" t="s">
        <v>1847</v>
      </c>
      <c r="E516" s="1898" t="s">
        <v>2245</v>
      </c>
      <c r="F516" s="1898" t="s">
        <v>2767</v>
      </c>
      <c r="G516" s="1899">
        <v>98100000</v>
      </c>
      <c r="H516" s="1892"/>
    </row>
    <row r="517" spans="1:8" s="1893" customFormat="1" ht="23.25" customHeight="1" x14ac:dyDescent="0.3">
      <c r="A517" s="1891" t="s">
        <v>3114</v>
      </c>
      <c r="B517" s="1898" t="s">
        <v>1156</v>
      </c>
      <c r="C517" s="1898" t="s">
        <v>1970</v>
      </c>
      <c r="D517" s="1898" t="s">
        <v>1971</v>
      </c>
      <c r="E517" s="1898" t="s">
        <v>1906</v>
      </c>
      <c r="F517" s="1898" t="s">
        <v>1908</v>
      </c>
      <c r="G517" s="1899">
        <v>5010000</v>
      </c>
      <c r="H517" s="1892"/>
    </row>
    <row r="518" spans="1:8" s="1893" customFormat="1" ht="23.25" customHeight="1" x14ac:dyDescent="0.3">
      <c r="A518" s="1891" t="s">
        <v>3114</v>
      </c>
      <c r="B518" s="1898" t="s">
        <v>1156</v>
      </c>
      <c r="C518" s="1898" t="s">
        <v>1972</v>
      </c>
      <c r="D518" s="1898" t="s">
        <v>1973</v>
      </c>
      <c r="E518" s="1898" t="s">
        <v>1853</v>
      </c>
      <c r="F518" s="1898" t="s">
        <v>1856</v>
      </c>
      <c r="G518" s="1899">
        <v>1055011</v>
      </c>
      <c r="H518" s="1892"/>
    </row>
    <row r="519" spans="1:8" s="1893" customFormat="1" ht="23.25" customHeight="1" x14ac:dyDescent="0.3">
      <c r="A519" s="1891" t="s">
        <v>3114</v>
      </c>
      <c r="B519" s="1898" t="s">
        <v>1156</v>
      </c>
      <c r="C519" s="1898" t="s">
        <v>1972</v>
      </c>
      <c r="D519" s="1898" t="s">
        <v>1973</v>
      </c>
      <c r="E519" s="1898" t="s">
        <v>1878</v>
      </c>
      <c r="F519" s="1898" t="s">
        <v>1882</v>
      </c>
      <c r="G519" s="1899">
        <v>330000</v>
      </c>
      <c r="H519" s="1892"/>
    </row>
    <row r="520" spans="1:8" s="1893" customFormat="1" ht="23.25" customHeight="1" x14ac:dyDescent="0.3">
      <c r="A520" s="1891" t="s">
        <v>3114</v>
      </c>
      <c r="B520" s="1898" t="s">
        <v>1156</v>
      </c>
      <c r="C520" s="1898" t="s">
        <v>1972</v>
      </c>
      <c r="D520" s="1898" t="s">
        <v>1973</v>
      </c>
      <c r="E520" s="1898" t="s">
        <v>1889</v>
      </c>
      <c r="F520" s="1898" t="s">
        <v>1890</v>
      </c>
      <c r="G520" s="1899">
        <v>11200000</v>
      </c>
      <c r="H520" s="1892"/>
    </row>
    <row r="521" spans="1:8" s="1893" customFormat="1" ht="23.25" customHeight="1" x14ac:dyDescent="0.3">
      <c r="A521" s="1891" t="s">
        <v>3114</v>
      </c>
      <c r="B521" s="1898" t="s">
        <v>1156</v>
      </c>
      <c r="C521" s="1898" t="s">
        <v>1972</v>
      </c>
      <c r="D521" s="1898" t="s">
        <v>1973</v>
      </c>
      <c r="E521" s="1898" t="s">
        <v>1889</v>
      </c>
      <c r="F521" s="1898" t="s">
        <v>1922</v>
      </c>
      <c r="G521" s="1899">
        <v>5928000</v>
      </c>
      <c r="H521" s="1892"/>
    </row>
    <row r="522" spans="1:8" s="1893" customFormat="1" ht="23.25" customHeight="1" x14ac:dyDescent="0.3">
      <c r="A522" s="1891" t="s">
        <v>3114</v>
      </c>
      <c r="B522" s="1898" t="s">
        <v>1156</v>
      </c>
      <c r="C522" s="1898" t="s">
        <v>1972</v>
      </c>
      <c r="D522" s="1898" t="s">
        <v>1973</v>
      </c>
      <c r="E522" s="1898" t="s">
        <v>1893</v>
      </c>
      <c r="F522" s="1898" t="s">
        <v>1894</v>
      </c>
      <c r="G522" s="1899">
        <v>3000000</v>
      </c>
      <c r="H522" s="1892"/>
    </row>
    <row r="523" spans="1:8" s="1893" customFormat="1" ht="23.25" customHeight="1" x14ac:dyDescent="0.3">
      <c r="A523" s="1891" t="s">
        <v>3114</v>
      </c>
      <c r="B523" s="1898" t="s">
        <v>1156</v>
      </c>
      <c r="C523" s="1898" t="s">
        <v>1972</v>
      </c>
      <c r="D523" s="1898" t="s">
        <v>1973</v>
      </c>
      <c r="E523" s="1898" t="s">
        <v>1906</v>
      </c>
      <c r="F523" s="1898" t="s">
        <v>1978</v>
      </c>
      <c r="G523" s="1899">
        <v>203359076</v>
      </c>
      <c r="H523" s="1892"/>
    </row>
    <row r="524" spans="1:8" s="1893" customFormat="1" ht="23.25" customHeight="1" x14ac:dyDescent="0.3">
      <c r="A524" s="1891" t="s">
        <v>3114</v>
      </c>
      <c r="B524" s="1898" t="s">
        <v>1156</v>
      </c>
      <c r="C524" s="1898" t="s">
        <v>1972</v>
      </c>
      <c r="D524" s="1898" t="s">
        <v>1973</v>
      </c>
      <c r="E524" s="1898" t="s">
        <v>1906</v>
      </c>
      <c r="F524" s="1898" t="s">
        <v>1909</v>
      </c>
      <c r="G524" s="1899">
        <v>32599000</v>
      </c>
      <c r="H524" s="1892"/>
    </row>
    <row r="525" spans="1:8" s="1893" customFormat="1" ht="23.25" customHeight="1" x14ac:dyDescent="0.3">
      <c r="A525" s="1891" t="s">
        <v>3114</v>
      </c>
      <c r="B525" s="1898" t="s">
        <v>1156</v>
      </c>
      <c r="C525" s="1898" t="s">
        <v>1972</v>
      </c>
      <c r="D525" s="1898" t="s">
        <v>1973</v>
      </c>
      <c r="E525" s="1898" t="s">
        <v>1974</v>
      </c>
      <c r="F525" s="1898" t="s">
        <v>1975</v>
      </c>
      <c r="G525" s="1899">
        <v>2332797513</v>
      </c>
      <c r="H525" s="1892"/>
    </row>
    <row r="526" spans="1:8" s="1893" customFormat="1" ht="23.25" customHeight="1" x14ac:dyDescent="0.3">
      <c r="A526" s="1891" t="s">
        <v>3114</v>
      </c>
      <c r="B526" s="1898" t="s">
        <v>1156</v>
      </c>
      <c r="C526" s="1898" t="s">
        <v>1972</v>
      </c>
      <c r="D526" s="1898" t="s">
        <v>1973</v>
      </c>
      <c r="E526" s="1898" t="s">
        <v>2030</v>
      </c>
      <c r="F526" s="1898" t="s">
        <v>2777</v>
      </c>
      <c r="G526" s="1899">
        <v>4630294</v>
      </c>
      <c r="H526" s="1892"/>
    </row>
    <row r="527" spans="1:8" s="1893" customFormat="1" ht="23.25" customHeight="1" x14ac:dyDescent="0.3">
      <c r="A527" s="1891" t="s">
        <v>3114</v>
      </c>
      <c r="B527" s="1898" t="s">
        <v>1156</v>
      </c>
      <c r="C527" s="1898" t="s">
        <v>1972</v>
      </c>
      <c r="D527" s="1898" t="s">
        <v>1973</v>
      </c>
      <c r="E527" s="1898" t="s">
        <v>2024</v>
      </c>
      <c r="F527" s="1898" t="s">
        <v>2025</v>
      </c>
      <c r="G527" s="1899">
        <v>2248811000</v>
      </c>
      <c r="H527" s="1892"/>
    </row>
    <row r="528" spans="1:8" s="1893" customFormat="1" ht="23.25" customHeight="1" x14ac:dyDescent="0.3">
      <c r="A528" s="1891" t="s">
        <v>3114</v>
      </c>
      <c r="B528" s="1898" t="s">
        <v>1156</v>
      </c>
      <c r="C528" s="1898" t="s">
        <v>1972</v>
      </c>
      <c r="D528" s="1898" t="s">
        <v>1973</v>
      </c>
      <c r="E528" s="1898" t="s">
        <v>2026</v>
      </c>
      <c r="F528" s="1898" t="s">
        <v>2028</v>
      </c>
      <c r="G528" s="1899">
        <v>84938000</v>
      </c>
      <c r="H528" s="1892"/>
    </row>
    <row r="529" spans="1:8" s="1893" customFormat="1" ht="23.25" customHeight="1" x14ac:dyDescent="0.3">
      <c r="A529" s="1891" t="s">
        <v>3114</v>
      </c>
      <c r="B529" s="1898" t="s">
        <v>1156</v>
      </c>
      <c r="C529" s="1898" t="s">
        <v>1846</v>
      </c>
      <c r="D529" s="1898" t="s">
        <v>1847</v>
      </c>
      <c r="E529" s="1898" t="s">
        <v>1848</v>
      </c>
      <c r="F529" s="1898" t="s">
        <v>1849</v>
      </c>
      <c r="G529" s="1899">
        <v>270658509</v>
      </c>
      <c r="H529" s="1892"/>
    </row>
    <row r="530" spans="1:8" s="1893" customFormat="1" ht="23.25" customHeight="1" x14ac:dyDescent="0.3">
      <c r="A530" s="1891" t="s">
        <v>3114</v>
      </c>
      <c r="B530" s="1898" t="s">
        <v>1156</v>
      </c>
      <c r="C530" s="1898" t="s">
        <v>1846</v>
      </c>
      <c r="D530" s="1898" t="s">
        <v>1847</v>
      </c>
      <c r="E530" s="1898" t="s">
        <v>1853</v>
      </c>
      <c r="F530" s="1898" t="s">
        <v>1854</v>
      </c>
      <c r="G530" s="1899">
        <v>8940000</v>
      </c>
      <c r="H530" s="1892"/>
    </row>
    <row r="531" spans="1:8" s="1893" customFormat="1" ht="23.25" customHeight="1" x14ac:dyDescent="0.3">
      <c r="A531" s="1891" t="s">
        <v>3114</v>
      </c>
      <c r="B531" s="1898" t="s">
        <v>1156</v>
      </c>
      <c r="C531" s="1898" t="s">
        <v>1846</v>
      </c>
      <c r="D531" s="1898" t="s">
        <v>1847</v>
      </c>
      <c r="E531" s="1898" t="s">
        <v>1853</v>
      </c>
      <c r="F531" s="1898" t="s">
        <v>1855</v>
      </c>
      <c r="G531" s="1899">
        <v>44700000</v>
      </c>
      <c r="H531" s="1892"/>
    </row>
    <row r="532" spans="1:8" s="1893" customFormat="1" ht="23.25" customHeight="1" x14ac:dyDescent="0.3">
      <c r="A532" s="1891" t="s">
        <v>3114</v>
      </c>
      <c r="B532" s="1898" t="s">
        <v>1156</v>
      </c>
      <c r="C532" s="1898" t="s">
        <v>1846</v>
      </c>
      <c r="D532" s="1898" t="s">
        <v>1847</v>
      </c>
      <c r="E532" s="1898" t="s">
        <v>1853</v>
      </c>
      <c r="F532" s="1898" t="s">
        <v>1856</v>
      </c>
      <c r="G532" s="1899">
        <v>30125722</v>
      </c>
      <c r="H532" s="1892"/>
    </row>
    <row r="533" spans="1:8" s="1893" customFormat="1" ht="23.25" customHeight="1" x14ac:dyDescent="0.3">
      <c r="A533" s="1891" t="s">
        <v>3114</v>
      </c>
      <c r="B533" s="1898" t="s">
        <v>1156</v>
      </c>
      <c r="C533" s="1898" t="s">
        <v>1846</v>
      </c>
      <c r="D533" s="1898" t="s">
        <v>1847</v>
      </c>
      <c r="E533" s="1898" t="s">
        <v>1853</v>
      </c>
      <c r="F533" s="1898" t="s">
        <v>1858</v>
      </c>
      <c r="G533" s="1899">
        <v>5811000</v>
      </c>
      <c r="H533" s="1892"/>
    </row>
    <row r="534" spans="1:8" s="1893" customFormat="1" ht="23.25" customHeight="1" x14ac:dyDescent="0.3">
      <c r="A534" s="1891" t="s">
        <v>3114</v>
      </c>
      <c r="B534" s="1898" t="s">
        <v>1156</v>
      </c>
      <c r="C534" s="1898" t="s">
        <v>1846</v>
      </c>
      <c r="D534" s="1898" t="s">
        <v>1847</v>
      </c>
      <c r="E534" s="1898" t="s">
        <v>1853</v>
      </c>
      <c r="F534" s="1898" t="s">
        <v>1859</v>
      </c>
      <c r="G534" s="1899">
        <v>69881000</v>
      </c>
      <c r="H534" s="1892"/>
    </row>
    <row r="535" spans="1:8" s="1893" customFormat="1" ht="23.25" customHeight="1" x14ac:dyDescent="0.3">
      <c r="A535" s="1891" t="s">
        <v>3114</v>
      </c>
      <c r="B535" s="1898" t="s">
        <v>1156</v>
      </c>
      <c r="C535" s="1898" t="s">
        <v>1846</v>
      </c>
      <c r="D535" s="1898" t="s">
        <v>1847</v>
      </c>
      <c r="E535" s="1898" t="s">
        <v>1940</v>
      </c>
      <c r="F535" s="1898" t="s">
        <v>1967</v>
      </c>
      <c r="G535" s="1899">
        <v>1000000</v>
      </c>
      <c r="H535" s="1892"/>
    </row>
    <row r="536" spans="1:8" s="1893" customFormat="1" ht="23.25" customHeight="1" x14ac:dyDescent="0.3">
      <c r="A536" s="1891" t="s">
        <v>3114</v>
      </c>
      <c r="B536" s="1898" t="s">
        <v>1156</v>
      </c>
      <c r="C536" s="1898" t="s">
        <v>1846</v>
      </c>
      <c r="D536" s="1898" t="s">
        <v>1847</v>
      </c>
      <c r="E536" s="1898" t="s">
        <v>1860</v>
      </c>
      <c r="F536" s="1898" t="s">
        <v>1861</v>
      </c>
      <c r="G536" s="1899">
        <v>3000000</v>
      </c>
      <c r="H536" s="1892"/>
    </row>
    <row r="537" spans="1:8" s="1893" customFormat="1" ht="23.25" customHeight="1" x14ac:dyDescent="0.3">
      <c r="A537" s="1891" t="s">
        <v>3114</v>
      </c>
      <c r="B537" s="1898" t="s">
        <v>1156</v>
      </c>
      <c r="C537" s="1898" t="s">
        <v>1846</v>
      </c>
      <c r="D537" s="1898" t="s">
        <v>1847</v>
      </c>
      <c r="E537" s="1898" t="s">
        <v>1862</v>
      </c>
      <c r="F537" s="1898" t="s">
        <v>1863</v>
      </c>
      <c r="G537" s="1899">
        <v>48929742</v>
      </c>
      <c r="H537" s="1892"/>
    </row>
    <row r="538" spans="1:8" s="1893" customFormat="1" ht="23.25" customHeight="1" x14ac:dyDescent="0.3">
      <c r="A538" s="1891" t="s">
        <v>3114</v>
      </c>
      <c r="B538" s="1898" t="s">
        <v>1156</v>
      </c>
      <c r="C538" s="1898" t="s">
        <v>1846</v>
      </c>
      <c r="D538" s="1898" t="s">
        <v>1847</v>
      </c>
      <c r="E538" s="1898" t="s">
        <v>1862</v>
      </c>
      <c r="F538" s="1898" t="s">
        <v>1864</v>
      </c>
      <c r="G538" s="1899">
        <v>8387951</v>
      </c>
      <c r="H538" s="1892"/>
    </row>
    <row r="539" spans="1:8" s="1893" customFormat="1" ht="23.25" customHeight="1" x14ac:dyDescent="0.3">
      <c r="A539" s="1891" t="s">
        <v>3114</v>
      </c>
      <c r="B539" s="1898" t="s">
        <v>1156</v>
      </c>
      <c r="C539" s="1898" t="s">
        <v>1846</v>
      </c>
      <c r="D539" s="1898" t="s">
        <v>1847</v>
      </c>
      <c r="E539" s="1898" t="s">
        <v>1862</v>
      </c>
      <c r="F539" s="1898" t="s">
        <v>1865</v>
      </c>
      <c r="G539" s="1899">
        <v>5591970</v>
      </c>
      <c r="H539" s="1892"/>
    </row>
    <row r="540" spans="1:8" s="1893" customFormat="1" ht="23.25" customHeight="1" x14ac:dyDescent="0.3">
      <c r="A540" s="1891" t="s">
        <v>3114</v>
      </c>
      <c r="B540" s="1898" t="s">
        <v>1156</v>
      </c>
      <c r="C540" s="1898" t="s">
        <v>1846</v>
      </c>
      <c r="D540" s="1898" t="s">
        <v>1847</v>
      </c>
      <c r="E540" s="1898" t="s">
        <v>1867</v>
      </c>
      <c r="F540" s="1898" t="s">
        <v>1868</v>
      </c>
      <c r="G540" s="1899">
        <v>241882890</v>
      </c>
      <c r="H540" s="1892"/>
    </row>
    <row r="541" spans="1:8" s="1893" customFormat="1" ht="23.25" customHeight="1" x14ac:dyDescent="0.3">
      <c r="A541" s="1891" t="s">
        <v>3114</v>
      </c>
      <c r="B541" s="1898" t="s">
        <v>1156</v>
      </c>
      <c r="C541" s="1898" t="s">
        <v>1846</v>
      </c>
      <c r="D541" s="1898" t="s">
        <v>1847</v>
      </c>
      <c r="E541" s="1898" t="s">
        <v>1869</v>
      </c>
      <c r="F541" s="1898" t="s">
        <v>1870</v>
      </c>
      <c r="G541" s="1899">
        <v>11094937</v>
      </c>
      <c r="H541" s="1892"/>
    </row>
    <row r="542" spans="1:8" s="1893" customFormat="1" ht="23.25" customHeight="1" x14ac:dyDescent="0.3">
      <c r="A542" s="1891" t="s">
        <v>3114</v>
      </c>
      <c r="B542" s="1898" t="s">
        <v>1156</v>
      </c>
      <c r="C542" s="1898" t="s">
        <v>1846</v>
      </c>
      <c r="D542" s="1898" t="s">
        <v>1847</v>
      </c>
      <c r="E542" s="1898" t="s">
        <v>1869</v>
      </c>
      <c r="F542" s="1898" t="s">
        <v>1871</v>
      </c>
      <c r="G542" s="1899">
        <v>1638297</v>
      </c>
      <c r="H542" s="1892"/>
    </row>
    <row r="543" spans="1:8" s="1893" customFormat="1" ht="23.25" customHeight="1" x14ac:dyDescent="0.3">
      <c r="A543" s="1891" t="s">
        <v>3114</v>
      </c>
      <c r="B543" s="1898" t="s">
        <v>1156</v>
      </c>
      <c r="C543" s="1898" t="s">
        <v>1846</v>
      </c>
      <c r="D543" s="1898" t="s">
        <v>1847</v>
      </c>
      <c r="E543" s="1898" t="s">
        <v>1869</v>
      </c>
      <c r="F543" s="1898" t="s">
        <v>1872</v>
      </c>
      <c r="G543" s="1899">
        <v>1368400</v>
      </c>
      <c r="H543" s="1892"/>
    </row>
    <row r="544" spans="1:8" s="1893" customFormat="1" ht="23.25" customHeight="1" x14ac:dyDescent="0.3">
      <c r="A544" s="1891" t="s">
        <v>3114</v>
      </c>
      <c r="B544" s="1898" t="s">
        <v>1156</v>
      </c>
      <c r="C544" s="1898" t="s">
        <v>1846</v>
      </c>
      <c r="D544" s="1898" t="s">
        <v>1847</v>
      </c>
      <c r="E544" s="1898" t="s">
        <v>1869</v>
      </c>
      <c r="F544" s="1898" t="s">
        <v>1873</v>
      </c>
      <c r="G544" s="1899">
        <v>360000</v>
      </c>
      <c r="H544" s="1892"/>
    </row>
    <row r="545" spans="1:8" s="1893" customFormat="1" ht="23.25" customHeight="1" x14ac:dyDescent="0.3">
      <c r="A545" s="1891" t="s">
        <v>3114</v>
      </c>
      <c r="B545" s="1898" t="s">
        <v>1156</v>
      </c>
      <c r="C545" s="1898" t="s">
        <v>1846</v>
      </c>
      <c r="D545" s="1898" t="s">
        <v>1847</v>
      </c>
      <c r="E545" s="1898" t="s">
        <v>1874</v>
      </c>
      <c r="F545" s="1898" t="s">
        <v>1875</v>
      </c>
      <c r="G545" s="1899">
        <v>13937000</v>
      </c>
      <c r="H545" s="1892"/>
    </row>
    <row r="546" spans="1:8" s="1893" customFormat="1" ht="23.25" customHeight="1" x14ac:dyDescent="0.3">
      <c r="A546" s="1891" t="s">
        <v>3114</v>
      </c>
      <c r="B546" s="1898" t="s">
        <v>1156</v>
      </c>
      <c r="C546" s="1898" t="s">
        <v>1846</v>
      </c>
      <c r="D546" s="1898" t="s">
        <v>1847</v>
      </c>
      <c r="E546" s="1898" t="s">
        <v>1878</v>
      </c>
      <c r="F546" s="1898" t="s">
        <v>1879</v>
      </c>
      <c r="G546" s="1899">
        <v>757304</v>
      </c>
      <c r="H546" s="1892"/>
    </row>
    <row r="547" spans="1:8" s="1893" customFormat="1" ht="23.25" customHeight="1" x14ac:dyDescent="0.3">
      <c r="A547" s="1891" t="s">
        <v>3114</v>
      </c>
      <c r="B547" s="1898" t="s">
        <v>1156</v>
      </c>
      <c r="C547" s="1898" t="s">
        <v>1846</v>
      </c>
      <c r="D547" s="1898" t="s">
        <v>1847</v>
      </c>
      <c r="E547" s="1898" t="s">
        <v>1878</v>
      </c>
      <c r="F547" s="1898" t="s">
        <v>1881</v>
      </c>
      <c r="G547" s="1899">
        <v>13320000</v>
      </c>
      <c r="H547" s="1892"/>
    </row>
    <row r="548" spans="1:8" s="1893" customFormat="1" ht="23.25" customHeight="1" x14ac:dyDescent="0.3">
      <c r="A548" s="1891" t="s">
        <v>3114</v>
      </c>
      <c r="B548" s="1898" t="s">
        <v>1156</v>
      </c>
      <c r="C548" s="1898" t="s">
        <v>1846</v>
      </c>
      <c r="D548" s="1898" t="s">
        <v>1847</v>
      </c>
      <c r="E548" s="1898" t="s">
        <v>1885</v>
      </c>
      <c r="F548" s="1898" t="s">
        <v>1887</v>
      </c>
      <c r="G548" s="1899">
        <v>9000000</v>
      </c>
      <c r="H548" s="1892"/>
    </row>
    <row r="549" spans="1:8" s="1893" customFormat="1" ht="23.25" customHeight="1" x14ac:dyDescent="0.3">
      <c r="A549" s="1891" t="s">
        <v>3114</v>
      </c>
      <c r="B549" s="1898" t="s">
        <v>1156</v>
      </c>
      <c r="C549" s="1898" t="s">
        <v>1846</v>
      </c>
      <c r="D549" s="1898" t="s">
        <v>1847</v>
      </c>
      <c r="E549" s="1898" t="s">
        <v>1889</v>
      </c>
      <c r="F549" s="1898" t="s">
        <v>1890</v>
      </c>
      <c r="G549" s="1899">
        <v>19600000</v>
      </c>
      <c r="H549" s="1892"/>
    </row>
    <row r="550" spans="1:8" s="1893" customFormat="1" ht="23.25" customHeight="1" x14ac:dyDescent="0.3">
      <c r="A550" s="1891" t="s">
        <v>3114</v>
      </c>
      <c r="B550" s="1898" t="s">
        <v>1156</v>
      </c>
      <c r="C550" s="1898" t="s">
        <v>1846</v>
      </c>
      <c r="D550" s="1898" t="s">
        <v>1847</v>
      </c>
      <c r="E550" s="1898" t="s">
        <v>1889</v>
      </c>
      <c r="F550" s="1898" t="s">
        <v>1892</v>
      </c>
      <c r="G550" s="1899">
        <v>24000000</v>
      </c>
      <c r="H550" s="1892"/>
    </row>
    <row r="551" spans="1:8" s="1893" customFormat="1" ht="23.25" customHeight="1" x14ac:dyDescent="0.3">
      <c r="A551" s="1891" t="s">
        <v>3114</v>
      </c>
      <c r="B551" s="1898" t="s">
        <v>1156</v>
      </c>
      <c r="C551" s="1898" t="s">
        <v>1846</v>
      </c>
      <c r="D551" s="1898" t="s">
        <v>1847</v>
      </c>
      <c r="E551" s="1898" t="s">
        <v>1889</v>
      </c>
      <c r="F551" s="1898" t="s">
        <v>1922</v>
      </c>
      <c r="G551" s="1899">
        <v>11471530</v>
      </c>
      <c r="H551" s="1892"/>
    </row>
    <row r="552" spans="1:8" s="1893" customFormat="1" ht="23.25" customHeight="1" x14ac:dyDescent="0.3">
      <c r="A552" s="1891" t="s">
        <v>3114</v>
      </c>
      <c r="B552" s="1898" t="s">
        <v>1156</v>
      </c>
      <c r="C552" s="1898" t="s">
        <v>1846</v>
      </c>
      <c r="D552" s="1898" t="s">
        <v>1847</v>
      </c>
      <c r="E552" s="1898" t="s">
        <v>1896</v>
      </c>
      <c r="F552" s="1898" t="s">
        <v>1900</v>
      </c>
      <c r="G552" s="1899">
        <v>3760000</v>
      </c>
      <c r="H552" s="1892"/>
    </row>
    <row r="553" spans="1:8" s="1893" customFormat="1" ht="23.25" customHeight="1" x14ac:dyDescent="0.3">
      <c r="A553" s="1891" t="s">
        <v>3114</v>
      </c>
      <c r="B553" s="1898" t="s">
        <v>1156</v>
      </c>
      <c r="C553" s="1898" t="s">
        <v>1846</v>
      </c>
      <c r="D553" s="1898" t="s">
        <v>1847</v>
      </c>
      <c r="E553" s="1898" t="s">
        <v>1903</v>
      </c>
      <c r="F553" s="1898" t="s">
        <v>1905</v>
      </c>
      <c r="G553" s="1899">
        <v>11600000</v>
      </c>
      <c r="H553" s="1892"/>
    </row>
    <row r="554" spans="1:8" s="1893" customFormat="1" ht="23.25" customHeight="1" x14ac:dyDescent="0.3">
      <c r="A554" s="1891" t="s">
        <v>3114</v>
      </c>
      <c r="B554" s="1898" t="s">
        <v>1156</v>
      </c>
      <c r="C554" s="1898" t="s">
        <v>1846</v>
      </c>
      <c r="D554" s="1898" t="s">
        <v>1847</v>
      </c>
      <c r="E554" s="1898" t="s">
        <v>1906</v>
      </c>
      <c r="F554" s="1898" t="s">
        <v>1909</v>
      </c>
      <c r="G554" s="1899">
        <v>1196000</v>
      </c>
      <c r="H554" s="1892"/>
    </row>
    <row r="555" spans="1:8" s="1893" customFormat="1" ht="23.25" customHeight="1" x14ac:dyDescent="0.3">
      <c r="A555" s="1891" t="s">
        <v>3114</v>
      </c>
      <c r="B555" s="1898" t="s">
        <v>1156</v>
      </c>
      <c r="C555" s="1898" t="s">
        <v>1846</v>
      </c>
      <c r="D555" s="1898" t="s">
        <v>1847</v>
      </c>
      <c r="E555" s="1898" t="s">
        <v>1912</v>
      </c>
      <c r="F555" s="1898" t="s">
        <v>1913</v>
      </c>
      <c r="G555" s="1899">
        <v>3600000</v>
      </c>
      <c r="H555" s="1892"/>
    </row>
    <row r="556" spans="1:8" s="1893" customFormat="1" ht="23.25" customHeight="1" x14ac:dyDescent="0.3">
      <c r="A556" s="1891" t="s">
        <v>3114</v>
      </c>
      <c r="B556" s="1898" t="s">
        <v>1156</v>
      </c>
      <c r="C556" s="1898" t="s">
        <v>1846</v>
      </c>
      <c r="D556" s="1898" t="s">
        <v>1847</v>
      </c>
      <c r="E556" s="1898" t="s">
        <v>1912</v>
      </c>
      <c r="F556" s="1898" t="s">
        <v>1915</v>
      </c>
      <c r="G556" s="1899">
        <v>7000000</v>
      </c>
      <c r="H556" s="1892"/>
    </row>
    <row r="557" spans="1:8" s="1893" customFormat="1" ht="23.25" customHeight="1" x14ac:dyDescent="0.3">
      <c r="A557" s="1891" t="s">
        <v>3114</v>
      </c>
      <c r="B557" s="1898" t="s">
        <v>1156</v>
      </c>
      <c r="C557" s="1898" t="s">
        <v>1846</v>
      </c>
      <c r="D557" s="1898" t="s">
        <v>1847</v>
      </c>
      <c r="E557" s="1898" t="s">
        <v>1912</v>
      </c>
      <c r="F557" s="1898" t="s">
        <v>1916</v>
      </c>
      <c r="G557" s="1899">
        <v>3240000</v>
      </c>
      <c r="H557" s="1892"/>
    </row>
    <row r="558" spans="1:8" s="1893" customFormat="1" ht="23.25" customHeight="1" x14ac:dyDescent="0.3">
      <c r="A558" s="1891" t="s">
        <v>3114</v>
      </c>
      <c r="B558" s="1898" t="s">
        <v>1976</v>
      </c>
      <c r="C558" s="1898" t="s">
        <v>1846</v>
      </c>
      <c r="D558" s="1898" t="s">
        <v>1847</v>
      </c>
      <c r="E558" s="1898" t="s">
        <v>1848</v>
      </c>
      <c r="F558" s="1898" t="s">
        <v>1849</v>
      </c>
      <c r="G558" s="1899">
        <v>341552706</v>
      </c>
      <c r="H558" s="1892"/>
    </row>
    <row r="559" spans="1:8" s="1893" customFormat="1" ht="23.25" customHeight="1" x14ac:dyDescent="0.3">
      <c r="A559" s="1891" t="s">
        <v>3114</v>
      </c>
      <c r="B559" s="1898" t="s">
        <v>1976</v>
      </c>
      <c r="C559" s="1898" t="s">
        <v>1846</v>
      </c>
      <c r="D559" s="1898" t="s">
        <v>1847</v>
      </c>
      <c r="E559" s="1898" t="s">
        <v>1853</v>
      </c>
      <c r="F559" s="1898" t="s">
        <v>1854</v>
      </c>
      <c r="G559" s="1899">
        <v>8641998</v>
      </c>
      <c r="H559" s="1892"/>
    </row>
    <row r="560" spans="1:8" s="1893" customFormat="1" ht="23.25" customHeight="1" x14ac:dyDescent="0.3">
      <c r="A560" s="1891" t="s">
        <v>3114</v>
      </c>
      <c r="B560" s="1898" t="s">
        <v>1976</v>
      </c>
      <c r="C560" s="1898" t="s">
        <v>1846</v>
      </c>
      <c r="D560" s="1898" t="s">
        <v>1847</v>
      </c>
      <c r="E560" s="1898" t="s">
        <v>1853</v>
      </c>
      <c r="F560" s="1898" t="s">
        <v>1855</v>
      </c>
      <c r="G560" s="1899">
        <v>46935000</v>
      </c>
      <c r="H560" s="1892"/>
    </row>
    <row r="561" spans="1:8" s="1893" customFormat="1" ht="23.25" customHeight="1" x14ac:dyDescent="0.3">
      <c r="A561" s="1891" t="s">
        <v>3114</v>
      </c>
      <c r="B561" s="1898" t="s">
        <v>1976</v>
      </c>
      <c r="C561" s="1898" t="s">
        <v>1846</v>
      </c>
      <c r="D561" s="1898" t="s">
        <v>1847</v>
      </c>
      <c r="E561" s="1898" t="s">
        <v>1853</v>
      </c>
      <c r="F561" s="1898" t="s">
        <v>1856</v>
      </c>
      <c r="G561" s="1899">
        <v>34139913</v>
      </c>
      <c r="H561" s="1892"/>
    </row>
    <row r="562" spans="1:8" s="1893" customFormat="1" ht="23.25" customHeight="1" x14ac:dyDescent="0.3">
      <c r="A562" s="1891" t="s">
        <v>3114</v>
      </c>
      <c r="B562" s="1898" t="s">
        <v>1976</v>
      </c>
      <c r="C562" s="1898" t="s">
        <v>1846</v>
      </c>
      <c r="D562" s="1898" t="s">
        <v>1847</v>
      </c>
      <c r="E562" s="1898" t="s">
        <v>1853</v>
      </c>
      <c r="F562" s="1898" t="s">
        <v>1858</v>
      </c>
      <c r="G562" s="1899">
        <v>113407000</v>
      </c>
      <c r="H562" s="1892"/>
    </row>
    <row r="563" spans="1:8" s="1893" customFormat="1" ht="23.25" customHeight="1" x14ac:dyDescent="0.3">
      <c r="A563" s="1891" t="s">
        <v>3114</v>
      </c>
      <c r="B563" s="1898" t="s">
        <v>1976</v>
      </c>
      <c r="C563" s="1898" t="s">
        <v>1846</v>
      </c>
      <c r="D563" s="1898" t="s">
        <v>1847</v>
      </c>
      <c r="E563" s="1898" t="s">
        <v>1853</v>
      </c>
      <c r="F563" s="1898" t="s">
        <v>1859</v>
      </c>
      <c r="G563" s="1899">
        <v>79205420</v>
      </c>
      <c r="H563" s="1892"/>
    </row>
    <row r="564" spans="1:8" s="1893" customFormat="1" ht="23.25" customHeight="1" x14ac:dyDescent="0.3">
      <c r="A564" s="1891" t="s">
        <v>3114</v>
      </c>
      <c r="B564" s="1898" t="s">
        <v>1976</v>
      </c>
      <c r="C564" s="1898" t="s">
        <v>1846</v>
      </c>
      <c r="D564" s="1898" t="s">
        <v>1847</v>
      </c>
      <c r="E564" s="1898" t="s">
        <v>1860</v>
      </c>
      <c r="F564" s="1898" t="s">
        <v>1861</v>
      </c>
      <c r="G564" s="1899">
        <v>157050000</v>
      </c>
      <c r="H564" s="1892"/>
    </row>
    <row r="565" spans="1:8" s="1893" customFormat="1" ht="23.25" customHeight="1" x14ac:dyDescent="0.3">
      <c r="A565" s="1891" t="s">
        <v>3114</v>
      </c>
      <c r="B565" s="1898" t="s">
        <v>1976</v>
      </c>
      <c r="C565" s="1898" t="s">
        <v>1846</v>
      </c>
      <c r="D565" s="1898" t="s">
        <v>1847</v>
      </c>
      <c r="E565" s="1898" t="s">
        <v>1862</v>
      </c>
      <c r="F565" s="1898" t="s">
        <v>1863</v>
      </c>
      <c r="G565" s="1899">
        <v>61284078</v>
      </c>
      <c r="H565" s="1892"/>
    </row>
    <row r="566" spans="1:8" s="1893" customFormat="1" ht="23.25" customHeight="1" x14ac:dyDescent="0.3">
      <c r="A566" s="1891" t="s">
        <v>3114</v>
      </c>
      <c r="B566" s="1898" t="s">
        <v>1976</v>
      </c>
      <c r="C566" s="1898" t="s">
        <v>1846</v>
      </c>
      <c r="D566" s="1898" t="s">
        <v>1847</v>
      </c>
      <c r="E566" s="1898" t="s">
        <v>1862</v>
      </c>
      <c r="F566" s="1898" t="s">
        <v>1864</v>
      </c>
      <c r="G566" s="1899">
        <v>10505840</v>
      </c>
      <c r="H566" s="1892"/>
    </row>
    <row r="567" spans="1:8" s="1893" customFormat="1" ht="23.25" customHeight="1" x14ac:dyDescent="0.3">
      <c r="A567" s="1891" t="s">
        <v>3114</v>
      </c>
      <c r="B567" s="1898" t="s">
        <v>1976</v>
      </c>
      <c r="C567" s="1898" t="s">
        <v>1846</v>
      </c>
      <c r="D567" s="1898" t="s">
        <v>1847</v>
      </c>
      <c r="E567" s="1898" t="s">
        <v>1862</v>
      </c>
      <c r="F567" s="1898" t="s">
        <v>1865</v>
      </c>
      <c r="G567" s="1899">
        <v>6836493</v>
      </c>
      <c r="H567" s="1892"/>
    </row>
    <row r="568" spans="1:8" s="1893" customFormat="1" ht="23.25" customHeight="1" x14ac:dyDescent="0.3">
      <c r="A568" s="1891" t="s">
        <v>3114</v>
      </c>
      <c r="B568" s="1898" t="s">
        <v>1976</v>
      </c>
      <c r="C568" s="1898" t="s">
        <v>1846</v>
      </c>
      <c r="D568" s="1898" t="s">
        <v>1847</v>
      </c>
      <c r="E568" s="1898" t="s">
        <v>1867</v>
      </c>
      <c r="F568" s="1898" t="s">
        <v>1868</v>
      </c>
      <c r="G568" s="1899">
        <v>50142862</v>
      </c>
      <c r="H568" s="1892"/>
    </row>
    <row r="569" spans="1:8" s="1893" customFormat="1" ht="23.25" customHeight="1" x14ac:dyDescent="0.3">
      <c r="A569" s="1891" t="s">
        <v>3114</v>
      </c>
      <c r="B569" s="1898" t="s">
        <v>1976</v>
      </c>
      <c r="C569" s="1898" t="s">
        <v>1846</v>
      </c>
      <c r="D569" s="1898" t="s">
        <v>1847</v>
      </c>
      <c r="E569" s="1898" t="s">
        <v>1869</v>
      </c>
      <c r="F569" s="1898" t="s">
        <v>1870</v>
      </c>
      <c r="G569" s="1899">
        <v>13387988</v>
      </c>
      <c r="H569" s="1892"/>
    </row>
    <row r="570" spans="1:8" s="1893" customFormat="1" ht="23.25" customHeight="1" x14ac:dyDescent="0.3">
      <c r="A570" s="1891" t="s">
        <v>3114</v>
      </c>
      <c r="B570" s="1898" t="s">
        <v>1976</v>
      </c>
      <c r="C570" s="1898" t="s">
        <v>1846</v>
      </c>
      <c r="D570" s="1898" t="s">
        <v>1847</v>
      </c>
      <c r="E570" s="1898" t="s">
        <v>1869</v>
      </c>
      <c r="F570" s="1898" t="s">
        <v>1871</v>
      </c>
      <c r="G570" s="1899">
        <v>4000498</v>
      </c>
      <c r="H570" s="1892"/>
    </row>
    <row r="571" spans="1:8" s="1893" customFormat="1" ht="23.25" customHeight="1" x14ac:dyDescent="0.3">
      <c r="A571" s="1891" t="s">
        <v>3114</v>
      </c>
      <c r="B571" s="1898" t="s">
        <v>1976</v>
      </c>
      <c r="C571" s="1898" t="s">
        <v>1846</v>
      </c>
      <c r="D571" s="1898" t="s">
        <v>1847</v>
      </c>
      <c r="E571" s="1898" t="s">
        <v>1869</v>
      </c>
      <c r="F571" s="1898" t="s">
        <v>1872</v>
      </c>
      <c r="G571" s="1899">
        <v>4311800</v>
      </c>
      <c r="H571" s="1892"/>
    </row>
    <row r="572" spans="1:8" s="1893" customFormat="1" ht="23.25" customHeight="1" x14ac:dyDescent="0.3">
      <c r="A572" s="1891" t="s">
        <v>3114</v>
      </c>
      <c r="B572" s="1898" t="s">
        <v>1976</v>
      </c>
      <c r="C572" s="1898" t="s">
        <v>1846</v>
      </c>
      <c r="D572" s="1898" t="s">
        <v>1847</v>
      </c>
      <c r="E572" s="1898" t="s">
        <v>1869</v>
      </c>
      <c r="F572" s="1898" t="s">
        <v>1873</v>
      </c>
      <c r="G572" s="1899">
        <v>720000</v>
      </c>
      <c r="H572" s="1892"/>
    </row>
    <row r="573" spans="1:8" s="1893" customFormat="1" ht="23.25" customHeight="1" x14ac:dyDescent="0.3">
      <c r="A573" s="1891" t="s">
        <v>3114</v>
      </c>
      <c r="B573" s="1898" t="s">
        <v>1976</v>
      </c>
      <c r="C573" s="1898" t="s">
        <v>1846</v>
      </c>
      <c r="D573" s="1898" t="s">
        <v>1847</v>
      </c>
      <c r="E573" s="1898" t="s">
        <v>1874</v>
      </c>
      <c r="F573" s="1898" t="s">
        <v>1875</v>
      </c>
      <c r="G573" s="1899">
        <v>21201000</v>
      </c>
      <c r="H573" s="1892"/>
    </row>
    <row r="574" spans="1:8" s="1893" customFormat="1" ht="23.25" customHeight="1" x14ac:dyDescent="0.3">
      <c r="A574" s="1891" t="s">
        <v>3114</v>
      </c>
      <c r="B574" s="1898" t="s">
        <v>1976</v>
      </c>
      <c r="C574" s="1898" t="s">
        <v>1846</v>
      </c>
      <c r="D574" s="1898" t="s">
        <v>1847</v>
      </c>
      <c r="E574" s="1898" t="s">
        <v>1874</v>
      </c>
      <c r="F574" s="1898" t="s">
        <v>1876</v>
      </c>
      <c r="G574" s="1899">
        <v>10000000</v>
      </c>
      <c r="H574" s="1892"/>
    </row>
    <row r="575" spans="1:8" s="1893" customFormat="1" ht="23.25" customHeight="1" x14ac:dyDescent="0.3">
      <c r="A575" s="1891" t="s">
        <v>3114</v>
      </c>
      <c r="B575" s="1898" t="s">
        <v>1976</v>
      </c>
      <c r="C575" s="1898" t="s">
        <v>1846</v>
      </c>
      <c r="D575" s="1898" t="s">
        <v>1847</v>
      </c>
      <c r="E575" s="1898" t="s">
        <v>1874</v>
      </c>
      <c r="F575" s="1898" t="s">
        <v>1877</v>
      </c>
      <c r="G575" s="1899">
        <v>4183000</v>
      </c>
      <c r="H575" s="1892"/>
    </row>
    <row r="576" spans="1:8" s="1893" customFormat="1" ht="23.25" customHeight="1" x14ac:dyDescent="0.3">
      <c r="A576" s="1891" t="s">
        <v>3114</v>
      </c>
      <c r="B576" s="1898" t="s">
        <v>1976</v>
      </c>
      <c r="C576" s="1898" t="s">
        <v>1846</v>
      </c>
      <c r="D576" s="1898" t="s">
        <v>1847</v>
      </c>
      <c r="E576" s="1898" t="s">
        <v>1878</v>
      </c>
      <c r="F576" s="1898" t="s">
        <v>1879</v>
      </c>
      <c r="G576" s="1899">
        <v>768604</v>
      </c>
      <c r="H576" s="1892"/>
    </row>
    <row r="577" spans="1:8" s="1893" customFormat="1" ht="23.25" customHeight="1" x14ac:dyDescent="0.3">
      <c r="A577" s="1891" t="s">
        <v>3114</v>
      </c>
      <c r="B577" s="1898" t="s">
        <v>1976</v>
      </c>
      <c r="C577" s="1898" t="s">
        <v>1846</v>
      </c>
      <c r="D577" s="1898" t="s">
        <v>1847</v>
      </c>
      <c r="E577" s="1898" t="s">
        <v>1878</v>
      </c>
      <c r="F577" s="1898" t="s">
        <v>1880</v>
      </c>
      <c r="G577" s="1899">
        <v>10100000</v>
      </c>
      <c r="H577" s="1892"/>
    </row>
    <row r="578" spans="1:8" s="1893" customFormat="1" ht="23.25" customHeight="1" x14ac:dyDescent="0.3">
      <c r="A578" s="1891" t="s">
        <v>3114</v>
      </c>
      <c r="B578" s="1898" t="s">
        <v>1976</v>
      </c>
      <c r="C578" s="1898" t="s">
        <v>1846</v>
      </c>
      <c r="D578" s="1898" t="s">
        <v>1847</v>
      </c>
      <c r="E578" s="1898" t="s">
        <v>1878</v>
      </c>
      <c r="F578" s="1898" t="s">
        <v>1883</v>
      </c>
      <c r="G578" s="1899">
        <v>338000</v>
      </c>
      <c r="H578" s="1892"/>
    </row>
    <row r="579" spans="1:8" s="1893" customFormat="1" ht="23.25" customHeight="1" x14ac:dyDescent="0.3">
      <c r="A579" s="1891" t="s">
        <v>3114</v>
      </c>
      <c r="B579" s="1898" t="s">
        <v>1976</v>
      </c>
      <c r="C579" s="1898" t="s">
        <v>1846</v>
      </c>
      <c r="D579" s="1898" t="s">
        <v>1847</v>
      </c>
      <c r="E579" s="1898" t="s">
        <v>1885</v>
      </c>
      <c r="F579" s="1898" t="s">
        <v>1925</v>
      </c>
      <c r="G579" s="1899">
        <v>1000000</v>
      </c>
      <c r="H579" s="1892"/>
    </row>
    <row r="580" spans="1:8" s="1893" customFormat="1" ht="23.25" customHeight="1" x14ac:dyDescent="0.3">
      <c r="A580" s="1891" t="s">
        <v>3114</v>
      </c>
      <c r="B580" s="1898" t="s">
        <v>1976</v>
      </c>
      <c r="C580" s="1898" t="s">
        <v>1846</v>
      </c>
      <c r="D580" s="1898" t="s">
        <v>1847</v>
      </c>
      <c r="E580" s="1898" t="s">
        <v>1889</v>
      </c>
      <c r="F580" s="1898" t="s">
        <v>1890</v>
      </c>
      <c r="G580" s="1899">
        <v>4602600</v>
      </c>
      <c r="H580" s="1892"/>
    </row>
    <row r="581" spans="1:8" s="1893" customFormat="1" ht="23.25" customHeight="1" x14ac:dyDescent="0.3">
      <c r="A581" s="1891" t="s">
        <v>3114</v>
      </c>
      <c r="B581" s="1898" t="s">
        <v>1976</v>
      </c>
      <c r="C581" s="1898" t="s">
        <v>1846</v>
      </c>
      <c r="D581" s="1898" t="s">
        <v>1847</v>
      </c>
      <c r="E581" s="1898" t="s">
        <v>1896</v>
      </c>
      <c r="F581" s="1898" t="s">
        <v>1900</v>
      </c>
      <c r="G581" s="1899">
        <v>16380000</v>
      </c>
      <c r="H581" s="1892"/>
    </row>
    <row r="582" spans="1:8" s="1893" customFormat="1" ht="23.25" customHeight="1" x14ac:dyDescent="0.3">
      <c r="A582" s="1891" t="s">
        <v>3114</v>
      </c>
      <c r="B582" s="1898" t="s">
        <v>1976</v>
      </c>
      <c r="C582" s="1898" t="s">
        <v>1846</v>
      </c>
      <c r="D582" s="1898" t="s">
        <v>1847</v>
      </c>
      <c r="E582" s="1898" t="s">
        <v>1896</v>
      </c>
      <c r="F582" s="1898" t="s">
        <v>1901</v>
      </c>
      <c r="G582" s="1899">
        <v>6050000</v>
      </c>
      <c r="H582" s="1892"/>
    </row>
    <row r="583" spans="1:8" s="1893" customFormat="1" ht="23.25" customHeight="1" x14ac:dyDescent="0.3">
      <c r="A583" s="1891" t="s">
        <v>3114</v>
      </c>
      <c r="B583" s="1898" t="s">
        <v>1976</v>
      </c>
      <c r="C583" s="1898" t="s">
        <v>1846</v>
      </c>
      <c r="D583" s="1898" t="s">
        <v>1847</v>
      </c>
      <c r="E583" s="1898" t="s">
        <v>1906</v>
      </c>
      <c r="F583" s="1898" t="s">
        <v>1909</v>
      </c>
      <c r="G583" s="1899">
        <v>67697325</v>
      </c>
      <c r="H583" s="1892"/>
    </row>
    <row r="584" spans="1:8" s="1893" customFormat="1" ht="23.25" customHeight="1" x14ac:dyDescent="0.3">
      <c r="A584" s="1891" t="s">
        <v>3114</v>
      </c>
      <c r="B584" s="1898" t="s">
        <v>1976</v>
      </c>
      <c r="C584" s="1898" t="s">
        <v>1846</v>
      </c>
      <c r="D584" s="1898" t="s">
        <v>1847</v>
      </c>
      <c r="E584" s="1898" t="s">
        <v>1912</v>
      </c>
      <c r="F584" s="1898" t="s">
        <v>1913</v>
      </c>
      <c r="G584" s="1899">
        <v>3600000</v>
      </c>
      <c r="H584" s="1892"/>
    </row>
    <row r="585" spans="1:8" s="1893" customFormat="1" ht="23.25" customHeight="1" x14ac:dyDescent="0.3">
      <c r="A585" s="1891" t="s">
        <v>3114</v>
      </c>
      <c r="B585" s="1898" t="s">
        <v>1976</v>
      </c>
      <c r="C585" s="1898" t="s">
        <v>1846</v>
      </c>
      <c r="D585" s="1898" t="s">
        <v>1847</v>
      </c>
      <c r="E585" s="1898" t="s">
        <v>1912</v>
      </c>
      <c r="F585" s="1898" t="s">
        <v>1915</v>
      </c>
      <c r="G585" s="1899">
        <v>77495000</v>
      </c>
      <c r="H585" s="1892"/>
    </row>
    <row r="586" spans="1:8" s="1893" customFormat="1" ht="23.25" customHeight="1" x14ac:dyDescent="0.3">
      <c r="A586" s="1891" t="s">
        <v>3114</v>
      </c>
      <c r="B586" s="1898" t="s">
        <v>1976</v>
      </c>
      <c r="C586" s="1898" t="s">
        <v>1846</v>
      </c>
      <c r="D586" s="1898" t="s">
        <v>1847</v>
      </c>
      <c r="E586" s="1898" t="s">
        <v>1912</v>
      </c>
      <c r="F586" s="1898" t="s">
        <v>1916</v>
      </c>
      <c r="G586" s="1899">
        <v>6080000</v>
      </c>
      <c r="H586" s="1892"/>
    </row>
    <row r="587" spans="1:8" s="1893" customFormat="1" ht="23.25" customHeight="1" x14ac:dyDescent="0.3">
      <c r="A587" s="1891" t="s">
        <v>3114</v>
      </c>
      <c r="B587" s="1898" t="s">
        <v>1976</v>
      </c>
      <c r="C587" s="1898" t="s">
        <v>1846</v>
      </c>
      <c r="D587" s="1898" t="s">
        <v>1847</v>
      </c>
      <c r="E587" s="1898" t="s">
        <v>2245</v>
      </c>
      <c r="F587" s="1898" t="s">
        <v>2767</v>
      </c>
      <c r="G587" s="1899">
        <v>377099597</v>
      </c>
      <c r="H587" s="1892"/>
    </row>
    <row r="588" spans="1:8" s="1893" customFormat="1" ht="23.25" customHeight="1" x14ac:dyDescent="0.3">
      <c r="A588" s="1891" t="s">
        <v>3114</v>
      </c>
      <c r="B588" s="1898" t="s">
        <v>1158</v>
      </c>
      <c r="C588" s="1898" t="s">
        <v>1846</v>
      </c>
      <c r="D588" s="1898" t="s">
        <v>1847</v>
      </c>
      <c r="E588" s="1898" t="s">
        <v>1848</v>
      </c>
      <c r="F588" s="1898" t="s">
        <v>1849</v>
      </c>
      <c r="G588" s="1899">
        <v>242312869</v>
      </c>
      <c r="H588" s="1892"/>
    </row>
    <row r="589" spans="1:8" s="1893" customFormat="1" ht="23.25" customHeight="1" x14ac:dyDescent="0.3">
      <c r="A589" s="1891" t="s">
        <v>3114</v>
      </c>
      <c r="B589" s="1898" t="s">
        <v>1158</v>
      </c>
      <c r="C589" s="1898" t="s">
        <v>1846</v>
      </c>
      <c r="D589" s="1898" t="s">
        <v>1847</v>
      </c>
      <c r="E589" s="1898" t="s">
        <v>1853</v>
      </c>
      <c r="F589" s="1898" t="s">
        <v>1854</v>
      </c>
      <c r="G589" s="1899">
        <v>6470189</v>
      </c>
      <c r="H589" s="1892"/>
    </row>
    <row r="590" spans="1:8" s="1893" customFormat="1" ht="23.25" customHeight="1" x14ac:dyDescent="0.3">
      <c r="A590" s="1891" t="s">
        <v>3114</v>
      </c>
      <c r="B590" s="1898" t="s">
        <v>1158</v>
      </c>
      <c r="C590" s="1898" t="s">
        <v>1846</v>
      </c>
      <c r="D590" s="1898" t="s">
        <v>1847</v>
      </c>
      <c r="E590" s="1898" t="s">
        <v>1853</v>
      </c>
      <c r="F590" s="1898" t="s">
        <v>1855</v>
      </c>
      <c r="G590" s="1899">
        <v>29562955</v>
      </c>
      <c r="H590" s="1892"/>
    </row>
    <row r="591" spans="1:8" s="1893" customFormat="1" ht="23.25" customHeight="1" x14ac:dyDescent="0.3">
      <c r="A591" s="1891" t="s">
        <v>3114</v>
      </c>
      <c r="B591" s="1898" t="s">
        <v>1158</v>
      </c>
      <c r="C591" s="1898" t="s">
        <v>1846</v>
      </c>
      <c r="D591" s="1898" t="s">
        <v>1847</v>
      </c>
      <c r="E591" s="1898" t="s">
        <v>1853</v>
      </c>
      <c r="F591" s="1898" t="s">
        <v>1856</v>
      </c>
      <c r="G591" s="1899">
        <v>40390899</v>
      </c>
      <c r="H591" s="1892"/>
    </row>
    <row r="592" spans="1:8" s="1893" customFormat="1" ht="23.25" customHeight="1" x14ac:dyDescent="0.3">
      <c r="A592" s="1891" t="s">
        <v>3114</v>
      </c>
      <c r="B592" s="1898" t="s">
        <v>1158</v>
      </c>
      <c r="C592" s="1898" t="s">
        <v>1846</v>
      </c>
      <c r="D592" s="1898" t="s">
        <v>1847</v>
      </c>
      <c r="E592" s="1898" t="s">
        <v>1853</v>
      </c>
      <c r="F592" s="1898" t="s">
        <v>1858</v>
      </c>
      <c r="G592" s="1899">
        <v>60857560</v>
      </c>
      <c r="H592" s="1892"/>
    </row>
    <row r="593" spans="1:8" s="1893" customFormat="1" ht="23.25" customHeight="1" x14ac:dyDescent="0.3">
      <c r="A593" s="1891" t="s">
        <v>3114</v>
      </c>
      <c r="B593" s="1898" t="s">
        <v>1158</v>
      </c>
      <c r="C593" s="1898" t="s">
        <v>1846</v>
      </c>
      <c r="D593" s="1898" t="s">
        <v>1847</v>
      </c>
      <c r="E593" s="1898" t="s">
        <v>1853</v>
      </c>
      <c r="F593" s="1898" t="s">
        <v>1929</v>
      </c>
      <c r="G593" s="1899">
        <v>7501525</v>
      </c>
      <c r="H593" s="1892"/>
    </row>
    <row r="594" spans="1:8" s="1893" customFormat="1" ht="23.25" customHeight="1" x14ac:dyDescent="0.3">
      <c r="A594" s="1891" t="s">
        <v>3114</v>
      </c>
      <c r="B594" s="1898" t="s">
        <v>1158</v>
      </c>
      <c r="C594" s="1898" t="s">
        <v>1846</v>
      </c>
      <c r="D594" s="1898" t="s">
        <v>1847</v>
      </c>
      <c r="E594" s="1898" t="s">
        <v>1853</v>
      </c>
      <c r="F594" s="1898" t="s">
        <v>1859</v>
      </c>
      <c r="G594" s="1899">
        <v>62152302</v>
      </c>
      <c r="H594" s="1892"/>
    </row>
    <row r="595" spans="1:8" s="1893" customFormat="1" ht="23.25" customHeight="1" x14ac:dyDescent="0.3">
      <c r="A595" s="1891" t="s">
        <v>3114</v>
      </c>
      <c r="B595" s="1898" t="s">
        <v>1158</v>
      </c>
      <c r="C595" s="1898" t="s">
        <v>1846</v>
      </c>
      <c r="D595" s="1898" t="s">
        <v>1847</v>
      </c>
      <c r="E595" s="1898" t="s">
        <v>1860</v>
      </c>
      <c r="F595" s="1898" t="s">
        <v>1861</v>
      </c>
      <c r="G595" s="1899">
        <v>3000000</v>
      </c>
      <c r="H595" s="1892"/>
    </row>
    <row r="596" spans="1:8" s="1893" customFormat="1" ht="23.25" customHeight="1" x14ac:dyDescent="0.3">
      <c r="A596" s="1891" t="s">
        <v>3114</v>
      </c>
      <c r="B596" s="1898" t="s">
        <v>1158</v>
      </c>
      <c r="C596" s="1898" t="s">
        <v>1846</v>
      </c>
      <c r="D596" s="1898" t="s">
        <v>1847</v>
      </c>
      <c r="E596" s="1898" t="s">
        <v>1862</v>
      </c>
      <c r="F596" s="1898" t="s">
        <v>1863</v>
      </c>
      <c r="G596" s="1899">
        <v>44602730</v>
      </c>
      <c r="H596" s="1892"/>
    </row>
    <row r="597" spans="1:8" s="1893" customFormat="1" ht="23.25" customHeight="1" x14ac:dyDescent="0.3">
      <c r="A597" s="1891" t="s">
        <v>3114</v>
      </c>
      <c r="B597" s="1898" t="s">
        <v>1158</v>
      </c>
      <c r="C597" s="1898" t="s">
        <v>1846</v>
      </c>
      <c r="D597" s="1898" t="s">
        <v>1847</v>
      </c>
      <c r="E597" s="1898" t="s">
        <v>1862</v>
      </c>
      <c r="F597" s="1898" t="s">
        <v>1864</v>
      </c>
      <c r="G597" s="1899">
        <v>7622869</v>
      </c>
      <c r="H597" s="1892"/>
    </row>
    <row r="598" spans="1:8" s="1893" customFormat="1" ht="23.25" customHeight="1" x14ac:dyDescent="0.3">
      <c r="A598" s="1891" t="s">
        <v>3114</v>
      </c>
      <c r="B598" s="1898" t="s">
        <v>1158</v>
      </c>
      <c r="C598" s="1898" t="s">
        <v>1846</v>
      </c>
      <c r="D598" s="1898" t="s">
        <v>1847</v>
      </c>
      <c r="E598" s="1898" t="s">
        <v>1862</v>
      </c>
      <c r="F598" s="1898" t="s">
        <v>1865</v>
      </c>
      <c r="G598" s="1899">
        <v>5050318</v>
      </c>
      <c r="H598" s="1892"/>
    </row>
    <row r="599" spans="1:8" s="1893" customFormat="1" ht="23.25" customHeight="1" x14ac:dyDescent="0.3">
      <c r="A599" s="1891" t="s">
        <v>3114</v>
      </c>
      <c r="B599" s="1898" t="s">
        <v>1158</v>
      </c>
      <c r="C599" s="1898" t="s">
        <v>1846</v>
      </c>
      <c r="D599" s="1898" t="s">
        <v>1847</v>
      </c>
      <c r="E599" s="1898" t="s">
        <v>1867</v>
      </c>
      <c r="F599" s="1898" t="s">
        <v>1868</v>
      </c>
      <c r="G599" s="1899">
        <v>156706201</v>
      </c>
      <c r="H599" s="1892"/>
    </row>
    <row r="600" spans="1:8" s="1893" customFormat="1" ht="23.25" customHeight="1" x14ac:dyDescent="0.3">
      <c r="A600" s="1891" t="s">
        <v>3114</v>
      </c>
      <c r="B600" s="1898" t="s">
        <v>1158</v>
      </c>
      <c r="C600" s="1898" t="s">
        <v>1846</v>
      </c>
      <c r="D600" s="1898" t="s">
        <v>1847</v>
      </c>
      <c r="E600" s="1898" t="s">
        <v>1869</v>
      </c>
      <c r="F600" s="1898" t="s">
        <v>1870</v>
      </c>
      <c r="G600" s="1899">
        <v>3374719</v>
      </c>
      <c r="H600" s="1892"/>
    </row>
    <row r="601" spans="1:8" s="1893" customFormat="1" ht="23.25" customHeight="1" x14ac:dyDescent="0.3">
      <c r="A601" s="1891" t="s">
        <v>3114</v>
      </c>
      <c r="B601" s="1898" t="s">
        <v>1158</v>
      </c>
      <c r="C601" s="1898" t="s">
        <v>1846</v>
      </c>
      <c r="D601" s="1898" t="s">
        <v>1847</v>
      </c>
      <c r="E601" s="1898" t="s">
        <v>1869</v>
      </c>
      <c r="F601" s="1898" t="s">
        <v>1871</v>
      </c>
      <c r="G601" s="1899">
        <v>647698</v>
      </c>
      <c r="H601" s="1892"/>
    </row>
    <row r="602" spans="1:8" s="1893" customFormat="1" ht="23.25" customHeight="1" x14ac:dyDescent="0.3">
      <c r="A602" s="1891" t="s">
        <v>3114</v>
      </c>
      <c r="B602" s="1898" t="s">
        <v>1158</v>
      </c>
      <c r="C602" s="1898" t="s">
        <v>1846</v>
      </c>
      <c r="D602" s="1898" t="s">
        <v>1847</v>
      </c>
      <c r="E602" s="1898" t="s">
        <v>1869</v>
      </c>
      <c r="F602" s="1898" t="s">
        <v>1873</v>
      </c>
      <c r="G602" s="1899">
        <v>720000</v>
      </c>
      <c r="H602" s="1892"/>
    </row>
    <row r="603" spans="1:8" s="1893" customFormat="1" ht="23.25" customHeight="1" x14ac:dyDescent="0.3">
      <c r="A603" s="1891" t="s">
        <v>3114</v>
      </c>
      <c r="B603" s="1898" t="s">
        <v>1158</v>
      </c>
      <c r="C603" s="1898" t="s">
        <v>1846</v>
      </c>
      <c r="D603" s="1898" t="s">
        <v>1847</v>
      </c>
      <c r="E603" s="1898" t="s">
        <v>1874</v>
      </c>
      <c r="F603" s="1898" t="s">
        <v>1875</v>
      </c>
      <c r="G603" s="1899">
        <v>7735000</v>
      </c>
      <c r="H603" s="1892"/>
    </row>
    <row r="604" spans="1:8" s="1893" customFormat="1" ht="23.25" customHeight="1" x14ac:dyDescent="0.3">
      <c r="A604" s="1891" t="s">
        <v>3114</v>
      </c>
      <c r="B604" s="1898" t="s">
        <v>1158</v>
      </c>
      <c r="C604" s="1898" t="s">
        <v>1846</v>
      </c>
      <c r="D604" s="1898" t="s">
        <v>1847</v>
      </c>
      <c r="E604" s="1898" t="s">
        <v>1878</v>
      </c>
      <c r="F604" s="1898" t="s">
        <v>1879</v>
      </c>
      <c r="G604" s="1899">
        <v>176000</v>
      </c>
      <c r="H604" s="1892"/>
    </row>
    <row r="605" spans="1:8" s="1893" customFormat="1" ht="23.25" customHeight="1" x14ac:dyDescent="0.3">
      <c r="A605" s="1891" t="s">
        <v>3114</v>
      </c>
      <c r="B605" s="1898" t="s">
        <v>1158</v>
      </c>
      <c r="C605" s="1898" t="s">
        <v>1846</v>
      </c>
      <c r="D605" s="1898" t="s">
        <v>1847</v>
      </c>
      <c r="E605" s="1898" t="s">
        <v>1889</v>
      </c>
      <c r="F605" s="1898" t="s">
        <v>1890</v>
      </c>
      <c r="G605" s="1899">
        <v>10750000</v>
      </c>
      <c r="H605" s="1892"/>
    </row>
    <row r="606" spans="1:8" s="1893" customFormat="1" ht="23.25" customHeight="1" x14ac:dyDescent="0.3">
      <c r="A606" s="1891" t="s">
        <v>3114</v>
      </c>
      <c r="B606" s="1898" t="s">
        <v>1158</v>
      </c>
      <c r="C606" s="1898" t="s">
        <v>1846</v>
      </c>
      <c r="D606" s="1898" t="s">
        <v>1847</v>
      </c>
      <c r="E606" s="1898" t="s">
        <v>1889</v>
      </c>
      <c r="F606" s="1898" t="s">
        <v>1922</v>
      </c>
      <c r="G606" s="1899">
        <v>19139838</v>
      </c>
      <c r="H606" s="1892"/>
    </row>
    <row r="607" spans="1:8" s="1893" customFormat="1" ht="23.25" customHeight="1" x14ac:dyDescent="0.3">
      <c r="A607" s="1891" t="s">
        <v>3114</v>
      </c>
      <c r="B607" s="1898" t="s">
        <v>1158</v>
      </c>
      <c r="C607" s="1898" t="s">
        <v>1846</v>
      </c>
      <c r="D607" s="1898" t="s">
        <v>1847</v>
      </c>
      <c r="E607" s="1898" t="s">
        <v>1896</v>
      </c>
      <c r="F607" s="1898" t="s">
        <v>1900</v>
      </c>
      <c r="G607" s="1899">
        <v>4050000</v>
      </c>
      <c r="H607" s="1892"/>
    </row>
    <row r="608" spans="1:8" s="1893" customFormat="1" ht="23.25" customHeight="1" x14ac:dyDescent="0.3">
      <c r="A608" s="1891" t="s">
        <v>3114</v>
      </c>
      <c r="B608" s="1898" t="s">
        <v>1158</v>
      </c>
      <c r="C608" s="1898" t="s">
        <v>1846</v>
      </c>
      <c r="D608" s="1898" t="s">
        <v>1847</v>
      </c>
      <c r="E608" s="1898" t="s">
        <v>1903</v>
      </c>
      <c r="F608" s="1898" t="s">
        <v>1950</v>
      </c>
      <c r="G608" s="1899">
        <v>14900000</v>
      </c>
      <c r="H608" s="1892"/>
    </row>
    <row r="609" spans="1:8" s="1893" customFormat="1" ht="23.25" customHeight="1" x14ac:dyDescent="0.3">
      <c r="A609" s="1891" t="s">
        <v>3114</v>
      </c>
      <c r="B609" s="1898" t="s">
        <v>1158</v>
      </c>
      <c r="C609" s="1898" t="s">
        <v>1846</v>
      </c>
      <c r="D609" s="1898" t="s">
        <v>1847</v>
      </c>
      <c r="E609" s="1898" t="s">
        <v>1903</v>
      </c>
      <c r="F609" s="1898" t="s">
        <v>1905</v>
      </c>
      <c r="G609" s="1899">
        <v>12000000</v>
      </c>
      <c r="H609" s="1892"/>
    </row>
    <row r="610" spans="1:8" s="1893" customFormat="1" ht="23.25" customHeight="1" x14ac:dyDescent="0.3">
      <c r="A610" s="1891" t="s">
        <v>3114</v>
      </c>
      <c r="B610" s="1898" t="s">
        <v>1158</v>
      </c>
      <c r="C610" s="1898" t="s">
        <v>1846</v>
      </c>
      <c r="D610" s="1898" t="s">
        <v>1847</v>
      </c>
      <c r="E610" s="1898" t="s">
        <v>1906</v>
      </c>
      <c r="F610" s="1898" t="s">
        <v>1908</v>
      </c>
      <c r="G610" s="1899">
        <v>34546000</v>
      </c>
      <c r="H610" s="1892"/>
    </row>
    <row r="611" spans="1:8" s="1893" customFormat="1" ht="23.25" customHeight="1" x14ac:dyDescent="0.3">
      <c r="A611" s="1891" t="s">
        <v>3114</v>
      </c>
      <c r="B611" s="1898" t="s">
        <v>1158</v>
      </c>
      <c r="C611" s="1898" t="s">
        <v>1846</v>
      </c>
      <c r="D611" s="1898" t="s">
        <v>1847</v>
      </c>
      <c r="E611" s="1898" t="s">
        <v>1906</v>
      </c>
      <c r="F611" s="1898" t="s">
        <v>1909</v>
      </c>
      <c r="G611" s="1899">
        <v>25382196</v>
      </c>
      <c r="H611" s="1892"/>
    </row>
    <row r="612" spans="1:8" s="1893" customFormat="1" ht="23.25" customHeight="1" x14ac:dyDescent="0.3">
      <c r="A612" s="1891" t="s">
        <v>3114</v>
      </c>
      <c r="B612" s="1898" t="s">
        <v>1158</v>
      </c>
      <c r="C612" s="1898" t="s">
        <v>1846</v>
      </c>
      <c r="D612" s="1898" t="s">
        <v>1847</v>
      </c>
      <c r="E612" s="1898" t="s">
        <v>1968</v>
      </c>
      <c r="F612" s="1898" t="s">
        <v>1969</v>
      </c>
      <c r="G612" s="1899">
        <v>20000000</v>
      </c>
      <c r="H612" s="1892"/>
    </row>
    <row r="613" spans="1:8" s="1893" customFormat="1" ht="23.25" customHeight="1" x14ac:dyDescent="0.3">
      <c r="A613" s="1891" t="s">
        <v>3114</v>
      </c>
      <c r="B613" s="1898" t="s">
        <v>1158</v>
      </c>
      <c r="C613" s="1898" t="s">
        <v>1846</v>
      </c>
      <c r="D613" s="1898" t="s">
        <v>1847</v>
      </c>
      <c r="E613" s="1898" t="s">
        <v>1912</v>
      </c>
      <c r="F613" s="1898" t="s">
        <v>1915</v>
      </c>
      <c r="G613" s="1899">
        <v>1800000</v>
      </c>
      <c r="H613" s="1892"/>
    </row>
    <row r="614" spans="1:8" s="1893" customFormat="1" ht="23.25" customHeight="1" x14ac:dyDescent="0.3">
      <c r="A614" s="1891" t="s">
        <v>3114</v>
      </c>
      <c r="B614" s="1898" t="s">
        <v>1158</v>
      </c>
      <c r="C614" s="1898" t="s">
        <v>1846</v>
      </c>
      <c r="D614" s="1898" t="s">
        <v>1847</v>
      </c>
      <c r="E614" s="1898" t="s">
        <v>1912</v>
      </c>
      <c r="F614" s="1898" t="s">
        <v>1916</v>
      </c>
      <c r="G614" s="1899">
        <v>7105000</v>
      </c>
      <c r="H614" s="1892"/>
    </row>
    <row r="615" spans="1:8" s="1893" customFormat="1" ht="23.25" customHeight="1" x14ac:dyDescent="0.3">
      <c r="A615" s="1891" t="s">
        <v>3114</v>
      </c>
      <c r="B615" s="1898" t="s">
        <v>2776</v>
      </c>
      <c r="C615" s="1898" t="s">
        <v>2038</v>
      </c>
      <c r="D615" s="1898" t="s">
        <v>2039</v>
      </c>
      <c r="E615" s="1898" t="s">
        <v>1848</v>
      </c>
      <c r="F615" s="1898" t="s">
        <v>1849</v>
      </c>
      <c r="G615" s="1899">
        <v>72324597</v>
      </c>
      <c r="H615" s="1892"/>
    </row>
    <row r="616" spans="1:8" s="1893" customFormat="1" ht="23.25" customHeight="1" x14ac:dyDescent="0.3">
      <c r="A616" s="1891" t="s">
        <v>3114</v>
      </c>
      <c r="B616" s="1898" t="s">
        <v>2776</v>
      </c>
      <c r="C616" s="1898" t="s">
        <v>2038</v>
      </c>
      <c r="D616" s="1898" t="s">
        <v>2039</v>
      </c>
      <c r="E616" s="1898" t="s">
        <v>1851</v>
      </c>
      <c r="F616" s="1898" t="s">
        <v>1852</v>
      </c>
      <c r="G616" s="1899">
        <v>31755984</v>
      </c>
      <c r="H616" s="1892"/>
    </row>
    <row r="617" spans="1:8" s="1893" customFormat="1" ht="23.25" customHeight="1" x14ac:dyDescent="0.3">
      <c r="A617" s="1891" t="s">
        <v>3114</v>
      </c>
      <c r="B617" s="1898" t="s">
        <v>2776</v>
      </c>
      <c r="C617" s="1898" t="s">
        <v>2038</v>
      </c>
      <c r="D617" s="1898" t="s">
        <v>2039</v>
      </c>
      <c r="E617" s="1898" t="s">
        <v>1853</v>
      </c>
      <c r="F617" s="1898" t="s">
        <v>1854</v>
      </c>
      <c r="G617" s="1899">
        <v>1341006</v>
      </c>
      <c r="H617" s="1892"/>
    </row>
    <row r="618" spans="1:8" s="1893" customFormat="1" ht="23.25" customHeight="1" x14ac:dyDescent="0.3">
      <c r="A618" s="1891" t="s">
        <v>3114</v>
      </c>
      <c r="B618" s="1898" t="s">
        <v>2776</v>
      </c>
      <c r="C618" s="1898" t="s">
        <v>2038</v>
      </c>
      <c r="D618" s="1898" t="s">
        <v>2039</v>
      </c>
      <c r="E618" s="1898" t="s">
        <v>1853</v>
      </c>
      <c r="F618" s="1898" t="s">
        <v>1855</v>
      </c>
      <c r="G618" s="1899">
        <v>11175000</v>
      </c>
      <c r="H618" s="1892"/>
    </row>
    <row r="619" spans="1:8" s="1893" customFormat="1" ht="23.25" customHeight="1" x14ac:dyDescent="0.3">
      <c r="A619" s="1891" t="s">
        <v>3114</v>
      </c>
      <c r="B619" s="1898" t="s">
        <v>2776</v>
      </c>
      <c r="C619" s="1898" t="s">
        <v>2038</v>
      </c>
      <c r="D619" s="1898" t="s">
        <v>2039</v>
      </c>
      <c r="E619" s="1898" t="s">
        <v>1853</v>
      </c>
      <c r="F619" s="1898" t="s">
        <v>1856</v>
      </c>
      <c r="G619" s="1899">
        <v>1475100</v>
      </c>
      <c r="H619" s="1892"/>
    </row>
    <row r="620" spans="1:8" s="1893" customFormat="1" ht="23.25" customHeight="1" x14ac:dyDescent="0.3">
      <c r="A620" s="1891" t="s">
        <v>3114</v>
      </c>
      <c r="B620" s="1898" t="s">
        <v>2776</v>
      </c>
      <c r="C620" s="1898" t="s">
        <v>2038</v>
      </c>
      <c r="D620" s="1898" t="s">
        <v>2039</v>
      </c>
      <c r="E620" s="1898" t="s">
        <v>1853</v>
      </c>
      <c r="F620" s="1898" t="s">
        <v>1936</v>
      </c>
      <c r="G620" s="1899">
        <v>1490000</v>
      </c>
      <c r="H620" s="1892"/>
    </row>
    <row r="621" spans="1:8" s="1893" customFormat="1" ht="23.25" customHeight="1" x14ac:dyDescent="0.3">
      <c r="A621" s="1891" t="s">
        <v>3114</v>
      </c>
      <c r="B621" s="1898" t="s">
        <v>2776</v>
      </c>
      <c r="C621" s="1898" t="s">
        <v>2038</v>
      </c>
      <c r="D621" s="1898" t="s">
        <v>2039</v>
      </c>
      <c r="E621" s="1898" t="s">
        <v>1853</v>
      </c>
      <c r="F621" s="1898" t="s">
        <v>1858</v>
      </c>
      <c r="G621" s="1899">
        <v>1341000</v>
      </c>
      <c r="H621" s="1892"/>
    </row>
    <row r="622" spans="1:8" s="1893" customFormat="1" ht="23.25" customHeight="1" x14ac:dyDescent="0.3">
      <c r="A622" s="1891" t="s">
        <v>3114</v>
      </c>
      <c r="B622" s="1898" t="s">
        <v>2776</v>
      </c>
      <c r="C622" s="1898" t="s">
        <v>2038</v>
      </c>
      <c r="D622" s="1898" t="s">
        <v>2039</v>
      </c>
      <c r="E622" s="1898" t="s">
        <v>1853</v>
      </c>
      <c r="F622" s="1898" t="s">
        <v>1929</v>
      </c>
      <c r="G622" s="1899">
        <v>2190303</v>
      </c>
      <c r="H622" s="1892"/>
    </row>
    <row r="623" spans="1:8" s="1893" customFormat="1" ht="23.25" customHeight="1" x14ac:dyDescent="0.3">
      <c r="A623" s="1891" t="s">
        <v>3114</v>
      </c>
      <c r="B623" s="1898" t="s">
        <v>2776</v>
      </c>
      <c r="C623" s="1898" t="s">
        <v>2038</v>
      </c>
      <c r="D623" s="1898" t="s">
        <v>2039</v>
      </c>
      <c r="E623" s="1898" t="s">
        <v>1940</v>
      </c>
      <c r="F623" s="1898" t="s">
        <v>1967</v>
      </c>
      <c r="G623" s="1899">
        <v>1600000</v>
      </c>
      <c r="H623" s="1892"/>
    </row>
    <row r="624" spans="1:8" s="1893" customFormat="1" ht="23.25" customHeight="1" x14ac:dyDescent="0.3">
      <c r="A624" s="1891" t="s">
        <v>3114</v>
      </c>
      <c r="B624" s="1898" t="s">
        <v>2776</v>
      </c>
      <c r="C624" s="1898" t="s">
        <v>2038</v>
      </c>
      <c r="D624" s="1898" t="s">
        <v>2039</v>
      </c>
      <c r="E624" s="1898" t="s">
        <v>1862</v>
      </c>
      <c r="F624" s="1898" t="s">
        <v>1863</v>
      </c>
      <c r="G624" s="1899">
        <v>18832080</v>
      </c>
      <c r="H624" s="1892"/>
    </row>
    <row r="625" spans="1:8" s="1893" customFormat="1" ht="23.25" customHeight="1" x14ac:dyDescent="0.3">
      <c r="A625" s="1891" t="s">
        <v>3114</v>
      </c>
      <c r="B625" s="1898" t="s">
        <v>2776</v>
      </c>
      <c r="C625" s="1898" t="s">
        <v>2038</v>
      </c>
      <c r="D625" s="1898" t="s">
        <v>2039</v>
      </c>
      <c r="E625" s="1898" t="s">
        <v>1862</v>
      </c>
      <c r="F625" s="1898" t="s">
        <v>1864</v>
      </c>
      <c r="G625" s="1899">
        <v>3228351</v>
      </c>
      <c r="H625" s="1892"/>
    </row>
    <row r="626" spans="1:8" s="1893" customFormat="1" ht="23.25" customHeight="1" x14ac:dyDescent="0.3">
      <c r="A626" s="1891" t="s">
        <v>3114</v>
      </c>
      <c r="B626" s="1898" t="s">
        <v>2776</v>
      </c>
      <c r="C626" s="1898" t="s">
        <v>2038</v>
      </c>
      <c r="D626" s="1898" t="s">
        <v>2039</v>
      </c>
      <c r="E626" s="1898" t="s">
        <v>1862</v>
      </c>
      <c r="F626" s="1898" t="s">
        <v>1865</v>
      </c>
      <c r="G626" s="1899">
        <v>2152236</v>
      </c>
      <c r="H626" s="1892"/>
    </row>
    <row r="627" spans="1:8" s="1893" customFormat="1" ht="23.25" customHeight="1" x14ac:dyDescent="0.3">
      <c r="A627" s="1891" t="s">
        <v>3114</v>
      </c>
      <c r="B627" s="1898" t="s">
        <v>2776</v>
      </c>
      <c r="C627" s="1898" t="s">
        <v>2038</v>
      </c>
      <c r="D627" s="1898" t="s">
        <v>2039</v>
      </c>
      <c r="E627" s="1898" t="s">
        <v>1862</v>
      </c>
      <c r="F627" s="1898" t="s">
        <v>1866</v>
      </c>
      <c r="G627" s="1899">
        <v>1076121</v>
      </c>
      <c r="H627" s="1892"/>
    </row>
    <row r="628" spans="1:8" s="1893" customFormat="1" ht="23.25" customHeight="1" x14ac:dyDescent="0.3">
      <c r="A628" s="1891" t="s">
        <v>3114</v>
      </c>
      <c r="B628" s="1898" t="s">
        <v>2776</v>
      </c>
      <c r="C628" s="1898" t="s">
        <v>2038</v>
      </c>
      <c r="D628" s="1898" t="s">
        <v>2039</v>
      </c>
      <c r="E628" s="1898" t="s">
        <v>1867</v>
      </c>
      <c r="F628" s="1898" t="s">
        <v>1868</v>
      </c>
      <c r="G628" s="1899">
        <v>9704331</v>
      </c>
      <c r="H628" s="1892"/>
    </row>
    <row r="629" spans="1:8" s="1893" customFormat="1" ht="23.25" customHeight="1" x14ac:dyDescent="0.3">
      <c r="A629" s="1891" t="s">
        <v>3114</v>
      </c>
      <c r="B629" s="1898" t="s">
        <v>2776</v>
      </c>
      <c r="C629" s="1898" t="s">
        <v>2038</v>
      </c>
      <c r="D629" s="1898" t="s">
        <v>2039</v>
      </c>
      <c r="E629" s="1898" t="s">
        <v>1869</v>
      </c>
      <c r="F629" s="1898" t="s">
        <v>1870</v>
      </c>
      <c r="G629" s="1899">
        <v>2828655</v>
      </c>
      <c r="H629" s="1892"/>
    </row>
    <row r="630" spans="1:8" s="1893" customFormat="1" ht="23.25" customHeight="1" x14ac:dyDescent="0.3">
      <c r="A630" s="1891" t="s">
        <v>3114</v>
      </c>
      <c r="B630" s="1898" t="s">
        <v>2776</v>
      </c>
      <c r="C630" s="1898" t="s">
        <v>2038</v>
      </c>
      <c r="D630" s="1898" t="s">
        <v>2039</v>
      </c>
      <c r="E630" s="1898" t="s">
        <v>1869</v>
      </c>
      <c r="F630" s="1898" t="s">
        <v>1871</v>
      </c>
      <c r="G630" s="1899">
        <v>1600194</v>
      </c>
      <c r="H630" s="1892"/>
    </row>
    <row r="631" spans="1:8" s="1893" customFormat="1" ht="23.25" customHeight="1" x14ac:dyDescent="0.3">
      <c r="A631" s="1891" t="s">
        <v>3114</v>
      </c>
      <c r="B631" s="1898" t="s">
        <v>2776</v>
      </c>
      <c r="C631" s="1898" t="s">
        <v>2038</v>
      </c>
      <c r="D631" s="1898" t="s">
        <v>2039</v>
      </c>
      <c r="E631" s="1898" t="s">
        <v>1869</v>
      </c>
      <c r="F631" s="1898" t="s">
        <v>1872</v>
      </c>
      <c r="G631" s="1899">
        <v>1616617</v>
      </c>
      <c r="H631" s="1892"/>
    </row>
    <row r="632" spans="1:8" s="1893" customFormat="1" ht="23.25" customHeight="1" x14ac:dyDescent="0.3">
      <c r="A632" s="1891" t="s">
        <v>3114</v>
      </c>
      <c r="B632" s="1898" t="s">
        <v>2776</v>
      </c>
      <c r="C632" s="1898" t="s">
        <v>2038</v>
      </c>
      <c r="D632" s="1898" t="s">
        <v>2039</v>
      </c>
      <c r="E632" s="1898" t="s">
        <v>1874</v>
      </c>
      <c r="F632" s="1898" t="s">
        <v>1875</v>
      </c>
      <c r="G632" s="1899">
        <v>270000</v>
      </c>
      <c r="H632" s="1892"/>
    </row>
    <row r="633" spans="1:8" s="1893" customFormat="1" ht="23.25" customHeight="1" x14ac:dyDescent="0.3">
      <c r="A633" s="1891" t="s">
        <v>3114</v>
      </c>
      <c r="B633" s="1898" t="s">
        <v>2776</v>
      </c>
      <c r="C633" s="1898" t="s">
        <v>2038</v>
      </c>
      <c r="D633" s="1898" t="s">
        <v>2039</v>
      </c>
      <c r="E633" s="1898" t="s">
        <v>1874</v>
      </c>
      <c r="F633" s="1898" t="s">
        <v>1876</v>
      </c>
      <c r="G633" s="1899">
        <v>1380000</v>
      </c>
      <c r="H633" s="1892"/>
    </row>
    <row r="634" spans="1:8" s="1893" customFormat="1" ht="23.25" customHeight="1" x14ac:dyDescent="0.3">
      <c r="A634" s="1891" t="s">
        <v>3114</v>
      </c>
      <c r="B634" s="1898" t="s">
        <v>2776</v>
      </c>
      <c r="C634" s="1898" t="s">
        <v>2038</v>
      </c>
      <c r="D634" s="1898" t="s">
        <v>2039</v>
      </c>
      <c r="E634" s="1898" t="s">
        <v>1874</v>
      </c>
      <c r="F634" s="1898" t="s">
        <v>1877</v>
      </c>
      <c r="G634" s="1899">
        <v>1710000</v>
      </c>
      <c r="H634" s="1892"/>
    </row>
    <row r="635" spans="1:8" s="1893" customFormat="1" ht="23.25" customHeight="1" x14ac:dyDescent="0.3">
      <c r="A635" s="1891" t="s">
        <v>3114</v>
      </c>
      <c r="B635" s="1898" t="s">
        <v>2776</v>
      </c>
      <c r="C635" s="1898" t="s">
        <v>2038</v>
      </c>
      <c r="D635" s="1898" t="s">
        <v>2039</v>
      </c>
      <c r="E635" s="1898" t="s">
        <v>1878</v>
      </c>
      <c r="F635" s="1898" t="s">
        <v>1881</v>
      </c>
      <c r="G635" s="1899">
        <v>675000</v>
      </c>
      <c r="H635" s="1892"/>
    </row>
    <row r="636" spans="1:8" s="1893" customFormat="1" ht="23.25" customHeight="1" x14ac:dyDescent="0.3">
      <c r="A636" s="1891" t="s">
        <v>3114</v>
      </c>
      <c r="B636" s="1898" t="s">
        <v>2776</v>
      </c>
      <c r="C636" s="1898" t="s">
        <v>2038</v>
      </c>
      <c r="D636" s="1898" t="s">
        <v>2039</v>
      </c>
      <c r="E636" s="1898" t="s">
        <v>1878</v>
      </c>
      <c r="F636" s="1898" t="s">
        <v>1882</v>
      </c>
      <c r="G636" s="1899">
        <v>27505972</v>
      </c>
      <c r="H636" s="1892"/>
    </row>
    <row r="637" spans="1:8" s="1893" customFormat="1" ht="23.25" customHeight="1" x14ac:dyDescent="0.3">
      <c r="A637" s="1891" t="s">
        <v>3114</v>
      </c>
      <c r="B637" s="1898" t="s">
        <v>2776</v>
      </c>
      <c r="C637" s="1898" t="s">
        <v>2038</v>
      </c>
      <c r="D637" s="1898" t="s">
        <v>2039</v>
      </c>
      <c r="E637" s="1898" t="s">
        <v>1878</v>
      </c>
      <c r="F637" s="1898" t="s">
        <v>1883</v>
      </c>
      <c r="G637" s="1899">
        <v>5551100</v>
      </c>
      <c r="H637" s="1892"/>
    </row>
    <row r="638" spans="1:8" s="1893" customFormat="1" ht="23.25" customHeight="1" x14ac:dyDescent="0.3">
      <c r="A638" s="1891" t="s">
        <v>3114</v>
      </c>
      <c r="B638" s="1898" t="s">
        <v>2776</v>
      </c>
      <c r="C638" s="1898" t="s">
        <v>2038</v>
      </c>
      <c r="D638" s="1898" t="s">
        <v>2039</v>
      </c>
      <c r="E638" s="1898" t="s">
        <v>1889</v>
      </c>
      <c r="F638" s="1898" t="s">
        <v>1890</v>
      </c>
      <c r="G638" s="1899">
        <v>1600000</v>
      </c>
      <c r="H638" s="1892"/>
    </row>
    <row r="639" spans="1:8" s="1893" customFormat="1" ht="23.25" customHeight="1" x14ac:dyDescent="0.3">
      <c r="A639" s="1891" t="s">
        <v>3114</v>
      </c>
      <c r="B639" s="1898" t="s">
        <v>2776</v>
      </c>
      <c r="C639" s="1898" t="s">
        <v>2038</v>
      </c>
      <c r="D639" s="1898" t="s">
        <v>2039</v>
      </c>
      <c r="E639" s="1898" t="s">
        <v>1889</v>
      </c>
      <c r="F639" s="1898" t="s">
        <v>1891</v>
      </c>
      <c r="G639" s="1899">
        <v>600000</v>
      </c>
      <c r="H639" s="1892"/>
    </row>
    <row r="640" spans="1:8" s="1893" customFormat="1" ht="23.25" customHeight="1" x14ac:dyDescent="0.3">
      <c r="A640" s="1891" t="s">
        <v>3114</v>
      </c>
      <c r="B640" s="1898" t="s">
        <v>2776</v>
      </c>
      <c r="C640" s="1898" t="s">
        <v>2038</v>
      </c>
      <c r="D640" s="1898" t="s">
        <v>2039</v>
      </c>
      <c r="E640" s="1898" t="s">
        <v>1889</v>
      </c>
      <c r="F640" s="1898" t="s">
        <v>1892</v>
      </c>
      <c r="G640" s="1899">
        <v>6800000</v>
      </c>
      <c r="H640" s="1892"/>
    </row>
    <row r="641" spans="1:8" s="1893" customFormat="1" ht="23.25" customHeight="1" x14ac:dyDescent="0.3">
      <c r="A641" s="1891" t="s">
        <v>3114</v>
      </c>
      <c r="B641" s="1898" t="s">
        <v>2776</v>
      </c>
      <c r="C641" s="1898" t="s">
        <v>2038</v>
      </c>
      <c r="D641" s="1898" t="s">
        <v>2039</v>
      </c>
      <c r="E641" s="1898" t="s">
        <v>1889</v>
      </c>
      <c r="F641" s="1898" t="s">
        <v>1922</v>
      </c>
      <c r="G641" s="1899">
        <v>210000</v>
      </c>
      <c r="H641" s="1892"/>
    </row>
    <row r="642" spans="1:8" s="1893" customFormat="1" ht="23.25" customHeight="1" x14ac:dyDescent="0.3">
      <c r="A642" s="1891" t="s">
        <v>3114</v>
      </c>
      <c r="B642" s="1898" t="s">
        <v>2776</v>
      </c>
      <c r="C642" s="1898" t="s">
        <v>2038</v>
      </c>
      <c r="D642" s="1898" t="s">
        <v>2039</v>
      </c>
      <c r="E642" s="1898" t="s">
        <v>1893</v>
      </c>
      <c r="F642" s="1898" t="s">
        <v>2051</v>
      </c>
      <c r="G642" s="1899">
        <v>106972486</v>
      </c>
      <c r="H642" s="1892"/>
    </row>
    <row r="643" spans="1:8" s="1893" customFormat="1" ht="23.25" customHeight="1" x14ac:dyDescent="0.3">
      <c r="A643" s="1891" t="s">
        <v>3114</v>
      </c>
      <c r="B643" s="1898" t="s">
        <v>2776</v>
      </c>
      <c r="C643" s="1898" t="s">
        <v>2038</v>
      </c>
      <c r="D643" s="1898" t="s">
        <v>2039</v>
      </c>
      <c r="E643" s="1898" t="s">
        <v>1896</v>
      </c>
      <c r="F643" s="1898" t="s">
        <v>2040</v>
      </c>
      <c r="G643" s="1899">
        <v>20000000</v>
      </c>
      <c r="H643" s="1892"/>
    </row>
    <row r="644" spans="1:8" s="1893" customFormat="1" ht="23.25" customHeight="1" x14ac:dyDescent="0.3">
      <c r="A644" s="1891" t="s">
        <v>3114</v>
      </c>
      <c r="B644" s="1898" t="s">
        <v>2776</v>
      </c>
      <c r="C644" s="1898" t="s">
        <v>2038</v>
      </c>
      <c r="D644" s="1898" t="s">
        <v>2039</v>
      </c>
      <c r="E644" s="1898" t="s">
        <v>1896</v>
      </c>
      <c r="F644" s="1898" t="s">
        <v>1900</v>
      </c>
      <c r="G644" s="1899">
        <v>11700000</v>
      </c>
      <c r="H644" s="1892"/>
    </row>
    <row r="645" spans="1:8" s="1893" customFormat="1" ht="23.25" customHeight="1" x14ac:dyDescent="0.3">
      <c r="A645" s="1891" t="s">
        <v>3114</v>
      </c>
      <c r="B645" s="1898" t="s">
        <v>2776</v>
      </c>
      <c r="C645" s="1898" t="s">
        <v>2038</v>
      </c>
      <c r="D645" s="1898" t="s">
        <v>2039</v>
      </c>
      <c r="E645" s="1898" t="s">
        <v>1903</v>
      </c>
      <c r="F645" s="1898" t="s">
        <v>1905</v>
      </c>
      <c r="G645" s="1899">
        <v>449527775</v>
      </c>
      <c r="H645" s="1892"/>
    </row>
    <row r="646" spans="1:8" s="1893" customFormat="1" ht="23.25" customHeight="1" x14ac:dyDescent="0.3">
      <c r="A646" s="1891" t="s">
        <v>3114</v>
      </c>
      <c r="B646" s="1898" t="s">
        <v>2776</v>
      </c>
      <c r="C646" s="1898" t="s">
        <v>2038</v>
      </c>
      <c r="D646" s="1898" t="s">
        <v>2039</v>
      </c>
      <c r="E646" s="1898" t="s">
        <v>1906</v>
      </c>
      <c r="F646" s="1898" t="s">
        <v>1907</v>
      </c>
      <c r="G646" s="1899">
        <v>413000</v>
      </c>
      <c r="H646" s="1892"/>
    </row>
    <row r="647" spans="1:8" s="1893" customFormat="1" ht="23.25" customHeight="1" x14ac:dyDescent="0.3">
      <c r="A647" s="1891" t="s">
        <v>3114</v>
      </c>
      <c r="B647" s="1898" t="s">
        <v>2776</v>
      </c>
      <c r="C647" s="1898" t="s">
        <v>2038</v>
      </c>
      <c r="D647" s="1898" t="s">
        <v>2039</v>
      </c>
      <c r="E647" s="1898" t="s">
        <v>1906</v>
      </c>
      <c r="F647" s="1898" t="s">
        <v>1908</v>
      </c>
      <c r="G647" s="1899">
        <v>4590000</v>
      </c>
      <c r="H647" s="1892"/>
    </row>
    <row r="648" spans="1:8" s="1893" customFormat="1" ht="23.25" customHeight="1" x14ac:dyDescent="0.3">
      <c r="A648" s="1891" t="s">
        <v>3114</v>
      </c>
      <c r="B648" s="1898" t="s">
        <v>2776</v>
      </c>
      <c r="C648" s="1898" t="s">
        <v>2038</v>
      </c>
      <c r="D648" s="1898" t="s">
        <v>2039</v>
      </c>
      <c r="E648" s="1898" t="s">
        <v>1906</v>
      </c>
      <c r="F648" s="1898" t="s">
        <v>1909</v>
      </c>
      <c r="G648" s="1899">
        <v>61096000</v>
      </c>
      <c r="H648" s="1892"/>
    </row>
    <row r="649" spans="1:8" s="1893" customFormat="1" ht="23.25" customHeight="1" x14ac:dyDescent="0.3">
      <c r="A649" s="1891" t="s">
        <v>3114</v>
      </c>
      <c r="B649" s="1898" t="s">
        <v>2776</v>
      </c>
      <c r="C649" s="1898" t="s">
        <v>2038</v>
      </c>
      <c r="D649" s="1898" t="s">
        <v>2039</v>
      </c>
      <c r="E649" s="1898" t="s">
        <v>1912</v>
      </c>
      <c r="F649" s="1898" t="s">
        <v>1913</v>
      </c>
      <c r="G649" s="1899">
        <v>1020000</v>
      </c>
      <c r="H649" s="1892"/>
    </row>
    <row r="650" spans="1:8" s="1893" customFormat="1" ht="23.25" customHeight="1" x14ac:dyDescent="0.3">
      <c r="A650" s="1891" t="s">
        <v>3114</v>
      </c>
      <c r="B650" s="1898" t="s">
        <v>2776</v>
      </c>
      <c r="C650" s="1898" t="s">
        <v>2038</v>
      </c>
      <c r="D650" s="1898" t="s">
        <v>2039</v>
      </c>
      <c r="E650" s="1898" t="s">
        <v>1912</v>
      </c>
      <c r="F650" s="1898" t="s">
        <v>1915</v>
      </c>
      <c r="G650" s="1899">
        <v>1590000</v>
      </c>
      <c r="H650" s="1892"/>
    </row>
    <row r="651" spans="1:8" s="1893" customFormat="1" ht="23.25" customHeight="1" x14ac:dyDescent="0.3">
      <c r="A651" s="1891" t="s">
        <v>3114</v>
      </c>
      <c r="B651" s="1898" t="s">
        <v>2776</v>
      </c>
      <c r="C651" s="1898" t="s">
        <v>2038</v>
      </c>
      <c r="D651" s="1898" t="s">
        <v>2039</v>
      </c>
      <c r="E651" s="1898" t="s">
        <v>1912</v>
      </c>
      <c r="F651" s="1898" t="s">
        <v>1916</v>
      </c>
      <c r="G651" s="1899">
        <v>8452000</v>
      </c>
      <c r="H651" s="1892"/>
    </row>
    <row r="652" spans="1:8" s="1893" customFormat="1" ht="23.25" customHeight="1" x14ac:dyDescent="0.3">
      <c r="A652" s="1891" t="s">
        <v>3114</v>
      </c>
      <c r="B652" s="1898" t="s">
        <v>2776</v>
      </c>
      <c r="C652" s="1898" t="s">
        <v>2038</v>
      </c>
      <c r="D652" s="1898" t="s">
        <v>2039</v>
      </c>
      <c r="E652" s="1898" t="s">
        <v>2245</v>
      </c>
      <c r="F652" s="1898" t="s">
        <v>2767</v>
      </c>
      <c r="G652" s="1899">
        <v>1600000</v>
      </c>
      <c r="H652" s="1892"/>
    </row>
    <row r="653" spans="1:8" s="1893" customFormat="1" ht="23.25" customHeight="1" x14ac:dyDescent="0.3">
      <c r="A653" s="1891" t="s">
        <v>3114</v>
      </c>
      <c r="B653" s="1898" t="s">
        <v>2776</v>
      </c>
      <c r="C653" s="1898" t="s">
        <v>2044</v>
      </c>
      <c r="D653" s="1898" t="s">
        <v>2045</v>
      </c>
      <c r="E653" s="1898" t="s">
        <v>1848</v>
      </c>
      <c r="F653" s="1898" t="s">
        <v>1849</v>
      </c>
      <c r="G653" s="1899">
        <v>319724204</v>
      </c>
      <c r="H653" s="1892"/>
    </row>
    <row r="654" spans="1:8" s="1893" customFormat="1" ht="23.25" customHeight="1" x14ac:dyDescent="0.3">
      <c r="A654" s="1891" t="s">
        <v>3114</v>
      </c>
      <c r="B654" s="1898" t="s">
        <v>2776</v>
      </c>
      <c r="C654" s="1898" t="s">
        <v>2044</v>
      </c>
      <c r="D654" s="1898" t="s">
        <v>2045</v>
      </c>
      <c r="E654" s="1898" t="s">
        <v>1853</v>
      </c>
      <c r="F654" s="1898" t="s">
        <v>1854</v>
      </c>
      <c r="G654" s="1899">
        <v>2682000</v>
      </c>
      <c r="H654" s="1892"/>
    </row>
    <row r="655" spans="1:8" s="1893" customFormat="1" ht="23.25" customHeight="1" x14ac:dyDescent="0.3">
      <c r="A655" s="1891" t="s">
        <v>3114</v>
      </c>
      <c r="B655" s="1898" t="s">
        <v>2776</v>
      </c>
      <c r="C655" s="1898" t="s">
        <v>2044</v>
      </c>
      <c r="D655" s="1898" t="s">
        <v>2045</v>
      </c>
      <c r="E655" s="1898" t="s">
        <v>1853</v>
      </c>
      <c r="F655" s="1898" t="s">
        <v>1855</v>
      </c>
      <c r="G655" s="1899">
        <v>44700000</v>
      </c>
      <c r="H655" s="1892"/>
    </row>
    <row r="656" spans="1:8" s="1893" customFormat="1" ht="23.25" customHeight="1" x14ac:dyDescent="0.3">
      <c r="A656" s="1891" t="s">
        <v>3114</v>
      </c>
      <c r="B656" s="1898" t="s">
        <v>2776</v>
      </c>
      <c r="C656" s="1898" t="s">
        <v>2044</v>
      </c>
      <c r="D656" s="1898" t="s">
        <v>2045</v>
      </c>
      <c r="E656" s="1898" t="s">
        <v>1853</v>
      </c>
      <c r="F656" s="1898" t="s">
        <v>1856</v>
      </c>
      <c r="G656" s="1899">
        <v>5648454</v>
      </c>
      <c r="H656" s="1892"/>
    </row>
    <row r="657" spans="1:8" s="1893" customFormat="1" ht="23.25" customHeight="1" x14ac:dyDescent="0.3">
      <c r="A657" s="1891" t="s">
        <v>3114</v>
      </c>
      <c r="B657" s="1898" t="s">
        <v>2776</v>
      </c>
      <c r="C657" s="1898" t="s">
        <v>2044</v>
      </c>
      <c r="D657" s="1898" t="s">
        <v>2045</v>
      </c>
      <c r="E657" s="1898" t="s">
        <v>1853</v>
      </c>
      <c r="F657" s="1898" t="s">
        <v>1936</v>
      </c>
      <c r="G657" s="1899">
        <v>7152000</v>
      </c>
      <c r="H657" s="1892"/>
    </row>
    <row r="658" spans="1:8" s="1893" customFormat="1" ht="23.25" customHeight="1" x14ac:dyDescent="0.3">
      <c r="A658" s="1891" t="s">
        <v>3114</v>
      </c>
      <c r="B658" s="1898" t="s">
        <v>2776</v>
      </c>
      <c r="C658" s="1898" t="s">
        <v>2044</v>
      </c>
      <c r="D658" s="1898" t="s">
        <v>2045</v>
      </c>
      <c r="E658" s="1898" t="s">
        <v>1853</v>
      </c>
      <c r="F658" s="1898" t="s">
        <v>1858</v>
      </c>
      <c r="G658" s="1899">
        <v>447000</v>
      </c>
      <c r="H658" s="1892"/>
    </row>
    <row r="659" spans="1:8" s="1893" customFormat="1" ht="23.25" customHeight="1" x14ac:dyDescent="0.3">
      <c r="A659" s="1891" t="s">
        <v>3114</v>
      </c>
      <c r="B659" s="1898" t="s">
        <v>2776</v>
      </c>
      <c r="C659" s="1898" t="s">
        <v>2044</v>
      </c>
      <c r="D659" s="1898" t="s">
        <v>2045</v>
      </c>
      <c r="E659" s="1898" t="s">
        <v>1862</v>
      </c>
      <c r="F659" s="1898" t="s">
        <v>1863</v>
      </c>
      <c r="G659" s="1899">
        <v>56421087</v>
      </c>
      <c r="H659" s="1892"/>
    </row>
    <row r="660" spans="1:8" s="1893" customFormat="1" ht="23.25" customHeight="1" x14ac:dyDescent="0.3">
      <c r="A660" s="1891" t="s">
        <v>3114</v>
      </c>
      <c r="B660" s="1898" t="s">
        <v>2776</v>
      </c>
      <c r="C660" s="1898" t="s">
        <v>2044</v>
      </c>
      <c r="D660" s="1898" t="s">
        <v>2045</v>
      </c>
      <c r="E660" s="1898" t="s">
        <v>1862</v>
      </c>
      <c r="F660" s="1898" t="s">
        <v>1864</v>
      </c>
      <c r="G660" s="1899">
        <v>9672186</v>
      </c>
      <c r="H660" s="1892"/>
    </row>
    <row r="661" spans="1:8" s="1893" customFormat="1" ht="23.25" customHeight="1" x14ac:dyDescent="0.3">
      <c r="A661" s="1891" t="s">
        <v>3114</v>
      </c>
      <c r="B661" s="1898" t="s">
        <v>2776</v>
      </c>
      <c r="C661" s="1898" t="s">
        <v>2044</v>
      </c>
      <c r="D661" s="1898" t="s">
        <v>2045</v>
      </c>
      <c r="E661" s="1898" t="s">
        <v>1862</v>
      </c>
      <c r="F661" s="1898" t="s">
        <v>1865</v>
      </c>
      <c r="G661" s="1899">
        <v>6448124</v>
      </c>
      <c r="H661" s="1892"/>
    </row>
    <row r="662" spans="1:8" s="1893" customFormat="1" ht="23.25" customHeight="1" x14ac:dyDescent="0.3">
      <c r="A662" s="1891" t="s">
        <v>3114</v>
      </c>
      <c r="B662" s="1898" t="s">
        <v>2776</v>
      </c>
      <c r="C662" s="1898" t="s">
        <v>2044</v>
      </c>
      <c r="D662" s="1898" t="s">
        <v>2045</v>
      </c>
      <c r="E662" s="1898" t="s">
        <v>1862</v>
      </c>
      <c r="F662" s="1898" t="s">
        <v>1866</v>
      </c>
      <c r="G662" s="1899">
        <v>3224062</v>
      </c>
      <c r="H662" s="1892"/>
    </row>
    <row r="663" spans="1:8" s="1893" customFormat="1" ht="23.25" customHeight="1" x14ac:dyDescent="0.3">
      <c r="A663" s="1891" t="s">
        <v>3114</v>
      </c>
      <c r="B663" s="1898" t="s">
        <v>2776</v>
      </c>
      <c r="C663" s="1898" t="s">
        <v>2044</v>
      </c>
      <c r="D663" s="1898" t="s">
        <v>2045</v>
      </c>
      <c r="E663" s="1898" t="s">
        <v>1867</v>
      </c>
      <c r="F663" s="1898" t="s">
        <v>1868</v>
      </c>
      <c r="G663" s="1899">
        <v>8084329</v>
      </c>
      <c r="H663" s="1892"/>
    </row>
    <row r="664" spans="1:8" s="1893" customFormat="1" ht="23.25" customHeight="1" x14ac:dyDescent="0.3">
      <c r="A664" s="1891" t="s">
        <v>3114</v>
      </c>
      <c r="B664" s="1898" t="s">
        <v>2776</v>
      </c>
      <c r="C664" s="1898" t="s">
        <v>2044</v>
      </c>
      <c r="D664" s="1898" t="s">
        <v>2045</v>
      </c>
      <c r="E664" s="1898" t="s">
        <v>1869</v>
      </c>
      <c r="F664" s="1898" t="s">
        <v>1870</v>
      </c>
      <c r="G664" s="1899">
        <v>6270101</v>
      </c>
      <c r="H664" s="1892"/>
    </row>
    <row r="665" spans="1:8" s="1893" customFormat="1" ht="23.25" customHeight="1" x14ac:dyDescent="0.3">
      <c r="A665" s="1891" t="s">
        <v>3114</v>
      </c>
      <c r="B665" s="1898" t="s">
        <v>2776</v>
      </c>
      <c r="C665" s="1898" t="s">
        <v>2044</v>
      </c>
      <c r="D665" s="1898" t="s">
        <v>2045</v>
      </c>
      <c r="E665" s="1898" t="s">
        <v>1874</v>
      </c>
      <c r="F665" s="1898" t="s">
        <v>1875</v>
      </c>
      <c r="G665" s="1899">
        <v>2870000</v>
      </c>
      <c r="H665" s="1892"/>
    </row>
    <row r="666" spans="1:8" s="1893" customFormat="1" ht="23.25" customHeight="1" x14ac:dyDescent="0.3">
      <c r="A666" s="1891" t="s">
        <v>3114</v>
      </c>
      <c r="B666" s="1898" t="s">
        <v>2776</v>
      </c>
      <c r="C666" s="1898" t="s">
        <v>2044</v>
      </c>
      <c r="D666" s="1898" t="s">
        <v>2045</v>
      </c>
      <c r="E666" s="1898" t="s">
        <v>1878</v>
      </c>
      <c r="F666" s="1898" t="s">
        <v>1879</v>
      </c>
      <c r="G666" s="1899">
        <v>437145</v>
      </c>
      <c r="H666" s="1892"/>
    </row>
    <row r="667" spans="1:8" s="1893" customFormat="1" ht="23.25" customHeight="1" x14ac:dyDescent="0.3">
      <c r="A667" s="1891" t="s">
        <v>3114</v>
      </c>
      <c r="B667" s="1898" t="s">
        <v>2776</v>
      </c>
      <c r="C667" s="1898" t="s">
        <v>2044</v>
      </c>
      <c r="D667" s="1898" t="s">
        <v>2045</v>
      </c>
      <c r="E667" s="1898" t="s">
        <v>1878</v>
      </c>
      <c r="F667" s="1898" t="s">
        <v>1881</v>
      </c>
      <c r="G667" s="1899">
        <v>4765200</v>
      </c>
      <c r="H667" s="1892"/>
    </row>
    <row r="668" spans="1:8" s="1893" customFormat="1" ht="23.25" customHeight="1" x14ac:dyDescent="0.3">
      <c r="A668" s="1891" t="s">
        <v>3114</v>
      </c>
      <c r="B668" s="1898" t="s">
        <v>2776</v>
      </c>
      <c r="C668" s="1898" t="s">
        <v>2044</v>
      </c>
      <c r="D668" s="1898" t="s">
        <v>2045</v>
      </c>
      <c r="E668" s="1898" t="s">
        <v>1889</v>
      </c>
      <c r="F668" s="1898" t="s">
        <v>1890</v>
      </c>
      <c r="G668" s="1899">
        <v>14800000</v>
      </c>
      <c r="H668" s="1892"/>
    </row>
    <row r="669" spans="1:8" s="1893" customFormat="1" ht="23.25" customHeight="1" x14ac:dyDescent="0.3">
      <c r="A669" s="1891" t="s">
        <v>3114</v>
      </c>
      <c r="B669" s="1898" t="s">
        <v>2776</v>
      </c>
      <c r="C669" s="1898" t="s">
        <v>2044</v>
      </c>
      <c r="D669" s="1898" t="s">
        <v>2045</v>
      </c>
      <c r="E669" s="1898" t="s">
        <v>1889</v>
      </c>
      <c r="F669" s="1898" t="s">
        <v>1891</v>
      </c>
      <c r="G669" s="1899">
        <v>13400000</v>
      </c>
      <c r="H669" s="1892"/>
    </row>
    <row r="670" spans="1:8" s="1893" customFormat="1" ht="23.25" customHeight="1" x14ac:dyDescent="0.3">
      <c r="A670" s="1891" t="s">
        <v>3114</v>
      </c>
      <c r="B670" s="1898" t="s">
        <v>2776</v>
      </c>
      <c r="C670" s="1898" t="s">
        <v>2044</v>
      </c>
      <c r="D670" s="1898" t="s">
        <v>2045</v>
      </c>
      <c r="E670" s="1898" t="s">
        <v>1889</v>
      </c>
      <c r="F670" s="1898" t="s">
        <v>1892</v>
      </c>
      <c r="G670" s="1899">
        <v>22800000</v>
      </c>
      <c r="H670" s="1892"/>
    </row>
    <row r="671" spans="1:8" s="1893" customFormat="1" ht="23.25" customHeight="1" x14ac:dyDescent="0.3">
      <c r="A671" s="1891" t="s">
        <v>3114</v>
      </c>
      <c r="B671" s="1898" t="s">
        <v>2776</v>
      </c>
      <c r="C671" s="1898" t="s">
        <v>2044</v>
      </c>
      <c r="D671" s="1898" t="s">
        <v>2045</v>
      </c>
      <c r="E671" s="1898" t="s">
        <v>1889</v>
      </c>
      <c r="F671" s="1898" t="s">
        <v>1922</v>
      </c>
      <c r="G671" s="1899">
        <v>1050000</v>
      </c>
      <c r="H671" s="1892"/>
    </row>
    <row r="672" spans="1:8" s="1893" customFormat="1" ht="23.25" customHeight="1" x14ac:dyDescent="0.3">
      <c r="A672" s="1891" t="s">
        <v>3114</v>
      </c>
      <c r="B672" s="1898" t="s">
        <v>2776</v>
      </c>
      <c r="C672" s="1898" t="s">
        <v>2044</v>
      </c>
      <c r="D672" s="1898" t="s">
        <v>2045</v>
      </c>
      <c r="E672" s="1898" t="s">
        <v>1893</v>
      </c>
      <c r="F672" s="1898" t="s">
        <v>2051</v>
      </c>
      <c r="G672" s="1899">
        <v>18700000</v>
      </c>
      <c r="H672" s="1892"/>
    </row>
    <row r="673" spans="1:8" s="1893" customFormat="1" ht="23.25" customHeight="1" x14ac:dyDescent="0.3">
      <c r="A673" s="1891" t="s">
        <v>3114</v>
      </c>
      <c r="B673" s="1898" t="s">
        <v>2776</v>
      </c>
      <c r="C673" s="1898" t="s">
        <v>2044</v>
      </c>
      <c r="D673" s="1898" t="s">
        <v>2045</v>
      </c>
      <c r="E673" s="1898" t="s">
        <v>1896</v>
      </c>
      <c r="F673" s="1898" t="s">
        <v>1900</v>
      </c>
      <c r="G673" s="1899">
        <v>1870000</v>
      </c>
      <c r="H673" s="1892"/>
    </row>
    <row r="674" spans="1:8" s="1893" customFormat="1" ht="23.25" customHeight="1" x14ac:dyDescent="0.3">
      <c r="A674" s="1891" t="s">
        <v>3114</v>
      </c>
      <c r="B674" s="1898" t="s">
        <v>2776</v>
      </c>
      <c r="C674" s="1898" t="s">
        <v>2044</v>
      </c>
      <c r="D674" s="1898" t="s">
        <v>2045</v>
      </c>
      <c r="E674" s="1898" t="s">
        <v>1896</v>
      </c>
      <c r="F674" s="1898" t="s">
        <v>1901</v>
      </c>
      <c r="G674" s="1899">
        <v>2650000</v>
      </c>
      <c r="H674" s="1892"/>
    </row>
    <row r="675" spans="1:8" s="1893" customFormat="1" ht="23.25" customHeight="1" x14ac:dyDescent="0.3">
      <c r="A675" s="1891" t="s">
        <v>3114</v>
      </c>
      <c r="B675" s="1898" t="s">
        <v>2776</v>
      </c>
      <c r="C675" s="1898" t="s">
        <v>2044</v>
      </c>
      <c r="D675" s="1898" t="s">
        <v>2045</v>
      </c>
      <c r="E675" s="1898" t="s">
        <v>1896</v>
      </c>
      <c r="F675" s="1898" t="s">
        <v>1902</v>
      </c>
      <c r="G675" s="1899">
        <v>16780000</v>
      </c>
      <c r="H675" s="1892"/>
    </row>
    <row r="676" spans="1:8" s="1893" customFormat="1" ht="23.25" customHeight="1" x14ac:dyDescent="0.3">
      <c r="A676" s="1891" t="s">
        <v>3114</v>
      </c>
      <c r="B676" s="1898" t="s">
        <v>2776</v>
      </c>
      <c r="C676" s="1898" t="s">
        <v>2044</v>
      </c>
      <c r="D676" s="1898" t="s">
        <v>2045</v>
      </c>
      <c r="E676" s="1898" t="s">
        <v>1903</v>
      </c>
      <c r="F676" s="1898" t="s">
        <v>1905</v>
      </c>
      <c r="G676" s="1899">
        <v>147700000</v>
      </c>
      <c r="H676" s="1892"/>
    </row>
    <row r="677" spans="1:8" s="1893" customFormat="1" ht="23.25" customHeight="1" x14ac:dyDescent="0.3">
      <c r="A677" s="1891" t="s">
        <v>3114</v>
      </c>
      <c r="B677" s="1898" t="s">
        <v>2776</v>
      </c>
      <c r="C677" s="1898" t="s">
        <v>2044</v>
      </c>
      <c r="D677" s="1898" t="s">
        <v>2045</v>
      </c>
      <c r="E677" s="1898" t="s">
        <v>1906</v>
      </c>
      <c r="F677" s="1898" t="s">
        <v>1909</v>
      </c>
      <c r="G677" s="1899">
        <v>3950000</v>
      </c>
      <c r="H677" s="1892"/>
    </row>
    <row r="678" spans="1:8" s="1893" customFormat="1" ht="23.25" customHeight="1" x14ac:dyDescent="0.3">
      <c r="A678" s="1891" t="s">
        <v>3114</v>
      </c>
      <c r="B678" s="1898" t="s">
        <v>2776</v>
      </c>
      <c r="C678" s="1898" t="s">
        <v>2044</v>
      </c>
      <c r="D678" s="1898" t="s">
        <v>2045</v>
      </c>
      <c r="E678" s="1898" t="s">
        <v>1912</v>
      </c>
      <c r="F678" s="1898" t="s">
        <v>1913</v>
      </c>
      <c r="G678" s="1899">
        <v>2333000</v>
      </c>
      <c r="H678" s="1892"/>
    </row>
    <row r="679" spans="1:8" s="1893" customFormat="1" ht="23.25" customHeight="1" x14ac:dyDescent="0.3">
      <c r="A679" s="1891" t="s">
        <v>3114</v>
      </c>
      <c r="B679" s="1898" t="s">
        <v>2776</v>
      </c>
      <c r="C679" s="1898" t="s">
        <v>2048</v>
      </c>
      <c r="D679" s="1898" t="s">
        <v>2049</v>
      </c>
      <c r="E679" s="1898" t="s">
        <v>1848</v>
      </c>
      <c r="F679" s="1898" t="s">
        <v>1849</v>
      </c>
      <c r="G679" s="1899">
        <v>26820000</v>
      </c>
      <c r="H679" s="1892"/>
    </row>
    <row r="680" spans="1:8" s="1893" customFormat="1" ht="23.25" customHeight="1" x14ac:dyDescent="0.3">
      <c r="A680" s="1891" t="s">
        <v>3114</v>
      </c>
      <c r="B680" s="1898" t="s">
        <v>2776</v>
      </c>
      <c r="C680" s="1898" t="s">
        <v>2048</v>
      </c>
      <c r="D680" s="1898" t="s">
        <v>2049</v>
      </c>
      <c r="E680" s="1898" t="s">
        <v>1853</v>
      </c>
      <c r="F680" s="1898" t="s">
        <v>1855</v>
      </c>
      <c r="G680" s="1899">
        <v>4470000</v>
      </c>
      <c r="H680" s="1892"/>
    </row>
    <row r="681" spans="1:8" s="1893" customFormat="1" ht="23.25" customHeight="1" x14ac:dyDescent="0.3">
      <c r="A681" s="1891" t="s">
        <v>3114</v>
      </c>
      <c r="B681" s="1898" t="s">
        <v>2776</v>
      </c>
      <c r="C681" s="1898" t="s">
        <v>2048</v>
      </c>
      <c r="D681" s="1898" t="s">
        <v>2049</v>
      </c>
      <c r="E681" s="1898" t="s">
        <v>1862</v>
      </c>
      <c r="F681" s="1898" t="s">
        <v>1863</v>
      </c>
      <c r="G681" s="1899">
        <v>4693500</v>
      </c>
      <c r="H681" s="1892"/>
    </row>
    <row r="682" spans="1:8" s="1893" customFormat="1" ht="23.25" customHeight="1" x14ac:dyDescent="0.3">
      <c r="A682" s="1891" t="s">
        <v>3114</v>
      </c>
      <c r="B682" s="1898" t="s">
        <v>2776</v>
      </c>
      <c r="C682" s="1898" t="s">
        <v>2048</v>
      </c>
      <c r="D682" s="1898" t="s">
        <v>2049</v>
      </c>
      <c r="E682" s="1898" t="s">
        <v>1862</v>
      </c>
      <c r="F682" s="1898" t="s">
        <v>1864</v>
      </c>
      <c r="G682" s="1899">
        <v>804600</v>
      </c>
      <c r="H682" s="1892"/>
    </row>
    <row r="683" spans="1:8" s="1893" customFormat="1" ht="23.25" customHeight="1" x14ac:dyDescent="0.3">
      <c r="A683" s="1891" t="s">
        <v>3114</v>
      </c>
      <c r="B683" s="1898" t="s">
        <v>2776</v>
      </c>
      <c r="C683" s="1898" t="s">
        <v>2048</v>
      </c>
      <c r="D683" s="1898" t="s">
        <v>2049</v>
      </c>
      <c r="E683" s="1898" t="s">
        <v>1862</v>
      </c>
      <c r="F683" s="1898" t="s">
        <v>1865</v>
      </c>
      <c r="G683" s="1899">
        <v>536400</v>
      </c>
      <c r="H683" s="1892"/>
    </row>
    <row r="684" spans="1:8" s="1893" customFormat="1" ht="23.25" customHeight="1" x14ac:dyDescent="0.3">
      <c r="A684" s="1891" t="s">
        <v>3114</v>
      </c>
      <c r="B684" s="1898" t="s">
        <v>2776</v>
      </c>
      <c r="C684" s="1898" t="s">
        <v>2048</v>
      </c>
      <c r="D684" s="1898" t="s">
        <v>2049</v>
      </c>
      <c r="E684" s="1898" t="s">
        <v>1862</v>
      </c>
      <c r="F684" s="1898" t="s">
        <v>1866</v>
      </c>
      <c r="G684" s="1899">
        <v>268200</v>
      </c>
      <c r="H684" s="1892"/>
    </row>
    <row r="685" spans="1:8" s="1893" customFormat="1" ht="23.25" customHeight="1" x14ac:dyDescent="0.3">
      <c r="A685" s="1891" t="s">
        <v>3114</v>
      </c>
      <c r="B685" s="1898" t="s">
        <v>2776</v>
      </c>
      <c r="C685" s="1898" t="s">
        <v>2048</v>
      </c>
      <c r="D685" s="1898" t="s">
        <v>2049</v>
      </c>
      <c r="E685" s="1898" t="s">
        <v>1867</v>
      </c>
      <c r="F685" s="1898" t="s">
        <v>1868</v>
      </c>
      <c r="G685" s="1899">
        <v>2980495</v>
      </c>
      <c r="H685" s="1892"/>
    </row>
    <row r="686" spans="1:8" s="1893" customFormat="1" ht="23.25" customHeight="1" x14ac:dyDescent="0.3">
      <c r="A686" s="1891" t="s">
        <v>3114</v>
      </c>
      <c r="B686" s="1898" t="s">
        <v>2776</v>
      </c>
      <c r="C686" s="1898" t="s">
        <v>2048</v>
      </c>
      <c r="D686" s="1898" t="s">
        <v>2049</v>
      </c>
      <c r="E686" s="1898" t="s">
        <v>1874</v>
      </c>
      <c r="F686" s="1898" t="s">
        <v>1875</v>
      </c>
      <c r="G686" s="1899">
        <v>300000</v>
      </c>
      <c r="H686" s="1892"/>
    </row>
    <row r="687" spans="1:8" s="1893" customFormat="1" ht="23.25" customHeight="1" x14ac:dyDescent="0.3">
      <c r="A687" s="1891" t="s">
        <v>3114</v>
      </c>
      <c r="B687" s="1898" t="s">
        <v>2776</v>
      </c>
      <c r="C687" s="1898" t="s">
        <v>2048</v>
      </c>
      <c r="D687" s="1898" t="s">
        <v>2049</v>
      </c>
      <c r="E687" s="1898" t="s">
        <v>1889</v>
      </c>
      <c r="F687" s="1898" t="s">
        <v>1890</v>
      </c>
      <c r="G687" s="1899">
        <v>600000</v>
      </c>
      <c r="H687" s="1892"/>
    </row>
    <row r="688" spans="1:8" s="1893" customFormat="1" ht="23.25" customHeight="1" x14ac:dyDescent="0.3">
      <c r="A688" s="1891" t="s">
        <v>3114</v>
      </c>
      <c r="B688" s="1898" t="s">
        <v>2776</v>
      </c>
      <c r="C688" s="1898" t="s">
        <v>2048</v>
      </c>
      <c r="D688" s="1898" t="s">
        <v>2049</v>
      </c>
      <c r="E688" s="1898" t="s">
        <v>1889</v>
      </c>
      <c r="F688" s="1898" t="s">
        <v>1891</v>
      </c>
      <c r="G688" s="1899">
        <v>44700000</v>
      </c>
      <c r="H688" s="1892"/>
    </row>
    <row r="689" spans="1:8" s="1893" customFormat="1" ht="23.25" customHeight="1" x14ac:dyDescent="0.3">
      <c r="A689" s="1891" t="s">
        <v>3114</v>
      </c>
      <c r="B689" s="1898" t="s">
        <v>2776</v>
      </c>
      <c r="C689" s="1898" t="s">
        <v>2048</v>
      </c>
      <c r="D689" s="1898" t="s">
        <v>2049</v>
      </c>
      <c r="E689" s="1898" t="s">
        <v>1889</v>
      </c>
      <c r="F689" s="1898" t="s">
        <v>1892</v>
      </c>
      <c r="G689" s="1899">
        <v>2400000</v>
      </c>
      <c r="H689" s="1892"/>
    </row>
    <row r="690" spans="1:8" s="1893" customFormat="1" ht="23.25" customHeight="1" x14ac:dyDescent="0.3">
      <c r="A690" s="1891" t="s">
        <v>3114</v>
      </c>
      <c r="B690" s="1898" t="s">
        <v>2776</v>
      </c>
      <c r="C690" s="1898" t="s">
        <v>2048</v>
      </c>
      <c r="D690" s="1898" t="s">
        <v>2049</v>
      </c>
      <c r="E690" s="1898" t="s">
        <v>1889</v>
      </c>
      <c r="F690" s="1898" t="s">
        <v>1922</v>
      </c>
      <c r="G690" s="1899">
        <v>2426000</v>
      </c>
      <c r="H690" s="1892"/>
    </row>
    <row r="691" spans="1:8" s="1893" customFormat="1" ht="23.25" customHeight="1" x14ac:dyDescent="0.3">
      <c r="A691" s="1891" t="s">
        <v>3114</v>
      </c>
      <c r="B691" s="1898" t="s">
        <v>2776</v>
      </c>
      <c r="C691" s="1898" t="s">
        <v>2048</v>
      </c>
      <c r="D691" s="1898" t="s">
        <v>2049</v>
      </c>
      <c r="E691" s="1898" t="s">
        <v>1893</v>
      </c>
      <c r="F691" s="1898" t="s">
        <v>1894</v>
      </c>
      <c r="G691" s="1899">
        <v>13400000</v>
      </c>
      <c r="H691" s="1892"/>
    </row>
    <row r="692" spans="1:8" s="1893" customFormat="1" ht="23.25" customHeight="1" x14ac:dyDescent="0.3">
      <c r="A692" s="1891" t="s">
        <v>3114</v>
      </c>
      <c r="B692" s="1898" t="s">
        <v>2776</v>
      </c>
      <c r="C692" s="1898" t="s">
        <v>2048</v>
      </c>
      <c r="D692" s="1898" t="s">
        <v>2049</v>
      </c>
      <c r="E692" s="1898" t="s">
        <v>1893</v>
      </c>
      <c r="F692" s="1898" t="s">
        <v>2051</v>
      </c>
      <c r="G692" s="1899">
        <v>13770000</v>
      </c>
      <c r="H692" s="1892"/>
    </row>
    <row r="693" spans="1:8" s="1893" customFormat="1" ht="23.25" customHeight="1" x14ac:dyDescent="0.3">
      <c r="A693" s="1891" t="s">
        <v>3114</v>
      </c>
      <c r="B693" s="1898" t="s">
        <v>2776</v>
      </c>
      <c r="C693" s="1898" t="s">
        <v>2048</v>
      </c>
      <c r="D693" s="1898" t="s">
        <v>2049</v>
      </c>
      <c r="E693" s="1898" t="s">
        <v>1906</v>
      </c>
      <c r="F693" s="1898" t="s">
        <v>1907</v>
      </c>
      <c r="G693" s="1899">
        <v>1523100</v>
      </c>
      <c r="H693" s="1892"/>
    </row>
    <row r="694" spans="1:8" s="1893" customFormat="1" ht="23.25" customHeight="1" x14ac:dyDescent="0.3">
      <c r="A694" s="1891" t="s">
        <v>3114</v>
      </c>
      <c r="B694" s="1898" t="s">
        <v>2776</v>
      </c>
      <c r="C694" s="1898" t="s">
        <v>2048</v>
      </c>
      <c r="D694" s="1898" t="s">
        <v>2049</v>
      </c>
      <c r="E694" s="1898" t="s">
        <v>1906</v>
      </c>
      <c r="F694" s="1898" t="s">
        <v>1908</v>
      </c>
      <c r="G694" s="1899">
        <v>19250000</v>
      </c>
      <c r="H694" s="1892"/>
    </row>
    <row r="695" spans="1:8" s="1893" customFormat="1" ht="23.25" customHeight="1" x14ac:dyDescent="0.3">
      <c r="A695" s="1891" t="s">
        <v>3114</v>
      </c>
      <c r="B695" s="1898" t="s">
        <v>2776</v>
      </c>
      <c r="C695" s="1898" t="s">
        <v>2048</v>
      </c>
      <c r="D695" s="1898" t="s">
        <v>2049</v>
      </c>
      <c r="E695" s="1898" t="s">
        <v>1906</v>
      </c>
      <c r="F695" s="1898" t="s">
        <v>1909</v>
      </c>
      <c r="G695" s="1899">
        <v>294600000</v>
      </c>
      <c r="H695" s="1892"/>
    </row>
    <row r="696" spans="1:8" s="1893" customFormat="1" ht="23.25" customHeight="1" x14ac:dyDescent="0.3">
      <c r="A696" s="1891" t="s">
        <v>3114</v>
      </c>
      <c r="B696" s="1898" t="s">
        <v>2776</v>
      </c>
      <c r="C696" s="1898" t="s">
        <v>1972</v>
      </c>
      <c r="D696" s="1898" t="s">
        <v>2054</v>
      </c>
      <c r="E696" s="1898" t="s">
        <v>1896</v>
      </c>
      <c r="F696" s="1898" t="s">
        <v>1902</v>
      </c>
      <c r="G696" s="1899">
        <v>454332959</v>
      </c>
      <c r="H696" s="1892"/>
    </row>
    <row r="697" spans="1:8" s="1893" customFormat="1" ht="23.25" customHeight="1" x14ac:dyDescent="0.3">
      <c r="A697" s="1891" t="s">
        <v>3114</v>
      </c>
      <c r="B697" s="1898" t="s">
        <v>1826</v>
      </c>
      <c r="C697" s="1898" t="s">
        <v>1846</v>
      </c>
      <c r="D697" s="1898" t="s">
        <v>1979</v>
      </c>
      <c r="E697" s="1898" t="s">
        <v>1912</v>
      </c>
      <c r="F697" s="1898" t="s">
        <v>1916</v>
      </c>
      <c r="G697" s="1899">
        <v>7808569718</v>
      </c>
      <c r="H697" s="1892"/>
    </row>
    <row r="698" spans="1:8" s="1893" customFormat="1" ht="23.25" customHeight="1" x14ac:dyDescent="0.3">
      <c r="A698" s="1891" t="s">
        <v>3114</v>
      </c>
      <c r="B698" s="1898" t="s">
        <v>1826</v>
      </c>
      <c r="C698" s="1898" t="s">
        <v>1846</v>
      </c>
      <c r="D698" s="1898" t="s">
        <v>1979</v>
      </c>
      <c r="E698" s="1898" t="s">
        <v>2245</v>
      </c>
      <c r="F698" s="1898" t="s">
        <v>2767</v>
      </c>
      <c r="G698" s="1899">
        <v>1800000</v>
      </c>
      <c r="H698" s="1892"/>
    </row>
    <row r="699" spans="1:8" s="1893" customFormat="1" ht="23.25" customHeight="1" x14ac:dyDescent="0.3">
      <c r="A699" s="1891" t="s">
        <v>3114</v>
      </c>
      <c r="B699" s="1898" t="s">
        <v>1985</v>
      </c>
      <c r="C699" s="1898" t="s">
        <v>1846</v>
      </c>
      <c r="D699" s="1898" t="s">
        <v>1986</v>
      </c>
      <c r="E699" s="1898" t="s">
        <v>1848</v>
      </c>
      <c r="F699" s="1898" t="s">
        <v>1849</v>
      </c>
      <c r="G699" s="1899">
        <v>228211199</v>
      </c>
      <c r="H699" s="1892"/>
    </row>
    <row r="700" spans="1:8" s="1893" customFormat="1" ht="23.25" customHeight="1" x14ac:dyDescent="0.3">
      <c r="A700" s="1891" t="s">
        <v>3114</v>
      </c>
      <c r="B700" s="1898" t="s">
        <v>1985</v>
      </c>
      <c r="C700" s="1898" t="s">
        <v>1846</v>
      </c>
      <c r="D700" s="1898" t="s">
        <v>1986</v>
      </c>
      <c r="E700" s="1898" t="s">
        <v>1853</v>
      </c>
      <c r="F700" s="1898" t="s">
        <v>1854</v>
      </c>
      <c r="G700" s="1899">
        <v>9387000</v>
      </c>
      <c r="H700" s="1892"/>
    </row>
    <row r="701" spans="1:8" s="1893" customFormat="1" ht="23.25" customHeight="1" x14ac:dyDescent="0.3">
      <c r="A701" s="1891" t="s">
        <v>3114</v>
      </c>
      <c r="B701" s="1898" t="s">
        <v>1985</v>
      </c>
      <c r="C701" s="1898" t="s">
        <v>1846</v>
      </c>
      <c r="D701" s="1898" t="s">
        <v>1986</v>
      </c>
      <c r="E701" s="1898" t="s">
        <v>1853</v>
      </c>
      <c r="F701" s="1898" t="s">
        <v>1855</v>
      </c>
      <c r="G701" s="1899">
        <v>31290000</v>
      </c>
      <c r="H701" s="1892"/>
    </row>
    <row r="702" spans="1:8" s="1893" customFormat="1" ht="23.25" customHeight="1" x14ac:dyDescent="0.3">
      <c r="A702" s="1891" t="s">
        <v>3114</v>
      </c>
      <c r="B702" s="1898" t="s">
        <v>1985</v>
      </c>
      <c r="C702" s="1898" t="s">
        <v>1846</v>
      </c>
      <c r="D702" s="1898" t="s">
        <v>1986</v>
      </c>
      <c r="E702" s="1898" t="s">
        <v>1853</v>
      </c>
      <c r="F702" s="1898" t="s">
        <v>1856</v>
      </c>
      <c r="G702" s="1899">
        <v>5347740</v>
      </c>
      <c r="H702" s="1892"/>
    </row>
    <row r="703" spans="1:8" s="1893" customFormat="1" ht="23.25" customHeight="1" x14ac:dyDescent="0.3">
      <c r="A703" s="1891" t="s">
        <v>3114</v>
      </c>
      <c r="B703" s="1898" t="s">
        <v>1985</v>
      </c>
      <c r="C703" s="1898" t="s">
        <v>1846</v>
      </c>
      <c r="D703" s="1898" t="s">
        <v>1986</v>
      </c>
      <c r="E703" s="1898" t="s">
        <v>1853</v>
      </c>
      <c r="F703" s="1898" t="s">
        <v>1929</v>
      </c>
      <c r="G703" s="1899">
        <v>5095812</v>
      </c>
      <c r="H703" s="1892"/>
    </row>
    <row r="704" spans="1:8" s="1893" customFormat="1" ht="23.25" customHeight="1" x14ac:dyDescent="0.3">
      <c r="A704" s="1891" t="s">
        <v>3114</v>
      </c>
      <c r="B704" s="1898" t="s">
        <v>1985</v>
      </c>
      <c r="C704" s="1898" t="s">
        <v>1846</v>
      </c>
      <c r="D704" s="1898" t="s">
        <v>1986</v>
      </c>
      <c r="E704" s="1898" t="s">
        <v>1853</v>
      </c>
      <c r="F704" s="1898" t="s">
        <v>1977</v>
      </c>
      <c r="G704" s="1899">
        <v>73278200</v>
      </c>
      <c r="H704" s="1892"/>
    </row>
    <row r="705" spans="1:8" s="1893" customFormat="1" ht="23.25" customHeight="1" x14ac:dyDescent="0.3">
      <c r="A705" s="1891" t="s">
        <v>3114</v>
      </c>
      <c r="B705" s="1898" t="s">
        <v>1985</v>
      </c>
      <c r="C705" s="1898" t="s">
        <v>1846</v>
      </c>
      <c r="D705" s="1898" t="s">
        <v>1986</v>
      </c>
      <c r="E705" s="1898" t="s">
        <v>1853</v>
      </c>
      <c r="F705" s="1898" t="s">
        <v>1859</v>
      </c>
      <c r="G705" s="1899">
        <v>61045300</v>
      </c>
      <c r="H705" s="1892"/>
    </row>
    <row r="706" spans="1:8" s="1893" customFormat="1" ht="23.25" customHeight="1" x14ac:dyDescent="0.3">
      <c r="A706" s="1891" t="s">
        <v>3114</v>
      </c>
      <c r="B706" s="1898" t="s">
        <v>1985</v>
      </c>
      <c r="C706" s="1898" t="s">
        <v>1846</v>
      </c>
      <c r="D706" s="1898" t="s">
        <v>1986</v>
      </c>
      <c r="E706" s="1898" t="s">
        <v>1860</v>
      </c>
      <c r="F706" s="1898" t="s">
        <v>1861</v>
      </c>
      <c r="G706" s="1899">
        <v>3000000</v>
      </c>
      <c r="H706" s="1892"/>
    </row>
    <row r="707" spans="1:8" s="1893" customFormat="1" ht="23.25" customHeight="1" x14ac:dyDescent="0.3">
      <c r="A707" s="1891" t="s">
        <v>3114</v>
      </c>
      <c r="B707" s="1898" t="s">
        <v>1985</v>
      </c>
      <c r="C707" s="1898" t="s">
        <v>1846</v>
      </c>
      <c r="D707" s="1898" t="s">
        <v>1986</v>
      </c>
      <c r="E707" s="1898" t="s">
        <v>1860</v>
      </c>
      <c r="F707" s="1898" t="s">
        <v>1930</v>
      </c>
      <c r="G707" s="1899">
        <v>7200000</v>
      </c>
      <c r="H707" s="1892"/>
    </row>
    <row r="708" spans="1:8" s="1893" customFormat="1" ht="23.25" customHeight="1" x14ac:dyDescent="0.3">
      <c r="A708" s="1891" t="s">
        <v>3114</v>
      </c>
      <c r="B708" s="1898" t="s">
        <v>1985</v>
      </c>
      <c r="C708" s="1898" t="s">
        <v>1846</v>
      </c>
      <c r="D708" s="1898" t="s">
        <v>1986</v>
      </c>
      <c r="E708" s="1898" t="s">
        <v>1862</v>
      </c>
      <c r="F708" s="1898" t="s">
        <v>1863</v>
      </c>
      <c r="G708" s="1899">
        <v>42615674</v>
      </c>
      <c r="H708" s="1892"/>
    </row>
    <row r="709" spans="1:8" s="1893" customFormat="1" ht="23.25" customHeight="1" x14ac:dyDescent="0.3">
      <c r="A709" s="1891" t="s">
        <v>3114</v>
      </c>
      <c r="B709" s="1898" t="s">
        <v>1985</v>
      </c>
      <c r="C709" s="1898" t="s">
        <v>1846</v>
      </c>
      <c r="D709" s="1898" t="s">
        <v>1986</v>
      </c>
      <c r="E709" s="1898" t="s">
        <v>1862</v>
      </c>
      <c r="F709" s="1898" t="s">
        <v>1864</v>
      </c>
      <c r="G709" s="1899">
        <v>7320519</v>
      </c>
      <c r="H709" s="1892"/>
    </row>
    <row r="710" spans="1:8" s="1893" customFormat="1" ht="23.25" customHeight="1" x14ac:dyDescent="0.3">
      <c r="A710" s="1891" t="s">
        <v>3114</v>
      </c>
      <c r="B710" s="1898" t="s">
        <v>1985</v>
      </c>
      <c r="C710" s="1898" t="s">
        <v>1846</v>
      </c>
      <c r="D710" s="1898" t="s">
        <v>1986</v>
      </c>
      <c r="E710" s="1898" t="s">
        <v>1862</v>
      </c>
      <c r="F710" s="1898" t="s">
        <v>1865</v>
      </c>
      <c r="G710" s="1899">
        <v>4880000</v>
      </c>
      <c r="H710" s="1892"/>
    </row>
    <row r="711" spans="1:8" s="1893" customFormat="1" ht="23.25" customHeight="1" x14ac:dyDescent="0.3">
      <c r="A711" s="1891" t="s">
        <v>3114</v>
      </c>
      <c r="B711" s="1898" t="s">
        <v>1985</v>
      </c>
      <c r="C711" s="1898" t="s">
        <v>1846</v>
      </c>
      <c r="D711" s="1898" t="s">
        <v>1986</v>
      </c>
      <c r="E711" s="1898" t="s">
        <v>1867</v>
      </c>
      <c r="F711" s="1898" t="s">
        <v>1868</v>
      </c>
      <c r="G711" s="1899">
        <v>31850620</v>
      </c>
      <c r="H711" s="1892"/>
    </row>
    <row r="712" spans="1:8" s="1893" customFormat="1" ht="23.25" customHeight="1" x14ac:dyDescent="0.3">
      <c r="A712" s="1891" t="s">
        <v>3114</v>
      </c>
      <c r="B712" s="1898" t="s">
        <v>1985</v>
      </c>
      <c r="C712" s="1898" t="s">
        <v>1846</v>
      </c>
      <c r="D712" s="1898" t="s">
        <v>1986</v>
      </c>
      <c r="E712" s="1898" t="s">
        <v>1869</v>
      </c>
      <c r="F712" s="1898" t="s">
        <v>1870</v>
      </c>
      <c r="G712" s="1899">
        <v>2851600</v>
      </c>
      <c r="H712" s="1892"/>
    </row>
    <row r="713" spans="1:8" s="1893" customFormat="1" ht="23.25" customHeight="1" x14ac:dyDescent="0.3">
      <c r="A713" s="1891" t="s">
        <v>3114</v>
      </c>
      <c r="B713" s="1898" t="s">
        <v>1985</v>
      </c>
      <c r="C713" s="1898" t="s">
        <v>1846</v>
      </c>
      <c r="D713" s="1898" t="s">
        <v>1986</v>
      </c>
      <c r="E713" s="1898" t="s">
        <v>1869</v>
      </c>
      <c r="F713" s="1898" t="s">
        <v>1871</v>
      </c>
      <c r="G713" s="1899">
        <v>736400</v>
      </c>
      <c r="H713" s="1892"/>
    </row>
    <row r="714" spans="1:8" s="1893" customFormat="1" ht="23.25" customHeight="1" x14ac:dyDescent="0.3">
      <c r="A714" s="1891" t="s">
        <v>3114</v>
      </c>
      <c r="B714" s="1898" t="s">
        <v>1985</v>
      </c>
      <c r="C714" s="1898" t="s">
        <v>1846</v>
      </c>
      <c r="D714" s="1898" t="s">
        <v>1986</v>
      </c>
      <c r="E714" s="1898" t="s">
        <v>1869</v>
      </c>
      <c r="F714" s="1898" t="s">
        <v>1872</v>
      </c>
      <c r="G714" s="1899">
        <v>3404400</v>
      </c>
      <c r="H714" s="1892"/>
    </row>
    <row r="715" spans="1:8" s="1893" customFormat="1" ht="23.25" customHeight="1" x14ac:dyDescent="0.3">
      <c r="A715" s="1891" t="s">
        <v>3114</v>
      </c>
      <c r="B715" s="1898" t="s">
        <v>1985</v>
      </c>
      <c r="C715" s="1898" t="s">
        <v>1846</v>
      </c>
      <c r="D715" s="1898" t="s">
        <v>1986</v>
      </c>
      <c r="E715" s="1898" t="s">
        <v>1869</v>
      </c>
      <c r="F715" s="1898" t="s">
        <v>1873</v>
      </c>
      <c r="G715" s="1899">
        <v>220000</v>
      </c>
      <c r="H715" s="1892"/>
    </row>
    <row r="716" spans="1:8" s="1893" customFormat="1" ht="23.25" customHeight="1" x14ac:dyDescent="0.3">
      <c r="A716" s="1891" t="s">
        <v>3114</v>
      </c>
      <c r="B716" s="1898" t="s">
        <v>1985</v>
      </c>
      <c r="C716" s="1898" t="s">
        <v>1846</v>
      </c>
      <c r="D716" s="1898" t="s">
        <v>1986</v>
      </c>
      <c r="E716" s="1898" t="s">
        <v>1874</v>
      </c>
      <c r="F716" s="1898" t="s">
        <v>1875</v>
      </c>
      <c r="G716" s="1899">
        <v>9490000</v>
      </c>
      <c r="H716" s="1892"/>
    </row>
    <row r="717" spans="1:8" s="1893" customFormat="1" ht="23.25" customHeight="1" x14ac:dyDescent="0.3">
      <c r="A717" s="1891" t="s">
        <v>3114</v>
      </c>
      <c r="B717" s="1898" t="s">
        <v>1985</v>
      </c>
      <c r="C717" s="1898" t="s">
        <v>1846</v>
      </c>
      <c r="D717" s="1898" t="s">
        <v>1986</v>
      </c>
      <c r="E717" s="1898" t="s">
        <v>1878</v>
      </c>
      <c r="F717" s="1898" t="s">
        <v>1879</v>
      </c>
      <c r="G717" s="1899">
        <v>884300</v>
      </c>
      <c r="H717" s="1892"/>
    </row>
    <row r="718" spans="1:8" s="1893" customFormat="1" ht="23.25" customHeight="1" x14ac:dyDescent="0.3">
      <c r="A718" s="1891" t="s">
        <v>3114</v>
      </c>
      <c r="B718" s="1898" t="s">
        <v>1985</v>
      </c>
      <c r="C718" s="1898" t="s">
        <v>1846</v>
      </c>
      <c r="D718" s="1898" t="s">
        <v>1986</v>
      </c>
      <c r="E718" s="1898" t="s">
        <v>1878</v>
      </c>
      <c r="F718" s="1898" t="s">
        <v>1880</v>
      </c>
      <c r="G718" s="1899">
        <v>3800000</v>
      </c>
      <c r="H718" s="1892"/>
    </row>
    <row r="719" spans="1:8" s="1893" customFormat="1" ht="23.25" customHeight="1" x14ac:dyDescent="0.3">
      <c r="A719" s="1891" t="s">
        <v>3114</v>
      </c>
      <c r="B719" s="1898" t="s">
        <v>1985</v>
      </c>
      <c r="C719" s="1898" t="s">
        <v>1846</v>
      </c>
      <c r="D719" s="1898" t="s">
        <v>1986</v>
      </c>
      <c r="E719" s="1898" t="s">
        <v>1878</v>
      </c>
      <c r="F719" s="1898" t="s">
        <v>1881</v>
      </c>
      <c r="G719" s="1899">
        <v>2640000</v>
      </c>
      <c r="H719" s="1892"/>
    </row>
    <row r="720" spans="1:8" s="1893" customFormat="1" ht="23.25" customHeight="1" x14ac:dyDescent="0.3">
      <c r="A720" s="1891" t="s">
        <v>3114</v>
      </c>
      <c r="B720" s="1898" t="s">
        <v>1985</v>
      </c>
      <c r="C720" s="1898" t="s">
        <v>1846</v>
      </c>
      <c r="D720" s="1898" t="s">
        <v>1986</v>
      </c>
      <c r="E720" s="1898" t="s">
        <v>1878</v>
      </c>
      <c r="F720" s="1898" t="s">
        <v>1882</v>
      </c>
      <c r="G720" s="1899">
        <v>3350000</v>
      </c>
      <c r="H720" s="1892"/>
    </row>
    <row r="721" spans="1:8" s="1893" customFormat="1" ht="23.25" customHeight="1" x14ac:dyDescent="0.3">
      <c r="A721" s="1891" t="s">
        <v>3114</v>
      </c>
      <c r="B721" s="1898" t="s">
        <v>1985</v>
      </c>
      <c r="C721" s="1898" t="s">
        <v>1846</v>
      </c>
      <c r="D721" s="1898" t="s">
        <v>1986</v>
      </c>
      <c r="E721" s="1898" t="s">
        <v>1878</v>
      </c>
      <c r="F721" s="1898" t="s">
        <v>1883</v>
      </c>
      <c r="G721" s="1899">
        <v>338000</v>
      </c>
      <c r="H721" s="1892"/>
    </row>
    <row r="722" spans="1:8" s="1893" customFormat="1" ht="23.25" customHeight="1" x14ac:dyDescent="0.3">
      <c r="A722" s="1891" t="s">
        <v>3114</v>
      </c>
      <c r="B722" s="1898" t="s">
        <v>1985</v>
      </c>
      <c r="C722" s="1898" t="s">
        <v>1846</v>
      </c>
      <c r="D722" s="1898" t="s">
        <v>1986</v>
      </c>
      <c r="E722" s="1898" t="s">
        <v>1885</v>
      </c>
      <c r="F722" s="1898" t="s">
        <v>1925</v>
      </c>
      <c r="G722" s="1899">
        <v>5917500</v>
      </c>
      <c r="H722" s="1892"/>
    </row>
    <row r="723" spans="1:8" s="1893" customFormat="1" ht="23.25" customHeight="1" x14ac:dyDescent="0.3">
      <c r="A723" s="1891" t="s">
        <v>3114</v>
      </c>
      <c r="B723" s="1898" t="s">
        <v>1985</v>
      </c>
      <c r="C723" s="1898" t="s">
        <v>1846</v>
      </c>
      <c r="D723" s="1898" t="s">
        <v>1986</v>
      </c>
      <c r="E723" s="1898" t="s">
        <v>1885</v>
      </c>
      <c r="F723" s="1898" t="s">
        <v>1886</v>
      </c>
      <c r="G723" s="1899">
        <v>3100000</v>
      </c>
      <c r="H723" s="1892"/>
    </row>
    <row r="724" spans="1:8" s="1893" customFormat="1" ht="23.25" customHeight="1" x14ac:dyDescent="0.3">
      <c r="A724" s="1891" t="s">
        <v>3114</v>
      </c>
      <c r="B724" s="1898" t="s">
        <v>1985</v>
      </c>
      <c r="C724" s="1898" t="s">
        <v>1846</v>
      </c>
      <c r="D724" s="1898" t="s">
        <v>1986</v>
      </c>
      <c r="E724" s="1898" t="s">
        <v>1885</v>
      </c>
      <c r="F724" s="1898" t="s">
        <v>1887</v>
      </c>
      <c r="G724" s="1899">
        <v>37725000</v>
      </c>
      <c r="H724" s="1892"/>
    </row>
    <row r="725" spans="1:8" s="1893" customFormat="1" ht="23.25" customHeight="1" x14ac:dyDescent="0.3">
      <c r="A725" s="1891" t="s">
        <v>3114</v>
      </c>
      <c r="B725" s="1898" t="s">
        <v>1985</v>
      </c>
      <c r="C725" s="1898" t="s">
        <v>1846</v>
      </c>
      <c r="D725" s="1898" t="s">
        <v>1986</v>
      </c>
      <c r="E725" s="1898" t="s">
        <v>1885</v>
      </c>
      <c r="F725" s="1898" t="s">
        <v>1888</v>
      </c>
      <c r="G725" s="1899">
        <v>3753000</v>
      </c>
      <c r="H725" s="1892"/>
    </row>
    <row r="726" spans="1:8" s="1893" customFormat="1" ht="23.25" customHeight="1" x14ac:dyDescent="0.3">
      <c r="A726" s="1891" t="s">
        <v>3114</v>
      </c>
      <c r="B726" s="1898" t="s">
        <v>1985</v>
      </c>
      <c r="C726" s="1898" t="s">
        <v>1846</v>
      </c>
      <c r="D726" s="1898" t="s">
        <v>1986</v>
      </c>
      <c r="E726" s="1898" t="s">
        <v>1889</v>
      </c>
      <c r="F726" s="1898" t="s">
        <v>1890</v>
      </c>
      <c r="G726" s="1899">
        <v>18000000</v>
      </c>
      <c r="H726" s="1892"/>
    </row>
    <row r="727" spans="1:8" s="1893" customFormat="1" ht="23.25" customHeight="1" x14ac:dyDescent="0.3">
      <c r="A727" s="1891" t="s">
        <v>3114</v>
      </c>
      <c r="B727" s="1898" t="s">
        <v>1985</v>
      </c>
      <c r="C727" s="1898" t="s">
        <v>1846</v>
      </c>
      <c r="D727" s="1898" t="s">
        <v>1986</v>
      </c>
      <c r="E727" s="1898" t="s">
        <v>1889</v>
      </c>
      <c r="F727" s="1898" t="s">
        <v>1922</v>
      </c>
      <c r="G727" s="1899">
        <v>505436</v>
      </c>
      <c r="H727" s="1892"/>
    </row>
    <row r="728" spans="1:8" s="1893" customFormat="1" ht="23.25" customHeight="1" x14ac:dyDescent="0.3">
      <c r="A728" s="1891" t="s">
        <v>3114</v>
      </c>
      <c r="B728" s="1898" t="s">
        <v>1985</v>
      </c>
      <c r="C728" s="1898" t="s">
        <v>1846</v>
      </c>
      <c r="D728" s="1898" t="s">
        <v>1986</v>
      </c>
      <c r="E728" s="1898" t="s">
        <v>1893</v>
      </c>
      <c r="F728" s="1898" t="s">
        <v>1894</v>
      </c>
      <c r="G728" s="1899">
        <v>8850000</v>
      </c>
      <c r="H728" s="1892"/>
    </row>
    <row r="729" spans="1:8" s="1893" customFormat="1" ht="23.25" customHeight="1" x14ac:dyDescent="0.3">
      <c r="A729" s="1891" t="s">
        <v>3114</v>
      </c>
      <c r="B729" s="1898" t="s">
        <v>1985</v>
      </c>
      <c r="C729" s="1898" t="s">
        <v>1846</v>
      </c>
      <c r="D729" s="1898" t="s">
        <v>1986</v>
      </c>
      <c r="E729" s="1898" t="s">
        <v>1893</v>
      </c>
      <c r="F729" s="1898" t="s">
        <v>2051</v>
      </c>
      <c r="G729" s="1899">
        <v>2600000</v>
      </c>
      <c r="H729" s="1892"/>
    </row>
    <row r="730" spans="1:8" s="1893" customFormat="1" ht="23.25" customHeight="1" x14ac:dyDescent="0.3">
      <c r="A730" s="1891" t="s">
        <v>3114</v>
      </c>
      <c r="B730" s="1898" t="s">
        <v>1985</v>
      </c>
      <c r="C730" s="1898" t="s">
        <v>1846</v>
      </c>
      <c r="D730" s="1898" t="s">
        <v>1986</v>
      </c>
      <c r="E730" s="1898" t="s">
        <v>1896</v>
      </c>
      <c r="F730" s="1898" t="s">
        <v>1900</v>
      </c>
      <c r="G730" s="1899">
        <v>16280000</v>
      </c>
      <c r="H730" s="1892"/>
    </row>
    <row r="731" spans="1:8" s="1893" customFormat="1" ht="23.25" customHeight="1" x14ac:dyDescent="0.3">
      <c r="A731" s="1891" t="s">
        <v>3114</v>
      </c>
      <c r="B731" s="1898" t="s">
        <v>1985</v>
      </c>
      <c r="C731" s="1898" t="s">
        <v>1846</v>
      </c>
      <c r="D731" s="1898" t="s">
        <v>1986</v>
      </c>
      <c r="E731" s="1898" t="s">
        <v>1906</v>
      </c>
      <c r="F731" s="1898" t="s">
        <v>1907</v>
      </c>
      <c r="G731" s="1899">
        <v>2400000</v>
      </c>
      <c r="H731" s="1892"/>
    </row>
    <row r="732" spans="1:8" s="1893" customFormat="1" ht="23.25" customHeight="1" x14ac:dyDescent="0.3">
      <c r="A732" s="1891" t="s">
        <v>3114</v>
      </c>
      <c r="B732" s="1898" t="s">
        <v>1985</v>
      </c>
      <c r="C732" s="1898" t="s">
        <v>1846</v>
      </c>
      <c r="D732" s="1898" t="s">
        <v>1986</v>
      </c>
      <c r="E732" s="1898" t="s">
        <v>1906</v>
      </c>
      <c r="F732" s="1898" t="s">
        <v>1909</v>
      </c>
      <c r="G732" s="1899">
        <v>24539800</v>
      </c>
      <c r="H732" s="1892"/>
    </row>
    <row r="733" spans="1:8" s="1893" customFormat="1" ht="23.25" customHeight="1" x14ac:dyDescent="0.3">
      <c r="A733" s="1891" t="s">
        <v>3114</v>
      </c>
      <c r="B733" s="1898" t="s">
        <v>1985</v>
      </c>
      <c r="C733" s="1898" t="s">
        <v>1846</v>
      </c>
      <c r="D733" s="1898" t="s">
        <v>1986</v>
      </c>
      <c r="E733" s="1898" t="s">
        <v>1912</v>
      </c>
      <c r="F733" s="1898" t="s">
        <v>1913</v>
      </c>
      <c r="G733" s="1899">
        <v>600000</v>
      </c>
      <c r="H733" s="1892"/>
    </row>
    <row r="734" spans="1:8" s="1893" customFormat="1" ht="23.25" customHeight="1" x14ac:dyDescent="0.3">
      <c r="A734" s="1891" t="s">
        <v>3114</v>
      </c>
      <c r="B734" s="1898" t="s">
        <v>1985</v>
      </c>
      <c r="C734" s="1898" t="s">
        <v>1846</v>
      </c>
      <c r="D734" s="1898" t="s">
        <v>1986</v>
      </c>
      <c r="E734" s="1898" t="s">
        <v>1912</v>
      </c>
      <c r="F734" s="1898" t="s">
        <v>1915</v>
      </c>
      <c r="G734" s="1899">
        <v>42320000</v>
      </c>
      <c r="H734" s="1892"/>
    </row>
    <row r="735" spans="1:8" s="1893" customFormat="1" ht="23.25" customHeight="1" x14ac:dyDescent="0.3">
      <c r="A735" s="1891" t="s">
        <v>3114</v>
      </c>
      <c r="B735" s="1898" t="s">
        <v>1985</v>
      </c>
      <c r="C735" s="1898" t="s">
        <v>1846</v>
      </c>
      <c r="D735" s="1898" t="s">
        <v>1986</v>
      </c>
      <c r="E735" s="1898" t="s">
        <v>1912</v>
      </c>
      <c r="F735" s="1898" t="s">
        <v>1916</v>
      </c>
      <c r="G735" s="1899">
        <v>25936000</v>
      </c>
      <c r="H735" s="1892"/>
    </row>
    <row r="736" spans="1:8" s="1893" customFormat="1" ht="23.25" customHeight="1" x14ac:dyDescent="0.3">
      <c r="A736" s="1891" t="s">
        <v>3114</v>
      </c>
      <c r="B736" s="1898" t="s">
        <v>1985</v>
      </c>
      <c r="C736" s="1898" t="s">
        <v>1846</v>
      </c>
      <c r="D736" s="1898" t="s">
        <v>1986</v>
      </c>
      <c r="E736" s="1898" t="s">
        <v>2245</v>
      </c>
      <c r="F736" s="1898" t="s">
        <v>2767</v>
      </c>
      <c r="G736" s="1899">
        <v>84985000</v>
      </c>
      <c r="H736" s="1892"/>
    </row>
    <row r="737" spans="1:8" s="1893" customFormat="1" ht="23.25" customHeight="1" x14ac:dyDescent="0.3">
      <c r="A737" s="1891" t="s">
        <v>3114</v>
      </c>
      <c r="B737" s="1898" t="s">
        <v>1987</v>
      </c>
      <c r="C737" s="1898" t="s">
        <v>1846</v>
      </c>
      <c r="D737" s="1898" t="s">
        <v>1986</v>
      </c>
      <c r="E737" s="1898" t="s">
        <v>1848</v>
      </c>
      <c r="F737" s="1898" t="s">
        <v>1849</v>
      </c>
      <c r="G737" s="1899">
        <v>200792397</v>
      </c>
      <c r="H737" s="1892"/>
    </row>
    <row r="738" spans="1:8" s="1893" customFormat="1" ht="23.25" customHeight="1" x14ac:dyDescent="0.3">
      <c r="A738" s="1891" t="s">
        <v>3114</v>
      </c>
      <c r="B738" s="1898" t="s">
        <v>1987</v>
      </c>
      <c r="C738" s="1898" t="s">
        <v>1846</v>
      </c>
      <c r="D738" s="1898" t="s">
        <v>1986</v>
      </c>
      <c r="E738" s="1898" t="s">
        <v>1853</v>
      </c>
      <c r="F738" s="1898" t="s">
        <v>1854</v>
      </c>
      <c r="G738" s="1899">
        <v>8046012</v>
      </c>
      <c r="H738" s="1892"/>
    </row>
    <row r="739" spans="1:8" s="1893" customFormat="1" ht="23.25" customHeight="1" x14ac:dyDescent="0.3">
      <c r="A739" s="1891" t="s">
        <v>3114</v>
      </c>
      <c r="B739" s="1898" t="s">
        <v>1987</v>
      </c>
      <c r="C739" s="1898" t="s">
        <v>1846</v>
      </c>
      <c r="D739" s="1898" t="s">
        <v>1986</v>
      </c>
      <c r="E739" s="1898" t="s">
        <v>1853</v>
      </c>
      <c r="F739" s="1898" t="s">
        <v>1855</v>
      </c>
      <c r="G739" s="1899">
        <v>35760000</v>
      </c>
      <c r="H739" s="1892"/>
    </row>
    <row r="740" spans="1:8" s="1893" customFormat="1" ht="23.25" customHeight="1" x14ac:dyDescent="0.3">
      <c r="A740" s="1891" t="s">
        <v>3114</v>
      </c>
      <c r="B740" s="1898" t="s">
        <v>1987</v>
      </c>
      <c r="C740" s="1898" t="s">
        <v>1846</v>
      </c>
      <c r="D740" s="1898" t="s">
        <v>1986</v>
      </c>
      <c r="E740" s="1898" t="s">
        <v>1853</v>
      </c>
      <c r="F740" s="1898" t="s">
        <v>1856</v>
      </c>
      <c r="G740" s="1899">
        <v>8341472</v>
      </c>
      <c r="H740" s="1892"/>
    </row>
    <row r="741" spans="1:8" s="1893" customFormat="1" ht="23.25" customHeight="1" x14ac:dyDescent="0.3">
      <c r="A741" s="1891" t="s">
        <v>3114</v>
      </c>
      <c r="B741" s="1898" t="s">
        <v>1987</v>
      </c>
      <c r="C741" s="1898" t="s">
        <v>1846</v>
      </c>
      <c r="D741" s="1898" t="s">
        <v>1986</v>
      </c>
      <c r="E741" s="1898" t="s">
        <v>1853</v>
      </c>
      <c r="F741" s="1898" t="s">
        <v>1858</v>
      </c>
      <c r="G741" s="1899">
        <v>4023000</v>
      </c>
      <c r="H741" s="1892"/>
    </row>
    <row r="742" spans="1:8" s="1893" customFormat="1" ht="23.25" customHeight="1" x14ac:dyDescent="0.3">
      <c r="A742" s="1891" t="s">
        <v>3114</v>
      </c>
      <c r="B742" s="1898" t="s">
        <v>1987</v>
      </c>
      <c r="C742" s="1898" t="s">
        <v>1846</v>
      </c>
      <c r="D742" s="1898" t="s">
        <v>1986</v>
      </c>
      <c r="E742" s="1898" t="s">
        <v>1853</v>
      </c>
      <c r="F742" s="1898" t="s">
        <v>1977</v>
      </c>
      <c r="G742" s="1899">
        <v>62681320</v>
      </c>
      <c r="H742" s="1892"/>
    </row>
    <row r="743" spans="1:8" s="1893" customFormat="1" ht="23.25" customHeight="1" x14ac:dyDescent="0.3">
      <c r="A743" s="1891" t="s">
        <v>3114</v>
      </c>
      <c r="B743" s="1898" t="s">
        <v>1987</v>
      </c>
      <c r="C743" s="1898" t="s">
        <v>1846</v>
      </c>
      <c r="D743" s="1898" t="s">
        <v>1986</v>
      </c>
      <c r="E743" s="1898" t="s">
        <v>1853</v>
      </c>
      <c r="F743" s="1898" t="s">
        <v>1859</v>
      </c>
      <c r="G743" s="1899">
        <v>52322840</v>
      </c>
      <c r="H743" s="1892"/>
    </row>
    <row r="744" spans="1:8" s="1893" customFormat="1" ht="23.25" customHeight="1" x14ac:dyDescent="0.3">
      <c r="A744" s="1891" t="s">
        <v>3114</v>
      </c>
      <c r="B744" s="1898" t="s">
        <v>1987</v>
      </c>
      <c r="C744" s="1898" t="s">
        <v>1846</v>
      </c>
      <c r="D744" s="1898" t="s">
        <v>1986</v>
      </c>
      <c r="E744" s="1898" t="s">
        <v>1860</v>
      </c>
      <c r="F744" s="1898" t="s">
        <v>1861</v>
      </c>
      <c r="G744" s="1899">
        <v>3590000</v>
      </c>
      <c r="H744" s="1892"/>
    </row>
    <row r="745" spans="1:8" s="1893" customFormat="1" ht="23.25" customHeight="1" x14ac:dyDescent="0.3">
      <c r="A745" s="1891" t="s">
        <v>3114</v>
      </c>
      <c r="B745" s="1898" t="s">
        <v>1987</v>
      </c>
      <c r="C745" s="1898" t="s">
        <v>1846</v>
      </c>
      <c r="D745" s="1898" t="s">
        <v>1986</v>
      </c>
      <c r="E745" s="1898" t="s">
        <v>1860</v>
      </c>
      <c r="F745" s="1898" t="s">
        <v>1930</v>
      </c>
      <c r="G745" s="1899">
        <v>24500000</v>
      </c>
      <c r="H745" s="1892"/>
    </row>
    <row r="746" spans="1:8" s="1893" customFormat="1" ht="23.25" customHeight="1" x14ac:dyDescent="0.3">
      <c r="A746" s="1891" t="s">
        <v>3114</v>
      </c>
      <c r="B746" s="1898" t="s">
        <v>1987</v>
      </c>
      <c r="C746" s="1898" t="s">
        <v>1846</v>
      </c>
      <c r="D746" s="1898" t="s">
        <v>1986</v>
      </c>
      <c r="E746" s="1898" t="s">
        <v>1862</v>
      </c>
      <c r="F746" s="1898" t="s">
        <v>1863</v>
      </c>
      <c r="G746" s="1899">
        <v>36465363</v>
      </c>
      <c r="H746" s="1892"/>
    </row>
    <row r="747" spans="1:8" s="1893" customFormat="1" ht="23.25" customHeight="1" x14ac:dyDescent="0.3">
      <c r="A747" s="1891" t="s">
        <v>3114</v>
      </c>
      <c r="B747" s="1898" t="s">
        <v>1987</v>
      </c>
      <c r="C747" s="1898" t="s">
        <v>1846</v>
      </c>
      <c r="D747" s="1898" t="s">
        <v>1986</v>
      </c>
      <c r="E747" s="1898" t="s">
        <v>1862</v>
      </c>
      <c r="F747" s="1898" t="s">
        <v>1864</v>
      </c>
      <c r="G747" s="1899">
        <v>6265152</v>
      </c>
      <c r="H747" s="1892"/>
    </row>
    <row r="748" spans="1:8" s="1893" customFormat="1" ht="23.25" customHeight="1" x14ac:dyDescent="0.3">
      <c r="A748" s="1891" t="s">
        <v>3114</v>
      </c>
      <c r="B748" s="1898" t="s">
        <v>1987</v>
      </c>
      <c r="C748" s="1898" t="s">
        <v>1846</v>
      </c>
      <c r="D748" s="1898" t="s">
        <v>1986</v>
      </c>
      <c r="E748" s="1898" t="s">
        <v>1862</v>
      </c>
      <c r="F748" s="1898" t="s">
        <v>1865</v>
      </c>
      <c r="G748" s="1899">
        <v>4137100</v>
      </c>
      <c r="H748" s="1892"/>
    </row>
    <row r="749" spans="1:8" s="1893" customFormat="1" ht="23.25" customHeight="1" x14ac:dyDescent="0.3">
      <c r="A749" s="1891" t="s">
        <v>3114</v>
      </c>
      <c r="B749" s="1898" t="s">
        <v>1987</v>
      </c>
      <c r="C749" s="1898" t="s">
        <v>1846</v>
      </c>
      <c r="D749" s="1898" t="s">
        <v>1986</v>
      </c>
      <c r="E749" s="1898" t="s">
        <v>1869</v>
      </c>
      <c r="F749" s="1898" t="s">
        <v>1870</v>
      </c>
      <c r="G749" s="1899">
        <v>3106900</v>
      </c>
      <c r="H749" s="1892"/>
    </row>
    <row r="750" spans="1:8" s="1893" customFormat="1" ht="23.25" customHeight="1" x14ac:dyDescent="0.3">
      <c r="A750" s="1891" t="s">
        <v>3114</v>
      </c>
      <c r="B750" s="1898" t="s">
        <v>1987</v>
      </c>
      <c r="C750" s="1898" t="s">
        <v>1846</v>
      </c>
      <c r="D750" s="1898" t="s">
        <v>1986</v>
      </c>
      <c r="E750" s="1898" t="s">
        <v>1869</v>
      </c>
      <c r="F750" s="1898" t="s">
        <v>1871</v>
      </c>
      <c r="G750" s="1899">
        <v>431800</v>
      </c>
      <c r="H750" s="1892"/>
    </row>
    <row r="751" spans="1:8" s="1893" customFormat="1" ht="23.25" customHeight="1" x14ac:dyDescent="0.3">
      <c r="A751" s="1891" t="s">
        <v>3114</v>
      </c>
      <c r="B751" s="1898" t="s">
        <v>1987</v>
      </c>
      <c r="C751" s="1898" t="s">
        <v>1846</v>
      </c>
      <c r="D751" s="1898" t="s">
        <v>1986</v>
      </c>
      <c r="E751" s="1898" t="s">
        <v>1869</v>
      </c>
      <c r="F751" s="1898" t="s">
        <v>1873</v>
      </c>
      <c r="G751" s="1899">
        <v>220000</v>
      </c>
      <c r="H751" s="1892"/>
    </row>
    <row r="752" spans="1:8" s="1893" customFormat="1" ht="23.25" customHeight="1" x14ac:dyDescent="0.3">
      <c r="A752" s="1891" t="s">
        <v>3114</v>
      </c>
      <c r="B752" s="1898" t="s">
        <v>1987</v>
      </c>
      <c r="C752" s="1898" t="s">
        <v>1846</v>
      </c>
      <c r="D752" s="1898" t="s">
        <v>1986</v>
      </c>
      <c r="E752" s="1898" t="s">
        <v>1874</v>
      </c>
      <c r="F752" s="1898" t="s">
        <v>1876</v>
      </c>
      <c r="G752" s="1899">
        <v>4700000</v>
      </c>
      <c r="H752" s="1892"/>
    </row>
    <row r="753" spans="1:8" s="1893" customFormat="1" ht="23.25" customHeight="1" x14ac:dyDescent="0.3">
      <c r="A753" s="1891" t="s">
        <v>3114</v>
      </c>
      <c r="B753" s="1898" t="s">
        <v>1987</v>
      </c>
      <c r="C753" s="1898" t="s">
        <v>1846</v>
      </c>
      <c r="D753" s="1898" t="s">
        <v>1986</v>
      </c>
      <c r="E753" s="1898" t="s">
        <v>1878</v>
      </c>
      <c r="F753" s="1898" t="s">
        <v>1879</v>
      </c>
      <c r="G753" s="1899">
        <v>528000</v>
      </c>
      <c r="H753" s="1892"/>
    </row>
    <row r="754" spans="1:8" s="1893" customFormat="1" ht="23.25" customHeight="1" x14ac:dyDescent="0.3">
      <c r="A754" s="1891" t="s">
        <v>3114</v>
      </c>
      <c r="B754" s="1898" t="s">
        <v>1987</v>
      </c>
      <c r="C754" s="1898" t="s">
        <v>1846</v>
      </c>
      <c r="D754" s="1898" t="s">
        <v>1986</v>
      </c>
      <c r="E754" s="1898" t="s">
        <v>1878</v>
      </c>
      <c r="F754" s="1898" t="s">
        <v>1881</v>
      </c>
      <c r="G754" s="1899">
        <v>2640000</v>
      </c>
      <c r="H754" s="1892"/>
    </row>
    <row r="755" spans="1:8" s="1893" customFormat="1" ht="23.25" customHeight="1" x14ac:dyDescent="0.3">
      <c r="A755" s="1891" t="s">
        <v>3114</v>
      </c>
      <c r="B755" s="1898" t="s">
        <v>1987</v>
      </c>
      <c r="C755" s="1898" t="s">
        <v>1846</v>
      </c>
      <c r="D755" s="1898" t="s">
        <v>1986</v>
      </c>
      <c r="E755" s="1898" t="s">
        <v>1878</v>
      </c>
      <c r="F755" s="1898" t="s">
        <v>1882</v>
      </c>
      <c r="G755" s="1899">
        <v>1200000</v>
      </c>
      <c r="H755" s="1892"/>
    </row>
    <row r="756" spans="1:8" s="1893" customFormat="1" ht="23.25" customHeight="1" x14ac:dyDescent="0.3">
      <c r="A756" s="1891" t="s">
        <v>3114</v>
      </c>
      <c r="B756" s="1898" t="s">
        <v>1987</v>
      </c>
      <c r="C756" s="1898" t="s">
        <v>1846</v>
      </c>
      <c r="D756" s="1898" t="s">
        <v>1986</v>
      </c>
      <c r="E756" s="1898" t="s">
        <v>1885</v>
      </c>
      <c r="F756" s="1898" t="s">
        <v>1925</v>
      </c>
      <c r="G756" s="1899">
        <v>1000000</v>
      </c>
      <c r="H756" s="1892"/>
    </row>
    <row r="757" spans="1:8" s="1893" customFormat="1" ht="23.25" customHeight="1" x14ac:dyDescent="0.3">
      <c r="A757" s="1891" t="s">
        <v>3114</v>
      </c>
      <c r="B757" s="1898" t="s">
        <v>1987</v>
      </c>
      <c r="C757" s="1898" t="s">
        <v>1846</v>
      </c>
      <c r="D757" s="1898" t="s">
        <v>1986</v>
      </c>
      <c r="E757" s="1898" t="s">
        <v>1885</v>
      </c>
      <c r="F757" s="1898" t="s">
        <v>1926</v>
      </c>
      <c r="G757" s="1899">
        <v>3500000</v>
      </c>
      <c r="H757" s="1892"/>
    </row>
    <row r="758" spans="1:8" s="1893" customFormat="1" ht="23.25" customHeight="1" x14ac:dyDescent="0.3">
      <c r="A758" s="1891" t="s">
        <v>3114</v>
      </c>
      <c r="B758" s="1898" t="s">
        <v>1987</v>
      </c>
      <c r="C758" s="1898" t="s">
        <v>1846</v>
      </c>
      <c r="D758" s="1898" t="s">
        <v>1986</v>
      </c>
      <c r="E758" s="1898" t="s">
        <v>1885</v>
      </c>
      <c r="F758" s="1898" t="s">
        <v>1887</v>
      </c>
      <c r="G758" s="1899">
        <v>32700000</v>
      </c>
      <c r="H758" s="1892"/>
    </row>
    <row r="759" spans="1:8" s="1893" customFormat="1" ht="23.25" customHeight="1" x14ac:dyDescent="0.3">
      <c r="A759" s="1891" t="s">
        <v>3114</v>
      </c>
      <c r="B759" s="1898" t="s">
        <v>1987</v>
      </c>
      <c r="C759" s="1898" t="s">
        <v>1846</v>
      </c>
      <c r="D759" s="1898" t="s">
        <v>1986</v>
      </c>
      <c r="E759" s="1898" t="s">
        <v>1885</v>
      </c>
      <c r="F759" s="1898" t="s">
        <v>1888</v>
      </c>
      <c r="G759" s="1899">
        <v>40805000</v>
      </c>
      <c r="H759" s="1892"/>
    </row>
    <row r="760" spans="1:8" s="1893" customFormat="1" ht="23.25" customHeight="1" x14ac:dyDescent="0.3">
      <c r="A760" s="1891" t="s">
        <v>3114</v>
      </c>
      <c r="B760" s="1898" t="s">
        <v>1987</v>
      </c>
      <c r="C760" s="1898" t="s">
        <v>1846</v>
      </c>
      <c r="D760" s="1898" t="s">
        <v>1986</v>
      </c>
      <c r="E760" s="1898" t="s">
        <v>1889</v>
      </c>
      <c r="F760" s="1898" t="s">
        <v>1890</v>
      </c>
      <c r="G760" s="1899">
        <v>11100000</v>
      </c>
      <c r="H760" s="1892"/>
    </row>
    <row r="761" spans="1:8" s="1893" customFormat="1" ht="23.25" customHeight="1" x14ac:dyDescent="0.3">
      <c r="A761" s="1891" t="s">
        <v>3114</v>
      </c>
      <c r="B761" s="1898" t="s">
        <v>1987</v>
      </c>
      <c r="C761" s="1898" t="s">
        <v>1846</v>
      </c>
      <c r="D761" s="1898" t="s">
        <v>1986</v>
      </c>
      <c r="E761" s="1898" t="s">
        <v>1889</v>
      </c>
      <c r="F761" s="1898" t="s">
        <v>1891</v>
      </c>
      <c r="G761" s="1899">
        <v>17850000</v>
      </c>
      <c r="H761" s="1892"/>
    </row>
    <row r="762" spans="1:8" s="1893" customFormat="1" ht="23.25" customHeight="1" x14ac:dyDescent="0.3">
      <c r="A762" s="1891" t="s">
        <v>3114</v>
      </c>
      <c r="B762" s="1898" t="s">
        <v>1987</v>
      </c>
      <c r="C762" s="1898" t="s">
        <v>1846</v>
      </c>
      <c r="D762" s="1898" t="s">
        <v>1986</v>
      </c>
      <c r="E762" s="1898" t="s">
        <v>1889</v>
      </c>
      <c r="F762" s="1898" t="s">
        <v>1922</v>
      </c>
      <c r="G762" s="1899">
        <v>3193644</v>
      </c>
      <c r="H762" s="1892"/>
    </row>
    <row r="763" spans="1:8" s="1893" customFormat="1" ht="23.25" customHeight="1" x14ac:dyDescent="0.3">
      <c r="A763" s="1891" t="s">
        <v>3114</v>
      </c>
      <c r="B763" s="1898" t="s">
        <v>1987</v>
      </c>
      <c r="C763" s="1898" t="s">
        <v>1846</v>
      </c>
      <c r="D763" s="1898" t="s">
        <v>1986</v>
      </c>
      <c r="E763" s="1898" t="s">
        <v>1893</v>
      </c>
      <c r="F763" s="1898" t="s">
        <v>1894</v>
      </c>
      <c r="G763" s="1899">
        <v>7500000</v>
      </c>
      <c r="H763" s="1892"/>
    </row>
    <row r="764" spans="1:8" s="1893" customFormat="1" ht="23.25" customHeight="1" x14ac:dyDescent="0.3">
      <c r="A764" s="1891" t="s">
        <v>3114</v>
      </c>
      <c r="B764" s="1898" t="s">
        <v>1987</v>
      </c>
      <c r="C764" s="1898" t="s">
        <v>1846</v>
      </c>
      <c r="D764" s="1898" t="s">
        <v>1986</v>
      </c>
      <c r="E764" s="1898" t="s">
        <v>1893</v>
      </c>
      <c r="F764" s="1898" t="s">
        <v>2051</v>
      </c>
      <c r="G764" s="1899">
        <v>2600000</v>
      </c>
      <c r="H764" s="1892"/>
    </row>
    <row r="765" spans="1:8" s="1893" customFormat="1" ht="23.25" customHeight="1" x14ac:dyDescent="0.3">
      <c r="A765" s="1891" t="s">
        <v>3114</v>
      </c>
      <c r="B765" s="1898" t="s">
        <v>1987</v>
      </c>
      <c r="C765" s="1898" t="s">
        <v>1846</v>
      </c>
      <c r="D765" s="1898" t="s">
        <v>1986</v>
      </c>
      <c r="E765" s="1898" t="s">
        <v>1893</v>
      </c>
      <c r="F765" s="1898" t="s">
        <v>1895</v>
      </c>
      <c r="G765" s="1899">
        <v>14430000</v>
      </c>
      <c r="H765" s="1892"/>
    </row>
    <row r="766" spans="1:8" s="1893" customFormat="1" ht="23.25" customHeight="1" x14ac:dyDescent="0.3">
      <c r="A766" s="1891" t="s">
        <v>3114</v>
      </c>
      <c r="B766" s="1898" t="s">
        <v>1987</v>
      </c>
      <c r="C766" s="1898" t="s">
        <v>1846</v>
      </c>
      <c r="D766" s="1898" t="s">
        <v>1986</v>
      </c>
      <c r="E766" s="1898" t="s">
        <v>1896</v>
      </c>
      <c r="F766" s="1898" t="s">
        <v>1902</v>
      </c>
      <c r="G766" s="1899">
        <v>167118812</v>
      </c>
      <c r="H766" s="1892"/>
    </row>
    <row r="767" spans="1:8" s="1893" customFormat="1" ht="23.25" customHeight="1" x14ac:dyDescent="0.3">
      <c r="A767" s="1891" t="s">
        <v>3114</v>
      </c>
      <c r="B767" s="1898" t="s">
        <v>1987</v>
      </c>
      <c r="C767" s="1898" t="s">
        <v>1846</v>
      </c>
      <c r="D767" s="1898" t="s">
        <v>1986</v>
      </c>
      <c r="E767" s="1898" t="s">
        <v>1903</v>
      </c>
      <c r="F767" s="1898" t="s">
        <v>1950</v>
      </c>
      <c r="G767" s="1899">
        <v>14900000</v>
      </c>
      <c r="H767" s="1892"/>
    </row>
    <row r="768" spans="1:8" s="1893" customFormat="1" ht="23.25" customHeight="1" x14ac:dyDescent="0.3">
      <c r="A768" s="1891" t="s">
        <v>3114</v>
      </c>
      <c r="B768" s="1898" t="s">
        <v>1987</v>
      </c>
      <c r="C768" s="1898" t="s">
        <v>1846</v>
      </c>
      <c r="D768" s="1898" t="s">
        <v>1986</v>
      </c>
      <c r="E768" s="1898" t="s">
        <v>1906</v>
      </c>
      <c r="F768" s="1898" t="s">
        <v>1907</v>
      </c>
      <c r="G768" s="1899">
        <v>24505000</v>
      </c>
      <c r="H768" s="1892"/>
    </row>
    <row r="769" spans="1:8" s="1893" customFormat="1" ht="23.25" customHeight="1" x14ac:dyDescent="0.3">
      <c r="A769" s="1891" t="s">
        <v>3114</v>
      </c>
      <c r="B769" s="1898" t="s">
        <v>1987</v>
      </c>
      <c r="C769" s="1898" t="s">
        <v>1846</v>
      </c>
      <c r="D769" s="1898" t="s">
        <v>1986</v>
      </c>
      <c r="E769" s="1898" t="s">
        <v>1906</v>
      </c>
      <c r="F769" s="1898" t="s">
        <v>1909</v>
      </c>
      <c r="G769" s="1899">
        <v>70565000</v>
      </c>
      <c r="H769" s="1892"/>
    </row>
    <row r="770" spans="1:8" s="1893" customFormat="1" ht="23.25" customHeight="1" x14ac:dyDescent="0.3">
      <c r="A770" s="1891" t="s">
        <v>3114</v>
      </c>
      <c r="B770" s="1898" t="s">
        <v>1987</v>
      </c>
      <c r="C770" s="1898" t="s">
        <v>1846</v>
      </c>
      <c r="D770" s="1898" t="s">
        <v>1986</v>
      </c>
      <c r="E770" s="1898" t="s">
        <v>1912</v>
      </c>
      <c r="F770" s="1898" t="s">
        <v>1913</v>
      </c>
      <c r="G770" s="1899">
        <v>600000</v>
      </c>
      <c r="H770" s="1892"/>
    </row>
    <row r="771" spans="1:8" s="1893" customFormat="1" ht="23.25" customHeight="1" x14ac:dyDescent="0.3">
      <c r="A771" s="1891" t="s">
        <v>3114</v>
      </c>
      <c r="B771" s="1898" t="s">
        <v>1987</v>
      </c>
      <c r="C771" s="1898" t="s">
        <v>1846</v>
      </c>
      <c r="D771" s="1898" t="s">
        <v>1986</v>
      </c>
      <c r="E771" s="1898" t="s">
        <v>1912</v>
      </c>
      <c r="F771" s="1898" t="s">
        <v>1915</v>
      </c>
      <c r="G771" s="1899">
        <v>51400000</v>
      </c>
      <c r="H771" s="1892"/>
    </row>
    <row r="772" spans="1:8" s="1893" customFormat="1" ht="23.25" customHeight="1" x14ac:dyDescent="0.3">
      <c r="A772" s="1891" t="s">
        <v>3114</v>
      </c>
      <c r="B772" s="1898" t="s">
        <v>1987</v>
      </c>
      <c r="C772" s="1898" t="s">
        <v>1846</v>
      </c>
      <c r="D772" s="1898" t="s">
        <v>1986</v>
      </c>
      <c r="E772" s="1898" t="s">
        <v>1912</v>
      </c>
      <c r="F772" s="1898" t="s">
        <v>1916</v>
      </c>
      <c r="G772" s="1899">
        <v>19760000</v>
      </c>
      <c r="H772" s="1892"/>
    </row>
    <row r="773" spans="1:8" s="1893" customFormat="1" ht="23.25" customHeight="1" x14ac:dyDescent="0.3">
      <c r="A773" s="1891" t="s">
        <v>3114</v>
      </c>
      <c r="B773" s="1898" t="s">
        <v>1989</v>
      </c>
      <c r="C773" s="1898" t="s">
        <v>1846</v>
      </c>
      <c r="D773" s="1898" t="s">
        <v>1986</v>
      </c>
      <c r="E773" s="1898" t="s">
        <v>1848</v>
      </c>
      <c r="F773" s="1898" t="s">
        <v>1849</v>
      </c>
      <c r="G773" s="1899">
        <v>244061989</v>
      </c>
      <c r="H773" s="1892"/>
    </row>
    <row r="774" spans="1:8" s="1893" customFormat="1" ht="23.25" customHeight="1" x14ac:dyDescent="0.3">
      <c r="A774" s="1891" t="s">
        <v>3114</v>
      </c>
      <c r="B774" s="1898" t="s">
        <v>1989</v>
      </c>
      <c r="C774" s="1898" t="s">
        <v>1846</v>
      </c>
      <c r="D774" s="1898" t="s">
        <v>1986</v>
      </c>
      <c r="E774" s="1898" t="s">
        <v>1853</v>
      </c>
      <c r="F774" s="1898" t="s">
        <v>1854</v>
      </c>
      <c r="G774" s="1899">
        <v>11622012</v>
      </c>
      <c r="H774" s="1892"/>
    </row>
    <row r="775" spans="1:8" s="1893" customFormat="1" ht="23.25" customHeight="1" x14ac:dyDescent="0.3">
      <c r="A775" s="1891" t="s">
        <v>3114</v>
      </c>
      <c r="B775" s="1898" t="s">
        <v>1989</v>
      </c>
      <c r="C775" s="1898" t="s">
        <v>1846</v>
      </c>
      <c r="D775" s="1898" t="s">
        <v>1986</v>
      </c>
      <c r="E775" s="1898" t="s">
        <v>1853</v>
      </c>
      <c r="F775" s="1898" t="s">
        <v>1855</v>
      </c>
      <c r="G775" s="1899">
        <v>35760000</v>
      </c>
      <c r="H775" s="1892"/>
    </row>
    <row r="776" spans="1:8" s="1893" customFormat="1" ht="23.25" customHeight="1" x14ac:dyDescent="0.3">
      <c r="A776" s="1891" t="s">
        <v>3114</v>
      </c>
      <c r="B776" s="1898" t="s">
        <v>1989</v>
      </c>
      <c r="C776" s="1898" t="s">
        <v>1846</v>
      </c>
      <c r="D776" s="1898" t="s">
        <v>1986</v>
      </c>
      <c r="E776" s="1898" t="s">
        <v>1853</v>
      </c>
      <c r="F776" s="1898" t="s">
        <v>1856</v>
      </c>
      <c r="G776" s="1899">
        <v>17607056</v>
      </c>
      <c r="H776" s="1892"/>
    </row>
    <row r="777" spans="1:8" s="1893" customFormat="1" ht="23.25" customHeight="1" x14ac:dyDescent="0.3">
      <c r="A777" s="1891" t="s">
        <v>3114</v>
      </c>
      <c r="B777" s="1898" t="s">
        <v>1989</v>
      </c>
      <c r="C777" s="1898" t="s">
        <v>1846</v>
      </c>
      <c r="D777" s="1898" t="s">
        <v>1986</v>
      </c>
      <c r="E777" s="1898" t="s">
        <v>1853</v>
      </c>
      <c r="F777" s="1898" t="s">
        <v>1858</v>
      </c>
      <c r="G777" s="1899">
        <v>4023000</v>
      </c>
      <c r="H777" s="1892"/>
    </row>
    <row r="778" spans="1:8" s="1893" customFormat="1" ht="23.25" customHeight="1" x14ac:dyDescent="0.3">
      <c r="A778" s="1891" t="s">
        <v>3114</v>
      </c>
      <c r="B778" s="1898" t="s">
        <v>1989</v>
      </c>
      <c r="C778" s="1898" t="s">
        <v>1846</v>
      </c>
      <c r="D778" s="1898" t="s">
        <v>1986</v>
      </c>
      <c r="E778" s="1898" t="s">
        <v>1853</v>
      </c>
      <c r="F778" s="1898" t="s">
        <v>1977</v>
      </c>
      <c r="G778" s="1899">
        <v>76723080</v>
      </c>
      <c r="H778" s="1892"/>
    </row>
    <row r="779" spans="1:8" s="1893" customFormat="1" ht="23.25" customHeight="1" x14ac:dyDescent="0.3">
      <c r="A779" s="1891" t="s">
        <v>3114</v>
      </c>
      <c r="B779" s="1898" t="s">
        <v>1989</v>
      </c>
      <c r="C779" s="1898" t="s">
        <v>1846</v>
      </c>
      <c r="D779" s="1898" t="s">
        <v>1986</v>
      </c>
      <c r="E779" s="1898" t="s">
        <v>1853</v>
      </c>
      <c r="F779" s="1898" t="s">
        <v>1859</v>
      </c>
      <c r="G779" s="1899">
        <v>63777960</v>
      </c>
      <c r="H779" s="1892"/>
    </row>
    <row r="780" spans="1:8" s="1893" customFormat="1" ht="23.25" customHeight="1" x14ac:dyDescent="0.3">
      <c r="A780" s="1891" t="s">
        <v>3114</v>
      </c>
      <c r="B780" s="1898" t="s">
        <v>1989</v>
      </c>
      <c r="C780" s="1898" t="s">
        <v>1846</v>
      </c>
      <c r="D780" s="1898" t="s">
        <v>1986</v>
      </c>
      <c r="E780" s="1898" t="s">
        <v>1860</v>
      </c>
      <c r="F780" s="1898" t="s">
        <v>1861</v>
      </c>
      <c r="G780" s="1899">
        <v>2550000</v>
      </c>
      <c r="H780" s="1892"/>
    </row>
    <row r="781" spans="1:8" s="1893" customFormat="1" ht="23.25" customHeight="1" x14ac:dyDescent="0.3">
      <c r="A781" s="1891" t="s">
        <v>3114</v>
      </c>
      <c r="B781" s="1898" t="s">
        <v>1989</v>
      </c>
      <c r="C781" s="1898" t="s">
        <v>1846</v>
      </c>
      <c r="D781" s="1898" t="s">
        <v>1986</v>
      </c>
      <c r="E781" s="1898" t="s">
        <v>1860</v>
      </c>
      <c r="F781" s="1898" t="s">
        <v>1930</v>
      </c>
      <c r="G781" s="1899">
        <v>14850000</v>
      </c>
      <c r="H781" s="1892"/>
    </row>
    <row r="782" spans="1:8" s="1893" customFormat="1" ht="23.25" customHeight="1" x14ac:dyDescent="0.3">
      <c r="A782" s="1891" t="s">
        <v>3114</v>
      </c>
      <c r="B782" s="1898" t="s">
        <v>1989</v>
      </c>
      <c r="C782" s="1898" t="s">
        <v>1846</v>
      </c>
      <c r="D782" s="1898" t="s">
        <v>1986</v>
      </c>
      <c r="E782" s="1898" t="s">
        <v>1862</v>
      </c>
      <c r="F782" s="1898" t="s">
        <v>1863</v>
      </c>
      <c r="G782" s="1899">
        <v>44744702</v>
      </c>
      <c r="H782" s="1892"/>
    </row>
    <row r="783" spans="1:8" s="1893" customFormat="1" ht="23.25" customHeight="1" x14ac:dyDescent="0.3">
      <c r="A783" s="1891" t="s">
        <v>3114</v>
      </c>
      <c r="B783" s="1898" t="s">
        <v>1989</v>
      </c>
      <c r="C783" s="1898" t="s">
        <v>1846</v>
      </c>
      <c r="D783" s="1898" t="s">
        <v>1986</v>
      </c>
      <c r="E783" s="1898" t="s">
        <v>1862</v>
      </c>
      <c r="F783" s="1898" t="s">
        <v>1864</v>
      </c>
      <c r="G783" s="1899">
        <v>7670520</v>
      </c>
      <c r="H783" s="1892"/>
    </row>
    <row r="784" spans="1:8" s="1893" customFormat="1" ht="23.25" customHeight="1" x14ac:dyDescent="0.3">
      <c r="A784" s="1891" t="s">
        <v>3114</v>
      </c>
      <c r="B784" s="1898" t="s">
        <v>1989</v>
      </c>
      <c r="C784" s="1898" t="s">
        <v>1846</v>
      </c>
      <c r="D784" s="1898" t="s">
        <v>1986</v>
      </c>
      <c r="E784" s="1898" t="s">
        <v>1862</v>
      </c>
      <c r="F784" s="1898" t="s">
        <v>1865</v>
      </c>
      <c r="G784" s="1899">
        <v>5124300</v>
      </c>
      <c r="H784" s="1892"/>
    </row>
    <row r="785" spans="1:8" s="1893" customFormat="1" ht="23.25" customHeight="1" x14ac:dyDescent="0.3">
      <c r="A785" s="1891" t="s">
        <v>3114</v>
      </c>
      <c r="B785" s="1898" t="s">
        <v>1989</v>
      </c>
      <c r="C785" s="1898" t="s">
        <v>1846</v>
      </c>
      <c r="D785" s="1898" t="s">
        <v>1986</v>
      </c>
      <c r="E785" s="1898" t="s">
        <v>1869</v>
      </c>
      <c r="F785" s="1898" t="s">
        <v>1870</v>
      </c>
      <c r="G785" s="1899">
        <v>3537800</v>
      </c>
      <c r="H785" s="1892"/>
    </row>
    <row r="786" spans="1:8" s="1893" customFormat="1" ht="23.25" customHeight="1" x14ac:dyDescent="0.3">
      <c r="A786" s="1891" t="s">
        <v>3114</v>
      </c>
      <c r="B786" s="1898" t="s">
        <v>1989</v>
      </c>
      <c r="C786" s="1898" t="s">
        <v>1846</v>
      </c>
      <c r="D786" s="1898" t="s">
        <v>1986</v>
      </c>
      <c r="E786" s="1898" t="s">
        <v>1869</v>
      </c>
      <c r="F786" s="1898" t="s">
        <v>1871</v>
      </c>
      <c r="G786" s="1899">
        <v>393500</v>
      </c>
      <c r="H786" s="1892"/>
    </row>
    <row r="787" spans="1:8" s="1893" customFormat="1" ht="23.25" customHeight="1" x14ac:dyDescent="0.3">
      <c r="A787" s="1891" t="s">
        <v>3114</v>
      </c>
      <c r="B787" s="1898" t="s">
        <v>1989</v>
      </c>
      <c r="C787" s="1898" t="s">
        <v>1846</v>
      </c>
      <c r="D787" s="1898" t="s">
        <v>1986</v>
      </c>
      <c r="E787" s="1898" t="s">
        <v>1869</v>
      </c>
      <c r="F787" s="1898" t="s">
        <v>1873</v>
      </c>
      <c r="G787" s="1899">
        <v>220000</v>
      </c>
      <c r="H787" s="1892"/>
    </row>
    <row r="788" spans="1:8" s="1893" customFormat="1" ht="23.25" customHeight="1" x14ac:dyDescent="0.3">
      <c r="A788" s="1891" t="s">
        <v>3114</v>
      </c>
      <c r="B788" s="1898" t="s">
        <v>1989</v>
      </c>
      <c r="C788" s="1898" t="s">
        <v>1846</v>
      </c>
      <c r="D788" s="1898" t="s">
        <v>1986</v>
      </c>
      <c r="E788" s="1898" t="s">
        <v>1874</v>
      </c>
      <c r="F788" s="1898" t="s">
        <v>1875</v>
      </c>
      <c r="G788" s="1899">
        <v>12940000</v>
      </c>
      <c r="H788" s="1892"/>
    </row>
    <row r="789" spans="1:8" s="1893" customFormat="1" ht="23.25" customHeight="1" x14ac:dyDescent="0.3">
      <c r="A789" s="1891" t="s">
        <v>3114</v>
      </c>
      <c r="B789" s="1898" t="s">
        <v>1989</v>
      </c>
      <c r="C789" s="1898" t="s">
        <v>1846</v>
      </c>
      <c r="D789" s="1898" t="s">
        <v>1986</v>
      </c>
      <c r="E789" s="1898" t="s">
        <v>1874</v>
      </c>
      <c r="F789" s="1898" t="s">
        <v>1876</v>
      </c>
      <c r="G789" s="1899">
        <v>2500000</v>
      </c>
      <c r="H789" s="1892"/>
    </row>
    <row r="790" spans="1:8" s="1893" customFormat="1" ht="23.25" customHeight="1" x14ac:dyDescent="0.3">
      <c r="A790" s="1891" t="s">
        <v>3114</v>
      </c>
      <c r="B790" s="1898" t="s">
        <v>1989</v>
      </c>
      <c r="C790" s="1898" t="s">
        <v>1846</v>
      </c>
      <c r="D790" s="1898" t="s">
        <v>1986</v>
      </c>
      <c r="E790" s="1898" t="s">
        <v>1874</v>
      </c>
      <c r="F790" s="1898" t="s">
        <v>1877</v>
      </c>
      <c r="G790" s="1899">
        <v>1491347</v>
      </c>
      <c r="H790" s="1892"/>
    </row>
    <row r="791" spans="1:8" s="1893" customFormat="1" ht="23.25" customHeight="1" x14ac:dyDescent="0.3">
      <c r="A791" s="1891" t="s">
        <v>3114</v>
      </c>
      <c r="B791" s="1898" t="s">
        <v>1989</v>
      </c>
      <c r="C791" s="1898" t="s">
        <v>1846</v>
      </c>
      <c r="D791" s="1898" t="s">
        <v>1986</v>
      </c>
      <c r="E791" s="1898" t="s">
        <v>1878</v>
      </c>
      <c r="F791" s="1898" t="s">
        <v>1879</v>
      </c>
      <c r="G791" s="1899">
        <v>731100</v>
      </c>
      <c r="H791" s="1892"/>
    </row>
    <row r="792" spans="1:8" s="1893" customFormat="1" ht="23.25" customHeight="1" x14ac:dyDescent="0.3">
      <c r="A792" s="1891" t="s">
        <v>3114</v>
      </c>
      <c r="B792" s="1898" t="s">
        <v>1989</v>
      </c>
      <c r="C792" s="1898" t="s">
        <v>1846</v>
      </c>
      <c r="D792" s="1898" t="s">
        <v>1986</v>
      </c>
      <c r="E792" s="1898" t="s">
        <v>1878</v>
      </c>
      <c r="F792" s="1898" t="s">
        <v>1880</v>
      </c>
      <c r="G792" s="1899">
        <v>520000</v>
      </c>
      <c r="H792" s="1892"/>
    </row>
    <row r="793" spans="1:8" s="1893" customFormat="1" ht="23.25" customHeight="1" x14ac:dyDescent="0.3">
      <c r="A793" s="1891" t="s">
        <v>3114</v>
      </c>
      <c r="B793" s="1898" t="s">
        <v>1989</v>
      </c>
      <c r="C793" s="1898" t="s">
        <v>1846</v>
      </c>
      <c r="D793" s="1898" t="s">
        <v>1986</v>
      </c>
      <c r="E793" s="1898" t="s">
        <v>1878</v>
      </c>
      <c r="F793" s="1898" t="s">
        <v>1881</v>
      </c>
      <c r="G793" s="1899">
        <v>2640000</v>
      </c>
      <c r="H793" s="1892"/>
    </row>
    <row r="794" spans="1:8" s="1893" customFormat="1" ht="23.25" customHeight="1" x14ac:dyDescent="0.3">
      <c r="A794" s="1891" t="s">
        <v>3114</v>
      </c>
      <c r="B794" s="1898" t="s">
        <v>1989</v>
      </c>
      <c r="C794" s="1898" t="s">
        <v>1846</v>
      </c>
      <c r="D794" s="1898" t="s">
        <v>1986</v>
      </c>
      <c r="E794" s="1898" t="s">
        <v>1878</v>
      </c>
      <c r="F794" s="1898" t="s">
        <v>1882</v>
      </c>
      <c r="G794" s="1899">
        <v>9900000</v>
      </c>
      <c r="H794" s="1892"/>
    </row>
    <row r="795" spans="1:8" s="1893" customFormat="1" ht="23.25" customHeight="1" x14ac:dyDescent="0.3">
      <c r="A795" s="1891" t="s">
        <v>3114</v>
      </c>
      <c r="B795" s="1898" t="s">
        <v>1989</v>
      </c>
      <c r="C795" s="1898" t="s">
        <v>1846</v>
      </c>
      <c r="D795" s="1898" t="s">
        <v>1986</v>
      </c>
      <c r="E795" s="1898" t="s">
        <v>1878</v>
      </c>
      <c r="F795" s="1898" t="s">
        <v>1883</v>
      </c>
      <c r="G795" s="1899">
        <v>338000</v>
      </c>
      <c r="H795" s="1892"/>
    </row>
    <row r="796" spans="1:8" s="1893" customFormat="1" ht="23.25" customHeight="1" x14ac:dyDescent="0.3">
      <c r="A796" s="1891" t="s">
        <v>3114</v>
      </c>
      <c r="B796" s="1898" t="s">
        <v>1989</v>
      </c>
      <c r="C796" s="1898" t="s">
        <v>1846</v>
      </c>
      <c r="D796" s="1898" t="s">
        <v>1986</v>
      </c>
      <c r="E796" s="1898" t="s">
        <v>1885</v>
      </c>
      <c r="F796" s="1898" t="s">
        <v>1925</v>
      </c>
      <c r="G796" s="1899">
        <v>20348000</v>
      </c>
      <c r="H796" s="1892"/>
    </row>
    <row r="797" spans="1:8" s="1893" customFormat="1" ht="23.25" customHeight="1" x14ac:dyDescent="0.3">
      <c r="A797" s="1891" t="s">
        <v>3114</v>
      </c>
      <c r="B797" s="1898" t="s">
        <v>1989</v>
      </c>
      <c r="C797" s="1898" t="s">
        <v>1846</v>
      </c>
      <c r="D797" s="1898" t="s">
        <v>1986</v>
      </c>
      <c r="E797" s="1898" t="s">
        <v>1885</v>
      </c>
      <c r="F797" s="1898" t="s">
        <v>1886</v>
      </c>
      <c r="G797" s="1899">
        <v>8400000</v>
      </c>
      <c r="H797" s="1892"/>
    </row>
    <row r="798" spans="1:8" s="1893" customFormat="1" ht="23.25" customHeight="1" x14ac:dyDescent="0.3">
      <c r="A798" s="1891" t="s">
        <v>3114</v>
      </c>
      <c r="B798" s="1898" t="s">
        <v>1989</v>
      </c>
      <c r="C798" s="1898" t="s">
        <v>1846</v>
      </c>
      <c r="D798" s="1898" t="s">
        <v>1986</v>
      </c>
      <c r="E798" s="1898" t="s">
        <v>1885</v>
      </c>
      <c r="F798" s="1898" t="s">
        <v>1926</v>
      </c>
      <c r="G798" s="1899">
        <v>1200000</v>
      </c>
      <c r="H798" s="1892"/>
    </row>
    <row r="799" spans="1:8" s="1893" customFormat="1" ht="23.25" customHeight="1" x14ac:dyDescent="0.3">
      <c r="A799" s="1891" t="s">
        <v>3114</v>
      </c>
      <c r="B799" s="1898" t="s">
        <v>1989</v>
      </c>
      <c r="C799" s="1898" t="s">
        <v>1846</v>
      </c>
      <c r="D799" s="1898" t="s">
        <v>1986</v>
      </c>
      <c r="E799" s="1898" t="s">
        <v>1885</v>
      </c>
      <c r="F799" s="1898" t="s">
        <v>1927</v>
      </c>
      <c r="G799" s="1899">
        <v>1377000</v>
      </c>
      <c r="H799" s="1892"/>
    </row>
    <row r="800" spans="1:8" s="1893" customFormat="1" ht="23.25" customHeight="1" x14ac:dyDescent="0.3">
      <c r="A800" s="1891" t="s">
        <v>3114</v>
      </c>
      <c r="B800" s="1898" t="s">
        <v>1989</v>
      </c>
      <c r="C800" s="1898" t="s">
        <v>1846</v>
      </c>
      <c r="D800" s="1898" t="s">
        <v>1986</v>
      </c>
      <c r="E800" s="1898" t="s">
        <v>1885</v>
      </c>
      <c r="F800" s="1898" t="s">
        <v>1887</v>
      </c>
      <c r="G800" s="1899">
        <v>119700000</v>
      </c>
      <c r="H800" s="1892"/>
    </row>
    <row r="801" spans="1:8" s="1893" customFormat="1" ht="23.25" customHeight="1" x14ac:dyDescent="0.3">
      <c r="A801" s="1891" t="s">
        <v>3114</v>
      </c>
      <c r="B801" s="1898" t="s">
        <v>1989</v>
      </c>
      <c r="C801" s="1898" t="s">
        <v>1846</v>
      </c>
      <c r="D801" s="1898" t="s">
        <v>1986</v>
      </c>
      <c r="E801" s="1898" t="s">
        <v>1885</v>
      </c>
      <c r="F801" s="1898" t="s">
        <v>1888</v>
      </c>
      <c r="G801" s="1899">
        <v>141485000</v>
      </c>
      <c r="H801" s="1892"/>
    </row>
    <row r="802" spans="1:8" s="1893" customFormat="1" ht="23.25" customHeight="1" x14ac:dyDescent="0.3">
      <c r="A802" s="1891" t="s">
        <v>3114</v>
      </c>
      <c r="B802" s="1898" t="s">
        <v>1989</v>
      </c>
      <c r="C802" s="1898" t="s">
        <v>1846</v>
      </c>
      <c r="D802" s="1898" t="s">
        <v>1986</v>
      </c>
      <c r="E802" s="1898" t="s">
        <v>1889</v>
      </c>
      <c r="F802" s="1898" t="s">
        <v>1890</v>
      </c>
      <c r="G802" s="1899">
        <v>16600000</v>
      </c>
      <c r="H802" s="1892"/>
    </row>
    <row r="803" spans="1:8" s="1893" customFormat="1" ht="23.25" customHeight="1" x14ac:dyDescent="0.3">
      <c r="A803" s="1891" t="s">
        <v>3114</v>
      </c>
      <c r="B803" s="1898" t="s">
        <v>1989</v>
      </c>
      <c r="C803" s="1898" t="s">
        <v>1846</v>
      </c>
      <c r="D803" s="1898" t="s">
        <v>1986</v>
      </c>
      <c r="E803" s="1898" t="s">
        <v>1889</v>
      </c>
      <c r="F803" s="1898" t="s">
        <v>1891</v>
      </c>
      <c r="G803" s="1899">
        <v>34340000</v>
      </c>
      <c r="H803" s="1892"/>
    </row>
    <row r="804" spans="1:8" s="1893" customFormat="1" ht="23.25" customHeight="1" x14ac:dyDescent="0.3">
      <c r="A804" s="1891" t="s">
        <v>3114</v>
      </c>
      <c r="B804" s="1898" t="s">
        <v>1989</v>
      </c>
      <c r="C804" s="1898" t="s">
        <v>1846</v>
      </c>
      <c r="D804" s="1898" t="s">
        <v>1986</v>
      </c>
      <c r="E804" s="1898" t="s">
        <v>1889</v>
      </c>
      <c r="F804" s="1898" t="s">
        <v>1922</v>
      </c>
      <c r="G804" s="1899">
        <v>2741978</v>
      </c>
      <c r="H804" s="1892"/>
    </row>
    <row r="805" spans="1:8" s="1893" customFormat="1" ht="23.25" customHeight="1" x14ac:dyDescent="0.3">
      <c r="A805" s="1891" t="s">
        <v>3114</v>
      </c>
      <c r="B805" s="1898" t="s">
        <v>1989</v>
      </c>
      <c r="C805" s="1898" t="s">
        <v>1846</v>
      </c>
      <c r="D805" s="1898" t="s">
        <v>1986</v>
      </c>
      <c r="E805" s="1898" t="s">
        <v>1893</v>
      </c>
      <c r="F805" s="1898" t="s">
        <v>1894</v>
      </c>
      <c r="G805" s="1899">
        <v>24600000</v>
      </c>
      <c r="H805" s="1892"/>
    </row>
    <row r="806" spans="1:8" s="1893" customFormat="1" ht="23.25" customHeight="1" x14ac:dyDescent="0.3">
      <c r="A806" s="1891" t="s">
        <v>3114</v>
      </c>
      <c r="B806" s="1898" t="s">
        <v>1989</v>
      </c>
      <c r="C806" s="1898" t="s">
        <v>1846</v>
      </c>
      <c r="D806" s="1898" t="s">
        <v>1986</v>
      </c>
      <c r="E806" s="1898" t="s">
        <v>1893</v>
      </c>
      <c r="F806" s="1898" t="s">
        <v>2051</v>
      </c>
      <c r="G806" s="1899">
        <v>2600000</v>
      </c>
      <c r="H806" s="1892"/>
    </row>
    <row r="807" spans="1:8" s="1893" customFormat="1" ht="23.25" customHeight="1" x14ac:dyDescent="0.3">
      <c r="A807" s="1891" t="s">
        <v>3114</v>
      </c>
      <c r="B807" s="1898" t="s">
        <v>1989</v>
      </c>
      <c r="C807" s="1898" t="s">
        <v>1846</v>
      </c>
      <c r="D807" s="1898" t="s">
        <v>1986</v>
      </c>
      <c r="E807" s="1898" t="s">
        <v>1893</v>
      </c>
      <c r="F807" s="1898" t="s">
        <v>1895</v>
      </c>
      <c r="G807" s="1899">
        <v>926656</v>
      </c>
      <c r="H807" s="1892"/>
    </row>
    <row r="808" spans="1:8" s="1893" customFormat="1" ht="23.25" customHeight="1" x14ac:dyDescent="0.3">
      <c r="A808" s="1891" t="s">
        <v>3114</v>
      </c>
      <c r="B808" s="1898" t="s">
        <v>1989</v>
      </c>
      <c r="C808" s="1898" t="s">
        <v>1846</v>
      </c>
      <c r="D808" s="1898" t="s">
        <v>1986</v>
      </c>
      <c r="E808" s="1898" t="s">
        <v>1896</v>
      </c>
      <c r="F808" s="1898" t="s">
        <v>1900</v>
      </c>
      <c r="G808" s="1899">
        <v>2208000</v>
      </c>
      <c r="H808" s="1892"/>
    </row>
    <row r="809" spans="1:8" s="1893" customFormat="1" ht="23.25" customHeight="1" x14ac:dyDescent="0.3">
      <c r="A809" s="1891" t="s">
        <v>3114</v>
      </c>
      <c r="B809" s="1898" t="s">
        <v>1989</v>
      </c>
      <c r="C809" s="1898" t="s">
        <v>1846</v>
      </c>
      <c r="D809" s="1898" t="s">
        <v>1986</v>
      </c>
      <c r="E809" s="1898" t="s">
        <v>1903</v>
      </c>
      <c r="F809" s="1898" t="s">
        <v>1950</v>
      </c>
      <c r="G809" s="1899">
        <v>14900000</v>
      </c>
      <c r="H809" s="1892"/>
    </row>
    <row r="810" spans="1:8" s="1893" customFormat="1" ht="23.25" customHeight="1" x14ac:dyDescent="0.3">
      <c r="A810" s="1891" t="s">
        <v>3114</v>
      </c>
      <c r="B810" s="1898" t="s">
        <v>1989</v>
      </c>
      <c r="C810" s="1898" t="s">
        <v>1846</v>
      </c>
      <c r="D810" s="1898" t="s">
        <v>1986</v>
      </c>
      <c r="E810" s="1898" t="s">
        <v>1906</v>
      </c>
      <c r="F810" s="1898" t="s">
        <v>1909</v>
      </c>
      <c r="G810" s="1899">
        <v>3732000</v>
      </c>
      <c r="H810" s="1892"/>
    </row>
    <row r="811" spans="1:8" s="1893" customFormat="1" ht="23.25" customHeight="1" x14ac:dyDescent="0.3">
      <c r="A811" s="1891" t="s">
        <v>3114</v>
      </c>
      <c r="B811" s="1898" t="s">
        <v>1989</v>
      </c>
      <c r="C811" s="1898" t="s">
        <v>1846</v>
      </c>
      <c r="D811" s="1898" t="s">
        <v>1986</v>
      </c>
      <c r="E811" s="1898" t="s">
        <v>1912</v>
      </c>
      <c r="F811" s="1898" t="s">
        <v>1913</v>
      </c>
      <c r="G811" s="1899">
        <v>600000</v>
      </c>
      <c r="H811" s="1892"/>
    </row>
    <row r="812" spans="1:8" s="1893" customFormat="1" ht="23.25" customHeight="1" x14ac:dyDescent="0.3">
      <c r="A812" s="1891" t="s">
        <v>3114</v>
      </c>
      <c r="B812" s="1898" t="s">
        <v>1989</v>
      </c>
      <c r="C812" s="1898" t="s">
        <v>1846</v>
      </c>
      <c r="D812" s="1898" t="s">
        <v>1986</v>
      </c>
      <c r="E812" s="1898" t="s">
        <v>1912</v>
      </c>
      <c r="F812" s="1898" t="s">
        <v>1915</v>
      </c>
      <c r="G812" s="1899">
        <v>19600000</v>
      </c>
      <c r="H812" s="1892"/>
    </row>
    <row r="813" spans="1:8" s="1893" customFormat="1" ht="23.25" customHeight="1" x14ac:dyDescent="0.3">
      <c r="A813" s="1891" t="s">
        <v>3114</v>
      </c>
      <c r="B813" s="1898" t="s">
        <v>1989</v>
      </c>
      <c r="C813" s="1898" t="s">
        <v>1846</v>
      </c>
      <c r="D813" s="1898" t="s">
        <v>1986</v>
      </c>
      <c r="E813" s="1898" t="s">
        <v>1912</v>
      </c>
      <c r="F813" s="1898" t="s">
        <v>1916</v>
      </c>
      <c r="G813" s="1899">
        <v>6395000</v>
      </c>
      <c r="H813" s="1892"/>
    </row>
    <row r="814" spans="1:8" s="1893" customFormat="1" ht="23.25" customHeight="1" x14ac:dyDescent="0.3">
      <c r="A814" s="1891" t="s">
        <v>3114</v>
      </c>
      <c r="B814" s="1898" t="s">
        <v>1990</v>
      </c>
      <c r="C814" s="1898" t="s">
        <v>1846</v>
      </c>
      <c r="D814" s="1898" t="s">
        <v>1986</v>
      </c>
      <c r="E814" s="1898" t="s">
        <v>1848</v>
      </c>
      <c r="F814" s="1898" t="s">
        <v>1849</v>
      </c>
      <c r="G814" s="1899">
        <v>235613686</v>
      </c>
      <c r="H814" s="1892"/>
    </row>
    <row r="815" spans="1:8" s="1893" customFormat="1" ht="23.25" customHeight="1" x14ac:dyDescent="0.3">
      <c r="A815" s="1891" t="s">
        <v>3114</v>
      </c>
      <c r="B815" s="1898" t="s">
        <v>1990</v>
      </c>
      <c r="C815" s="1898" t="s">
        <v>1846</v>
      </c>
      <c r="D815" s="1898" t="s">
        <v>1986</v>
      </c>
      <c r="E815" s="1898" t="s">
        <v>1853</v>
      </c>
      <c r="F815" s="1898" t="s">
        <v>1854</v>
      </c>
      <c r="G815" s="1899">
        <v>11622007</v>
      </c>
      <c r="H815" s="1892"/>
    </row>
    <row r="816" spans="1:8" s="1893" customFormat="1" ht="23.25" customHeight="1" x14ac:dyDescent="0.3">
      <c r="A816" s="1891" t="s">
        <v>3114</v>
      </c>
      <c r="B816" s="1898" t="s">
        <v>1990</v>
      </c>
      <c r="C816" s="1898" t="s">
        <v>1846</v>
      </c>
      <c r="D816" s="1898" t="s">
        <v>1986</v>
      </c>
      <c r="E816" s="1898" t="s">
        <v>1853</v>
      </c>
      <c r="F816" s="1898" t="s">
        <v>1855</v>
      </c>
      <c r="G816" s="1899">
        <v>32035000</v>
      </c>
      <c r="H816" s="1892"/>
    </row>
    <row r="817" spans="1:8" s="1893" customFormat="1" ht="23.25" customHeight="1" x14ac:dyDescent="0.3">
      <c r="A817" s="1891" t="s">
        <v>3114</v>
      </c>
      <c r="B817" s="1898" t="s">
        <v>1990</v>
      </c>
      <c r="C817" s="1898" t="s">
        <v>1846</v>
      </c>
      <c r="D817" s="1898" t="s">
        <v>1986</v>
      </c>
      <c r="E817" s="1898" t="s">
        <v>1853</v>
      </c>
      <c r="F817" s="1898" t="s">
        <v>1856</v>
      </c>
      <c r="G817" s="1899">
        <v>6952896</v>
      </c>
      <c r="H817" s="1892"/>
    </row>
    <row r="818" spans="1:8" s="1893" customFormat="1" ht="23.25" customHeight="1" x14ac:dyDescent="0.3">
      <c r="A818" s="1891" t="s">
        <v>3114</v>
      </c>
      <c r="B818" s="1898" t="s">
        <v>1990</v>
      </c>
      <c r="C818" s="1898" t="s">
        <v>1846</v>
      </c>
      <c r="D818" s="1898" t="s">
        <v>1986</v>
      </c>
      <c r="E818" s="1898" t="s">
        <v>1853</v>
      </c>
      <c r="F818" s="1898" t="s">
        <v>1929</v>
      </c>
      <c r="G818" s="1899">
        <v>8105600</v>
      </c>
      <c r="H818" s="1892"/>
    </row>
    <row r="819" spans="1:8" s="1893" customFormat="1" ht="23.25" customHeight="1" x14ac:dyDescent="0.3">
      <c r="A819" s="1891" t="s">
        <v>3114</v>
      </c>
      <c r="B819" s="1898" t="s">
        <v>1990</v>
      </c>
      <c r="C819" s="1898" t="s">
        <v>1846</v>
      </c>
      <c r="D819" s="1898" t="s">
        <v>1986</v>
      </c>
      <c r="E819" s="1898" t="s">
        <v>1853</v>
      </c>
      <c r="F819" s="1898" t="s">
        <v>1977</v>
      </c>
      <c r="G819" s="1899">
        <v>63101500</v>
      </c>
      <c r="H819" s="1892"/>
    </row>
    <row r="820" spans="1:8" s="1893" customFormat="1" ht="23.25" customHeight="1" x14ac:dyDescent="0.3">
      <c r="A820" s="1891" t="s">
        <v>3114</v>
      </c>
      <c r="B820" s="1898" t="s">
        <v>1990</v>
      </c>
      <c r="C820" s="1898" t="s">
        <v>1846</v>
      </c>
      <c r="D820" s="1898" t="s">
        <v>1986</v>
      </c>
      <c r="E820" s="1898" t="s">
        <v>1853</v>
      </c>
      <c r="F820" s="1898" t="s">
        <v>1859</v>
      </c>
      <c r="G820" s="1899">
        <v>77420400</v>
      </c>
      <c r="H820" s="1892"/>
    </row>
    <row r="821" spans="1:8" s="1893" customFormat="1" ht="23.25" customHeight="1" x14ac:dyDescent="0.3">
      <c r="A821" s="1891" t="s">
        <v>3114</v>
      </c>
      <c r="B821" s="1898" t="s">
        <v>1990</v>
      </c>
      <c r="C821" s="1898" t="s">
        <v>1846</v>
      </c>
      <c r="D821" s="1898" t="s">
        <v>1986</v>
      </c>
      <c r="E821" s="1898" t="s">
        <v>1860</v>
      </c>
      <c r="F821" s="1898" t="s">
        <v>1861</v>
      </c>
      <c r="G821" s="1899">
        <v>3000000</v>
      </c>
      <c r="H821" s="1892"/>
    </row>
    <row r="822" spans="1:8" s="1893" customFormat="1" ht="23.25" customHeight="1" x14ac:dyDescent="0.3">
      <c r="A822" s="1891" t="s">
        <v>3114</v>
      </c>
      <c r="B822" s="1898" t="s">
        <v>1990</v>
      </c>
      <c r="C822" s="1898" t="s">
        <v>1846</v>
      </c>
      <c r="D822" s="1898" t="s">
        <v>1986</v>
      </c>
      <c r="E822" s="1898" t="s">
        <v>1860</v>
      </c>
      <c r="F822" s="1898" t="s">
        <v>1930</v>
      </c>
      <c r="G822" s="1899">
        <v>18000000</v>
      </c>
      <c r="H822" s="1892"/>
    </row>
    <row r="823" spans="1:8" s="1893" customFormat="1" ht="23.25" customHeight="1" x14ac:dyDescent="0.3">
      <c r="A823" s="1891" t="s">
        <v>3114</v>
      </c>
      <c r="B823" s="1898" t="s">
        <v>1990</v>
      </c>
      <c r="C823" s="1898" t="s">
        <v>1846</v>
      </c>
      <c r="D823" s="1898" t="s">
        <v>1986</v>
      </c>
      <c r="E823" s="1898" t="s">
        <v>1862</v>
      </c>
      <c r="F823" s="1898" t="s">
        <v>1863</v>
      </c>
      <c r="G823" s="1899">
        <v>44665956</v>
      </c>
      <c r="H823" s="1892"/>
    </row>
    <row r="824" spans="1:8" s="1893" customFormat="1" ht="23.25" customHeight="1" x14ac:dyDescent="0.3">
      <c r="A824" s="1891" t="s">
        <v>3114</v>
      </c>
      <c r="B824" s="1898" t="s">
        <v>1990</v>
      </c>
      <c r="C824" s="1898" t="s">
        <v>1846</v>
      </c>
      <c r="D824" s="1898" t="s">
        <v>1986</v>
      </c>
      <c r="E824" s="1898" t="s">
        <v>1862</v>
      </c>
      <c r="F824" s="1898" t="s">
        <v>1864</v>
      </c>
      <c r="G824" s="1899">
        <v>7660239</v>
      </c>
      <c r="H824" s="1892"/>
    </row>
    <row r="825" spans="1:8" s="1893" customFormat="1" ht="23.25" customHeight="1" x14ac:dyDescent="0.3">
      <c r="A825" s="1891" t="s">
        <v>3114</v>
      </c>
      <c r="B825" s="1898" t="s">
        <v>1990</v>
      </c>
      <c r="C825" s="1898" t="s">
        <v>1846</v>
      </c>
      <c r="D825" s="1898" t="s">
        <v>1986</v>
      </c>
      <c r="E825" s="1898" t="s">
        <v>1862</v>
      </c>
      <c r="F825" s="1898" t="s">
        <v>1865</v>
      </c>
      <c r="G825" s="1899">
        <v>5106100</v>
      </c>
      <c r="H825" s="1892"/>
    </row>
    <row r="826" spans="1:8" s="1893" customFormat="1" ht="23.25" customHeight="1" x14ac:dyDescent="0.3">
      <c r="A826" s="1891" t="s">
        <v>3114</v>
      </c>
      <c r="B826" s="1898" t="s">
        <v>1990</v>
      </c>
      <c r="C826" s="1898" t="s">
        <v>1846</v>
      </c>
      <c r="D826" s="1898" t="s">
        <v>1986</v>
      </c>
      <c r="E826" s="1898" t="s">
        <v>1867</v>
      </c>
      <c r="F826" s="1898" t="s">
        <v>1868</v>
      </c>
      <c r="G826" s="1899">
        <v>53081112</v>
      </c>
      <c r="H826" s="1892"/>
    </row>
    <row r="827" spans="1:8" s="1893" customFormat="1" ht="23.25" customHeight="1" x14ac:dyDescent="0.3">
      <c r="A827" s="1891" t="s">
        <v>3114</v>
      </c>
      <c r="B827" s="1898" t="s">
        <v>1990</v>
      </c>
      <c r="C827" s="1898" t="s">
        <v>1846</v>
      </c>
      <c r="D827" s="1898" t="s">
        <v>1986</v>
      </c>
      <c r="E827" s="1898" t="s">
        <v>1869</v>
      </c>
      <c r="F827" s="1898" t="s">
        <v>1870</v>
      </c>
      <c r="G827" s="1899">
        <v>3100500</v>
      </c>
      <c r="H827" s="1892"/>
    </row>
    <row r="828" spans="1:8" s="1893" customFormat="1" ht="23.25" customHeight="1" x14ac:dyDescent="0.3">
      <c r="A828" s="1891" t="s">
        <v>3114</v>
      </c>
      <c r="B828" s="1898" t="s">
        <v>1990</v>
      </c>
      <c r="C828" s="1898" t="s">
        <v>1846</v>
      </c>
      <c r="D828" s="1898" t="s">
        <v>1986</v>
      </c>
      <c r="E828" s="1898" t="s">
        <v>1869</v>
      </c>
      <c r="F828" s="1898" t="s">
        <v>1871</v>
      </c>
      <c r="G828" s="1899">
        <v>368100</v>
      </c>
      <c r="H828" s="1892"/>
    </row>
    <row r="829" spans="1:8" s="1893" customFormat="1" ht="23.25" customHeight="1" x14ac:dyDescent="0.3">
      <c r="A829" s="1891" t="s">
        <v>3114</v>
      </c>
      <c r="B829" s="1898" t="s">
        <v>1990</v>
      </c>
      <c r="C829" s="1898" t="s">
        <v>1846</v>
      </c>
      <c r="D829" s="1898" t="s">
        <v>1986</v>
      </c>
      <c r="E829" s="1898" t="s">
        <v>1869</v>
      </c>
      <c r="F829" s="1898" t="s">
        <v>1873</v>
      </c>
      <c r="G829" s="1899">
        <v>220000</v>
      </c>
      <c r="H829" s="1892"/>
    </row>
    <row r="830" spans="1:8" s="1893" customFormat="1" ht="23.25" customHeight="1" x14ac:dyDescent="0.3">
      <c r="A830" s="1891" t="s">
        <v>3114</v>
      </c>
      <c r="B830" s="1898" t="s">
        <v>1990</v>
      </c>
      <c r="C830" s="1898" t="s">
        <v>1846</v>
      </c>
      <c r="D830" s="1898" t="s">
        <v>1986</v>
      </c>
      <c r="E830" s="1898" t="s">
        <v>1874</v>
      </c>
      <c r="F830" s="1898" t="s">
        <v>1875</v>
      </c>
      <c r="G830" s="1899">
        <v>4360000</v>
      </c>
      <c r="H830" s="1892"/>
    </row>
    <row r="831" spans="1:8" s="1893" customFormat="1" ht="23.25" customHeight="1" x14ac:dyDescent="0.3">
      <c r="A831" s="1891" t="s">
        <v>3114</v>
      </c>
      <c r="B831" s="1898" t="s">
        <v>1990</v>
      </c>
      <c r="C831" s="1898" t="s">
        <v>1846</v>
      </c>
      <c r="D831" s="1898" t="s">
        <v>1986</v>
      </c>
      <c r="E831" s="1898" t="s">
        <v>1874</v>
      </c>
      <c r="F831" s="1898" t="s">
        <v>1876</v>
      </c>
      <c r="G831" s="1899">
        <v>15050000</v>
      </c>
      <c r="H831" s="1892"/>
    </row>
    <row r="832" spans="1:8" s="1893" customFormat="1" ht="23.25" customHeight="1" x14ac:dyDescent="0.3">
      <c r="A832" s="1891" t="s">
        <v>3114</v>
      </c>
      <c r="B832" s="1898" t="s">
        <v>1990</v>
      </c>
      <c r="C832" s="1898" t="s">
        <v>1846</v>
      </c>
      <c r="D832" s="1898" t="s">
        <v>1986</v>
      </c>
      <c r="E832" s="1898" t="s">
        <v>1878</v>
      </c>
      <c r="F832" s="1898" t="s">
        <v>1879</v>
      </c>
      <c r="G832" s="1899">
        <v>198000</v>
      </c>
      <c r="H832" s="1892"/>
    </row>
    <row r="833" spans="1:8" s="1893" customFormat="1" ht="23.25" customHeight="1" x14ac:dyDescent="0.3">
      <c r="A833" s="1891" t="s">
        <v>3114</v>
      </c>
      <c r="B833" s="1898" t="s">
        <v>1990</v>
      </c>
      <c r="C833" s="1898" t="s">
        <v>1846</v>
      </c>
      <c r="D833" s="1898" t="s">
        <v>1986</v>
      </c>
      <c r="E833" s="1898" t="s">
        <v>1878</v>
      </c>
      <c r="F833" s="1898" t="s">
        <v>1881</v>
      </c>
      <c r="G833" s="1899">
        <v>2640000</v>
      </c>
      <c r="H833" s="1892"/>
    </row>
    <row r="834" spans="1:8" s="1893" customFormat="1" ht="23.25" customHeight="1" x14ac:dyDescent="0.3">
      <c r="A834" s="1891" t="s">
        <v>3114</v>
      </c>
      <c r="B834" s="1898" t="s">
        <v>1990</v>
      </c>
      <c r="C834" s="1898" t="s">
        <v>1846</v>
      </c>
      <c r="D834" s="1898" t="s">
        <v>1986</v>
      </c>
      <c r="E834" s="1898" t="s">
        <v>1878</v>
      </c>
      <c r="F834" s="1898" t="s">
        <v>1882</v>
      </c>
      <c r="G834" s="1899">
        <v>14700000</v>
      </c>
      <c r="H834" s="1892"/>
    </row>
    <row r="835" spans="1:8" s="1893" customFormat="1" ht="23.25" customHeight="1" x14ac:dyDescent="0.3">
      <c r="A835" s="1891" t="s">
        <v>3114</v>
      </c>
      <c r="B835" s="1898" t="s">
        <v>1990</v>
      </c>
      <c r="C835" s="1898" t="s">
        <v>1846</v>
      </c>
      <c r="D835" s="1898" t="s">
        <v>1986</v>
      </c>
      <c r="E835" s="1898" t="s">
        <v>1885</v>
      </c>
      <c r="F835" s="1898" t="s">
        <v>1925</v>
      </c>
      <c r="G835" s="1899">
        <v>8404000</v>
      </c>
      <c r="H835" s="1892"/>
    </row>
    <row r="836" spans="1:8" s="1893" customFormat="1" ht="23.25" customHeight="1" x14ac:dyDescent="0.3">
      <c r="A836" s="1891" t="s">
        <v>3114</v>
      </c>
      <c r="B836" s="1898" t="s">
        <v>1990</v>
      </c>
      <c r="C836" s="1898" t="s">
        <v>1846</v>
      </c>
      <c r="D836" s="1898" t="s">
        <v>1986</v>
      </c>
      <c r="E836" s="1898" t="s">
        <v>1885</v>
      </c>
      <c r="F836" s="1898" t="s">
        <v>1886</v>
      </c>
      <c r="G836" s="1899">
        <v>2400000</v>
      </c>
      <c r="H836" s="1892"/>
    </row>
    <row r="837" spans="1:8" s="1893" customFormat="1" ht="23.25" customHeight="1" x14ac:dyDescent="0.3">
      <c r="A837" s="1891" t="s">
        <v>3114</v>
      </c>
      <c r="B837" s="1898" t="s">
        <v>1990</v>
      </c>
      <c r="C837" s="1898" t="s">
        <v>1846</v>
      </c>
      <c r="D837" s="1898" t="s">
        <v>1986</v>
      </c>
      <c r="E837" s="1898" t="s">
        <v>1885</v>
      </c>
      <c r="F837" s="1898" t="s">
        <v>1926</v>
      </c>
      <c r="G837" s="1899">
        <v>2200000</v>
      </c>
      <c r="H837" s="1892"/>
    </row>
    <row r="838" spans="1:8" s="1893" customFormat="1" ht="23.25" customHeight="1" x14ac:dyDescent="0.3">
      <c r="A838" s="1891" t="s">
        <v>3114</v>
      </c>
      <c r="B838" s="1898" t="s">
        <v>1990</v>
      </c>
      <c r="C838" s="1898" t="s">
        <v>1846</v>
      </c>
      <c r="D838" s="1898" t="s">
        <v>1986</v>
      </c>
      <c r="E838" s="1898" t="s">
        <v>1885</v>
      </c>
      <c r="F838" s="1898" t="s">
        <v>1887</v>
      </c>
      <c r="G838" s="1899">
        <v>28545000</v>
      </c>
      <c r="H838" s="1892"/>
    </row>
    <row r="839" spans="1:8" s="1893" customFormat="1" ht="23.25" customHeight="1" x14ac:dyDescent="0.3">
      <c r="A839" s="1891" t="s">
        <v>3114</v>
      </c>
      <c r="B839" s="1898" t="s">
        <v>1990</v>
      </c>
      <c r="C839" s="1898" t="s">
        <v>1846</v>
      </c>
      <c r="D839" s="1898" t="s">
        <v>1986</v>
      </c>
      <c r="E839" s="1898" t="s">
        <v>1885</v>
      </c>
      <c r="F839" s="1898" t="s">
        <v>1888</v>
      </c>
      <c r="G839" s="1899">
        <v>22226000</v>
      </c>
      <c r="H839" s="1892"/>
    </row>
    <row r="840" spans="1:8" s="1893" customFormat="1" ht="23.25" customHeight="1" x14ac:dyDescent="0.3">
      <c r="A840" s="1891" t="s">
        <v>3114</v>
      </c>
      <c r="B840" s="1898" t="s">
        <v>1990</v>
      </c>
      <c r="C840" s="1898" t="s">
        <v>1846</v>
      </c>
      <c r="D840" s="1898" t="s">
        <v>1986</v>
      </c>
      <c r="E840" s="1898" t="s">
        <v>1889</v>
      </c>
      <c r="F840" s="1898" t="s">
        <v>1890</v>
      </c>
      <c r="G840" s="1899">
        <v>11900000</v>
      </c>
      <c r="H840" s="1892"/>
    </row>
    <row r="841" spans="1:8" s="1893" customFormat="1" ht="23.25" customHeight="1" x14ac:dyDescent="0.3">
      <c r="A841" s="1891" t="s">
        <v>3114</v>
      </c>
      <c r="B841" s="1898" t="s">
        <v>1990</v>
      </c>
      <c r="C841" s="1898" t="s">
        <v>1846</v>
      </c>
      <c r="D841" s="1898" t="s">
        <v>1986</v>
      </c>
      <c r="E841" s="1898" t="s">
        <v>1889</v>
      </c>
      <c r="F841" s="1898" t="s">
        <v>1891</v>
      </c>
      <c r="G841" s="1899">
        <v>350000</v>
      </c>
      <c r="H841" s="1892"/>
    </row>
    <row r="842" spans="1:8" s="1893" customFormat="1" ht="23.25" customHeight="1" x14ac:dyDescent="0.3">
      <c r="A842" s="1891" t="s">
        <v>3114</v>
      </c>
      <c r="B842" s="1898" t="s">
        <v>1990</v>
      </c>
      <c r="C842" s="1898" t="s">
        <v>1846</v>
      </c>
      <c r="D842" s="1898" t="s">
        <v>1986</v>
      </c>
      <c r="E842" s="1898" t="s">
        <v>1889</v>
      </c>
      <c r="F842" s="1898" t="s">
        <v>1922</v>
      </c>
      <c r="G842" s="1899">
        <v>5461904</v>
      </c>
      <c r="H842" s="1892"/>
    </row>
    <row r="843" spans="1:8" s="1893" customFormat="1" ht="23.25" customHeight="1" x14ac:dyDescent="0.3">
      <c r="A843" s="1891" t="s">
        <v>3114</v>
      </c>
      <c r="B843" s="1898" t="s">
        <v>1990</v>
      </c>
      <c r="C843" s="1898" t="s">
        <v>1846</v>
      </c>
      <c r="D843" s="1898" t="s">
        <v>1986</v>
      </c>
      <c r="E843" s="1898" t="s">
        <v>1893</v>
      </c>
      <c r="F843" s="1898" t="s">
        <v>1894</v>
      </c>
      <c r="G843" s="1899">
        <v>5500000</v>
      </c>
      <c r="H843" s="1892"/>
    </row>
    <row r="844" spans="1:8" s="1893" customFormat="1" ht="23.25" customHeight="1" x14ac:dyDescent="0.3">
      <c r="A844" s="1891" t="s">
        <v>3114</v>
      </c>
      <c r="B844" s="1898" t="s">
        <v>1990</v>
      </c>
      <c r="C844" s="1898" t="s">
        <v>1846</v>
      </c>
      <c r="D844" s="1898" t="s">
        <v>1986</v>
      </c>
      <c r="E844" s="1898" t="s">
        <v>1893</v>
      </c>
      <c r="F844" s="1898" t="s">
        <v>2051</v>
      </c>
      <c r="G844" s="1899">
        <v>2600000</v>
      </c>
      <c r="H844" s="1892"/>
    </row>
    <row r="845" spans="1:8" s="1893" customFormat="1" ht="23.25" customHeight="1" x14ac:dyDescent="0.3">
      <c r="A845" s="1891" t="s">
        <v>3114</v>
      </c>
      <c r="B845" s="1898" t="s">
        <v>1990</v>
      </c>
      <c r="C845" s="1898" t="s">
        <v>1846</v>
      </c>
      <c r="D845" s="1898" t="s">
        <v>1986</v>
      </c>
      <c r="E845" s="1898" t="s">
        <v>1896</v>
      </c>
      <c r="F845" s="1898" t="s">
        <v>1900</v>
      </c>
      <c r="G845" s="1899">
        <v>4400000</v>
      </c>
      <c r="H845" s="1892"/>
    </row>
    <row r="846" spans="1:8" s="1893" customFormat="1" ht="23.25" customHeight="1" x14ac:dyDescent="0.3">
      <c r="A846" s="1891" t="s">
        <v>3114</v>
      </c>
      <c r="B846" s="1898" t="s">
        <v>1990</v>
      </c>
      <c r="C846" s="1898" t="s">
        <v>1846</v>
      </c>
      <c r="D846" s="1898" t="s">
        <v>1986</v>
      </c>
      <c r="E846" s="1898" t="s">
        <v>1912</v>
      </c>
      <c r="F846" s="1898" t="s">
        <v>1913</v>
      </c>
      <c r="G846" s="1899">
        <v>600000</v>
      </c>
      <c r="H846" s="1892"/>
    </row>
    <row r="847" spans="1:8" s="1893" customFormat="1" ht="23.25" customHeight="1" x14ac:dyDescent="0.3">
      <c r="A847" s="1891" t="s">
        <v>3114</v>
      </c>
      <c r="B847" s="1898" t="s">
        <v>1990</v>
      </c>
      <c r="C847" s="1898" t="s">
        <v>1846</v>
      </c>
      <c r="D847" s="1898" t="s">
        <v>1986</v>
      </c>
      <c r="E847" s="1898" t="s">
        <v>1912</v>
      </c>
      <c r="F847" s="1898" t="s">
        <v>1915</v>
      </c>
      <c r="G847" s="1899">
        <v>19702000</v>
      </c>
      <c r="H847" s="1892"/>
    </row>
    <row r="848" spans="1:8" s="1893" customFormat="1" ht="23.25" customHeight="1" x14ac:dyDescent="0.3">
      <c r="A848" s="1891" t="s">
        <v>3114</v>
      </c>
      <c r="B848" s="1898" t="s">
        <v>1990</v>
      </c>
      <c r="C848" s="1898" t="s">
        <v>1846</v>
      </c>
      <c r="D848" s="1898" t="s">
        <v>1986</v>
      </c>
      <c r="E848" s="1898" t="s">
        <v>1912</v>
      </c>
      <c r="F848" s="1898" t="s">
        <v>1916</v>
      </c>
      <c r="G848" s="1899">
        <v>31976000</v>
      </c>
      <c r="H848" s="1892"/>
    </row>
    <row r="849" spans="1:8" s="1893" customFormat="1" ht="23.25" customHeight="1" x14ac:dyDescent="0.3">
      <c r="A849" s="1891" t="s">
        <v>3114</v>
      </c>
      <c r="B849" s="1898" t="s">
        <v>1991</v>
      </c>
      <c r="C849" s="1898" t="s">
        <v>1846</v>
      </c>
      <c r="D849" s="1898" t="s">
        <v>1986</v>
      </c>
      <c r="E849" s="1898" t="s">
        <v>1848</v>
      </c>
      <c r="F849" s="1898" t="s">
        <v>1849</v>
      </c>
      <c r="G849" s="1899">
        <v>172720812</v>
      </c>
      <c r="H849" s="1892"/>
    </row>
    <row r="850" spans="1:8" s="1893" customFormat="1" ht="23.25" customHeight="1" x14ac:dyDescent="0.3">
      <c r="A850" s="1891" t="s">
        <v>3114</v>
      </c>
      <c r="B850" s="1898" t="s">
        <v>1991</v>
      </c>
      <c r="C850" s="1898" t="s">
        <v>1846</v>
      </c>
      <c r="D850" s="1898" t="s">
        <v>1986</v>
      </c>
      <c r="E850" s="1898" t="s">
        <v>1853</v>
      </c>
      <c r="F850" s="1898" t="s">
        <v>1854</v>
      </c>
      <c r="G850" s="1899">
        <v>8940000</v>
      </c>
      <c r="H850" s="1892"/>
    </row>
    <row r="851" spans="1:8" s="1893" customFormat="1" ht="23.25" customHeight="1" x14ac:dyDescent="0.3">
      <c r="A851" s="1891" t="s">
        <v>3114</v>
      </c>
      <c r="B851" s="1898" t="s">
        <v>1991</v>
      </c>
      <c r="C851" s="1898" t="s">
        <v>1846</v>
      </c>
      <c r="D851" s="1898" t="s">
        <v>1986</v>
      </c>
      <c r="E851" s="1898" t="s">
        <v>1853</v>
      </c>
      <c r="F851" s="1898" t="s">
        <v>1855</v>
      </c>
      <c r="G851" s="1899">
        <v>8940000</v>
      </c>
      <c r="H851" s="1892"/>
    </row>
    <row r="852" spans="1:8" s="1893" customFormat="1" ht="23.25" customHeight="1" x14ac:dyDescent="0.3">
      <c r="A852" s="1891" t="s">
        <v>3114</v>
      </c>
      <c r="B852" s="1898" t="s">
        <v>1991</v>
      </c>
      <c r="C852" s="1898" t="s">
        <v>1846</v>
      </c>
      <c r="D852" s="1898" t="s">
        <v>1986</v>
      </c>
      <c r="E852" s="1898" t="s">
        <v>1853</v>
      </c>
      <c r="F852" s="1898" t="s">
        <v>1856</v>
      </c>
      <c r="G852" s="1899">
        <v>8124454</v>
      </c>
      <c r="H852" s="1892"/>
    </row>
    <row r="853" spans="1:8" s="1893" customFormat="1" ht="23.25" customHeight="1" x14ac:dyDescent="0.3">
      <c r="A853" s="1891" t="s">
        <v>3114</v>
      </c>
      <c r="B853" s="1898" t="s">
        <v>1991</v>
      </c>
      <c r="C853" s="1898" t="s">
        <v>1846</v>
      </c>
      <c r="D853" s="1898" t="s">
        <v>1986</v>
      </c>
      <c r="E853" s="1898" t="s">
        <v>1853</v>
      </c>
      <c r="F853" s="1898" t="s">
        <v>1977</v>
      </c>
      <c r="G853" s="1899">
        <v>54534000</v>
      </c>
      <c r="H853" s="1892"/>
    </row>
    <row r="854" spans="1:8" s="1893" customFormat="1" ht="23.25" customHeight="1" x14ac:dyDescent="0.3">
      <c r="A854" s="1891" t="s">
        <v>3114</v>
      </c>
      <c r="B854" s="1898" t="s">
        <v>1991</v>
      </c>
      <c r="C854" s="1898" t="s">
        <v>1846</v>
      </c>
      <c r="D854" s="1898" t="s">
        <v>1986</v>
      </c>
      <c r="E854" s="1898" t="s">
        <v>1853</v>
      </c>
      <c r="F854" s="1898" t="s">
        <v>1859</v>
      </c>
      <c r="G854" s="1899">
        <v>45415200</v>
      </c>
      <c r="H854" s="1892"/>
    </row>
    <row r="855" spans="1:8" s="1893" customFormat="1" ht="23.25" customHeight="1" x14ac:dyDescent="0.3">
      <c r="A855" s="1891" t="s">
        <v>3114</v>
      </c>
      <c r="B855" s="1898" t="s">
        <v>1991</v>
      </c>
      <c r="C855" s="1898" t="s">
        <v>1846</v>
      </c>
      <c r="D855" s="1898" t="s">
        <v>1986</v>
      </c>
      <c r="E855" s="1898" t="s">
        <v>1853</v>
      </c>
      <c r="F855" s="1898" t="s">
        <v>1939</v>
      </c>
      <c r="G855" s="1899">
        <v>5721600</v>
      </c>
      <c r="H855" s="1892"/>
    </row>
    <row r="856" spans="1:8" s="1893" customFormat="1" ht="23.25" customHeight="1" x14ac:dyDescent="0.3">
      <c r="A856" s="1891" t="s">
        <v>3114</v>
      </c>
      <c r="B856" s="1898" t="s">
        <v>1991</v>
      </c>
      <c r="C856" s="1898" t="s">
        <v>1846</v>
      </c>
      <c r="D856" s="1898" t="s">
        <v>1986</v>
      </c>
      <c r="E856" s="1898" t="s">
        <v>1860</v>
      </c>
      <c r="F856" s="1898" t="s">
        <v>1861</v>
      </c>
      <c r="G856" s="1899">
        <v>17450000</v>
      </c>
      <c r="H856" s="1892"/>
    </row>
    <row r="857" spans="1:8" s="1893" customFormat="1" ht="23.25" customHeight="1" x14ac:dyDescent="0.3">
      <c r="A857" s="1891" t="s">
        <v>3114</v>
      </c>
      <c r="B857" s="1898" t="s">
        <v>1991</v>
      </c>
      <c r="C857" s="1898" t="s">
        <v>1846</v>
      </c>
      <c r="D857" s="1898" t="s">
        <v>1986</v>
      </c>
      <c r="E857" s="1898" t="s">
        <v>1860</v>
      </c>
      <c r="F857" s="1898" t="s">
        <v>2775</v>
      </c>
      <c r="G857" s="1899">
        <v>600000</v>
      </c>
      <c r="H857" s="1892"/>
    </row>
    <row r="858" spans="1:8" s="1893" customFormat="1" ht="23.25" customHeight="1" x14ac:dyDescent="0.3">
      <c r="A858" s="1891" t="s">
        <v>3114</v>
      </c>
      <c r="B858" s="1898" t="s">
        <v>1991</v>
      </c>
      <c r="C858" s="1898" t="s">
        <v>1846</v>
      </c>
      <c r="D858" s="1898" t="s">
        <v>1986</v>
      </c>
      <c r="E858" s="1898" t="s">
        <v>1862</v>
      </c>
      <c r="F858" s="1898" t="s">
        <v>1863</v>
      </c>
      <c r="G858" s="1899">
        <v>10419576</v>
      </c>
      <c r="H858" s="1892"/>
    </row>
    <row r="859" spans="1:8" s="1893" customFormat="1" ht="23.25" customHeight="1" x14ac:dyDescent="0.3">
      <c r="A859" s="1891" t="s">
        <v>3114</v>
      </c>
      <c r="B859" s="1898" t="s">
        <v>1991</v>
      </c>
      <c r="C859" s="1898" t="s">
        <v>1846</v>
      </c>
      <c r="D859" s="1898" t="s">
        <v>1986</v>
      </c>
      <c r="E859" s="1898" t="s">
        <v>1862</v>
      </c>
      <c r="F859" s="1898" t="s">
        <v>1864</v>
      </c>
      <c r="G859" s="1899">
        <v>1786200</v>
      </c>
      <c r="H859" s="1892"/>
    </row>
    <row r="860" spans="1:8" s="1893" customFormat="1" ht="23.25" customHeight="1" x14ac:dyDescent="0.3">
      <c r="A860" s="1891" t="s">
        <v>3114</v>
      </c>
      <c r="B860" s="1898" t="s">
        <v>1991</v>
      </c>
      <c r="C860" s="1898" t="s">
        <v>1846</v>
      </c>
      <c r="D860" s="1898" t="s">
        <v>1986</v>
      </c>
      <c r="E860" s="1898" t="s">
        <v>1862</v>
      </c>
      <c r="F860" s="1898" t="s">
        <v>1865</v>
      </c>
      <c r="G860" s="1899">
        <v>1190400</v>
      </c>
      <c r="H860" s="1892"/>
    </row>
    <row r="861" spans="1:8" s="1893" customFormat="1" ht="23.25" customHeight="1" x14ac:dyDescent="0.3">
      <c r="A861" s="1891" t="s">
        <v>3114</v>
      </c>
      <c r="B861" s="1898" t="s">
        <v>1991</v>
      </c>
      <c r="C861" s="1898" t="s">
        <v>1846</v>
      </c>
      <c r="D861" s="1898" t="s">
        <v>1986</v>
      </c>
      <c r="E861" s="1898" t="s">
        <v>1867</v>
      </c>
      <c r="F861" s="1898" t="s">
        <v>1868</v>
      </c>
      <c r="G861" s="1899">
        <v>18769210</v>
      </c>
      <c r="H861" s="1892"/>
    </row>
    <row r="862" spans="1:8" s="1893" customFormat="1" ht="23.25" customHeight="1" x14ac:dyDescent="0.3">
      <c r="A862" s="1891" t="s">
        <v>3114</v>
      </c>
      <c r="B862" s="1898" t="s">
        <v>1991</v>
      </c>
      <c r="C862" s="1898" t="s">
        <v>1846</v>
      </c>
      <c r="D862" s="1898" t="s">
        <v>1986</v>
      </c>
      <c r="E862" s="1898" t="s">
        <v>1869</v>
      </c>
      <c r="F862" s="1898" t="s">
        <v>1870</v>
      </c>
      <c r="G862" s="1899">
        <v>4337100</v>
      </c>
      <c r="H862" s="1892"/>
    </row>
    <row r="863" spans="1:8" s="1893" customFormat="1" ht="23.25" customHeight="1" x14ac:dyDescent="0.3">
      <c r="A863" s="1891" t="s">
        <v>3114</v>
      </c>
      <c r="B863" s="1898" t="s">
        <v>1991</v>
      </c>
      <c r="C863" s="1898" t="s">
        <v>1846</v>
      </c>
      <c r="D863" s="1898" t="s">
        <v>1986</v>
      </c>
      <c r="E863" s="1898" t="s">
        <v>1869</v>
      </c>
      <c r="F863" s="1898" t="s">
        <v>1871</v>
      </c>
      <c r="G863" s="1899">
        <v>317300</v>
      </c>
      <c r="H863" s="1892"/>
    </row>
    <row r="864" spans="1:8" s="1893" customFormat="1" ht="23.25" customHeight="1" x14ac:dyDescent="0.3">
      <c r="A864" s="1891" t="s">
        <v>3114</v>
      </c>
      <c r="B864" s="1898" t="s">
        <v>1991</v>
      </c>
      <c r="C864" s="1898" t="s">
        <v>1846</v>
      </c>
      <c r="D864" s="1898" t="s">
        <v>1986</v>
      </c>
      <c r="E864" s="1898" t="s">
        <v>1869</v>
      </c>
      <c r="F864" s="1898" t="s">
        <v>1873</v>
      </c>
      <c r="G864" s="1899">
        <v>220000</v>
      </c>
      <c r="H864" s="1892"/>
    </row>
    <row r="865" spans="1:8" s="1893" customFormat="1" ht="23.25" customHeight="1" x14ac:dyDescent="0.3">
      <c r="A865" s="1891" t="s">
        <v>3114</v>
      </c>
      <c r="B865" s="1898" t="s">
        <v>1991</v>
      </c>
      <c r="C865" s="1898" t="s">
        <v>1846</v>
      </c>
      <c r="D865" s="1898" t="s">
        <v>1986</v>
      </c>
      <c r="E865" s="1898" t="s">
        <v>1874</v>
      </c>
      <c r="F865" s="1898" t="s">
        <v>1875</v>
      </c>
      <c r="G865" s="1899">
        <v>2590000</v>
      </c>
      <c r="H865" s="1892"/>
    </row>
    <row r="866" spans="1:8" s="1893" customFormat="1" ht="23.25" customHeight="1" x14ac:dyDescent="0.3">
      <c r="A866" s="1891" t="s">
        <v>3114</v>
      </c>
      <c r="B866" s="1898" t="s">
        <v>1991</v>
      </c>
      <c r="C866" s="1898" t="s">
        <v>1846</v>
      </c>
      <c r="D866" s="1898" t="s">
        <v>1986</v>
      </c>
      <c r="E866" s="1898" t="s">
        <v>1874</v>
      </c>
      <c r="F866" s="1898" t="s">
        <v>1877</v>
      </c>
      <c r="G866" s="1899">
        <v>1600000</v>
      </c>
      <c r="H866" s="1892"/>
    </row>
    <row r="867" spans="1:8" s="1893" customFormat="1" ht="23.25" customHeight="1" x14ac:dyDescent="0.3">
      <c r="A867" s="1891" t="s">
        <v>3114</v>
      </c>
      <c r="B867" s="1898" t="s">
        <v>1991</v>
      </c>
      <c r="C867" s="1898" t="s">
        <v>1846</v>
      </c>
      <c r="D867" s="1898" t="s">
        <v>1986</v>
      </c>
      <c r="E867" s="1898" t="s">
        <v>1878</v>
      </c>
      <c r="F867" s="1898" t="s">
        <v>1879</v>
      </c>
      <c r="G867" s="1899">
        <v>274200</v>
      </c>
      <c r="H867" s="1892"/>
    </row>
    <row r="868" spans="1:8" s="1893" customFormat="1" ht="23.25" customHeight="1" x14ac:dyDescent="0.3">
      <c r="A868" s="1891" t="s">
        <v>3114</v>
      </c>
      <c r="B868" s="1898" t="s">
        <v>1991</v>
      </c>
      <c r="C868" s="1898" t="s">
        <v>1846</v>
      </c>
      <c r="D868" s="1898" t="s">
        <v>1986</v>
      </c>
      <c r="E868" s="1898" t="s">
        <v>1878</v>
      </c>
      <c r="F868" s="1898" t="s">
        <v>1881</v>
      </c>
      <c r="G868" s="1899">
        <v>2640000</v>
      </c>
      <c r="H868" s="1892"/>
    </row>
    <row r="869" spans="1:8" s="1893" customFormat="1" ht="23.25" customHeight="1" x14ac:dyDescent="0.3">
      <c r="A869" s="1891" t="s">
        <v>3114</v>
      </c>
      <c r="B869" s="1898" t="s">
        <v>1991</v>
      </c>
      <c r="C869" s="1898" t="s">
        <v>1846</v>
      </c>
      <c r="D869" s="1898" t="s">
        <v>1986</v>
      </c>
      <c r="E869" s="1898" t="s">
        <v>1878</v>
      </c>
      <c r="F869" s="1898" t="s">
        <v>1883</v>
      </c>
      <c r="G869" s="1899">
        <v>472400</v>
      </c>
      <c r="H869" s="1892"/>
    </row>
    <row r="870" spans="1:8" s="1893" customFormat="1" ht="23.25" customHeight="1" x14ac:dyDescent="0.3">
      <c r="A870" s="1891" t="s">
        <v>3114</v>
      </c>
      <c r="B870" s="1898" t="s">
        <v>1991</v>
      </c>
      <c r="C870" s="1898" t="s">
        <v>1846</v>
      </c>
      <c r="D870" s="1898" t="s">
        <v>1986</v>
      </c>
      <c r="E870" s="1898" t="s">
        <v>1885</v>
      </c>
      <c r="F870" s="1898" t="s">
        <v>1925</v>
      </c>
      <c r="G870" s="1899">
        <v>3850000</v>
      </c>
      <c r="H870" s="1892"/>
    </row>
    <row r="871" spans="1:8" s="1893" customFormat="1" ht="23.25" customHeight="1" x14ac:dyDescent="0.3">
      <c r="A871" s="1891" t="s">
        <v>3114</v>
      </c>
      <c r="B871" s="1898" t="s">
        <v>1991</v>
      </c>
      <c r="C871" s="1898" t="s">
        <v>1846</v>
      </c>
      <c r="D871" s="1898" t="s">
        <v>1986</v>
      </c>
      <c r="E871" s="1898" t="s">
        <v>1885</v>
      </c>
      <c r="F871" s="1898" t="s">
        <v>1926</v>
      </c>
      <c r="G871" s="1899">
        <v>600000</v>
      </c>
      <c r="H871" s="1892"/>
    </row>
    <row r="872" spans="1:8" s="1893" customFormat="1" ht="23.25" customHeight="1" x14ac:dyDescent="0.3">
      <c r="A872" s="1891" t="s">
        <v>3114</v>
      </c>
      <c r="B872" s="1898" t="s">
        <v>1991</v>
      </c>
      <c r="C872" s="1898" t="s">
        <v>1846</v>
      </c>
      <c r="D872" s="1898" t="s">
        <v>1986</v>
      </c>
      <c r="E872" s="1898" t="s">
        <v>1885</v>
      </c>
      <c r="F872" s="1898" t="s">
        <v>1927</v>
      </c>
      <c r="G872" s="1899">
        <v>3550000</v>
      </c>
      <c r="H872" s="1892"/>
    </row>
    <row r="873" spans="1:8" s="1893" customFormat="1" ht="23.25" customHeight="1" x14ac:dyDescent="0.3">
      <c r="A873" s="1891" t="s">
        <v>3114</v>
      </c>
      <c r="B873" s="1898" t="s">
        <v>1991</v>
      </c>
      <c r="C873" s="1898" t="s">
        <v>1846</v>
      </c>
      <c r="D873" s="1898" t="s">
        <v>1986</v>
      </c>
      <c r="E873" s="1898" t="s">
        <v>1885</v>
      </c>
      <c r="F873" s="1898" t="s">
        <v>1887</v>
      </c>
      <c r="G873" s="1899">
        <v>19020000</v>
      </c>
      <c r="H873" s="1892"/>
    </row>
    <row r="874" spans="1:8" s="1893" customFormat="1" ht="23.25" customHeight="1" x14ac:dyDescent="0.3">
      <c r="A874" s="1891" t="s">
        <v>3114</v>
      </c>
      <c r="B874" s="1898" t="s">
        <v>1991</v>
      </c>
      <c r="C874" s="1898" t="s">
        <v>1846</v>
      </c>
      <c r="D874" s="1898" t="s">
        <v>1986</v>
      </c>
      <c r="E874" s="1898" t="s">
        <v>1885</v>
      </c>
      <c r="F874" s="1898" t="s">
        <v>1888</v>
      </c>
      <c r="G874" s="1899">
        <v>11730000</v>
      </c>
      <c r="H874" s="1892"/>
    </row>
    <row r="875" spans="1:8" s="1893" customFormat="1" ht="23.25" customHeight="1" x14ac:dyDescent="0.3">
      <c r="A875" s="1891" t="s">
        <v>3114</v>
      </c>
      <c r="B875" s="1898" t="s">
        <v>1991</v>
      </c>
      <c r="C875" s="1898" t="s">
        <v>1846</v>
      </c>
      <c r="D875" s="1898" t="s">
        <v>1986</v>
      </c>
      <c r="E875" s="1898" t="s">
        <v>1889</v>
      </c>
      <c r="F875" s="1898" t="s">
        <v>1890</v>
      </c>
      <c r="G875" s="1899">
        <v>700000</v>
      </c>
      <c r="H875" s="1892"/>
    </row>
    <row r="876" spans="1:8" s="1893" customFormat="1" ht="23.25" customHeight="1" x14ac:dyDescent="0.3">
      <c r="A876" s="1891" t="s">
        <v>3114</v>
      </c>
      <c r="B876" s="1898" t="s">
        <v>1991</v>
      </c>
      <c r="C876" s="1898" t="s">
        <v>1846</v>
      </c>
      <c r="D876" s="1898" t="s">
        <v>1986</v>
      </c>
      <c r="E876" s="1898" t="s">
        <v>1889</v>
      </c>
      <c r="F876" s="1898" t="s">
        <v>1891</v>
      </c>
      <c r="G876" s="1899">
        <v>350000</v>
      </c>
      <c r="H876" s="1892"/>
    </row>
    <row r="877" spans="1:8" s="1893" customFormat="1" ht="23.25" customHeight="1" x14ac:dyDescent="0.3">
      <c r="A877" s="1891" t="s">
        <v>3114</v>
      </c>
      <c r="B877" s="1898" t="s">
        <v>1991</v>
      </c>
      <c r="C877" s="1898" t="s">
        <v>1846</v>
      </c>
      <c r="D877" s="1898" t="s">
        <v>1986</v>
      </c>
      <c r="E877" s="1898" t="s">
        <v>1889</v>
      </c>
      <c r="F877" s="1898" t="s">
        <v>1892</v>
      </c>
      <c r="G877" s="1899">
        <v>18000000</v>
      </c>
      <c r="H877" s="1892"/>
    </row>
    <row r="878" spans="1:8" s="1893" customFormat="1" ht="23.25" customHeight="1" x14ac:dyDescent="0.3">
      <c r="A878" s="1891" t="s">
        <v>3114</v>
      </c>
      <c r="B878" s="1898" t="s">
        <v>1991</v>
      </c>
      <c r="C878" s="1898" t="s">
        <v>1846</v>
      </c>
      <c r="D878" s="1898" t="s">
        <v>1986</v>
      </c>
      <c r="E878" s="1898" t="s">
        <v>1889</v>
      </c>
      <c r="F878" s="1898" t="s">
        <v>1922</v>
      </c>
      <c r="G878" s="1899">
        <v>335748</v>
      </c>
      <c r="H878" s="1892"/>
    </row>
    <row r="879" spans="1:8" s="1893" customFormat="1" ht="23.25" customHeight="1" x14ac:dyDescent="0.3">
      <c r="A879" s="1891" t="s">
        <v>3114</v>
      </c>
      <c r="B879" s="1898" t="s">
        <v>1991</v>
      </c>
      <c r="C879" s="1898" t="s">
        <v>1846</v>
      </c>
      <c r="D879" s="1898" t="s">
        <v>1986</v>
      </c>
      <c r="E879" s="1898" t="s">
        <v>1893</v>
      </c>
      <c r="F879" s="1898" t="s">
        <v>1894</v>
      </c>
      <c r="G879" s="1899">
        <v>2000000</v>
      </c>
      <c r="H879" s="1892"/>
    </row>
    <row r="880" spans="1:8" s="1893" customFormat="1" ht="23.25" customHeight="1" x14ac:dyDescent="0.3">
      <c r="A880" s="1891" t="s">
        <v>3114</v>
      </c>
      <c r="B880" s="1898" t="s">
        <v>1991</v>
      </c>
      <c r="C880" s="1898" t="s">
        <v>1846</v>
      </c>
      <c r="D880" s="1898" t="s">
        <v>1986</v>
      </c>
      <c r="E880" s="1898" t="s">
        <v>1893</v>
      </c>
      <c r="F880" s="1898" t="s">
        <v>2051</v>
      </c>
      <c r="G880" s="1899">
        <v>2600000</v>
      </c>
      <c r="H880" s="1892"/>
    </row>
    <row r="881" spans="1:8" s="1893" customFormat="1" ht="23.25" customHeight="1" x14ac:dyDescent="0.3">
      <c r="A881" s="1891" t="s">
        <v>3114</v>
      </c>
      <c r="B881" s="1898" t="s">
        <v>1991</v>
      </c>
      <c r="C881" s="1898" t="s">
        <v>1846</v>
      </c>
      <c r="D881" s="1898" t="s">
        <v>1986</v>
      </c>
      <c r="E881" s="1898" t="s">
        <v>1896</v>
      </c>
      <c r="F881" s="1898" t="s">
        <v>1900</v>
      </c>
      <c r="G881" s="1899">
        <v>1020000</v>
      </c>
      <c r="H881" s="1892"/>
    </row>
    <row r="882" spans="1:8" s="1893" customFormat="1" ht="23.25" customHeight="1" x14ac:dyDescent="0.3">
      <c r="A882" s="1891" t="s">
        <v>3114</v>
      </c>
      <c r="B882" s="1898" t="s">
        <v>1991</v>
      </c>
      <c r="C882" s="1898" t="s">
        <v>1846</v>
      </c>
      <c r="D882" s="1898" t="s">
        <v>1986</v>
      </c>
      <c r="E882" s="1898" t="s">
        <v>1906</v>
      </c>
      <c r="F882" s="1898" t="s">
        <v>1909</v>
      </c>
      <c r="G882" s="1899">
        <v>1643000</v>
      </c>
      <c r="H882" s="1892"/>
    </row>
    <row r="883" spans="1:8" s="1893" customFormat="1" ht="23.25" customHeight="1" x14ac:dyDescent="0.3">
      <c r="A883" s="1891" t="s">
        <v>3114</v>
      </c>
      <c r="B883" s="1898" t="s">
        <v>1991</v>
      </c>
      <c r="C883" s="1898" t="s">
        <v>1846</v>
      </c>
      <c r="D883" s="1898" t="s">
        <v>1986</v>
      </c>
      <c r="E883" s="1898" t="s">
        <v>1912</v>
      </c>
      <c r="F883" s="1898" t="s">
        <v>1913</v>
      </c>
      <c r="G883" s="1899">
        <v>600000</v>
      </c>
      <c r="H883" s="1892"/>
    </row>
    <row r="884" spans="1:8" s="1893" customFormat="1" ht="23.25" customHeight="1" x14ac:dyDescent="0.3">
      <c r="A884" s="1891" t="s">
        <v>3114</v>
      </c>
      <c r="B884" s="1898" t="s">
        <v>1991</v>
      </c>
      <c r="C884" s="1898" t="s">
        <v>1846</v>
      </c>
      <c r="D884" s="1898" t="s">
        <v>1986</v>
      </c>
      <c r="E884" s="1898" t="s">
        <v>1912</v>
      </c>
      <c r="F884" s="1898" t="s">
        <v>1915</v>
      </c>
      <c r="G884" s="1899">
        <v>14260000</v>
      </c>
      <c r="H884" s="1892"/>
    </row>
    <row r="885" spans="1:8" s="1893" customFormat="1" ht="23.25" customHeight="1" x14ac:dyDescent="0.3">
      <c r="A885" s="1891" t="s">
        <v>3114</v>
      </c>
      <c r="B885" s="1898" t="s">
        <v>1991</v>
      </c>
      <c r="C885" s="1898" t="s">
        <v>1846</v>
      </c>
      <c r="D885" s="1898" t="s">
        <v>1986</v>
      </c>
      <c r="E885" s="1898" t="s">
        <v>1912</v>
      </c>
      <c r="F885" s="1898" t="s">
        <v>1916</v>
      </c>
      <c r="G885" s="1899">
        <v>850000</v>
      </c>
      <c r="H885" s="1892"/>
    </row>
    <row r="886" spans="1:8" s="1893" customFormat="1" ht="23.25" customHeight="1" x14ac:dyDescent="0.3">
      <c r="A886" s="1891" t="s">
        <v>3114</v>
      </c>
      <c r="B886" s="1898" t="s">
        <v>1992</v>
      </c>
      <c r="C886" s="1898" t="s">
        <v>1972</v>
      </c>
      <c r="D886" s="1898" t="s">
        <v>2235</v>
      </c>
      <c r="E886" s="1898" t="s">
        <v>3110</v>
      </c>
      <c r="F886" s="1898" t="s">
        <v>3110</v>
      </c>
      <c r="G886" s="1899">
        <v>0</v>
      </c>
      <c r="H886" s="1892"/>
    </row>
    <row r="887" spans="1:8" s="1893" customFormat="1" ht="23.25" customHeight="1" x14ac:dyDescent="0.3">
      <c r="A887" s="1891" t="s">
        <v>3114</v>
      </c>
      <c r="B887" s="1898" t="s">
        <v>1992</v>
      </c>
      <c r="C887" s="1898" t="s">
        <v>1972</v>
      </c>
      <c r="D887" s="1898" t="s">
        <v>2235</v>
      </c>
      <c r="E887" s="1898" t="s">
        <v>1848</v>
      </c>
      <c r="F887" s="1898" t="s">
        <v>1849</v>
      </c>
      <c r="G887" s="1899">
        <v>83142011</v>
      </c>
      <c r="H887" s="1892"/>
    </row>
    <row r="888" spans="1:8" s="1893" customFormat="1" ht="23.25" customHeight="1" x14ac:dyDescent="0.3">
      <c r="A888" s="1891" t="s">
        <v>3114</v>
      </c>
      <c r="B888" s="1898" t="s">
        <v>1992</v>
      </c>
      <c r="C888" s="1898" t="s">
        <v>1972</v>
      </c>
      <c r="D888" s="1898" t="s">
        <v>2235</v>
      </c>
      <c r="E888" s="1898" t="s">
        <v>1853</v>
      </c>
      <c r="F888" s="1898" t="s">
        <v>1855</v>
      </c>
      <c r="G888" s="1899">
        <v>8940000</v>
      </c>
      <c r="H888" s="1892"/>
    </row>
    <row r="889" spans="1:8" s="1893" customFormat="1" ht="23.25" customHeight="1" x14ac:dyDescent="0.3">
      <c r="A889" s="1891" t="s">
        <v>3114</v>
      </c>
      <c r="B889" s="1898" t="s">
        <v>1992</v>
      </c>
      <c r="C889" s="1898" t="s">
        <v>1972</v>
      </c>
      <c r="D889" s="1898" t="s">
        <v>2235</v>
      </c>
      <c r="E889" s="1898" t="s">
        <v>1853</v>
      </c>
      <c r="F889" s="1898" t="s">
        <v>1856</v>
      </c>
      <c r="G889" s="1899">
        <v>16289258</v>
      </c>
      <c r="H889" s="1892"/>
    </row>
    <row r="890" spans="1:8" s="1893" customFormat="1" ht="23.25" customHeight="1" x14ac:dyDescent="0.3">
      <c r="A890" s="1891" t="s">
        <v>3114</v>
      </c>
      <c r="B890" s="1898" t="s">
        <v>1992</v>
      </c>
      <c r="C890" s="1898" t="s">
        <v>1972</v>
      </c>
      <c r="D890" s="1898" t="s">
        <v>2235</v>
      </c>
      <c r="E890" s="1898" t="s">
        <v>1853</v>
      </c>
      <c r="F890" s="1898" t="s">
        <v>1939</v>
      </c>
      <c r="G890" s="1899">
        <v>8940000</v>
      </c>
      <c r="H890" s="1892"/>
    </row>
    <row r="891" spans="1:8" s="1893" customFormat="1" ht="23.25" customHeight="1" x14ac:dyDescent="0.3">
      <c r="A891" s="1891" t="s">
        <v>3114</v>
      </c>
      <c r="B891" s="1898" t="s">
        <v>1992</v>
      </c>
      <c r="C891" s="1898" t="s">
        <v>1972</v>
      </c>
      <c r="D891" s="1898" t="s">
        <v>2235</v>
      </c>
      <c r="E891" s="1898" t="s">
        <v>1860</v>
      </c>
      <c r="F891" s="1898" t="s">
        <v>1861</v>
      </c>
      <c r="G891" s="1899">
        <v>6750000</v>
      </c>
      <c r="H891" s="1892"/>
    </row>
    <row r="892" spans="1:8" s="1893" customFormat="1" ht="23.25" customHeight="1" x14ac:dyDescent="0.3">
      <c r="A892" s="1891" t="s">
        <v>3114</v>
      </c>
      <c r="B892" s="1898" t="s">
        <v>1992</v>
      </c>
      <c r="C892" s="1898" t="s">
        <v>1972</v>
      </c>
      <c r="D892" s="1898" t="s">
        <v>2235</v>
      </c>
      <c r="E892" s="1898" t="s">
        <v>1862</v>
      </c>
      <c r="F892" s="1898" t="s">
        <v>1863</v>
      </c>
      <c r="G892" s="1899">
        <v>14549855</v>
      </c>
      <c r="H892" s="1892"/>
    </row>
    <row r="893" spans="1:8" s="1893" customFormat="1" ht="23.25" customHeight="1" x14ac:dyDescent="0.3">
      <c r="A893" s="1891" t="s">
        <v>3114</v>
      </c>
      <c r="B893" s="1898" t="s">
        <v>1992</v>
      </c>
      <c r="C893" s="1898" t="s">
        <v>1972</v>
      </c>
      <c r="D893" s="1898" t="s">
        <v>2235</v>
      </c>
      <c r="E893" s="1898" t="s">
        <v>1862</v>
      </c>
      <c r="F893" s="1898" t="s">
        <v>1864</v>
      </c>
      <c r="G893" s="1899">
        <v>2494250</v>
      </c>
      <c r="H893" s="1892"/>
    </row>
    <row r="894" spans="1:8" s="1893" customFormat="1" ht="23.25" customHeight="1" x14ac:dyDescent="0.3">
      <c r="A894" s="1891" t="s">
        <v>3114</v>
      </c>
      <c r="B894" s="1898" t="s">
        <v>1992</v>
      </c>
      <c r="C894" s="1898" t="s">
        <v>1972</v>
      </c>
      <c r="D894" s="1898" t="s">
        <v>2235</v>
      </c>
      <c r="E894" s="1898" t="s">
        <v>1862</v>
      </c>
      <c r="F894" s="1898" t="s">
        <v>1865</v>
      </c>
      <c r="G894" s="1899">
        <v>1662840</v>
      </c>
      <c r="H894" s="1892"/>
    </row>
    <row r="895" spans="1:8" s="1893" customFormat="1" ht="23.25" customHeight="1" x14ac:dyDescent="0.3">
      <c r="A895" s="1891" t="s">
        <v>3114</v>
      </c>
      <c r="B895" s="1898" t="s">
        <v>1992</v>
      </c>
      <c r="C895" s="1898" t="s">
        <v>1972</v>
      </c>
      <c r="D895" s="1898" t="s">
        <v>2235</v>
      </c>
      <c r="E895" s="1898" t="s">
        <v>1869</v>
      </c>
      <c r="F895" s="1898" t="s">
        <v>1872</v>
      </c>
      <c r="G895" s="1899">
        <v>690960</v>
      </c>
      <c r="H895" s="1892"/>
    </row>
    <row r="896" spans="1:8" s="1893" customFormat="1" ht="23.25" customHeight="1" x14ac:dyDescent="0.3">
      <c r="A896" s="1891" t="s">
        <v>3114</v>
      </c>
      <c r="B896" s="1898" t="s">
        <v>1992</v>
      </c>
      <c r="C896" s="1898" t="s">
        <v>1972</v>
      </c>
      <c r="D896" s="1898" t="s">
        <v>2235</v>
      </c>
      <c r="E896" s="1898" t="s">
        <v>1874</v>
      </c>
      <c r="F896" s="1898" t="s">
        <v>1875</v>
      </c>
      <c r="G896" s="1899">
        <v>974900</v>
      </c>
      <c r="H896" s="1892"/>
    </row>
    <row r="897" spans="1:8" s="1893" customFormat="1" ht="23.25" customHeight="1" x14ac:dyDescent="0.3">
      <c r="A897" s="1891" t="s">
        <v>3114</v>
      </c>
      <c r="B897" s="1898" t="s">
        <v>1992</v>
      </c>
      <c r="C897" s="1898" t="s">
        <v>1972</v>
      </c>
      <c r="D897" s="1898" t="s">
        <v>2235</v>
      </c>
      <c r="E897" s="1898" t="s">
        <v>1885</v>
      </c>
      <c r="F897" s="1898" t="s">
        <v>1926</v>
      </c>
      <c r="G897" s="1899">
        <v>1200000</v>
      </c>
      <c r="H897" s="1892"/>
    </row>
    <row r="898" spans="1:8" s="1893" customFormat="1" ht="23.25" customHeight="1" x14ac:dyDescent="0.3">
      <c r="A898" s="1891" t="s">
        <v>3114</v>
      </c>
      <c r="B898" s="1898" t="s">
        <v>1992</v>
      </c>
      <c r="C898" s="1898" t="s">
        <v>1972</v>
      </c>
      <c r="D898" s="1898" t="s">
        <v>2235</v>
      </c>
      <c r="E898" s="1898" t="s">
        <v>1885</v>
      </c>
      <c r="F898" s="1898" t="s">
        <v>1887</v>
      </c>
      <c r="G898" s="1899">
        <v>14250000</v>
      </c>
      <c r="H898" s="1892"/>
    </row>
    <row r="899" spans="1:8" s="1893" customFormat="1" ht="23.25" customHeight="1" x14ac:dyDescent="0.3">
      <c r="A899" s="1891" t="s">
        <v>3114</v>
      </c>
      <c r="B899" s="1898" t="s">
        <v>1992</v>
      </c>
      <c r="C899" s="1898" t="s">
        <v>1972</v>
      </c>
      <c r="D899" s="1898" t="s">
        <v>2235</v>
      </c>
      <c r="E899" s="1898" t="s">
        <v>1885</v>
      </c>
      <c r="F899" s="1898" t="s">
        <v>1888</v>
      </c>
      <c r="G899" s="1899">
        <v>20735000</v>
      </c>
      <c r="H899" s="1892"/>
    </row>
    <row r="900" spans="1:8" s="1893" customFormat="1" ht="23.25" customHeight="1" x14ac:dyDescent="0.3">
      <c r="A900" s="1891" t="s">
        <v>3114</v>
      </c>
      <c r="B900" s="1898" t="s">
        <v>1992</v>
      </c>
      <c r="C900" s="1898" t="s">
        <v>1972</v>
      </c>
      <c r="D900" s="1898" t="s">
        <v>2235</v>
      </c>
      <c r="E900" s="1898" t="s">
        <v>1889</v>
      </c>
      <c r="F900" s="1898" t="s">
        <v>1890</v>
      </c>
      <c r="G900" s="1899">
        <v>4400000</v>
      </c>
      <c r="H900" s="1892"/>
    </row>
    <row r="901" spans="1:8" s="1893" customFormat="1" ht="23.25" customHeight="1" x14ac:dyDescent="0.3">
      <c r="A901" s="1891" t="s">
        <v>3114</v>
      </c>
      <c r="B901" s="1898" t="s">
        <v>1992</v>
      </c>
      <c r="C901" s="1898" t="s">
        <v>1972</v>
      </c>
      <c r="D901" s="1898" t="s">
        <v>2235</v>
      </c>
      <c r="E901" s="1898" t="s">
        <v>1889</v>
      </c>
      <c r="F901" s="1898" t="s">
        <v>1892</v>
      </c>
      <c r="G901" s="1899">
        <v>4800000</v>
      </c>
      <c r="H901" s="1892"/>
    </row>
    <row r="902" spans="1:8" s="1893" customFormat="1" ht="23.25" customHeight="1" x14ac:dyDescent="0.3">
      <c r="A902" s="1891" t="s">
        <v>3114</v>
      </c>
      <c r="B902" s="1898" t="s">
        <v>1992</v>
      </c>
      <c r="C902" s="1898" t="s">
        <v>1972</v>
      </c>
      <c r="D902" s="1898" t="s">
        <v>2235</v>
      </c>
      <c r="E902" s="1898" t="s">
        <v>1889</v>
      </c>
      <c r="F902" s="1898" t="s">
        <v>1922</v>
      </c>
      <c r="G902" s="1899">
        <v>1417000</v>
      </c>
      <c r="H902" s="1892"/>
    </row>
    <row r="903" spans="1:8" s="1893" customFormat="1" ht="23.25" customHeight="1" x14ac:dyDescent="0.3">
      <c r="A903" s="1891" t="s">
        <v>3114</v>
      </c>
      <c r="B903" s="1898" t="s">
        <v>1992</v>
      </c>
      <c r="C903" s="1898" t="s">
        <v>1972</v>
      </c>
      <c r="D903" s="1898" t="s">
        <v>2235</v>
      </c>
      <c r="E903" s="1898" t="s">
        <v>1893</v>
      </c>
      <c r="F903" s="1898" t="s">
        <v>1894</v>
      </c>
      <c r="G903" s="1899">
        <v>6000000</v>
      </c>
      <c r="H903" s="1892"/>
    </row>
    <row r="904" spans="1:8" s="1893" customFormat="1" ht="23.25" customHeight="1" x14ac:dyDescent="0.3">
      <c r="A904" s="1891" t="s">
        <v>3114</v>
      </c>
      <c r="B904" s="1898" t="s">
        <v>1992</v>
      </c>
      <c r="C904" s="1898" t="s">
        <v>1972</v>
      </c>
      <c r="D904" s="1898" t="s">
        <v>2235</v>
      </c>
      <c r="E904" s="1898" t="s">
        <v>1912</v>
      </c>
      <c r="F904" s="1898" t="s">
        <v>1913</v>
      </c>
      <c r="G904" s="1899">
        <v>3600000</v>
      </c>
      <c r="H904" s="1892"/>
    </row>
    <row r="905" spans="1:8" s="1893" customFormat="1" ht="23.25" customHeight="1" x14ac:dyDescent="0.3">
      <c r="A905" s="1891" t="s">
        <v>3114</v>
      </c>
      <c r="B905" s="1898" t="s">
        <v>1992</v>
      </c>
      <c r="C905" s="1898" t="s">
        <v>1972</v>
      </c>
      <c r="D905" s="1898" t="s">
        <v>2235</v>
      </c>
      <c r="E905" s="1898" t="s">
        <v>1912</v>
      </c>
      <c r="F905" s="1898" t="s">
        <v>1915</v>
      </c>
      <c r="G905" s="1899">
        <v>7880000</v>
      </c>
      <c r="H905" s="1892"/>
    </row>
    <row r="906" spans="1:8" s="1893" customFormat="1" ht="23.25" customHeight="1" x14ac:dyDescent="0.3">
      <c r="A906" s="1891" t="s">
        <v>3114</v>
      </c>
      <c r="B906" s="1898" t="s">
        <v>1994</v>
      </c>
      <c r="C906" s="1898" t="s">
        <v>1846</v>
      </c>
      <c r="D906" s="1898" t="s">
        <v>1993</v>
      </c>
      <c r="E906" s="1898" t="s">
        <v>1853</v>
      </c>
      <c r="F906" s="1898" t="s">
        <v>1939</v>
      </c>
      <c r="G906" s="1899">
        <v>101916000</v>
      </c>
      <c r="H906" s="1892"/>
    </row>
    <row r="907" spans="1:8" s="1893" customFormat="1" ht="23.25" customHeight="1" x14ac:dyDescent="0.3">
      <c r="A907" s="1891" t="s">
        <v>3114</v>
      </c>
      <c r="B907" s="1898" t="s">
        <v>1994</v>
      </c>
      <c r="C907" s="1898" t="s">
        <v>1846</v>
      </c>
      <c r="D907" s="1898" t="s">
        <v>1993</v>
      </c>
      <c r="E907" s="1898" t="s">
        <v>1869</v>
      </c>
      <c r="F907" s="1898" t="s">
        <v>1870</v>
      </c>
      <c r="G907" s="1899">
        <v>937170</v>
      </c>
      <c r="H907" s="1892"/>
    </row>
    <row r="908" spans="1:8" s="1893" customFormat="1" ht="23.25" customHeight="1" x14ac:dyDescent="0.3">
      <c r="A908" s="1891" t="s">
        <v>3114</v>
      </c>
      <c r="B908" s="1898" t="s">
        <v>1994</v>
      </c>
      <c r="C908" s="1898" t="s">
        <v>1846</v>
      </c>
      <c r="D908" s="1898" t="s">
        <v>1993</v>
      </c>
      <c r="E908" s="1898" t="s">
        <v>1869</v>
      </c>
      <c r="F908" s="1898" t="s">
        <v>1871</v>
      </c>
      <c r="G908" s="1899">
        <v>114299</v>
      </c>
      <c r="H908" s="1892"/>
    </row>
    <row r="909" spans="1:8" s="1893" customFormat="1" ht="23.25" customHeight="1" x14ac:dyDescent="0.3">
      <c r="A909" s="1891" t="s">
        <v>3114</v>
      </c>
      <c r="B909" s="1898" t="s">
        <v>1994</v>
      </c>
      <c r="C909" s="1898" t="s">
        <v>1846</v>
      </c>
      <c r="D909" s="1898" t="s">
        <v>1993</v>
      </c>
      <c r="E909" s="1898" t="s">
        <v>1874</v>
      </c>
      <c r="F909" s="1898" t="s">
        <v>1875</v>
      </c>
      <c r="G909" s="1899">
        <v>450000</v>
      </c>
      <c r="H909" s="1892"/>
    </row>
    <row r="910" spans="1:8" s="1893" customFormat="1" ht="23.25" customHeight="1" x14ac:dyDescent="0.3">
      <c r="A910" s="1891" t="s">
        <v>3114</v>
      </c>
      <c r="B910" s="1898" t="s">
        <v>1994</v>
      </c>
      <c r="C910" s="1898" t="s">
        <v>1846</v>
      </c>
      <c r="D910" s="1898" t="s">
        <v>1993</v>
      </c>
      <c r="E910" s="1898" t="s">
        <v>1874</v>
      </c>
      <c r="F910" s="1898" t="s">
        <v>1877</v>
      </c>
      <c r="G910" s="1899">
        <v>630000</v>
      </c>
      <c r="H910" s="1892"/>
    </row>
    <row r="911" spans="1:8" s="1893" customFormat="1" ht="23.25" customHeight="1" x14ac:dyDescent="0.3">
      <c r="A911" s="1891" t="s">
        <v>3114</v>
      </c>
      <c r="B911" s="1898" t="s">
        <v>1994</v>
      </c>
      <c r="C911" s="1898" t="s">
        <v>1846</v>
      </c>
      <c r="D911" s="1898" t="s">
        <v>1993</v>
      </c>
      <c r="E911" s="1898" t="s">
        <v>1878</v>
      </c>
      <c r="F911" s="1898" t="s">
        <v>1879</v>
      </c>
      <c r="G911" s="1899">
        <v>272441</v>
      </c>
      <c r="H911" s="1892"/>
    </row>
    <row r="912" spans="1:8" s="1893" customFormat="1" ht="23.25" customHeight="1" x14ac:dyDescent="0.3">
      <c r="A912" s="1891" t="s">
        <v>3114</v>
      </c>
      <c r="B912" s="1898" t="s">
        <v>1994</v>
      </c>
      <c r="C912" s="1898" t="s">
        <v>1846</v>
      </c>
      <c r="D912" s="1898" t="s">
        <v>1993</v>
      </c>
      <c r="E912" s="1898" t="s">
        <v>1878</v>
      </c>
      <c r="F912" s="1898" t="s">
        <v>1880</v>
      </c>
      <c r="G912" s="1899">
        <v>1300000</v>
      </c>
      <c r="H912" s="1892"/>
    </row>
    <row r="913" spans="1:8" s="1893" customFormat="1" ht="23.25" customHeight="1" x14ac:dyDescent="0.3">
      <c r="A913" s="1891" t="s">
        <v>3114</v>
      </c>
      <c r="B913" s="1898" t="s">
        <v>1994</v>
      </c>
      <c r="C913" s="1898" t="s">
        <v>1846</v>
      </c>
      <c r="D913" s="1898" t="s">
        <v>1993</v>
      </c>
      <c r="E913" s="1898" t="s">
        <v>1885</v>
      </c>
      <c r="F913" s="1898" t="s">
        <v>1887</v>
      </c>
      <c r="G913" s="1899">
        <v>2400000</v>
      </c>
      <c r="H913" s="1892"/>
    </row>
    <row r="914" spans="1:8" s="1893" customFormat="1" ht="23.25" customHeight="1" x14ac:dyDescent="0.3">
      <c r="A914" s="1891" t="s">
        <v>3114</v>
      </c>
      <c r="B914" s="1898" t="s">
        <v>1994</v>
      </c>
      <c r="C914" s="1898" t="s">
        <v>1846</v>
      </c>
      <c r="D914" s="1898" t="s">
        <v>1993</v>
      </c>
      <c r="E914" s="1898" t="s">
        <v>1889</v>
      </c>
      <c r="F914" s="1898" t="s">
        <v>1890</v>
      </c>
      <c r="G914" s="1899">
        <v>2100000</v>
      </c>
      <c r="H914" s="1892"/>
    </row>
    <row r="915" spans="1:8" s="1893" customFormat="1" ht="23.25" customHeight="1" x14ac:dyDescent="0.3">
      <c r="A915" s="1891" t="s">
        <v>3114</v>
      </c>
      <c r="B915" s="1898" t="s">
        <v>1994</v>
      </c>
      <c r="C915" s="1898" t="s">
        <v>1846</v>
      </c>
      <c r="D915" s="1898" t="s">
        <v>1993</v>
      </c>
      <c r="E915" s="1898" t="s">
        <v>1889</v>
      </c>
      <c r="F915" s="1898" t="s">
        <v>1891</v>
      </c>
      <c r="G915" s="1899">
        <v>1000000</v>
      </c>
      <c r="H915" s="1892"/>
    </row>
    <row r="916" spans="1:8" s="1893" customFormat="1" ht="23.25" customHeight="1" x14ac:dyDescent="0.3">
      <c r="A916" s="1891" t="s">
        <v>3114</v>
      </c>
      <c r="B916" s="1898" t="s">
        <v>1994</v>
      </c>
      <c r="C916" s="1898" t="s">
        <v>1846</v>
      </c>
      <c r="D916" s="1898" t="s">
        <v>1993</v>
      </c>
      <c r="E916" s="1898" t="s">
        <v>1889</v>
      </c>
      <c r="F916" s="1898" t="s">
        <v>1922</v>
      </c>
      <c r="G916" s="1899">
        <v>1922754</v>
      </c>
      <c r="H916" s="1892"/>
    </row>
    <row r="917" spans="1:8" s="1893" customFormat="1" ht="23.25" customHeight="1" x14ac:dyDescent="0.3">
      <c r="A917" s="1891" t="s">
        <v>3114</v>
      </c>
      <c r="B917" s="1898" t="s">
        <v>1994</v>
      </c>
      <c r="C917" s="1898" t="s">
        <v>1846</v>
      </c>
      <c r="D917" s="1898" t="s">
        <v>1993</v>
      </c>
      <c r="E917" s="1898" t="s">
        <v>1896</v>
      </c>
      <c r="F917" s="1898" t="s">
        <v>1900</v>
      </c>
      <c r="G917" s="1899">
        <v>2280000</v>
      </c>
      <c r="H917" s="1892"/>
    </row>
    <row r="918" spans="1:8" s="1893" customFormat="1" ht="23.25" customHeight="1" x14ac:dyDescent="0.3">
      <c r="A918" s="1891" t="s">
        <v>3114</v>
      </c>
      <c r="B918" s="1898" t="s">
        <v>1994</v>
      </c>
      <c r="C918" s="1898" t="s">
        <v>1846</v>
      </c>
      <c r="D918" s="1898" t="s">
        <v>1993</v>
      </c>
      <c r="E918" s="1898" t="s">
        <v>1906</v>
      </c>
      <c r="F918" s="1898" t="s">
        <v>1909</v>
      </c>
      <c r="G918" s="1899">
        <v>1807000</v>
      </c>
      <c r="H918" s="1892"/>
    </row>
    <row r="919" spans="1:8" s="1893" customFormat="1" ht="23.25" customHeight="1" x14ac:dyDescent="0.3">
      <c r="A919" s="1891" t="s">
        <v>3114</v>
      </c>
      <c r="B919" s="1898" t="s">
        <v>1995</v>
      </c>
      <c r="C919" s="1898" t="s">
        <v>1846</v>
      </c>
      <c r="D919" s="1898" t="s">
        <v>1993</v>
      </c>
      <c r="E919" s="1898" t="s">
        <v>1853</v>
      </c>
      <c r="F919" s="1898" t="s">
        <v>1939</v>
      </c>
      <c r="G919" s="1899">
        <v>57216000</v>
      </c>
      <c r="H919" s="1892"/>
    </row>
    <row r="920" spans="1:8" s="1893" customFormat="1" ht="23.25" customHeight="1" x14ac:dyDescent="0.3">
      <c r="A920" s="1891" t="s">
        <v>3114</v>
      </c>
      <c r="B920" s="1898" t="s">
        <v>1995</v>
      </c>
      <c r="C920" s="1898" t="s">
        <v>1846</v>
      </c>
      <c r="D920" s="1898" t="s">
        <v>1993</v>
      </c>
      <c r="E920" s="1898" t="s">
        <v>1874</v>
      </c>
      <c r="F920" s="1898" t="s">
        <v>1875</v>
      </c>
      <c r="G920" s="1899">
        <v>4870000</v>
      </c>
      <c r="H920" s="1892"/>
    </row>
    <row r="921" spans="1:8" s="1893" customFormat="1" ht="23.25" customHeight="1" x14ac:dyDescent="0.3">
      <c r="A921" s="1891" t="s">
        <v>3114</v>
      </c>
      <c r="B921" s="1898" t="s">
        <v>1995</v>
      </c>
      <c r="C921" s="1898" t="s">
        <v>1846</v>
      </c>
      <c r="D921" s="1898" t="s">
        <v>1993</v>
      </c>
      <c r="E921" s="1898" t="s">
        <v>1874</v>
      </c>
      <c r="F921" s="1898" t="s">
        <v>1876</v>
      </c>
      <c r="G921" s="1899">
        <v>5000000</v>
      </c>
      <c r="H921" s="1892"/>
    </row>
    <row r="922" spans="1:8" s="1893" customFormat="1" ht="23.25" customHeight="1" x14ac:dyDescent="0.3">
      <c r="A922" s="1891" t="s">
        <v>3114</v>
      </c>
      <c r="B922" s="1898" t="s">
        <v>1995</v>
      </c>
      <c r="C922" s="1898" t="s">
        <v>1846</v>
      </c>
      <c r="D922" s="1898" t="s">
        <v>1993</v>
      </c>
      <c r="E922" s="1898" t="s">
        <v>1885</v>
      </c>
      <c r="F922" s="1898" t="s">
        <v>1925</v>
      </c>
      <c r="G922" s="1899">
        <v>600000</v>
      </c>
      <c r="H922" s="1892"/>
    </row>
    <row r="923" spans="1:8" s="1893" customFormat="1" ht="23.25" customHeight="1" x14ac:dyDescent="0.3">
      <c r="A923" s="1891" t="s">
        <v>3114</v>
      </c>
      <c r="B923" s="1898" t="s">
        <v>1995</v>
      </c>
      <c r="C923" s="1898" t="s">
        <v>1846</v>
      </c>
      <c r="D923" s="1898" t="s">
        <v>1993</v>
      </c>
      <c r="E923" s="1898" t="s">
        <v>1885</v>
      </c>
      <c r="F923" s="1898" t="s">
        <v>1887</v>
      </c>
      <c r="G923" s="1899">
        <v>11550000</v>
      </c>
      <c r="H923" s="1892"/>
    </row>
    <row r="924" spans="1:8" s="1893" customFormat="1" ht="23.25" customHeight="1" x14ac:dyDescent="0.3">
      <c r="A924" s="1891" t="s">
        <v>3114</v>
      </c>
      <c r="B924" s="1898" t="s">
        <v>1995</v>
      </c>
      <c r="C924" s="1898" t="s">
        <v>1846</v>
      </c>
      <c r="D924" s="1898" t="s">
        <v>1993</v>
      </c>
      <c r="E924" s="1898" t="s">
        <v>1885</v>
      </c>
      <c r="F924" s="1898" t="s">
        <v>1888</v>
      </c>
      <c r="G924" s="1899">
        <v>1200000</v>
      </c>
      <c r="H924" s="1892"/>
    </row>
    <row r="925" spans="1:8" s="1893" customFormat="1" ht="23.25" customHeight="1" x14ac:dyDescent="0.3">
      <c r="A925" s="1891" t="s">
        <v>3114</v>
      </c>
      <c r="B925" s="1898" t="s">
        <v>1995</v>
      </c>
      <c r="C925" s="1898" t="s">
        <v>1846</v>
      </c>
      <c r="D925" s="1898" t="s">
        <v>1993</v>
      </c>
      <c r="E925" s="1898" t="s">
        <v>1889</v>
      </c>
      <c r="F925" s="1898" t="s">
        <v>1890</v>
      </c>
      <c r="G925" s="1899">
        <v>400000</v>
      </c>
      <c r="H925" s="1892"/>
    </row>
    <row r="926" spans="1:8" s="1893" customFormat="1" ht="23.25" customHeight="1" x14ac:dyDescent="0.3">
      <c r="A926" s="1891" t="s">
        <v>3114</v>
      </c>
      <c r="B926" s="1898" t="s">
        <v>1995</v>
      </c>
      <c r="C926" s="1898" t="s">
        <v>1846</v>
      </c>
      <c r="D926" s="1898" t="s">
        <v>1993</v>
      </c>
      <c r="E926" s="1898" t="s">
        <v>1906</v>
      </c>
      <c r="F926" s="1898" t="s">
        <v>1908</v>
      </c>
      <c r="G926" s="1899">
        <v>7480000</v>
      </c>
      <c r="H926" s="1892"/>
    </row>
    <row r="927" spans="1:8" s="1893" customFormat="1" ht="23.25" customHeight="1" x14ac:dyDescent="0.3">
      <c r="A927" s="1891" t="s">
        <v>3114</v>
      </c>
      <c r="B927" s="1898" t="s">
        <v>1995</v>
      </c>
      <c r="C927" s="1898" t="s">
        <v>1846</v>
      </c>
      <c r="D927" s="1898" t="s">
        <v>1993</v>
      </c>
      <c r="E927" s="1898" t="s">
        <v>1912</v>
      </c>
      <c r="F927" s="1898" t="s">
        <v>1915</v>
      </c>
      <c r="G927" s="1899">
        <v>900000</v>
      </c>
      <c r="H927" s="1892"/>
    </row>
    <row r="928" spans="1:8" s="1893" customFormat="1" ht="23.25" customHeight="1" x14ac:dyDescent="0.3">
      <c r="A928" s="1891" t="s">
        <v>3114</v>
      </c>
      <c r="B928" s="1898" t="s">
        <v>1996</v>
      </c>
      <c r="C928" s="1898" t="s">
        <v>1846</v>
      </c>
      <c r="D928" s="1898" t="s">
        <v>1993</v>
      </c>
      <c r="E928" s="1898" t="s">
        <v>1912</v>
      </c>
      <c r="F928" s="1898" t="s">
        <v>1916</v>
      </c>
      <c r="G928" s="1899">
        <v>20000000</v>
      </c>
      <c r="H928" s="1892"/>
    </row>
    <row r="929" spans="1:8" s="1893" customFormat="1" ht="23.25" customHeight="1" x14ac:dyDescent="0.3">
      <c r="A929" s="1891" t="s">
        <v>3114</v>
      </c>
      <c r="B929" s="1898" t="s">
        <v>1998</v>
      </c>
      <c r="C929" s="1898" t="s">
        <v>1846</v>
      </c>
      <c r="D929" s="1898" t="s">
        <v>1993</v>
      </c>
      <c r="E929" s="1898" t="s">
        <v>1853</v>
      </c>
      <c r="F929" s="1898" t="s">
        <v>1939</v>
      </c>
      <c r="G929" s="1899">
        <v>57216000</v>
      </c>
      <c r="H929" s="1892"/>
    </row>
    <row r="930" spans="1:8" s="1893" customFormat="1" ht="23.25" customHeight="1" x14ac:dyDescent="0.3">
      <c r="A930" s="1891" t="s">
        <v>3114</v>
      </c>
      <c r="B930" s="1898" t="s">
        <v>1998</v>
      </c>
      <c r="C930" s="1898" t="s">
        <v>1846</v>
      </c>
      <c r="D930" s="1898" t="s">
        <v>1993</v>
      </c>
      <c r="E930" s="1898" t="s">
        <v>1860</v>
      </c>
      <c r="F930" s="1898" t="s">
        <v>1930</v>
      </c>
      <c r="G930" s="1899">
        <v>2000000</v>
      </c>
      <c r="H930" s="1892"/>
    </row>
    <row r="931" spans="1:8" s="1893" customFormat="1" ht="23.25" customHeight="1" x14ac:dyDescent="0.3">
      <c r="A931" s="1891" t="s">
        <v>3114</v>
      </c>
      <c r="B931" s="1898" t="s">
        <v>1998</v>
      </c>
      <c r="C931" s="1898" t="s">
        <v>1846</v>
      </c>
      <c r="D931" s="1898" t="s">
        <v>1993</v>
      </c>
      <c r="E931" s="1898" t="s">
        <v>1869</v>
      </c>
      <c r="F931" s="1898" t="s">
        <v>1873</v>
      </c>
      <c r="G931" s="1899">
        <v>60000</v>
      </c>
      <c r="H931" s="1892"/>
    </row>
    <row r="932" spans="1:8" s="1893" customFormat="1" ht="23.25" customHeight="1" x14ac:dyDescent="0.3">
      <c r="A932" s="1891" t="s">
        <v>3114</v>
      </c>
      <c r="B932" s="1898" t="s">
        <v>1998</v>
      </c>
      <c r="C932" s="1898" t="s">
        <v>1846</v>
      </c>
      <c r="D932" s="1898" t="s">
        <v>1993</v>
      </c>
      <c r="E932" s="1898" t="s">
        <v>1874</v>
      </c>
      <c r="F932" s="1898" t="s">
        <v>1876</v>
      </c>
      <c r="G932" s="1899">
        <v>1200000</v>
      </c>
      <c r="H932" s="1892"/>
    </row>
    <row r="933" spans="1:8" s="1893" customFormat="1" ht="23.25" customHeight="1" x14ac:dyDescent="0.3">
      <c r="A933" s="1891" t="s">
        <v>3114</v>
      </c>
      <c r="B933" s="1898" t="s">
        <v>1998</v>
      </c>
      <c r="C933" s="1898" t="s">
        <v>1846</v>
      </c>
      <c r="D933" s="1898" t="s">
        <v>1993</v>
      </c>
      <c r="E933" s="1898" t="s">
        <v>1878</v>
      </c>
      <c r="F933" s="1898" t="s">
        <v>1880</v>
      </c>
      <c r="G933" s="1899">
        <v>800000</v>
      </c>
      <c r="H933" s="1892"/>
    </row>
    <row r="934" spans="1:8" s="1893" customFormat="1" ht="23.25" customHeight="1" x14ac:dyDescent="0.3">
      <c r="A934" s="1891" t="s">
        <v>3114</v>
      </c>
      <c r="B934" s="1898" t="s">
        <v>1998</v>
      </c>
      <c r="C934" s="1898" t="s">
        <v>1846</v>
      </c>
      <c r="D934" s="1898" t="s">
        <v>1993</v>
      </c>
      <c r="E934" s="1898" t="s">
        <v>1878</v>
      </c>
      <c r="F934" s="1898" t="s">
        <v>1882</v>
      </c>
      <c r="G934" s="1899">
        <v>1300000</v>
      </c>
      <c r="H934" s="1892"/>
    </row>
    <row r="935" spans="1:8" s="1893" customFormat="1" ht="23.25" customHeight="1" x14ac:dyDescent="0.3">
      <c r="A935" s="1891" t="s">
        <v>3114</v>
      </c>
      <c r="B935" s="1898" t="s">
        <v>1998</v>
      </c>
      <c r="C935" s="1898" t="s">
        <v>1846</v>
      </c>
      <c r="D935" s="1898" t="s">
        <v>1993</v>
      </c>
      <c r="E935" s="1898" t="s">
        <v>1885</v>
      </c>
      <c r="F935" s="1898" t="s">
        <v>1925</v>
      </c>
      <c r="G935" s="1899">
        <v>2100000</v>
      </c>
      <c r="H935" s="1892"/>
    </row>
    <row r="936" spans="1:8" s="1893" customFormat="1" ht="23.25" customHeight="1" x14ac:dyDescent="0.3">
      <c r="A936" s="1891" t="s">
        <v>3114</v>
      </c>
      <c r="B936" s="1898" t="s">
        <v>1998</v>
      </c>
      <c r="C936" s="1898" t="s">
        <v>1846</v>
      </c>
      <c r="D936" s="1898" t="s">
        <v>1993</v>
      </c>
      <c r="E936" s="1898" t="s">
        <v>1885</v>
      </c>
      <c r="F936" s="1898" t="s">
        <v>1887</v>
      </c>
      <c r="G936" s="1899">
        <v>2080000</v>
      </c>
      <c r="H936" s="1892"/>
    </row>
    <row r="937" spans="1:8" s="1893" customFormat="1" ht="23.25" customHeight="1" x14ac:dyDescent="0.3">
      <c r="A937" s="1891" t="s">
        <v>3114</v>
      </c>
      <c r="B937" s="1898" t="s">
        <v>1998</v>
      </c>
      <c r="C937" s="1898" t="s">
        <v>1846</v>
      </c>
      <c r="D937" s="1898" t="s">
        <v>1993</v>
      </c>
      <c r="E937" s="1898" t="s">
        <v>1885</v>
      </c>
      <c r="F937" s="1898" t="s">
        <v>1888</v>
      </c>
      <c r="G937" s="1899">
        <v>14010000</v>
      </c>
      <c r="H937" s="1892"/>
    </row>
    <row r="938" spans="1:8" s="1893" customFormat="1" ht="23.25" customHeight="1" x14ac:dyDescent="0.3">
      <c r="A938" s="1891" t="s">
        <v>3114</v>
      </c>
      <c r="B938" s="1898" t="s">
        <v>1998</v>
      </c>
      <c r="C938" s="1898" t="s">
        <v>1846</v>
      </c>
      <c r="D938" s="1898" t="s">
        <v>1993</v>
      </c>
      <c r="E938" s="1898" t="s">
        <v>1889</v>
      </c>
      <c r="F938" s="1898" t="s">
        <v>1890</v>
      </c>
      <c r="G938" s="1899">
        <v>900000</v>
      </c>
      <c r="H938" s="1892"/>
    </row>
    <row r="939" spans="1:8" s="1893" customFormat="1" ht="23.25" customHeight="1" x14ac:dyDescent="0.3">
      <c r="A939" s="1891" t="s">
        <v>3114</v>
      </c>
      <c r="B939" s="1898" t="s">
        <v>1998</v>
      </c>
      <c r="C939" s="1898" t="s">
        <v>1846</v>
      </c>
      <c r="D939" s="1898" t="s">
        <v>1993</v>
      </c>
      <c r="E939" s="1898" t="s">
        <v>1889</v>
      </c>
      <c r="F939" s="1898" t="s">
        <v>1891</v>
      </c>
      <c r="G939" s="1899">
        <v>750000</v>
      </c>
      <c r="H939" s="1892"/>
    </row>
    <row r="940" spans="1:8" s="1893" customFormat="1" ht="23.25" customHeight="1" x14ac:dyDescent="0.3">
      <c r="A940" s="1891" t="s">
        <v>3114</v>
      </c>
      <c r="B940" s="1898" t="s">
        <v>1998</v>
      </c>
      <c r="C940" s="1898" t="s">
        <v>1846</v>
      </c>
      <c r="D940" s="1898" t="s">
        <v>1993</v>
      </c>
      <c r="E940" s="1898" t="s">
        <v>1889</v>
      </c>
      <c r="F940" s="1898" t="s">
        <v>1922</v>
      </c>
      <c r="G940" s="1899">
        <v>1438400</v>
      </c>
      <c r="H940" s="1892"/>
    </row>
    <row r="941" spans="1:8" s="1893" customFormat="1" ht="23.25" customHeight="1" x14ac:dyDescent="0.3">
      <c r="A941" s="1891" t="s">
        <v>3114</v>
      </c>
      <c r="B941" s="1898" t="s">
        <v>1998</v>
      </c>
      <c r="C941" s="1898" t="s">
        <v>1846</v>
      </c>
      <c r="D941" s="1898" t="s">
        <v>1993</v>
      </c>
      <c r="E941" s="1898" t="s">
        <v>1893</v>
      </c>
      <c r="F941" s="1898" t="s">
        <v>1981</v>
      </c>
      <c r="G941" s="1899">
        <v>3000000</v>
      </c>
      <c r="H941" s="1892"/>
    </row>
    <row r="942" spans="1:8" s="1893" customFormat="1" ht="23.25" customHeight="1" x14ac:dyDescent="0.3">
      <c r="A942" s="1891" t="s">
        <v>3114</v>
      </c>
      <c r="B942" s="1898" t="s">
        <v>1998</v>
      </c>
      <c r="C942" s="1898" t="s">
        <v>1846</v>
      </c>
      <c r="D942" s="1898" t="s">
        <v>1993</v>
      </c>
      <c r="E942" s="1898" t="s">
        <v>1893</v>
      </c>
      <c r="F942" s="1898" t="s">
        <v>1895</v>
      </c>
      <c r="G942" s="1899">
        <v>600000</v>
      </c>
      <c r="H942" s="1892"/>
    </row>
    <row r="943" spans="1:8" s="1893" customFormat="1" ht="23.25" customHeight="1" x14ac:dyDescent="0.3">
      <c r="A943" s="1891" t="s">
        <v>3114</v>
      </c>
      <c r="B943" s="1898" t="s">
        <v>1998</v>
      </c>
      <c r="C943" s="1898" t="s">
        <v>1846</v>
      </c>
      <c r="D943" s="1898" t="s">
        <v>1993</v>
      </c>
      <c r="E943" s="1898" t="s">
        <v>1906</v>
      </c>
      <c r="F943" s="1898" t="s">
        <v>1909</v>
      </c>
      <c r="G943" s="1899">
        <v>831400</v>
      </c>
      <c r="H943" s="1892"/>
    </row>
    <row r="944" spans="1:8" s="1893" customFormat="1" ht="23.25" customHeight="1" x14ac:dyDescent="0.3">
      <c r="A944" s="1891" t="s">
        <v>3114</v>
      </c>
      <c r="B944" s="1898" t="s">
        <v>1998</v>
      </c>
      <c r="C944" s="1898" t="s">
        <v>1846</v>
      </c>
      <c r="D944" s="1898" t="s">
        <v>1993</v>
      </c>
      <c r="E944" s="1898" t="s">
        <v>1912</v>
      </c>
      <c r="F944" s="1898" t="s">
        <v>1915</v>
      </c>
      <c r="G944" s="1899">
        <v>15630000</v>
      </c>
      <c r="H944" s="1892"/>
    </row>
    <row r="945" spans="1:8" s="1893" customFormat="1" ht="23.25" customHeight="1" x14ac:dyDescent="0.3">
      <c r="A945" s="1891" t="s">
        <v>3114</v>
      </c>
      <c r="B945" s="1898" t="s">
        <v>1998</v>
      </c>
      <c r="C945" s="1898" t="s">
        <v>1846</v>
      </c>
      <c r="D945" s="1898" t="s">
        <v>1993</v>
      </c>
      <c r="E945" s="1898" t="s">
        <v>1912</v>
      </c>
      <c r="F945" s="1898" t="s">
        <v>1916</v>
      </c>
      <c r="G945" s="1899">
        <v>1200000</v>
      </c>
      <c r="H945" s="1892"/>
    </row>
    <row r="946" spans="1:8" s="1893" customFormat="1" ht="23.25" customHeight="1" x14ac:dyDescent="0.3">
      <c r="A946" s="1891" t="s">
        <v>3114</v>
      </c>
      <c r="B946" s="1898" t="s">
        <v>1999</v>
      </c>
      <c r="C946" s="1898" t="s">
        <v>1846</v>
      </c>
      <c r="D946" s="1898" t="s">
        <v>1993</v>
      </c>
      <c r="E946" s="1898" t="s">
        <v>1853</v>
      </c>
      <c r="F946" s="1898" t="s">
        <v>1939</v>
      </c>
      <c r="G946" s="1899">
        <v>57216000</v>
      </c>
      <c r="H946" s="1892"/>
    </row>
    <row r="947" spans="1:8" s="1893" customFormat="1" ht="23.25" customHeight="1" x14ac:dyDescent="0.3">
      <c r="A947" s="1891" t="s">
        <v>3114</v>
      </c>
      <c r="B947" s="1898" t="s">
        <v>1999</v>
      </c>
      <c r="C947" s="1898" t="s">
        <v>1846</v>
      </c>
      <c r="D947" s="1898" t="s">
        <v>1993</v>
      </c>
      <c r="E947" s="1898" t="s">
        <v>1874</v>
      </c>
      <c r="F947" s="1898" t="s">
        <v>1875</v>
      </c>
      <c r="G947" s="1899">
        <v>1560000</v>
      </c>
      <c r="H947" s="1892"/>
    </row>
    <row r="948" spans="1:8" s="1893" customFormat="1" ht="23.25" customHeight="1" x14ac:dyDescent="0.3">
      <c r="A948" s="1891" t="s">
        <v>3114</v>
      </c>
      <c r="B948" s="1898" t="s">
        <v>1999</v>
      </c>
      <c r="C948" s="1898" t="s">
        <v>1846</v>
      </c>
      <c r="D948" s="1898" t="s">
        <v>1993</v>
      </c>
      <c r="E948" s="1898" t="s">
        <v>1874</v>
      </c>
      <c r="F948" s="1898" t="s">
        <v>1877</v>
      </c>
      <c r="G948" s="1899">
        <v>900000</v>
      </c>
      <c r="H948" s="1892"/>
    </row>
    <row r="949" spans="1:8" s="1893" customFormat="1" ht="23.25" customHeight="1" x14ac:dyDescent="0.3">
      <c r="A949" s="1891" t="s">
        <v>3114</v>
      </c>
      <c r="B949" s="1898" t="s">
        <v>1999</v>
      </c>
      <c r="C949" s="1898" t="s">
        <v>1846</v>
      </c>
      <c r="D949" s="1898" t="s">
        <v>1993</v>
      </c>
      <c r="E949" s="1898" t="s">
        <v>1878</v>
      </c>
      <c r="F949" s="1898" t="s">
        <v>1879</v>
      </c>
      <c r="G949" s="1899">
        <v>192866</v>
      </c>
      <c r="H949" s="1892"/>
    </row>
    <row r="950" spans="1:8" s="1893" customFormat="1" ht="23.25" customHeight="1" x14ac:dyDescent="0.3">
      <c r="A950" s="1891" t="s">
        <v>3114</v>
      </c>
      <c r="B950" s="1898" t="s">
        <v>1999</v>
      </c>
      <c r="C950" s="1898" t="s">
        <v>1846</v>
      </c>
      <c r="D950" s="1898" t="s">
        <v>1993</v>
      </c>
      <c r="E950" s="1898" t="s">
        <v>1878</v>
      </c>
      <c r="F950" s="1898" t="s">
        <v>1880</v>
      </c>
      <c r="G950" s="1899">
        <v>2700000</v>
      </c>
      <c r="H950" s="1892"/>
    </row>
    <row r="951" spans="1:8" s="1893" customFormat="1" ht="23.25" customHeight="1" x14ac:dyDescent="0.3">
      <c r="A951" s="1891" t="s">
        <v>3114</v>
      </c>
      <c r="B951" s="1898" t="s">
        <v>1999</v>
      </c>
      <c r="C951" s="1898" t="s">
        <v>1846</v>
      </c>
      <c r="D951" s="1898" t="s">
        <v>1993</v>
      </c>
      <c r="E951" s="1898" t="s">
        <v>1878</v>
      </c>
      <c r="F951" s="1898" t="s">
        <v>1881</v>
      </c>
      <c r="G951" s="1899">
        <v>1601150</v>
      </c>
      <c r="H951" s="1892"/>
    </row>
    <row r="952" spans="1:8" s="1893" customFormat="1" ht="23.25" customHeight="1" x14ac:dyDescent="0.3">
      <c r="A952" s="1891" t="s">
        <v>3114</v>
      </c>
      <c r="B952" s="1898" t="s">
        <v>1999</v>
      </c>
      <c r="C952" s="1898" t="s">
        <v>1846</v>
      </c>
      <c r="D952" s="1898" t="s">
        <v>1993</v>
      </c>
      <c r="E952" s="1898" t="s">
        <v>1885</v>
      </c>
      <c r="F952" s="1898" t="s">
        <v>1926</v>
      </c>
      <c r="G952" s="1899">
        <v>1200000</v>
      </c>
      <c r="H952" s="1892"/>
    </row>
    <row r="953" spans="1:8" s="1893" customFormat="1" ht="23.25" customHeight="1" x14ac:dyDescent="0.3">
      <c r="A953" s="1891" t="s">
        <v>3114</v>
      </c>
      <c r="B953" s="1898" t="s">
        <v>1999</v>
      </c>
      <c r="C953" s="1898" t="s">
        <v>1846</v>
      </c>
      <c r="D953" s="1898" t="s">
        <v>1993</v>
      </c>
      <c r="E953" s="1898" t="s">
        <v>1885</v>
      </c>
      <c r="F953" s="1898" t="s">
        <v>1887</v>
      </c>
      <c r="G953" s="1899">
        <v>6150000</v>
      </c>
      <c r="H953" s="1892"/>
    </row>
    <row r="954" spans="1:8" s="1893" customFormat="1" ht="23.25" customHeight="1" x14ac:dyDescent="0.3">
      <c r="A954" s="1891" t="s">
        <v>3114</v>
      </c>
      <c r="B954" s="1898" t="s">
        <v>1999</v>
      </c>
      <c r="C954" s="1898" t="s">
        <v>1846</v>
      </c>
      <c r="D954" s="1898" t="s">
        <v>1993</v>
      </c>
      <c r="E954" s="1898" t="s">
        <v>1885</v>
      </c>
      <c r="F954" s="1898" t="s">
        <v>1888</v>
      </c>
      <c r="G954" s="1899">
        <v>14641000</v>
      </c>
      <c r="H954" s="1892"/>
    </row>
    <row r="955" spans="1:8" s="1893" customFormat="1" ht="23.25" customHeight="1" x14ac:dyDescent="0.3">
      <c r="A955" s="1891" t="s">
        <v>3114</v>
      </c>
      <c r="B955" s="1898" t="s">
        <v>1999</v>
      </c>
      <c r="C955" s="1898" t="s">
        <v>1846</v>
      </c>
      <c r="D955" s="1898" t="s">
        <v>1993</v>
      </c>
      <c r="E955" s="1898" t="s">
        <v>1889</v>
      </c>
      <c r="F955" s="1898" t="s">
        <v>1890</v>
      </c>
      <c r="G955" s="1899">
        <v>1200000</v>
      </c>
      <c r="H955" s="1892"/>
    </row>
    <row r="956" spans="1:8" s="1893" customFormat="1" ht="23.25" customHeight="1" x14ac:dyDescent="0.3">
      <c r="A956" s="1891" t="s">
        <v>3114</v>
      </c>
      <c r="B956" s="1898" t="s">
        <v>1999</v>
      </c>
      <c r="C956" s="1898" t="s">
        <v>1846</v>
      </c>
      <c r="D956" s="1898" t="s">
        <v>1993</v>
      </c>
      <c r="E956" s="1898" t="s">
        <v>1889</v>
      </c>
      <c r="F956" s="1898" t="s">
        <v>1922</v>
      </c>
      <c r="G956" s="1899">
        <v>453600</v>
      </c>
      <c r="H956" s="1892"/>
    </row>
    <row r="957" spans="1:8" s="1893" customFormat="1" ht="23.25" customHeight="1" x14ac:dyDescent="0.3">
      <c r="A957" s="1891" t="s">
        <v>3114</v>
      </c>
      <c r="B957" s="1898" t="s">
        <v>1999</v>
      </c>
      <c r="C957" s="1898" t="s">
        <v>1846</v>
      </c>
      <c r="D957" s="1898" t="s">
        <v>1993</v>
      </c>
      <c r="E957" s="1898" t="s">
        <v>1896</v>
      </c>
      <c r="F957" s="1898" t="s">
        <v>1900</v>
      </c>
      <c r="G957" s="1899">
        <v>2270000</v>
      </c>
      <c r="H957" s="1892"/>
    </row>
    <row r="958" spans="1:8" s="1893" customFormat="1" ht="23.25" customHeight="1" x14ac:dyDescent="0.3">
      <c r="A958" s="1891" t="s">
        <v>3114</v>
      </c>
      <c r="B958" s="1898" t="s">
        <v>1999</v>
      </c>
      <c r="C958" s="1898" t="s">
        <v>1846</v>
      </c>
      <c r="D958" s="1898" t="s">
        <v>1993</v>
      </c>
      <c r="E958" s="1898" t="s">
        <v>1906</v>
      </c>
      <c r="F958" s="1898" t="s">
        <v>1907</v>
      </c>
      <c r="G958" s="1899">
        <v>1932384</v>
      </c>
      <c r="H958" s="1892"/>
    </row>
    <row r="959" spans="1:8" s="1893" customFormat="1" ht="23.25" customHeight="1" x14ac:dyDescent="0.3">
      <c r="A959" s="1891" t="s">
        <v>3114</v>
      </c>
      <c r="B959" s="1898" t="s">
        <v>1171</v>
      </c>
      <c r="C959" s="1898" t="s">
        <v>1919</v>
      </c>
      <c r="D959" s="1898" t="s">
        <v>1920</v>
      </c>
      <c r="E959" s="1898" t="s">
        <v>1923</v>
      </c>
      <c r="F959" s="1898" t="s">
        <v>2063</v>
      </c>
      <c r="G959" s="1899">
        <v>2749442900</v>
      </c>
      <c r="H959" s="1892"/>
    </row>
    <row r="960" spans="1:8" s="1893" customFormat="1" ht="23.25" customHeight="1" x14ac:dyDescent="0.3">
      <c r="A960" s="1891" t="s">
        <v>3114</v>
      </c>
      <c r="B960" s="1898" t="s">
        <v>1171</v>
      </c>
      <c r="C960" s="1898" t="s">
        <v>1919</v>
      </c>
      <c r="D960" s="1898" t="s">
        <v>1920</v>
      </c>
      <c r="E960" s="1898" t="s">
        <v>1912</v>
      </c>
      <c r="F960" s="1898" t="s">
        <v>1916</v>
      </c>
      <c r="G960" s="1899">
        <v>222090400</v>
      </c>
      <c r="H960" s="1892"/>
    </row>
    <row r="961" spans="1:8" s="1893" customFormat="1" ht="23.25" customHeight="1" x14ac:dyDescent="0.3">
      <c r="A961" s="1891" t="s">
        <v>3114</v>
      </c>
      <c r="B961" s="1898" t="s">
        <v>1178</v>
      </c>
      <c r="C961" s="1898" t="s">
        <v>321</v>
      </c>
      <c r="D961" s="1898" t="s">
        <v>323</v>
      </c>
      <c r="E961" s="1898" t="s">
        <v>1912</v>
      </c>
      <c r="F961" s="1898" t="s">
        <v>1916</v>
      </c>
      <c r="G961" s="1899">
        <v>5758267513</v>
      </c>
      <c r="H961" s="1892"/>
    </row>
    <row r="962" spans="1:8" s="1893" customFormat="1" ht="23.25" customHeight="1" x14ac:dyDescent="0.3">
      <c r="A962" s="1891" t="s">
        <v>3114</v>
      </c>
      <c r="B962" s="1898" t="s">
        <v>1178</v>
      </c>
      <c r="C962" s="1898" t="s">
        <v>2003</v>
      </c>
      <c r="D962" s="1898" t="s">
        <v>2004</v>
      </c>
      <c r="E962" s="1898" t="s">
        <v>1912</v>
      </c>
      <c r="F962" s="1898" t="s">
        <v>1916</v>
      </c>
      <c r="G962" s="1899">
        <v>2218000000</v>
      </c>
      <c r="H962" s="1892"/>
    </row>
    <row r="963" spans="1:8" s="1893" customFormat="1" ht="23.25" customHeight="1" x14ac:dyDescent="0.3">
      <c r="A963" s="1891" t="s">
        <v>3114</v>
      </c>
      <c r="B963" s="1898" t="s">
        <v>1178</v>
      </c>
      <c r="C963" s="1898" t="s">
        <v>2000</v>
      </c>
      <c r="D963" s="1898" t="s">
        <v>2008</v>
      </c>
      <c r="E963" s="1898" t="s">
        <v>2009</v>
      </c>
      <c r="F963" s="1898" t="s">
        <v>2010</v>
      </c>
      <c r="G963" s="1899">
        <v>0</v>
      </c>
      <c r="H963" s="1892"/>
    </row>
    <row r="964" spans="1:8" s="1893" customFormat="1" ht="23.25" customHeight="1" x14ac:dyDescent="0.3">
      <c r="A964" s="1891" t="s">
        <v>3114</v>
      </c>
      <c r="B964" s="1898" t="s">
        <v>1178</v>
      </c>
      <c r="C964" s="1898" t="s">
        <v>2000</v>
      </c>
      <c r="D964" s="1898" t="s">
        <v>2774</v>
      </c>
      <c r="E964" s="1898" t="s">
        <v>2009</v>
      </c>
      <c r="F964" s="1898" t="s">
        <v>2773</v>
      </c>
      <c r="G964" s="1899">
        <v>60000000</v>
      </c>
      <c r="H964" s="1892"/>
    </row>
    <row r="965" spans="1:8" s="1893" customFormat="1" ht="23.25" customHeight="1" x14ac:dyDescent="0.3">
      <c r="A965" s="1891" t="s">
        <v>3114</v>
      </c>
      <c r="B965" s="1898" t="s">
        <v>1178</v>
      </c>
      <c r="C965" s="1898" t="s">
        <v>2000</v>
      </c>
      <c r="D965" s="1898" t="s">
        <v>2001</v>
      </c>
      <c r="E965" s="1898" t="s">
        <v>1912</v>
      </c>
      <c r="F965" s="1898" t="s">
        <v>1916</v>
      </c>
      <c r="G965" s="1899">
        <v>3344401729</v>
      </c>
      <c r="H965" s="1892"/>
    </row>
    <row r="966" spans="1:8" s="1893" customFormat="1" ht="23.25" customHeight="1" x14ac:dyDescent="0.3">
      <c r="A966" s="1891" t="s">
        <v>3114</v>
      </c>
      <c r="B966" s="1898" t="s">
        <v>1178</v>
      </c>
      <c r="C966" s="1898" t="s">
        <v>2011</v>
      </c>
      <c r="D966" s="1898" t="s">
        <v>2012</v>
      </c>
      <c r="E966" s="1898" t="s">
        <v>2013</v>
      </c>
      <c r="F966" s="1898" t="s">
        <v>2014</v>
      </c>
      <c r="G966" s="1899">
        <v>80286823000</v>
      </c>
      <c r="H966" s="1892"/>
    </row>
    <row r="967" spans="1:8" s="1893" customFormat="1" ht="23.25" customHeight="1" x14ac:dyDescent="0.3">
      <c r="A967" s="1891" t="s">
        <v>3114</v>
      </c>
      <c r="B967" s="1898" t="s">
        <v>1178</v>
      </c>
      <c r="C967" s="1898" t="s">
        <v>2011</v>
      </c>
      <c r="D967" s="1898" t="s">
        <v>1666</v>
      </c>
      <c r="E967" s="1898" t="s">
        <v>2013</v>
      </c>
      <c r="F967" s="1898" t="s">
        <v>2015</v>
      </c>
      <c r="G967" s="1899">
        <v>19360650063</v>
      </c>
      <c r="H967" s="1892"/>
    </row>
    <row r="968" spans="1:8" s="1893" customFormat="1" ht="23.25" customHeight="1" x14ac:dyDescent="0.3">
      <c r="A968" s="1891" t="s">
        <v>3114</v>
      </c>
      <c r="B968" s="1898" t="s">
        <v>1178</v>
      </c>
      <c r="C968" s="1898" t="s">
        <v>2011</v>
      </c>
      <c r="D968" s="1898" t="s">
        <v>2016</v>
      </c>
      <c r="E968" s="1898" t="s">
        <v>2017</v>
      </c>
      <c r="F968" s="1898" t="s">
        <v>2018</v>
      </c>
      <c r="G968" s="1899">
        <v>11147265900</v>
      </c>
      <c r="H968" s="1892"/>
    </row>
    <row r="969" spans="1:8" s="1893" customFormat="1" ht="23.25" customHeight="1" x14ac:dyDescent="0.3">
      <c r="A969" s="1891" t="s">
        <v>3114</v>
      </c>
      <c r="B969" s="1898" t="s">
        <v>1178</v>
      </c>
      <c r="C969" s="1898" t="s">
        <v>2011</v>
      </c>
      <c r="D969" s="1898" t="s">
        <v>2019</v>
      </c>
      <c r="E969" s="1898" t="s">
        <v>2020</v>
      </c>
      <c r="F969" s="1898" t="s">
        <v>2021</v>
      </c>
      <c r="G969" s="1899">
        <v>2964737493</v>
      </c>
      <c r="H969" s="1892"/>
    </row>
    <row r="970" spans="1:8" s="1893" customFormat="1" ht="23.25" customHeight="1" x14ac:dyDescent="0.3">
      <c r="A970" s="1891" t="s">
        <v>3114</v>
      </c>
      <c r="B970" s="1898" t="s">
        <v>1178</v>
      </c>
      <c r="C970" s="1898" t="s">
        <v>2011</v>
      </c>
      <c r="D970" s="1898" t="s">
        <v>2019</v>
      </c>
      <c r="E970" s="1898" t="s">
        <v>2020</v>
      </c>
      <c r="F970" s="1898" t="s">
        <v>2074</v>
      </c>
      <c r="G970" s="1899">
        <v>1102672718</v>
      </c>
      <c r="H970" s="1892"/>
    </row>
    <row r="971" spans="1:8" s="1893" customFormat="1" ht="23.25" customHeight="1" x14ac:dyDescent="0.3">
      <c r="A971" s="1891" t="s">
        <v>3114</v>
      </c>
      <c r="B971" s="1898" t="s">
        <v>1178</v>
      </c>
      <c r="C971" s="1898" t="s">
        <v>2011</v>
      </c>
      <c r="D971" s="1898" t="s">
        <v>2019</v>
      </c>
      <c r="E971" s="1898" t="s">
        <v>2020</v>
      </c>
      <c r="F971" s="1898" t="s">
        <v>2022</v>
      </c>
      <c r="G971" s="1899">
        <v>285646271</v>
      </c>
      <c r="H971" s="1892"/>
    </row>
    <row r="972" spans="1:8" s="1893" customFormat="1" ht="23.25" customHeight="1" x14ac:dyDescent="0.3">
      <c r="A972" s="1891" t="s">
        <v>3114</v>
      </c>
      <c r="B972" s="1898" t="s">
        <v>1178</v>
      </c>
      <c r="C972" s="1898" t="s">
        <v>2011</v>
      </c>
      <c r="D972" s="1898" t="s">
        <v>2019</v>
      </c>
      <c r="E972" s="1898" t="s">
        <v>2020</v>
      </c>
      <c r="F972" s="1898" t="s">
        <v>2023</v>
      </c>
      <c r="G972" s="1899">
        <v>2256629100</v>
      </c>
      <c r="H972" s="1892"/>
    </row>
    <row r="973" spans="1:8" s="1893" customFormat="1" ht="23.25" customHeight="1" x14ac:dyDescent="0.3">
      <c r="A973" s="1891" t="s">
        <v>3114</v>
      </c>
      <c r="B973" s="1898" t="s">
        <v>1178</v>
      </c>
      <c r="C973" s="1898" t="s">
        <v>2011</v>
      </c>
      <c r="D973" s="1898" t="s">
        <v>2019</v>
      </c>
      <c r="E973" s="1898" t="s">
        <v>2020</v>
      </c>
      <c r="F973" s="1898" t="s">
        <v>2075</v>
      </c>
      <c r="G973" s="1899">
        <v>17026608590</v>
      </c>
      <c r="H973" s="1892"/>
    </row>
    <row r="974" spans="1:8" s="1893" customFormat="1" ht="23.25" customHeight="1" x14ac:dyDescent="0.3">
      <c r="A974" s="1891" t="s">
        <v>3114</v>
      </c>
      <c r="B974" s="1898" t="s">
        <v>1189</v>
      </c>
      <c r="C974" s="1898" t="s">
        <v>2646</v>
      </c>
      <c r="D974" s="1898" t="s">
        <v>2646</v>
      </c>
      <c r="E974" s="1898" t="s">
        <v>3111</v>
      </c>
      <c r="F974" s="1898" t="s">
        <v>3112</v>
      </c>
      <c r="G974" s="1899">
        <v>0</v>
      </c>
      <c r="H974" s="1892"/>
    </row>
    <row r="975" spans="1:8" s="1893" customFormat="1" ht="23.25" customHeight="1" x14ac:dyDescent="0.3">
      <c r="A975" s="1891" t="s">
        <v>3114</v>
      </c>
      <c r="B975" s="1898" t="s">
        <v>1189</v>
      </c>
      <c r="C975" s="1898" t="s">
        <v>1933</v>
      </c>
      <c r="D975" s="1898" t="s">
        <v>1934</v>
      </c>
      <c r="E975" s="1898" t="s">
        <v>1896</v>
      </c>
      <c r="F975" s="1898" t="s">
        <v>1902</v>
      </c>
      <c r="G975" s="1899">
        <v>191205000</v>
      </c>
      <c r="H975" s="1892"/>
    </row>
    <row r="976" spans="1:8" s="1893" customFormat="1" ht="23.25" customHeight="1" x14ac:dyDescent="0.3">
      <c r="A976" s="1891" t="s">
        <v>3114</v>
      </c>
      <c r="B976" s="1898" t="s">
        <v>1189</v>
      </c>
      <c r="C976" s="1898" t="s">
        <v>1933</v>
      </c>
      <c r="D976" s="1898" t="s">
        <v>1934</v>
      </c>
      <c r="E976" s="1898" t="s">
        <v>2030</v>
      </c>
      <c r="F976" s="1898" t="s">
        <v>2031</v>
      </c>
      <c r="G976" s="1899">
        <v>26200000</v>
      </c>
      <c r="H976" s="1892"/>
    </row>
    <row r="977" spans="1:8" s="1893" customFormat="1" ht="23.25" customHeight="1" x14ac:dyDescent="0.3">
      <c r="A977" s="1891" t="s">
        <v>3114</v>
      </c>
      <c r="B977" s="1898" t="s">
        <v>1189</v>
      </c>
      <c r="C977" s="1898" t="s">
        <v>1933</v>
      </c>
      <c r="D977" s="1898" t="s">
        <v>1934</v>
      </c>
      <c r="E977" s="1898" t="s">
        <v>2041</v>
      </c>
      <c r="F977" s="1898" t="s">
        <v>2042</v>
      </c>
      <c r="G977" s="1899">
        <v>97686796</v>
      </c>
      <c r="H977" s="1892"/>
    </row>
    <row r="978" spans="1:8" s="1893" customFormat="1" ht="23.25" customHeight="1" x14ac:dyDescent="0.3">
      <c r="A978" s="1891" t="s">
        <v>3114</v>
      </c>
      <c r="B978" s="1898" t="s">
        <v>1189</v>
      </c>
      <c r="C978" s="1898" t="s">
        <v>1933</v>
      </c>
      <c r="D978" s="1898" t="s">
        <v>1934</v>
      </c>
      <c r="E978" s="1898" t="s">
        <v>2041</v>
      </c>
      <c r="F978" s="1898" t="s">
        <v>2043</v>
      </c>
      <c r="G978" s="1899">
        <v>6959083</v>
      </c>
      <c r="H978" s="1892"/>
    </row>
    <row r="979" spans="1:8" s="1893" customFormat="1" ht="23.25" customHeight="1" x14ac:dyDescent="0.3">
      <c r="A979" s="1891" t="s">
        <v>3114</v>
      </c>
      <c r="B979" s="1898" t="s">
        <v>1189</v>
      </c>
      <c r="C979" s="1898" t="s">
        <v>1933</v>
      </c>
      <c r="D979" s="1898" t="s">
        <v>1934</v>
      </c>
      <c r="E979" s="1898" t="s">
        <v>2041</v>
      </c>
      <c r="F979" s="1898" t="s">
        <v>2247</v>
      </c>
      <c r="G979" s="1899">
        <v>12000000</v>
      </c>
      <c r="H979" s="1892"/>
    </row>
    <row r="980" spans="1:8" s="1893" customFormat="1" ht="23.25" customHeight="1" x14ac:dyDescent="0.3">
      <c r="A980" s="1891" t="s">
        <v>3114</v>
      </c>
      <c r="B980" s="1898" t="s">
        <v>1189</v>
      </c>
      <c r="C980" s="1898" t="s">
        <v>1933</v>
      </c>
      <c r="D980" s="1898" t="s">
        <v>1934</v>
      </c>
      <c r="E980" s="1898" t="s">
        <v>2024</v>
      </c>
      <c r="F980" s="1898" t="s">
        <v>2025</v>
      </c>
      <c r="G980" s="1899">
        <v>5703714149</v>
      </c>
      <c r="H980" s="1892"/>
    </row>
    <row r="981" spans="1:8" s="1893" customFormat="1" ht="23.25" customHeight="1" x14ac:dyDescent="0.3">
      <c r="A981" s="1891" t="s">
        <v>3114</v>
      </c>
      <c r="B981" s="1898" t="s">
        <v>1189</v>
      </c>
      <c r="C981" s="1898" t="s">
        <v>1933</v>
      </c>
      <c r="D981" s="1898" t="s">
        <v>1934</v>
      </c>
      <c r="E981" s="1898" t="s">
        <v>2026</v>
      </c>
      <c r="F981" s="1898" t="s">
        <v>2027</v>
      </c>
      <c r="G981" s="1899">
        <v>382612500</v>
      </c>
      <c r="H981" s="1892"/>
    </row>
    <row r="982" spans="1:8" s="1893" customFormat="1" ht="23.25" customHeight="1" x14ac:dyDescent="0.3">
      <c r="A982" s="1891" t="s">
        <v>3114</v>
      </c>
      <c r="B982" s="1898" t="s">
        <v>1189</v>
      </c>
      <c r="C982" s="1898" t="s">
        <v>1933</v>
      </c>
      <c r="D982" s="1898" t="s">
        <v>1934</v>
      </c>
      <c r="E982" s="1898" t="s">
        <v>2026</v>
      </c>
      <c r="F982" s="1898" t="s">
        <v>2028</v>
      </c>
      <c r="G982" s="1899">
        <v>966467233</v>
      </c>
      <c r="H982" s="1892"/>
    </row>
    <row r="983" spans="1:8" s="1893" customFormat="1" ht="23.25" customHeight="1" x14ac:dyDescent="0.3">
      <c r="A983" s="1891" t="s">
        <v>3114</v>
      </c>
      <c r="B983" s="1898" t="s">
        <v>1189</v>
      </c>
      <c r="C983" s="1898" t="s">
        <v>1933</v>
      </c>
      <c r="D983" s="1898" t="s">
        <v>1934</v>
      </c>
      <c r="E983" s="1898" t="s">
        <v>2026</v>
      </c>
      <c r="F983" s="1898" t="s">
        <v>2029</v>
      </c>
      <c r="G983" s="1899">
        <v>95027710</v>
      </c>
      <c r="H983" s="1892"/>
    </row>
    <row r="984" spans="1:8" s="1893" customFormat="1" ht="23.25" customHeight="1" x14ac:dyDescent="0.3">
      <c r="A984" s="1891" t="s">
        <v>3114</v>
      </c>
      <c r="B984" s="1898" t="s">
        <v>1189</v>
      </c>
      <c r="C984" s="1898" t="s">
        <v>1933</v>
      </c>
      <c r="D984" s="1898" t="s">
        <v>1952</v>
      </c>
      <c r="E984" s="1898" t="s">
        <v>1896</v>
      </c>
      <c r="F984" s="1898" t="s">
        <v>1902</v>
      </c>
      <c r="G984" s="1899">
        <v>100000000</v>
      </c>
      <c r="H984" s="1892"/>
    </row>
    <row r="985" spans="1:8" s="1893" customFormat="1" ht="23.25" customHeight="1" x14ac:dyDescent="0.3">
      <c r="A985" s="1891" t="s">
        <v>3114</v>
      </c>
      <c r="B985" s="1898" t="s">
        <v>1189</v>
      </c>
      <c r="C985" s="1898" t="s">
        <v>1933</v>
      </c>
      <c r="D985" s="1898" t="s">
        <v>1952</v>
      </c>
      <c r="E985" s="1898" t="s">
        <v>2030</v>
      </c>
      <c r="F985" s="1898" t="s">
        <v>2031</v>
      </c>
      <c r="G985" s="1899">
        <v>30257700</v>
      </c>
      <c r="H985" s="1892"/>
    </row>
    <row r="986" spans="1:8" s="1893" customFormat="1" ht="23.25" customHeight="1" x14ac:dyDescent="0.3">
      <c r="A986" s="1891" t="s">
        <v>3114</v>
      </c>
      <c r="B986" s="1898" t="s">
        <v>1189</v>
      </c>
      <c r="C986" s="1898" t="s">
        <v>1933</v>
      </c>
      <c r="D986" s="1898" t="s">
        <v>1952</v>
      </c>
      <c r="E986" s="1898" t="s">
        <v>2024</v>
      </c>
      <c r="F986" s="1898" t="s">
        <v>2025</v>
      </c>
      <c r="G986" s="1899">
        <v>1545064384</v>
      </c>
      <c r="H986" s="1892"/>
    </row>
    <row r="987" spans="1:8" s="1893" customFormat="1" ht="23.25" customHeight="1" x14ac:dyDescent="0.3">
      <c r="A987" s="1891" t="s">
        <v>3114</v>
      </c>
      <c r="B987" s="1898" t="s">
        <v>1189</v>
      </c>
      <c r="C987" s="1898" t="s">
        <v>1933</v>
      </c>
      <c r="D987" s="1898" t="s">
        <v>1952</v>
      </c>
      <c r="E987" s="1898" t="s">
        <v>2026</v>
      </c>
      <c r="F987" s="1898" t="s">
        <v>2027</v>
      </c>
      <c r="G987" s="1899">
        <v>306587600</v>
      </c>
      <c r="H987" s="1892"/>
    </row>
    <row r="988" spans="1:8" s="1893" customFormat="1" ht="23.25" customHeight="1" x14ac:dyDescent="0.3">
      <c r="A988" s="1891" t="s">
        <v>3114</v>
      </c>
      <c r="B988" s="1898" t="s">
        <v>1189</v>
      </c>
      <c r="C988" s="1898" t="s">
        <v>1933</v>
      </c>
      <c r="D988" s="1898" t="s">
        <v>1952</v>
      </c>
      <c r="E988" s="1898" t="s">
        <v>2026</v>
      </c>
      <c r="F988" s="1898" t="s">
        <v>2028</v>
      </c>
      <c r="G988" s="1899">
        <v>462709550</v>
      </c>
      <c r="H988" s="1892"/>
    </row>
    <row r="989" spans="1:8" s="1893" customFormat="1" ht="23.25" customHeight="1" x14ac:dyDescent="0.3">
      <c r="A989" s="1891" t="s">
        <v>3114</v>
      </c>
      <c r="B989" s="1898" t="s">
        <v>1189</v>
      </c>
      <c r="C989" s="1898" t="s">
        <v>1933</v>
      </c>
      <c r="D989" s="1898" t="s">
        <v>1952</v>
      </c>
      <c r="E989" s="1898" t="s">
        <v>2026</v>
      </c>
      <c r="F989" s="1898" t="s">
        <v>2029</v>
      </c>
      <c r="G989" s="1899">
        <v>11084000</v>
      </c>
      <c r="H989" s="1892"/>
    </row>
    <row r="990" spans="1:8" s="1893" customFormat="1" ht="23.25" customHeight="1" x14ac:dyDescent="0.3">
      <c r="A990" s="1891" t="s">
        <v>3114</v>
      </c>
      <c r="B990" s="1898" t="s">
        <v>1189</v>
      </c>
      <c r="C990" s="1898" t="s">
        <v>1933</v>
      </c>
      <c r="D990" s="1898" t="s">
        <v>1954</v>
      </c>
      <c r="E990" s="1898" t="s">
        <v>2030</v>
      </c>
      <c r="F990" s="1898" t="s">
        <v>2031</v>
      </c>
      <c r="G990" s="1899">
        <v>8159475</v>
      </c>
      <c r="H990" s="1892"/>
    </row>
    <row r="991" spans="1:8" s="1893" customFormat="1" ht="23.25" customHeight="1" x14ac:dyDescent="0.3">
      <c r="A991" s="1891" t="s">
        <v>3114</v>
      </c>
      <c r="B991" s="1898" t="s">
        <v>1189</v>
      </c>
      <c r="C991" s="1898" t="s">
        <v>1933</v>
      </c>
      <c r="D991" s="1898" t="s">
        <v>1954</v>
      </c>
      <c r="E991" s="1898" t="s">
        <v>2024</v>
      </c>
      <c r="F991" s="1898" t="s">
        <v>2025</v>
      </c>
      <c r="G991" s="1899">
        <v>3528769119</v>
      </c>
      <c r="H991" s="1892"/>
    </row>
    <row r="992" spans="1:8" s="1893" customFormat="1" ht="23.25" customHeight="1" x14ac:dyDescent="0.3">
      <c r="A992" s="1891" t="s">
        <v>3114</v>
      </c>
      <c r="B992" s="1898" t="s">
        <v>1189</v>
      </c>
      <c r="C992" s="1898" t="s">
        <v>1933</v>
      </c>
      <c r="D992" s="1898" t="s">
        <v>1954</v>
      </c>
      <c r="E992" s="1898" t="s">
        <v>2026</v>
      </c>
      <c r="F992" s="1898" t="s">
        <v>2027</v>
      </c>
      <c r="G992" s="1899">
        <v>43805605</v>
      </c>
      <c r="H992" s="1892"/>
    </row>
    <row r="993" spans="1:8" s="1893" customFormat="1" ht="23.25" customHeight="1" x14ac:dyDescent="0.3">
      <c r="A993" s="1891" t="s">
        <v>3114</v>
      </c>
      <c r="B993" s="1898" t="s">
        <v>1189</v>
      </c>
      <c r="C993" s="1898" t="s">
        <v>1933</v>
      </c>
      <c r="D993" s="1898" t="s">
        <v>1954</v>
      </c>
      <c r="E993" s="1898" t="s">
        <v>2026</v>
      </c>
      <c r="F993" s="1898" t="s">
        <v>2028</v>
      </c>
      <c r="G993" s="1899">
        <v>283591457</v>
      </c>
      <c r="H993" s="1892"/>
    </row>
    <row r="994" spans="1:8" s="1893" customFormat="1" ht="23.25" customHeight="1" x14ac:dyDescent="0.3">
      <c r="A994" s="1891" t="s">
        <v>3114</v>
      </c>
      <c r="B994" s="1898" t="s">
        <v>1189</v>
      </c>
      <c r="C994" s="1898" t="s">
        <v>1933</v>
      </c>
      <c r="D994" s="1898" t="s">
        <v>1954</v>
      </c>
      <c r="E994" s="1898" t="s">
        <v>2026</v>
      </c>
      <c r="F994" s="1898" t="s">
        <v>2029</v>
      </c>
      <c r="G994" s="1899">
        <v>99538904</v>
      </c>
      <c r="H994" s="1892"/>
    </row>
    <row r="995" spans="1:8" s="1893" customFormat="1" ht="23.25" customHeight="1" x14ac:dyDescent="0.3">
      <c r="A995" s="1891" t="s">
        <v>3114</v>
      </c>
      <c r="B995" s="1898" t="s">
        <v>1189</v>
      </c>
      <c r="C995" s="1898" t="s">
        <v>1933</v>
      </c>
      <c r="D995" s="1898" t="s">
        <v>2032</v>
      </c>
      <c r="E995" s="1898" t="s">
        <v>1848</v>
      </c>
      <c r="F995" s="1898" t="s">
        <v>1849</v>
      </c>
      <c r="G995" s="1899">
        <v>632942933</v>
      </c>
      <c r="H995" s="1892"/>
    </row>
    <row r="996" spans="1:8" s="1893" customFormat="1" ht="23.25" customHeight="1" x14ac:dyDescent="0.3">
      <c r="A996" s="1891" t="s">
        <v>3114</v>
      </c>
      <c r="B996" s="1898" t="s">
        <v>1189</v>
      </c>
      <c r="C996" s="1898" t="s">
        <v>1933</v>
      </c>
      <c r="D996" s="1898" t="s">
        <v>2032</v>
      </c>
      <c r="E996" s="1898" t="s">
        <v>1851</v>
      </c>
      <c r="F996" s="1898" t="s">
        <v>1852</v>
      </c>
      <c r="G996" s="1899">
        <v>30600000</v>
      </c>
      <c r="H996" s="1892"/>
    </row>
    <row r="997" spans="1:8" s="1893" customFormat="1" ht="23.25" customHeight="1" x14ac:dyDescent="0.3">
      <c r="A997" s="1891" t="s">
        <v>3114</v>
      </c>
      <c r="B997" s="1898" t="s">
        <v>1189</v>
      </c>
      <c r="C997" s="1898" t="s">
        <v>1933</v>
      </c>
      <c r="D997" s="1898" t="s">
        <v>2032</v>
      </c>
      <c r="E997" s="1898" t="s">
        <v>1851</v>
      </c>
      <c r="F997" s="1898" t="s">
        <v>2065</v>
      </c>
      <c r="G997" s="1899">
        <v>49367182</v>
      </c>
      <c r="H997" s="1892"/>
    </row>
    <row r="998" spans="1:8" s="1893" customFormat="1" ht="23.25" customHeight="1" x14ac:dyDescent="0.3">
      <c r="A998" s="1891" t="s">
        <v>3114</v>
      </c>
      <c r="B998" s="1898" t="s">
        <v>1189</v>
      </c>
      <c r="C998" s="1898" t="s">
        <v>1933</v>
      </c>
      <c r="D998" s="1898" t="s">
        <v>2032</v>
      </c>
      <c r="E998" s="1898" t="s">
        <v>1853</v>
      </c>
      <c r="F998" s="1898" t="s">
        <v>1854</v>
      </c>
      <c r="G998" s="1899">
        <v>21456000</v>
      </c>
      <c r="H998" s="1892"/>
    </row>
    <row r="999" spans="1:8" s="1893" customFormat="1" ht="23.25" customHeight="1" x14ac:dyDescent="0.3">
      <c r="A999" s="1891" t="s">
        <v>3114</v>
      </c>
      <c r="B999" s="1898" t="s">
        <v>1189</v>
      </c>
      <c r="C999" s="1898" t="s">
        <v>1933</v>
      </c>
      <c r="D999" s="1898" t="s">
        <v>2032</v>
      </c>
      <c r="E999" s="1898" t="s">
        <v>1853</v>
      </c>
      <c r="F999" s="1898" t="s">
        <v>1855</v>
      </c>
      <c r="G999" s="1899">
        <v>91635000</v>
      </c>
      <c r="H999" s="1892"/>
    </row>
    <row r="1000" spans="1:8" s="1893" customFormat="1" ht="23.25" customHeight="1" x14ac:dyDescent="0.3">
      <c r="A1000" s="1891" t="s">
        <v>3114</v>
      </c>
      <c r="B1000" s="1898" t="s">
        <v>1189</v>
      </c>
      <c r="C1000" s="1898" t="s">
        <v>1933</v>
      </c>
      <c r="D1000" s="1898" t="s">
        <v>2032</v>
      </c>
      <c r="E1000" s="1898" t="s">
        <v>1853</v>
      </c>
      <c r="F1000" s="1898" t="s">
        <v>1856</v>
      </c>
      <c r="G1000" s="1899">
        <v>34861521</v>
      </c>
      <c r="H1000" s="1892"/>
    </row>
    <row r="1001" spans="1:8" s="1893" customFormat="1" ht="23.25" customHeight="1" x14ac:dyDescent="0.3">
      <c r="A1001" s="1891" t="s">
        <v>3114</v>
      </c>
      <c r="B1001" s="1898" t="s">
        <v>1189</v>
      </c>
      <c r="C1001" s="1898" t="s">
        <v>1933</v>
      </c>
      <c r="D1001" s="1898" t="s">
        <v>2032</v>
      </c>
      <c r="E1001" s="1898" t="s">
        <v>1853</v>
      </c>
      <c r="F1001" s="1898" t="s">
        <v>1937</v>
      </c>
      <c r="G1001" s="1899">
        <v>206186200</v>
      </c>
      <c r="H1001" s="1892"/>
    </row>
    <row r="1002" spans="1:8" s="1893" customFormat="1" ht="23.25" customHeight="1" x14ac:dyDescent="0.3">
      <c r="A1002" s="1891" t="s">
        <v>3114</v>
      </c>
      <c r="B1002" s="1898" t="s">
        <v>1189</v>
      </c>
      <c r="C1002" s="1898" t="s">
        <v>1933</v>
      </c>
      <c r="D1002" s="1898" t="s">
        <v>2032</v>
      </c>
      <c r="E1002" s="1898" t="s">
        <v>1853</v>
      </c>
      <c r="F1002" s="1898" t="s">
        <v>1858</v>
      </c>
      <c r="G1002" s="1899">
        <v>8220330</v>
      </c>
      <c r="H1002" s="1892"/>
    </row>
    <row r="1003" spans="1:8" s="1893" customFormat="1" ht="23.25" customHeight="1" x14ac:dyDescent="0.3">
      <c r="A1003" s="1891" t="s">
        <v>3114</v>
      </c>
      <c r="B1003" s="1898" t="s">
        <v>1189</v>
      </c>
      <c r="C1003" s="1898" t="s">
        <v>1933</v>
      </c>
      <c r="D1003" s="1898" t="s">
        <v>2032</v>
      </c>
      <c r="E1003" s="1898" t="s">
        <v>1853</v>
      </c>
      <c r="F1003" s="1898" t="s">
        <v>1929</v>
      </c>
      <c r="G1003" s="1899">
        <v>73014167</v>
      </c>
      <c r="H1003" s="1892"/>
    </row>
    <row r="1004" spans="1:8" s="1893" customFormat="1" ht="23.25" customHeight="1" x14ac:dyDescent="0.3">
      <c r="A1004" s="1891" t="s">
        <v>3114</v>
      </c>
      <c r="B1004" s="1898" t="s">
        <v>1189</v>
      </c>
      <c r="C1004" s="1898" t="s">
        <v>1933</v>
      </c>
      <c r="D1004" s="1898" t="s">
        <v>2032</v>
      </c>
      <c r="E1004" s="1898" t="s">
        <v>1940</v>
      </c>
      <c r="F1004" s="1898" t="s">
        <v>1942</v>
      </c>
      <c r="G1004" s="1899">
        <v>50000000</v>
      </c>
      <c r="H1004" s="1892"/>
    </row>
    <row r="1005" spans="1:8" s="1893" customFormat="1" ht="23.25" customHeight="1" x14ac:dyDescent="0.3">
      <c r="A1005" s="1891" t="s">
        <v>3114</v>
      </c>
      <c r="B1005" s="1898" t="s">
        <v>1189</v>
      </c>
      <c r="C1005" s="1898" t="s">
        <v>1933</v>
      </c>
      <c r="D1005" s="1898" t="s">
        <v>2032</v>
      </c>
      <c r="E1005" s="1898" t="s">
        <v>1860</v>
      </c>
      <c r="F1005" s="1898" t="s">
        <v>1861</v>
      </c>
      <c r="G1005" s="1899">
        <v>6150000</v>
      </c>
      <c r="H1005" s="1892"/>
    </row>
    <row r="1006" spans="1:8" s="1893" customFormat="1" ht="23.25" customHeight="1" x14ac:dyDescent="0.3">
      <c r="A1006" s="1891" t="s">
        <v>3114</v>
      </c>
      <c r="B1006" s="1898" t="s">
        <v>1189</v>
      </c>
      <c r="C1006" s="1898" t="s">
        <v>1933</v>
      </c>
      <c r="D1006" s="1898" t="s">
        <v>2032</v>
      </c>
      <c r="E1006" s="1898" t="s">
        <v>1862</v>
      </c>
      <c r="F1006" s="1898" t="s">
        <v>1863</v>
      </c>
      <c r="G1006" s="1899">
        <v>136830551</v>
      </c>
      <c r="H1006" s="1892"/>
    </row>
    <row r="1007" spans="1:8" s="1893" customFormat="1" ht="23.25" customHeight="1" x14ac:dyDescent="0.3">
      <c r="A1007" s="1891" t="s">
        <v>3114</v>
      </c>
      <c r="B1007" s="1898" t="s">
        <v>1189</v>
      </c>
      <c r="C1007" s="1898" t="s">
        <v>1933</v>
      </c>
      <c r="D1007" s="1898" t="s">
        <v>2032</v>
      </c>
      <c r="E1007" s="1898" t="s">
        <v>1862</v>
      </c>
      <c r="F1007" s="1898" t="s">
        <v>1864</v>
      </c>
      <c r="G1007" s="1899">
        <v>30597594</v>
      </c>
      <c r="H1007" s="1892"/>
    </row>
    <row r="1008" spans="1:8" s="1893" customFormat="1" ht="23.25" customHeight="1" x14ac:dyDescent="0.3">
      <c r="A1008" s="1891" t="s">
        <v>3114</v>
      </c>
      <c r="B1008" s="1898" t="s">
        <v>1189</v>
      </c>
      <c r="C1008" s="1898" t="s">
        <v>1933</v>
      </c>
      <c r="D1008" s="1898" t="s">
        <v>2032</v>
      </c>
      <c r="E1008" s="1898" t="s">
        <v>1862</v>
      </c>
      <c r="F1008" s="1898" t="s">
        <v>1865</v>
      </c>
      <c r="G1008" s="1899">
        <v>14497776</v>
      </c>
      <c r="H1008" s="1892"/>
    </row>
    <row r="1009" spans="1:8" s="1893" customFormat="1" ht="23.25" customHeight="1" x14ac:dyDescent="0.3">
      <c r="A1009" s="1891" t="s">
        <v>3114</v>
      </c>
      <c r="B1009" s="1898" t="s">
        <v>1189</v>
      </c>
      <c r="C1009" s="1898" t="s">
        <v>1933</v>
      </c>
      <c r="D1009" s="1898" t="s">
        <v>2032</v>
      </c>
      <c r="E1009" s="1898" t="s">
        <v>1867</v>
      </c>
      <c r="F1009" s="1898" t="s">
        <v>1868</v>
      </c>
      <c r="G1009" s="1899">
        <v>22508528</v>
      </c>
      <c r="H1009" s="1892"/>
    </row>
    <row r="1010" spans="1:8" s="1893" customFormat="1" ht="23.25" customHeight="1" x14ac:dyDescent="0.3">
      <c r="A1010" s="1891" t="s">
        <v>3114</v>
      </c>
      <c r="B1010" s="1898" t="s">
        <v>1189</v>
      </c>
      <c r="C1010" s="1898" t="s">
        <v>1933</v>
      </c>
      <c r="D1010" s="1898" t="s">
        <v>2032</v>
      </c>
      <c r="E1010" s="1898" t="s">
        <v>1869</v>
      </c>
      <c r="F1010" s="1898" t="s">
        <v>1870</v>
      </c>
      <c r="G1010" s="1899">
        <v>19062035</v>
      </c>
      <c r="H1010" s="1892"/>
    </row>
    <row r="1011" spans="1:8" s="1893" customFormat="1" ht="23.25" customHeight="1" x14ac:dyDescent="0.3">
      <c r="A1011" s="1891" t="s">
        <v>3114</v>
      </c>
      <c r="B1011" s="1898" t="s">
        <v>1189</v>
      </c>
      <c r="C1011" s="1898" t="s">
        <v>1933</v>
      </c>
      <c r="D1011" s="1898" t="s">
        <v>2032</v>
      </c>
      <c r="E1011" s="1898" t="s">
        <v>1869</v>
      </c>
      <c r="F1011" s="1898" t="s">
        <v>1871</v>
      </c>
      <c r="G1011" s="1899">
        <v>7632688</v>
      </c>
      <c r="H1011" s="1892"/>
    </row>
    <row r="1012" spans="1:8" s="1893" customFormat="1" ht="23.25" customHeight="1" x14ac:dyDescent="0.3">
      <c r="A1012" s="1891" t="s">
        <v>3114</v>
      </c>
      <c r="B1012" s="1898" t="s">
        <v>1189</v>
      </c>
      <c r="C1012" s="1898" t="s">
        <v>1933</v>
      </c>
      <c r="D1012" s="1898" t="s">
        <v>2032</v>
      </c>
      <c r="E1012" s="1898" t="s">
        <v>1874</v>
      </c>
      <c r="F1012" s="1898" t="s">
        <v>1875</v>
      </c>
      <c r="G1012" s="1899">
        <v>9750000</v>
      </c>
      <c r="H1012" s="1892"/>
    </row>
    <row r="1013" spans="1:8" s="1893" customFormat="1" ht="23.25" customHeight="1" x14ac:dyDescent="0.3">
      <c r="A1013" s="1891" t="s">
        <v>3114</v>
      </c>
      <c r="B1013" s="1898" t="s">
        <v>1189</v>
      </c>
      <c r="C1013" s="1898" t="s">
        <v>1933</v>
      </c>
      <c r="D1013" s="1898" t="s">
        <v>2032</v>
      </c>
      <c r="E1013" s="1898" t="s">
        <v>1874</v>
      </c>
      <c r="F1013" s="1898" t="s">
        <v>1876</v>
      </c>
      <c r="G1013" s="1899">
        <v>4150000</v>
      </c>
      <c r="H1013" s="1892"/>
    </row>
    <row r="1014" spans="1:8" s="1893" customFormat="1" ht="23.25" customHeight="1" x14ac:dyDescent="0.3">
      <c r="A1014" s="1891" t="s">
        <v>3114</v>
      </c>
      <c r="B1014" s="1898" t="s">
        <v>1189</v>
      </c>
      <c r="C1014" s="1898" t="s">
        <v>1933</v>
      </c>
      <c r="D1014" s="1898" t="s">
        <v>2032</v>
      </c>
      <c r="E1014" s="1898" t="s">
        <v>1874</v>
      </c>
      <c r="F1014" s="1898" t="s">
        <v>2062</v>
      </c>
      <c r="G1014" s="1899">
        <v>4500000</v>
      </c>
      <c r="H1014" s="1892"/>
    </row>
    <row r="1015" spans="1:8" s="1893" customFormat="1" ht="23.25" customHeight="1" x14ac:dyDescent="0.3">
      <c r="A1015" s="1891" t="s">
        <v>3114</v>
      </c>
      <c r="B1015" s="1898" t="s">
        <v>1189</v>
      </c>
      <c r="C1015" s="1898" t="s">
        <v>1933</v>
      </c>
      <c r="D1015" s="1898" t="s">
        <v>2032</v>
      </c>
      <c r="E1015" s="1898" t="s">
        <v>1874</v>
      </c>
      <c r="F1015" s="1898" t="s">
        <v>1877</v>
      </c>
      <c r="G1015" s="1899">
        <v>10384000</v>
      </c>
      <c r="H1015" s="1892"/>
    </row>
    <row r="1016" spans="1:8" s="1893" customFormat="1" ht="23.25" customHeight="1" x14ac:dyDescent="0.3">
      <c r="A1016" s="1891" t="s">
        <v>3114</v>
      </c>
      <c r="B1016" s="1898" t="s">
        <v>1189</v>
      </c>
      <c r="C1016" s="1898" t="s">
        <v>1933</v>
      </c>
      <c r="D1016" s="1898" t="s">
        <v>2032</v>
      </c>
      <c r="E1016" s="1898" t="s">
        <v>1878</v>
      </c>
      <c r="F1016" s="1898" t="s">
        <v>1879</v>
      </c>
      <c r="G1016" s="1899">
        <v>234666</v>
      </c>
      <c r="H1016" s="1892"/>
    </row>
    <row r="1017" spans="1:8" s="1893" customFormat="1" ht="23.25" customHeight="1" x14ac:dyDescent="0.3">
      <c r="A1017" s="1891" t="s">
        <v>3114</v>
      </c>
      <c r="B1017" s="1898" t="s">
        <v>1189</v>
      </c>
      <c r="C1017" s="1898" t="s">
        <v>1933</v>
      </c>
      <c r="D1017" s="1898" t="s">
        <v>2032</v>
      </c>
      <c r="E1017" s="1898" t="s">
        <v>1878</v>
      </c>
      <c r="F1017" s="1898" t="s">
        <v>1881</v>
      </c>
      <c r="G1017" s="1899">
        <v>362361</v>
      </c>
      <c r="H1017" s="1892"/>
    </row>
    <row r="1018" spans="1:8" s="1893" customFormat="1" ht="23.25" customHeight="1" x14ac:dyDescent="0.3">
      <c r="A1018" s="1891" t="s">
        <v>3114</v>
      </c>
      <c r="B1018" s="1898" t="s">
        <v>1189</v>
      </c>
      <c r="C1018" s="1898" t="s">
        <v>1933</v>
      </c>
      <c r="D1018" s="1898" t="s">
        <v>2032</v>
      </c>
      <c r="E1018" s="1898" t="s">
        <v>1878</v>
      </c>
      <c r="F1018" s="1898" t="s">
        <v>1882</v>
      </c>
      <c r="G1018" s="1899">
        <v>240000</v>
      </c>
      <c r="H1018" s="1892"/>
    </row>
    <row r="1019" spans="1:8" s="1893" customFormat="1" ht="23.25" customHeight="1" x14ac:dyDescent="0.3">
      <c r="A1019" s="1891" t="s">
        <v>3114</v>
      </c>
      <c r="B1019" s="1898" t="s">
        <v>1189</v>
      </c>
      <c r="C1019" s="1898" t="s">
        <v>1933</v>
      </c>
      <c r="D1019" s="1898" t="s">
        <v>2032</v>
      </c>
      <c r="E1019" s="1898" t="s">
        <v>1889</v>
      </c>
      <c r="F1019" s="1898" t="s">
        <v>1890</v>
      </c>
      <c r="G1019" s="1899">
        <v>22975000</v>
      </c>
      <c r="H1019" s="1892"/>
    </row>
    <row r="1020" spans="1:8" s="1893" customFormat="1" ht="23.25" customHeight="1" x14ac:dyDescent="0.3">
      <c r="A1020" s="1891" t="s">
        <v>3114</v>
      </c>
      <c r="B1020" s="1898" t="s">
        <v>1189</v>
      </c>
      <c r="C1020" s="1898" t="s">
        <v>1933</v>
      </c>
      <c r="D1020" s="1898" t="s">
        <v>2032</v>
      </c>
      <c r="E1020" s="1898" t="s">
        <v>1889</v>
      </c>
      <c r="F1020" s="1898" t="s">
        <v>1891</v>
      </c>
      <c r="G1020" s="1899">
        <v>18600000</v>
      </c>
      <c r="H1020" s="1892"/>
    </row>
    <row r="1021" spans="1:8" s="1893" customFormat="1" ht="23.25" customHeight="1" x14ac:dyDescent="0.3">
      <c r="A1021" s="1891" t="s">
        <v>3114</v>
      </c>
      <c r="B1021" s="1898" t="s">
        <v>1189</v>
      </c>
      <c r="C1021" s="1898" t="s">
        <v>1933</v>
      </c>
      <c r="D1021" s="1898" t="s">
        <v>2032</v>
      </c>
      <c r="E1021" s="1898" t="s">
        <v>1889</v>
      </c>
      <c r="F1021" s="1898" t="s">
        <v>1892</v>
      </c>
      <c r="G1021" s="1899">
        <v>9600000</v>
      </c>
      <c r="H1021" s="1892"/>
    </row>
    <row r="1022" spans="1:8" s="1893" customFormat="1" ht="23.25" customHeight="1" x14ac:dyDescent="0.3">
      <c r="A1022" s="1891" t="s">
        <v>3114</v>
      </c>
      <c r="B1022" s="1898" t="s">
        <v>1189</v>
      </c>
      <c r="C1022" s="1898" t="s">
        <v>1933</v>
      </c>
      <c r="D1022" s="1898" t="s">
        <v>2032</v>
      </c>
      <c r="E1022" s="1898" t="s">
        <v>1889</v>
      </c>
      <c r="F1022" s="1898" t="s">
        <v>1922</v>
      </c>
      <c r="G1022" s="1899">
        <v>10589168</v>
      </c>
      <c r="H1022" s="1892"/>
    </row>
    <row r="1023" spans="1:8" s="1893" customFormat="1" ht="23.25" customHeight="1" x14ac:dyDescent="0.3">
      <c r="A1023" s="1891" t="s">
        <v>3114</v>
      </c>
      <c r="B1023" s="1898" t="s">
        <v>1189</v>
      </c>
      <c r="C1023" s="1898" t="s">
        <v>1933</v>
      </c>
      <c r="D1023" s="1898" t="s">
        <v>2032</v>
      </c>
      <c r="E1023" s="1898" t="s">
        <v>1893</v>
      </c>
      <c r="F1023" s="1898" t="s">
        <v>2051</v>
      </c>
      <c r="G1023" s="1899">
        <v>9129000</v>
      </c>
      <c r="H1023" s="1892"/>
    </row>
    <row r="1024" spans="1:8" s="1893" customFormat="1" ht="23.25" customHeight="1" x14ac:dyDescent="0.3">
      <c r="A1024" s="1891" t="s">
        <v>3114</v>
      </c>
      <c r="B1024" s="1898" t="s">
        <v>1189</v>
      </c>
      <c r="C1024" s="1898" t="s">
        <v>1933</v>
      </c>
      <c r="D1024" s="1898" t="s">
        <v>2032</v>
      </c>
      <c r="E1024" s="1898" t="s">
        <v>1896</v>
      </c>
      <c r="F1024" s="1898" t="s">
        <v>1900</v>
      </c>
      <c r="G1024" s="1899">
        <v>6980000</v>
      </c>
      <c r="H1024" s="1892"/>
    </row>
    <row r="1025" spans="1:8" s="1893" customFormat="1" ht="23.25" customHeight="1" x14ac:dyDescent="0.3">
      <c r="A1025" s="1891" t="s">
        <v>3114</v>
      </c>
      <c r="B1025" s="1898" t="s">
        <v>1189</v>
      </c>
      <c r="C1025" s="1898" t="s">
        <v>1933</v>
      </c>
      <c r="D1025" s="1898" t="s">
        <v>2032</v>
      </c>
      <c r="E1025" s="1898" t="s">
        <v>1896</v>
      </c>
      <c r="F1025" s="1898" t="s">
        <v>1902</v>
      </c>
      <c r="G1025" s="1899">
        <v>99930345</v>
      </c>
      <c r="H1025" s="1892"/>
    </row>
    <row r="1026" spans="1:8" s="1893" customFormat="1" ht="23.25" customHeight="1" x14ac:dyDescent="0.3">
      <c r="A1026" s="1891" t="s">
        <v>3114</v>
      </c>
      <c r="B1026" s="1898" t="s">
        <v>1189</v>
      </c>
      <c r="C1026" s="1898" t="s">
        <v>1933</v>
      </c>
      <c r="D1026" s="1898" t="s">
        <v>2032</v>
      </c>
      <c r="E1026" s="1898" t="s">
        <v>1906</v>
      </c>
      <c r="F1026" s="1898" t="s">
        <v>1909</v>
      </c>
      <c r="G1026" s="1899">
        <v>1950000</v>
      </c>
      <c r="H1026" s="1892"/>
    </row>
    <row r="1027" spans="1:8" s="1893" customFormat="1" ht="23.25" customHeight="1" x14ac:dyDescent="0.3">
      <c r="A1027" s="1891" t="s">
        <v>3114</v>
      </c>
      <c r="B1027" s="1898" t="s">
        <v>1189</v>
      </c>
      <c r="C1027" s="1898" t="s">
        <v>1933</v>
      </c>
      <c r="D1027" s="1898" t="s">
        <v>2032</v>
      </c>
      <c r="E1027" s="1898" t="s">
        <v>1912</v>
      </c>
      <c r="F1027" s="1898" t="s">
        <v>1913</v>
      </c>
      <c r="G1027" s="1899">
        <v>7790000</v>
      </c>
      <c r="H1027" s="1892"/>
    </row>
    <row r="1028" spans="1:8" s="1893" customFormat="1" ht="23.25" customHeight="1" x14ac:dyDescent="0.3">
      <c r="A1028" s="1891" t="s">
        <v>3114</v>
      </c>
      <c r="B1028" s="1898" t="s">
        <v>1189</v>
      </c>
      <c r="C1028" s="1898" t="s">
        <v>1933</v>
      </c>
      <c r="D1028" s="1898" t="s">
        <v>2032</v>
      </c>
      <c r="E1028" s="1898" t="s">
        <v>1912</v>
      </c>
      <c r="F1028" s="1898" t="s">
        <v>1916</v>
      </c>
      <c r="G1028" s="1899">
        <v>5229300</v>
      </c>
      <c r="H1028" s="1892"/>
    </row>
    <row r="1029" spans="1:8" s="1893" customFormat="1" ht="23.25" customHeight="1" x14ac:dyDescent="0.3">
      <c r="A1029" s="1891" t="s">
        <v>3114</v>
      </c>
      <c r="B1029" s="1898" t="s">
        <v>1189</v>
      </c>
      <c r="C1029" s="1898" t="s">
        <v>1933</v>
      </c>
      <c r="D1029" s="1898" t="s">
        <v>2033</v>
      </c>
      <c r="E1029" s="1898" t="s">
        <v>1848</v>
      </c>
      <c r="F1029" s="1898" t="s">
        <v>1849</v>
      </c>
      <c r="G1029" s="1899">
        <v>127096999</v>
      </c>
      <c r="H1029" s="1892"/>
    </row>
    <row r="1030" spans="1:8" s="1893" customFormat="1" ht="23.25" customHeight="1" x14ac:dyDescent="0.3">
      <c r="A1030" s="1891" t="s">
        <v>3114</v>
      </c>
      <c r="B1030" s="1898" t="s">
        <v>1189</v>
      </c>
      <c r="C1030" s="1898" t="s">
        <v>1933</v>
      </c>
      <c r="D1030" s="1898" t="s">
        <v>2033</v>
      </c>
      <c r="E1030" s="1898" t="s">
        <v>1853</v>
      </c>
      <c r="F1030" s="1898" t="s">
        <v>1854</v>
      </c>
      <c r="G1030" s="1899">
        <v>5364000</v>
      </c>
      <c r="H1030" s="1892"/>
    </row>
    <row r="1031" spans="1:8" s="1893" customFormat="1" ht="23.25" customHeight="1" x14ac:dyDescent="0.3">
      <c r="A1031" s="1891" t="s">
        <v>3114</v>
      </c>
      <c r="B1031" s="1898" t="s">
        <v>1189</v>
      </c>
      <c r="C1031" s="1898" t="s">
        <v>1933</v>
      </c>
      <c r="D1031" s="1898" t="s">
        <v>2033</v>
      </c>
      <c r="E1031" s="1898" t="s">
        <v>1853</v>
      </c>
      <c r="F1031" s="1898" t="s">
        <v>1855</v>
      </c>
      <c r="G1031" s="1899">
        <v>17880000</v>
      </c>
      <c r="H1031" s="1892"/>
    </row>
    <row r="1032" spans="1:8" s="1893" customFormat="1" ht="23.25" customHeight="1" x14ac:dyDescent="0.3">
      <c r="A1032" s="1891" t="s">
        <v>3114</v>
      </c>
      <c r="B1032" s="1898" t="s">
        <v>1189</v>
      </c>
      <c r="C1032" s="1898" t="s">
        <v>1933</v>
      </c>
      <c r="D1032" s="1898" t="s">
        <v>2033</v>
      </c>
      <c r="E1032" s="1898" t="s">
        <v>1853</v>
      </c>
      <c r="F1032" s="1898" t="s">
        <v>1856</v>
      </c>
      <c r="G1032" s="1899">
        <v>444000</v>
      </c>
      <c r="H1032" s="1892"/>
    </row>
    <row r="1033" spans="1:8" s="1893" customFormat="1" ht="23.25" customHeight="1" x14ac:dyDescent="0.3">
      <c r="A1033" s="1891" t="s">
        <v>3114</v>
      </c>
      <c r="B1033" s="1898" t="s">
        <v>1189</v>
      </c>
      <c r="C1033" s="1898" t="s">
        <v>1933</v>
      </c>
      <c r="D1033" s="1898" t="s">
        <v>2033</v>
      </c>
      <c r="E1033" s="1898" t="s">
        <v>1853</v>
      </c>
      <c r="F1033" s="1898" t="s">
        <v>1937</v>
      </c>
      <c r="G1033" s="1899">
        <v>39663800</v>
      </c>
      <c r="H1033" s="1892"/>
    </row>
    <row r="1034" spans="1:8" s="1893" customFormat="1" ht="23.25" customHeight="1" x14ac:dyDescent="0.3">
      <c r="A1034" s="1891" t="s">
        <v>3114</v>
      </c>
      <c r="B1034" s="1898" t="s">
        <v>1189</v>
      </c>
      <c r="C1034" s="1898" t="s">
        <v>1933</v>
      </c>
      <c r="D1034" s="1898" t="s">
        <v>2033</v>
      </c>
      <c r="E1034" s="1898" t="s">
        <v>1853</v>
      </c>
      <c r="F1034" s="1898" t="s">
        <v>1929</v>
      </c>
      <c r="G1034" s="1899">
        <v>19951780</v>
      </c>
      <c r="H1034" s="1892"/>
    </row>
    <row r="1035" spans="1:8" s="1893" customFormat="1" ht="23.25" customHeight="1" x14ac:dyDescent="0.3">
      <c r="A1035" s="1891" t="s">
        <v>3114</v>
      </c>
      <c r="B1035" s="1898" t="s">
        <v>1189</v>
      </c>
      <c r="C1035" s="1898" t="s">
        <v>1933</v>
      </c>
      <c r="D1035" s="1898" t="s">
        <v>2033</v>
      </c>
      <c r="E1035" s="1898" t="s">
        <v>1860</v>
      </c>
      <c r="F1035" s="1898" t="s">
        <v>1861</v>
      </c>
      <c r="G1035" s="1899">
        <v>450000</v>
      </c>
      <c r="H1035" s="1892"/>
    </row>
    <row r="1036" spans="1:8" s="1893" customFormat="1" ht="23.25" customHeight="1" x14ac:dyDescent="0.3">
      <c r="A1036" s="1891" t="s">
        <v>3114</v>
      </c>
      <c r="B1036" s="1898" t="s">
        <v>1189</v>
      </c>
      <c r="C1036" s="1898" t="s">
        <v>1933</v>
      </c>
      <c r="D1036" s="1898" t="s">
        <v>2033</v>
      </c>
      <c r="E1036" s="1898" t="s">
        <v>1862</v>
      </c>
      <c r="F1036" s="1898" t="s">
        <v>1863</v>
      </c>
      <c r="G1036" s="1899">
        <v>26664522</v>
      </c>
      <c r="H1036" s="1892"/>
    </row>
    <row r="1037" spans="1:8" s="1893" customFormat="1" ht="23.25" customHeight="1" x14ac:dyDescent="0.3">
      <c r="A1037" s="1891" t="s">
        <v>3114</v>
      </c>
      <c r="B1037" s="1898" t="s">
        <v>1189</v>
      </c>
      <c r="C1037" s="1898" t="s">
        <v>1933</v>
      </c>
      <c r="D1037" s="1898" t="s">
        <v>2033</v>
      </c>
      <c r="E1037" s="1898" t="s">
        <v>1862</v>
      </c>
      <c r="F1037" s="1898" t="s">
        <v>1864</v>
      </c>
      <c r="G1037" s="1899">
        <v>4572578</v>
      </c>
      <c r="H1037" s="1892"/>
    </row>
    <row r="1038" spans="1:8" s="1893" customFormat="1" ht="23.25" customHeight="1" x14ac:dyDescent="0.3">
      <c r="A1038" s="1891" t="s">
        <v>3114</v>
      </c>
      <c r="B1038" s="1898" t="s">
        <v>1189</v>
      </c>
      <c r="C1038" s="1898" t="s">
        <v>1933</v>
      </c>
      <c r="D1038" s="1898" t="s">
        <v>2033</v>
      </c>
      <c r="E1038" s="1898" t="s">
        <v>1862</v>
      </c>
      <c r="F1038" s="1898" t="s">
        <v>1865</v>
      </c>
      <c r="G1038" s="1899">
        <v>3035900</v>
      </c>
      <c r="H1038" s="1892"/>
    </row>
    <row r="1039" spans="1:8" s="1893" customFormat="1" ht="23.25" customHeight="1" x14ac:dyDescent="0.3">
      <c r="A1039" s="1891" t="s">
        <v>3114</v>
      </c>
      <c r="B1039" s="1898" t="s">
        <v>1189</v>
      </c>
      <c r="C1039" s="1898" t="s">
        <v>1933</v>
      </c>
      <c r="D1039" s="1898" t="s">
        <v>2033</v>
      </c>
      <c r="E1039" s="1898" t="s">
        <v>1862</v>
      </c>
      <c r="F1039" s="1898" t="s">
        <v>1866</v>
      </c>
      <c r="G1039" s="1899">
        <v>418392</v>
      </c>
      <c r="H1039" s="1892"/>
    </row>
    <row r="1040" spans="1:8" s="1893" customFormat="1" ht="23.25" customHeight="1" x14ac:dyDescent="0.3">
      <c r="A1040" s="1891" t="s">
        <v>3114</v>
      </c>
      <c r="B1040" s="1898" t="s">
        <v>1189</v>
      </c>
      <c r="C1040" s="1898" t="s">
        <v>1933</v>
      </c>
      <c r="D1040" s="1898" t="s">
        <v>2033</v>
      </c>
      <c r="E1040" s="1898" t="s">
        <v>1869</v>
      </c>
      <c r="F1040" s="1898" t="s">
        <v>1870</v>
      </c>
      <c r="G1040" s="1899">
        <v>4407400</v>
      </c>
      <c r="H1040" s="1892"/>
    </row>
    <row r="1041" spans="1:8" s="1893" customFormat="1" ht="23.25" customHeight="1" x14ac:dyDescent="0.3">
      <c r="A1041" s="1891" t="s">
        <v>3114</v>
      </c>
      <c r="B1041" s="1898" t="s">
        <v>1189</v>
      </c>
      <c r="C1041" s="1898" t="s">
        <v>1933</v>
      </c>
      <c r="D1041" s="1898" t="s">
        <v>2033</v>
      </c>
      <c r="E1041" s="1898" t="s">
        <v>1869</v>
      </c>
      <c r="F1041" s="1898" t="s">
        <v>1871</v>
      </c>
      <c r="G1041" s="1899">
        <v>1892100</v>
      </c>
      <c r="H1041" s="1892"/>
    </row>
    <row r="1042" spans="1:8" s="1893" customFormat="1" ht="23.25" customHeight="1" x14ac:dyDescent="0.3">
      <c r="A1042" s="1891" t="s">
        <v>3114</v>
      </c>
      <c r="B1042" s="1898" t="s">
        <v>1189</v>
      </c>
      <c r="C1042" s="1898" t="s">
        <v>1933</v>
      </c>
      <c r="D1042" s="1898" t="s">
        <v>2033</v>
      </c>
      <c r="E1042" s="1898" t="s">
        <v>1869</v>
      </c>
      <c r="F1042" s="1898" t="s">
        <v>1873</v>
      </c>
      <c r="G1042" s="1899">
        <v>720000</v>
      </c>
      <c r="H1042" s="1892"/>
    </row>
    <row r="1043" spans="1:8" s="1893" customFormat="1" ht="23.25" customHeight="1" x14ac:dyDescent="0.3">
      <c r="A1043" s="1891" t="s">
        <v>3114</v>
      </c>
      <c r="B1043" s="1898" t="s">
        <v>1189</v>
      </c>
      <c r="C1043" s="1898" t="s">
        <v>1933</v>
      </c>
      <c r="D1043" s="1898" t="s">
        <v>2033</v>
      </c>
      <c r="E1043" s="1898" t="s">
        <v>1874</v>
      </c>
      <c r="F1043" s="1898" t="s">
        <v>1875</v>
      </c>
      <c r="G1043" s="1899">
        <v>1945000</v>
      </c>
      <c r="H1043" s="1892"/>
    </row>
    <row r="1044" spans="1:8" s="1893" customFormat="1" ht="23.25" customHeight="1" x14ac:dyDescent="0.3">
      <c r="A1044" s="1891" t="s">
        <v>3114</v>
      </c>
      <c r="B1044" s="1898" t="s">
        <v>1189</v>
      </c>
      <c r="C1044" s="1898" t="s">
        <v>1933</v>
      </c>
      <c r="D1044" s="1898" t="s">
        <v>2033</v>
      </c>
      <c r="E1044" s="1898" t="s">
        <v>1874</v>
      </c>
      <c r="F1044" s="1898" t="s">
        <v>1877</v>
      </c>
      <c r="G1044" s="1899">
        <v>2030000</v>
      </c>
      <c r="H1044" s="1892"/>
    </row>
    <row r="1045" spans="1:8" s="1893" customFormat="1" ht="23.25" customHeight="1" x14ac:dyDescent="0.3">
      <c r="A1045" s="1891" t="s">
        <v>3114</v>
      </c>
      <c r="B1045" s="1898" t="s">
        <v>1189</v>
      </c>
      <c r="C1045" s="1898" t="s">
        <v>1933</v>
      </c>
      <c r="D1045" s="1898" t="s">
        <v>2033</v>
      </c>
      <c r="E1045" s="1898" t="s">
        <v>1878</v>
      </c>
      <c r="F1045" s="1898" t="s">
        <v>1879</v>
      </c>
      <c r="G1045" s="1899">
        <v>528000</v>
      </c>
      <c r="H1045" s="1892"/>
    </row>
    <row r="1046" spans="1:8" s="1893" customFormat="1" ht="23.25" customHeight="1" x14ac:dyDescent="0.3">
      <c r="A1046" s="1891" t="s">
        <v>3114</v>
      </c>
      <c r="B1046" s="1898" t="s">
        <v>1189</v>
      </c>
      <c r="C1046" s="1898" t="s">
        <v>1933</v>
      </c>
      <c r="D1046" s="1898" t="s">
        <v>2033</v>
      </c>
      <c r="E1046" s="1898" t="s">
        <v>1878</v>
      </c>
      <c r="F1046" s="1898" t="s">
        <v>1881</v>
      </c>
      <c r="G1046" s="1899">
        <v>1980000</v>
      </c>
      <c r="H1046" s="1892"/>
    </row>
    <row r="1047" spans="1:8" s="1893" customFormat="1" ht="23.25" customHeight="1" x14ac:dyDescent="0.3">
      <c r="A1047" s="1891" t="s">
        <v>3114</v>
      </c>
      <c r="B1047" s="1898" t="s">
        <v>1189</v>
      </c>
      <c r="C1047" s="1898" t="s">
        <v>1933</v>
      </c>
      <c r="D1047" s="1898" t="s">
        <v>2033</v>
      </c>
      <c r="E1047" s="1898" t="s">
        <v>1878</v>
      </c>
      <c r="F1047" s="1898" t="s">
        <v>1883</v>
      </c>
      <c r="G1047" s="1899">
        <v>763400</v>
      </c>
      <c r="H1047" s="1892"/>
    </row>
    <row r="1048" spans="1:8" s="1893" customFormat="1" ht="23.25" customHeight="1" x14ac:dyDescent="0.3">
      <c r="A1048" s="1891" t="s">
        <v>3114</v>
      </c>
      <c r="B1048" s="1898" t="s">
        <v>1189</v>
      </c>
      <c r="C1048" s="1898" t="s">
        <v>1933</v>
      </c>
      <c r="D1048" s="1898" t="s">
        <v>2033</v>
      </c>
      <c r="E1048" s="1898" t="s">
        <v>1885</v>
      </c>
      <c r="F1048" s="1898" t="s">
        <v>1925</v>
      </c>
      <c r="G1048" s="1899">
        <v>6320000</v>
      </c>
      <c r="H1048" s="1892"/>
    </row>
    <row r="1049" spans="1:8" s="1893" customFormat="1" ht="23.25" customHeight="1" x14ac:dyDescent="0.3">
      <c r="A1049" s="1891" t="s">
        <v>3114</v>
      </c>
      <c r="B1049" s="1898" t="s">
        <v>1189</v>
      </c>
      <c r="C1049" s="1898" t="s">
        <v>1933</v>
      </c>
      <c r="D1049" s="1898" t="s">
        <v>2033</v>
      </c>
      <c r="E1049" s="1898" t="s">
        <v>1885</v>
      </c>
      <c r="F1049" s="1898" t="s">
        <v>1886</v>
      </c>
      <c r="G1049" s="1899">
        <v>25390000</v>
      </c>
      <c r="H1049" s="1892"/>
    </row>
    <row r="1050" spans="1:8" s="1893" customFormat="1" ht="23.25" customHeight="1" x14ac:dyDescent="0.3">
      <c r="A1050" s="1891" t="s">
        <v>3114</v>
      </c>
      <c r="B1050" s="1898" t="s">
        <v>1189</v>
      </c>
      <c r="C1050" s="1898" t="s">
        <v>1933</v>
      </c>
      <c r="D1050" s="1898" t="s">
        <v>2033</v>
      </c>
      <c r="E1050" s="1898" t="s">
        <v>1885</v>
      </c>
      <c r="F1050" s="1898" t="s">
        <v>1887</v>
      </c>
      <c r="G1050" s="1899">
        <v>49400000</v>
      </c>
      <c r="H1050" s="1892"/>
    </row>
    <row r="1051" spans="1:8" s="1893" customFormat="1" ht="23.25" customHeight="1" x14ac:dyDescent="0.3">
      <c r="A1051" s="1891" t="s">
        <v>3114</v>
      </c>
      <c r="B1051" s="1898" t="s">
        <v>1189</v>
      </c>
      <c r="C1051" s="1898" t="s">
        <v>1933</v>
      </c>
      <c r="D1051" s="1898" t="s">
        <v>2033</v>
      </c>
      <c r="E1051" s="1898" t="s">
        <v>1885</v>
      </c>
      <c r="F1051" s="1898" t="s">
        <v>1888</v>
      </c>
      <c r="G1051" s="1899">
        <v>19599000</v>
      </c>
      <c r="H1051" s="1892"/>
    </row>
    <row r="1052" spans="1:8" s="1893" customFormat="1" ht="23.25" customHeight="1" x14ac:dyDescent="0.3">
      <c r="A1052" s="1891" t="s">
        <v>3114</v>
      </c>
      <c r="B1052" s="1898" t="s">
        <v>1189</v>
      </c>
      <c r="C1052" s="1898" t="s">
        <v>1933</v>
      </c>
      <c r="D1052" s="1898" t="s">
        <v>2033</v>
      </c>
      <c r="E1052" s="1898" t="s">
        <v>1889</v>
      </c>
      <c r="F1052" s="1898" t="s">
        <v>1892</v>
      </c>
      <c r="G1052" s="1899">
        <v>9600000</v>
      </c>
      <c r="H1052" s="1892"/>
    </row>
    <row r="1053" spans="1:8" s="1893" customFormat="1" ht="23.25" customHeight="1" x14ac:dyDescent="0.3">
      <c r="A1053" s="1891" t="s">
        <v>3114</v>
      </c>
      <c r="B1053" s="1898" t="s">
        <v>1189</v>
      </c>
      <c r="C1053" s="1898" t="s">
        <v>1933</v>
      </c>
      <c r="D1053" s="1898" t="s">
        <v>2033</v>
      </c>
      <c r="E1053" s="1898" t="s">
        <v>1893</v>
      </c>
      <c r="F1053" s="1898" t="s">
        <v>1894</v>
      </c>
      <c r="G1053" s="1899">
        <v>2500000</v>
      </c>
      <c r="H1053" s="1892"/>
    </row>
    <row r="1054" spans="1:8" s="1893" customFormat="1" ht="23.25" customHeight="1" x14ac:dyDescent="0.3">
      <c r="A1054" s="1891" t="s">
        <v>3114</v>
      </c>
      <c r="B1054" s="1898" t="s">
        <v>1189</v>
      </c>
      <c r="C1054" s="1898" t="s">
        <v>1933</v>
      </c>
      <c r="D1054" s="1898" t="s">
        <v>2033</v>
      </c>
      <c r="E1054" s="1898" t="s">
        <v>1893</v>
      </c>
      <c r="F1054" s="1898" t="s">
        <v>2051</v>
      </c>
      <c r="G1054" s="1899">
        <v>1500000</v>
      </c>
      <c r="H1054" s="1892"/>
    </row>
    <row r="1055" spans="1:8" s="1893" customFormat="1" ht="23.25" customHeight="1" x14ac:dyDescent="0.3">
      <c r="A1055" s="1891" t="s">
        <v>3114</v>
      </c>
      <c r="B1055" s="1898" t="s">
        <v>1189</v>
      </c>
      <c r="C1055" s="1898" t="s">
        <v>1933</v>
      </c>
      <c r="D1055" s="1898" t="s">
        <v>2033</v>
      </c>
      <c r="E1055" s="1898" t="s">
        <v>1893</v>
      </c>
      <c r="F1055" s="1898" t="s">
        <v>2034</v>
      </c>
      <c r="G1055" s="1899">
        <v>32843900</v>
      </c>
      <c r="H1055" s="1892"/>
    </row>
    <row r="1056" spans="1:8" s="1893" customFormat="1" ht="23.25" customHeight="1" x14ac:dyDescent="0.3">
      <c r="A1056" s="1891" t="s">
        <v>3114</v>
      </c>
      <c r="B1056" s="1898" t="s">
        <v>1189</v>
      </c>
      <c r="C1056" s="1898" t="s">
        <v>1933</v>
      </c>
      <c r="D1056" s="1898" t="s">
        <v>2033</v>
      </c>
      <c r="E1056" s="1898" t="s">
        <v>1896</v>
      </c>
      <c r="F1056" s="1898" t="s">
        <v>1900</v>
      </c>
      <c r="G1056" s="1899">
        <v>1030000</v>
      </c>
      <c r="H1056" s="1892"/>
    </row>
    <row r="1057" spans="1:8" s="1893" customFormat="1" ht="23.25" customHeight="1" x14ac:dyDescent="0.3">
      <c r="A1057" s="1891" t="s">
        <v>3114</v>
      </c>
      <c r="B1057" s="1898" t="s">
        <v>1189</v>
      </c>
      <c r="C1057" s="1898" t="s">
        <v>1933</v>
      </c>
      <c r="D1057" s="1898" t="s">
        <v>2033</v>
      </c>
      <c r="E1057" s="1898" t="s">
        <v>1896</v>
      </c>
      <c r="F1057" s="1898" t="s">
        <v>1901</v>
      </c>
      <c r="G1057" s="1899">
        <v>3180000</v>
      </c>
      <c r="H1057" s="1892"/>
    </row>
    <row r="1058" spans="1:8" s="1893" customFormat="1" ht="23.25" customHeight="1" x14ac:dyDescent="0.3">
      <c r="A1058" s="1891" t="s">
        <v>3114</v>
      </c>
      <c r="B1058" s="1898" t="s">
        <v>1189</v>
      </c>
      <c r="C1058" s="1898" t="s">
        <v>1933</v>
      </c>
      <c r="D1058" s="1898" t="s">
        <v>2033</v>
      </c>
      <c r="E1058" s="1898" t="s">
        <v>1906</v>
      </c>
      <c r="F1058" s="1898" t="s">
        <v>1907</v>
      </c>
      <c r="G1058" s="1899">
        <v>10700000</v>
      </c>
      <c r="H1058" s="1892"/>
    </row>
    <row r="1059" spans="1:8" s="1893" customFormat="1" ht="23.25" customHeight="1" x14ac:dyDescent="0.3">
      <c r="A1059" s="1891" t="s">
        <v>3114</v>
      </c>
      <c r="B1059" s="1898" t="s">
        <v>1189</v>
      </c>
      <c r="C1059" s="1898" t="s">
        <v>1933</v>
      </c>
      <c r="D1059" s="1898" t="s">
        <v>2033</v>
      </c>
      <c r="E1059" s="1898" t="s">
        <v>1912</v>
      </c>
      <c r="F1059" s="1898" t="s">
        <v>1913</v>
      </c>
      <c r="G1059" s="1899">
        <v>3600000</v>
      </c>
      <c r="H1059" s="1892"/>
    </row>
    <row r="1060" spans="1:8" s="1893" customFormat="1" ht="23.25" customHeight="1" x14ac:dyDescent="0.3">
      <c r="A1060" s="1891" t="s">
        <v>3114</v>
      </c>
      <c r="B1060" s="1898" t="s">
        <v>1189</v>
      </c>
      <c r="C1060" s="1898" t="s">
        <v>1933</v>
      </c>
      <c r="D1060" s="1898" t="s">
        <v>2033</v>
      </c>
      <c r="E1060" s="1898" t="s">
        <v>1912</v>
      </c>
      <c r="F1060" s="1898" t="s">
        <v>1915</v>
      </c>
      <c r="G1060" s="1899">
        <v>2307429</v>
      </c>
      <c r="H1060" s="1892"/>
    </row>
    <row r="1061" spans="1:8" s="1893" customFormat="1" ht="23.25" customHeight="1" x14ac:dyDescent="0.3">
      <c r="A1061" s="1891" t="s">
        <v>3114</v>
      </c>
      <c r="B1061" s="1898" t="s">
        <v>1189</v>
      </c>
      <c r="C1061" s="1898" t="s">
        <v>1933</v>
      </c>
      <c r="D1061" s="1898" t="s">
        <v>2035</v>
      </c>
      <c r="E1061" s="1898" t="s">
        <v>1853</v>
      </c>
      <c r="F1061" s="1898" t="s">
        <v>1939</v>
      </c>
      <c r="G1061" s="1899">
        <v>409154000</v>
      </c>
      <c r="H1061" s="1892"/>
    </row>
    <row r="1062" spans="1:8" s="1893" customFormat="1" ht="23.25" customHeight="1" x14ac:dyDescent="0.3">
      <c r="A1062" s="1891" t="s">
        <v>3114</v>
      </c>
      <c r="B1062" s="1898" t="s">
        <v>1189</v>
      </c>
      <c r="C1062" s="1898" t="s">
        <v>1933</v>
      </c>
      <c r="D1062" s="1898" t="s">
        <v>2035</v>
      </c>
      <c r="E1062" s="1898" t="s">
        <v>1874</v>
      </c>
      <c r="F1062" s="1898" t="s">
        <v>1875</v>
      </c>
      <c r="G1062" s="1899">
        <v>27547500</v>
      </c>
      <c r="H1062" s="1892"/>
    </row>
    <row r="1063" spans="1:8" s="1893" customFormat="1" ht="23.25" customHeight="1" x14ac:dyDescent="0.3">
      <c r="A1063" s="1891" t="s">
        <v>3114</v>
      </c>
      <c r="B1063" s="1898" t="s">
        <v>1189</v>
      </c>
      <c r="C1063" s="1898" t="s">
        <v>1933</v>
      </c>
      <c r="D1063" s="1898" t="s">
        <v>2035</v>
      </c>
      <c r="E1063" s="1898" t="s">
        <v>1874</v>
      </c>
      <c r="F1063" s="1898" t="s">
        <v>1876</v>
      </c>
      <c r="G1063" s="1899">
        <v>6940000</v>
      </c>
      <c r="H1063" s="1892"/>
    </row>
    <row r="1064" spans="1:8" s="1893" customFormat="1" ht="23.25" customHeight="1" x14ac:dyDescent="0.3">
      <c r="A1064" s="1891" t="s">
        <v>3114</v>
      </c>
      <c r="B1064" s="1898" t="s">
        <v>1189</v>
      </c>
      <c r="C1064" s="1898" t="s">
        <v>1933</v>
      </c>
      <c r="D1064" s="1898" t="s">
        <v>2035</v>
      </c>
      <c r="E1064" s="1898" t="s">
        <v>1874</v>
      </c>
      <c r="F1064" s="1898" t="s">
        <v>1877</v>
      </c>
      <c r="G1064" s="1899">
        <v>2530000</v>
      </c>
      <c r="H1064" s="1892"/>
    </row>
    <row r="1065" spans="1:8" s="1893" customFormat="1" ht="23.25" customHeight="1" x14ac:dyDescent="0.3">
      <c r="A1065" s="1891" t="s">
        <v>3114</v>
      </c>
      <c r="B1065" s="1898" t="s">
        <v>1189</v>
      </c>
      <c r="C1065" s="1898" t="s">
        <v>1933</v>
      </c>
      <c r="D1065" s="1898" t="s">
        <v>2035</v>
      </c>
      <c r="E1065" s="1898" t="s">
        <v>1878</v>
      </c>
      <c r="F1065" s="1898" t="s">
        <v>1881</v>
      </c>
      <c r="G1065" s="1899">
        <v>2508000</v>
      </c>
      <c r="H1065" s="1892"/>
    </row>
    <row r="1066" spans="1:8" s="1893" customFormat="1" ht="23.25" customHeight="1" x14ac:dyDescent="0.3">
      <c r="A1066" s="1891" t="s">
        <v>3114</v>
      </c>
      <c r="B1066" s="1898" t="s">
        <v>1189</v>
      </c>
      <c r="C1066" s="1898" t="s">
        <v>1933</v>
      </c>
      <c r="D1066" s="1898" t="s">
        <v>2035</v>
      </c>
      <c r="E1066" s="1898" t="s">
        <v>1878</v>
      </c>
      <c r="F1066" s="1898" t="s">
        <v>1882</v>
      </c>
      <c r="G1066" s="1899">
        <v>880000</v>
      </c>
      <c r="H1066" s="1892"/>
    </row>
    <row r="1067" spans="1:8" s="1893" customFormat="1" ht="23.25" customHeight="1" x14ac:dyDescent="0.3">
      <c r="A1067" s="1891" t="s">
        <v>3114</v>
      </c>
      <c r="B1067" s="1898" t="s">
        <v>1189</v>
      </c>
      <c r="C1067" s="1898" t="s">
        <v>1933</v>
      </c>
      <c r="D1067" s="1898" t="s">
        <v>2035</v>
      </c>
      <c r="E1067" s="1898" t="s">
        <v>1885</v>
      </c>
      <c r="F1067" s="1898" t="s">
        <v>1887</v>
      </c>
      <c r="G1067" s="1899">
        <v>1600000</v>
      </c>
      <c r="H1067" s="1892"/>
    </row>
    <row r="1068" spans="1:8" s="1893" customFormat="1" ht="23.25" customHeight="1" x14ac:dyDescent="0.3">
      <c r="A1068" s="1891" t="s">
        <v>3114</v>
      </c>
      <c r="B1068" s="1898" t="s">
        <v>1189</v>
      </c>
      <c r="C1068" s="1898" t="s">
        <v>1933</v>
      </c>
      <c r="D1068" s="1898" t="s">
        <v>2035</v>
      </c>
      <c r="E1068" s="1898" t="s">
        <v>1885</v>
      </c>
      <c r="F1068" s="1898" t="s">
        <v>1888</v>
      </c>
      <c r="G1068" s="1899">
        <v>2400000</v>
      </c>
      <c r="H1068" s="1892"/>
    </row>
    <row r="1069" spans="1:8" s="1893" customFormat="1" ht="23.25" customHeight="1" x14ac:dyDescent="0.3">
      <c r="A1069" s="1891" t="s">
        <v>3114</v>
      </c>
      <c r="B1069" s="1898" t="s">
        <v>1189</v>
      </c>
      <c r="C1069" s="1898" t="s">
        <v>1933</v>
      </c>
      <c r="D1069" s="1898" t="s">
        <v>2035</v>
      </c>
      <c r="E1069" s="1898" t="s">
        <v>1889</v>
      </c>
      <c r="F1069" s="1898" t="s">
        <v>1890</v>
      </c>
      <c r="G1069" s="1899">
        <v>2640000</v>
      </c>
      <c r="H1069" s="1892"/>
    </row>
    <row r="1070" spans="1:8" s="1893" customFormat="1" ht="23.25" customHeight="1" x14ac:dyDescent="0.3">
      <c r="A1070" s="1891" t="s">
        <v>3114</v>
      </c>
      <c r="B1070" s="1898" t="s">
        <v>1189</v>
      </c>
      <c r="C1070" s="1898" t="s">
        <v>1933</v>
      </c>
      <c r="D1070" s="1898" t="s">
        <v>2035</v>
      </c>
      <c r="E1070" s="1898" t="s">
        <v>1889</v>
      </c>
      <c r="F1070" s="1898" t="s">
        <v>1922</v>
      </c>
      <c r="G1070" s="1899">
        <v>400000</v>
      </c>
      <c r="H1070" s="1892"/>
    </row>
    <row r="1071" spans="1:8" s="1893" customFormat="1" ht="23.25" customHeight="1" x14ac:dyDescent="0.3">
      <c r="A1071" s="1891" t="s">
        <v>3114</v>
      </c>
      <c r="B1071" s="1898" t="s">
        <v>1189</v>
      </c>
      <c r="C1071" s="1898" t="s">
        <v>1933</v>
      </c>
      <c r="D1071" s="1898" t="s">
        <v>2035</v>
      </c>
      <c r="E1071" s="1898" t="s">
        <v>1896</v>
      </c>
      <c r="F1071" s="1898" t="s">
        <v>1900</v>
      </c>
      <c r="G1071" s="1899">
        <v>40947500</v>
      </c>
      <c r="H1071" s="1892"/>
    </row>
    <row r="1072" spans="1:8" s="1893" customFormat="1" ht="23.25" customHeight="1" x14ac:dyDescent="0.3">
      <c r="A1072" s="1891" t="s">
        <v>3114</v>
      </c>
      <c r="B1072" s="1898" t="s">
        <v>1189</v>
      </c>
      <c r="C1072" s="1898" t="s">
        <v>1933</v>
      </c>
      <c r="D1072" s="1898" t="s">
        <v>2035</v>
      </c>
      <c r="E1072" s="1898" t="s">
        <v>1896</v>
      </c>
      <c r="F1072" s="1898" t="s">
        <v>1902</v>
      </c>
      <c r="G1072" s="1899">
        <v>1900000</v>
      </c>
      <c r="H1072" s="1892"/>
    </row>
    <row r="1073" spans="1:8" s="1893" customFormat="1" ht="23.25" customHeight="1" x14ac:dyDescent="0.3">
      <c r="A1073" s="1891" t="s">
        <v>3114</v>
      </c>
      <c r="B1073" s="1898" t="s">
        <v>1189</v>
      </c>
      <c r="C1073" s="1898" t="s">
        <v>1933</v>
      </c>
      <c r="D1073" s="1898" t="s">
        <v>2035</v>
      </c>
      <c r="E1073" s="1898" t="s">
        <v>1923</v>
      </c>
      <c r="F1073" s="1898" t="s">
        <v>2007</v>
      </c>
      <c r="G1073" s="1899">
        <v>0</v>
      </c>
      <c r="H1073" s="1892"/>
    </row>
    <row r="1074" spans="1:8" s="1893" customFormat="1" ht="23.25" customHeight="1" x14ac:dyDescent="0.3">
      <c r="A1074" s="1891" t="s">
        <v>3114</v>
      </c>
      <c r="B1074" s="1898" t="s">
        <v>1189</v>
      </c>
      <c r="C1074" s="1898" t="s">
        <v>1933</v>
      </c>
      <c r="D1074" s="1898" t="s">
        <v>2035</v>
      </c>
      <c r="E1074" s="1898" t="s">
        <v>1912</v>
      </c>
      <c r="F1074" s="1898" t="s">
        <v>1916</v>
      </c>
      <c r="G1074" s="1899">
        <v>11834000</v>
      </c>
      <c r="H1074" s="1892"/>
    </row>
    <row r="1075" spans="1:8" s="1893" customFormat="1" ht="23.25" customHeight="1" x14ac:dyDescent="0.3">
      <c r="A1075" s="1891" t="s">
        <v>3114</v>
      </c>
      <c r="B1075" s="1898" t="s">
        <v>1189</v>
      </c>
      <c r="C1075" s="1898" t="s">
        <v>2036</v>
      </c>
      <c r="D1075" s="1898" t="s">
        <v>2772</v>
      </c>
      <c r="E1075" s="1898" t="s">
        <v>2041</v>
      </c>
      <c r="F1075" s="1898" t="s">
        <v>2042</v>
      </c>
      <c r="G1075" s="1899">
        <v>545603974</v>
      </c>
      <c r="H1075" s="1892"/>
    </row>
    <row r="1076" spans="1:8" s="1893" customFormat="1" ht="23.25" customHeight="1" x14ac:dyDescent="0.3">
      <c r="A1076" s="1891" t="s">
        <v>3114</v>
      </c>
      <c r="B1076" s="1898" t="s">
        <v>1189</v>
      </c>
      <c r="C1076" s="1898" t="s">
        <v>2036</v>
      </c>
      <c r="D1076" s="1898" t="s">
        <v>2772</v>
      </c>
      <c r="E1076" s="1898" t="s">
        <v>2024</v>
      </c>
      <c r="F1076" s="1898" t="s">
        <v>2025</v>
      </c>
      <c r="G1076" s="1899">
        <v>282145000</v>
      </c>
      <c r="H1076" s="1892"/>
    </row>
    <row r="1077" spans="1:8" s="1893" customFormat="1" ht="23.25" customHeight="1" x14ac:dyDescent="0.3">
      <c r="A1077" s="1891" t="s">
        <v>3114</v>
      </c>
      <c r="B1077" s="1898" t="s">
        <v>1189</v>
      </c>
      <c r="C1077" s="1898" t="s">
        <v>2036</v>
      </c>
      <c r="D1077" s="1898" t="s">
        <v>2772</v>
      </c>
      <c r="E1077" s="1898" t="s">
        <v>2026</v>
      </c>
      <c r="F1077" s="1898" t="s">
        <v>2027</v>
      </c>
      <c r="G1077" s="1899">
        <v>7000000</v>
      </c>
      <c r="H1077" s="1892"/>
    </row>
    <row r="1078" spans="1:8" s="1893" customFormat="1" ht="23.25" customHeight="1" x14ac:dyDescent="0.3">
      <c r="A1078" s="1891" t="s">
        <v>3114</v>
      </c>
      <c r="B1078" s="1898" t="s">
        <v>1189</v>
      </c>
      <c r="C1078" s="1898" t="s">
        <v>2036</v>
      </c>
      <c r="D1078" s="1898" t="s">
        <v>2772</v>
      </c>
      <c r="E1078" s="1898" t="s">
        <v>2026</v>
      </c>
      <c r="F1078" s="1898" t="s">
        <v>2028</v>
      </c>
      <c r="G1078" s="1899">
        <v>22400000</v>
      </c>
      <c r="H1078" s="1892"/>
    </row>
    <row r="1079" spans="1:8" s="1893" customFormat="1" ht="23.25" customHeight="1" x14ac:dyDescent="0.3">
      <c r="A1079" s="1891" t="s">
        <v>3114</v>
      </c>
      <c r="B1079" s="1898" t="s">
        <v>1189</v>
      </c>
      <c r="C1079" s="1898" t="s">
        <v>2036</v>
      </c>
      <c r="D1079" s="1898" t="s">
        <v>2037</v>
      </c>
      <c r="E1079" s="1898" t="s">
        <v>2024</v>
      </c>
      <c r="F1079" s="1898" t="s">
        <v>2025</v>
      </c>
      <c r="G1079" s="1899">
        <v>224741800</v>
      </c>
      <c r="H1079" s="1892"/>
    </row>
    <row r="1080" spans="1:8" s="1893" customFormat="1" ht="23.25" customHeight="1" x14ac:dyDescent="0.3">
      <c r="A1080" s="1891" t="s">
        <v>3114</v>
      </c>
      <c r="B1080" s="1898" t="s">
        <v>1189</v>
      </c>
      <c r="C1080" s="1898" t="s">
        <v>2036</v>
      </c>
      <c r="D1080" s="1898" t="s">
        <v>2037</v>
      </c>
      <c r="E1080" s="1898" t="s">
        <v>2046</v>
      </c>
      <c r="F1080" s="1898" t="s">
        <v>2047</v>
      </c>
      <c r="G1080" s="1899">
        <v>1747200</v>
      </c>
      <c r="H1080" s="1892"/>
    </row>
    <row r="1081" spans="1:8" s="1893" customFormat="1" ht="23.25" customHeight="1" x14ac:dyDescent="0.3">
      <c r="A1081" s="1891" t="s">
        <v>3114</v>
      </c>
      <c r="B1081" s="1898" t="s">
        <v>1189</v>
      </c>
      <c r="C1081" s="1898" t="s">
        <v>2036</v>
      </c>
      <c r="D1081" s="1898" t="s">
        <v>2037</v>
      </c>
      <c r="E1081" s="1898" t="s">
        <v>2026</v>
      </c>
      <c r="F1081" s="1898" t="s">
        <v>2027</v>
      </c>
      <c r="G1081" s="1899">
        <v>13286700</v>
      </c>
      <c r="H1081" s="1892"/>
    </row>
    <row r="1082" spans="1:8" s="1893" customFormat="1" ht="23.25" customHeight="1" x14ac:dyDescent="0.3">
      <c r="A1082" s="1891" t="s">
        <v>3114</v>
      </c>
      <c r="B1082" s="1898" t="s">
        <v>1189</v>
      </c>
      <c r="C1082" s="1898" t="s">
        <v>2036</v>
      </c>
      <c r="D1082" s="1898" t="s">
        <v>2037</v>
      </c>
      <c r="E1082" s="1898" t="s">
        <v>2026</v>
      </c>
      <c r="F1082" s="1898" t="s">
        <v>2028</v>
      </c>
      <c r="G1082" s="1899">
        <v>37120100</v>
      </c>
      <c r="H1082" s="1892"/>
    </row>
    <row r="1083" spans="1:8" s="1893" customFormat="1" ht="23.25" customHeight="1" x14ac:dyDescent="0.3">
      <c r="A1083" s="1891" t="s">
        <v>3114</v>
      </c>
      <c r="B1083" s="1898" t="s">
        <v>1189</v>
      </c>
      <c r="C1083" s="1898" t="s">
        <v>2036</v>
      </c>
      <c r="D1083" s="1898" t="s">
        <v>2037</v>
      </c>
      <c r="E1083" s="1898" t="s">
        <v>2026</v>
      </c>
      <c r="F1083" s="1898" t="s">
        <v>2029</v>
      </c>
      <c r="G1083" s="1899">
        <v>22184400</v>
      </c>
      <c r="H1083" s="1892"/>
    </row>
    <row r="1084" spans="1:8" s="1893" customFormat="1" ht="23.25" customHeight="1" x14ac:dyDescent="0.3">
      <c r="A1084" s="1891" t="s">
        <v>3114</v>
      </c>
      <c r="B1084" s="1898" t="s">
        <v>1189</v>
      </c>
      <c r="C1084" s="1898" t="s">
        <v>2038</v>
      </c>
      <c r="D1084" s="1898" t="s">
        <v>2039</v>
      </c>
      <c r="E1084" s="1898" t="s">
        <v>1848</v>
      </c>
      <c r="F1084" s="1898" t="s">
        <v>1849</v>
      </c>
      <c r="G1084" s="1899">
        <v>90472794</v>
      </c>
      <c r="H1084" s="1892"/>
    </row>
    <row r="1085" spans="1:8" s="1893" customFormat="1" ht="23.25" customHeight="1" x14ac:dyDescent="0.3">
      <c r="A1085" s="1891" t="s">
        <v>3114</v>
      </c>
      <c r="B1085" s="1898" t="s">
        <v>1189</v>
      </c>
      <c r="C1085" s="1898" t="s">
        <v>2038</v>
      </c>
      <c r="D1085" s="1898" t="s">
        <v>2039</v>
      </c>
      <c r="E1085" s="1898" t="s">
        <v>1851</v>
      </c>
      <c r="F1085" s="1898" t="s">
        <v>1852</v>
      </c>
      <c r="G1085" s="1899">
        <v>31755984</v>
      </c>
      <c r="H1085" s="1892"/>
    </row>
    <row r="1086" spans="1:8" s="1893" customFormat="1" ht="23.25" customHeight="1" x14ac:dyDescent="0.3">
      <c r="A1086" s="1891" t="s">
        <v>3114</v>
      </c>
      <c r="B1086" s="1898" t="s">
        <v>1189</v>
      </c>
      <c r="C1086" s="1898" t="s">
        <v>2038</v>
      </c>
      <c r="D1086" s="1898" t="s">
        <v>2039</v>
      </c>
      <c r="E1086" s="1898" t="s">
        <v>1853</v>
      </c>
      <c r="F1086" s="1898" t="s">
        <v>1854</v>
      </c>
      <c r="G1086" s="1899">
        <v>1341006</v>
      </c>
      <c r="H1086" s="1892"/>
    </row>
    <row r="1087" spans="1:8" s="1893" customFormat="1" ht="23.25" customHeight="1" x14ac:dyDescent="0.3">
      <c r="A1087" s="1891" t="s">
        <v>3114</v>
      </c>
      <c r="B1087" s="1898" t="s">
        <v>1189</v>
      </c>
      <c r="C1087" s="1898" t="s">
        <v>2038</v>
      </c>
      <c r="D1087" s="1898" t="s">
        <v>2039</v>
      </c>
      <c r="E1087" s="1898" t="s">
        <v>1853</v>
      </c>
      <c r="F1087" s="1898" t="s">
        <v>1855</v>
      </c>
      <c r="G1087" s="1899">
        <v>13410000</v>
      </c>
      <c r="H1087" s="1892"/>
    </row>
    <row r="1088" spans="1:8" s="1893" customFormat="1" ht="23.25" customHeight="1" x14ac:dyDescent="0.3">
      <c r="A1088" s="1891" t="s">
        <v>3114</v>
      </c>
      <c r="B1088" s="1898" t="s">
        <v>1189</v>
      </c>
      <c r="C1088" s="1898" t="s">
        <v>2038</v>
      </c>
      <c r="D1088" s="1898" t="s">
        <v>2039</v>
      </c>
      <c r="E1088" s="1898" t="s">
        <v>1853</v>
      </c>
      <c r="F1088" s="1898" t="s">
        <v>1856</v>
      </c>
      <c r="G1088" s="1899">
        <v>9619490</v>
      </c>
      <c r="H1088" s="1892"/>
    </row>
    <row r="1089" spans="1:8" s="1893" customFormat="1" ht="23.25" customHeight="1" x14ac:dyDescent="0.3">
      <c r="A1089" s="1891" t="s">
        <v>3114</v>
      </c>
      <c r="B1089" s="1898" t="s">
        <v>1189</v>
      </c>
      <c r="C1089" s="1898" t="s">
        <v>2038</v>
      </c>
      <c r="D1089" s="1898" t="s">
        <v>2039</v>
      </c>
      <c r="E1089" s="1898" t="s">
        <v>1853</v>
      </c>
      <c r="F1089" s="1898" t="s">
        <v>1936</v>
      </c>
      <c r="G1089" s="1899">
        <v>3576000</v>
      </c>
      <c r="H1089" s="1892"/>
    </row>
    <row r="1090" spans="1:8" s="1893" customFormat="1" ht="23.25" customHeight="1" x14ac:dyDescent="0.3">
      <c r="A1090" s="1891" t="s">
        <v>3114</v>
      </c>
      <c r="B1090" s="1898" t="s">
        <v>1189</v>
      </c>
      <c r="C1090" s="1898" t="s">
        <v>2038</v>
      </c>
      <c r="D1090" s="1898" t="s">
        <v>2039</v>
      </c>
      <c r="E1090" s="1898" t="s">
        <v>1853</v>
      </c>
      <c r="F1090" s="1898" t="s">
        <v>1858</v>
      </c>
      <c r="G1090" s="1899">
        <v>1788000</v>
      </c>
      <c r="H1090" s="1892"/>
    </row>
    <row r="1091" spans="1:8" s="1893" customFormat="1" ht="23.25" customHeight="1" x14ac:dyDescent="0.3">
      <c r="A1091" s="1891" t="s">
        <v>3114</v>
      </c>
      <c r="B1091" s="1898" t="s">
        <v>1189</v>
      </c>
      <c r="C1091" s="1898" t="s">
        <v>2038</v>
      </c>
      <c r="D1091" s="1898" t="s">
        <v>2039</v>
      </c>
      <c r="E1091" s="1898" t="s">
        <v>1853</v>
      </c>
      <c r="F1091" s="1898" t="s">
        <v>1929</v>
      </c>
      <c r="G1091" s="1899">
        <v>4380606</v>
      </c>
      <c r="H1091" s="1892"/>
    </row>
    <row r="1092" spans="1:8" s="1893" customFormat="1" ht="23.25" customHeight="1" x14ac:dyDescent="0.3">
      <c r="A1092" s="1891" t="s">
        <v>3114</v>
      </c>
      <c r="B1092" s="1898" t="s">
        <v>1189</v>
      </c>
      <c r="C1092" s="1898" t="s">
        <v>2038</v>
      </c>
      <c r="D1092" s="1898" t="s">
        <v>2039</v>
      </c>
      <c r="E1092" s="1898" t="s">
        <v>1860</v>
      </c>
      <c r="F1092" s="1898" t="s">
        <v>1861</v>
      </c>
      <c r="G1092" s="1899">
        <v>3000000</v>
      </c>
      <c r="H1092" s="1892"/>
    </row>
    <row r="1093" spans="1:8" s="1893" customFormat="1" ht="23.25" customHeight="1" x14ac:dyDescent="0.3">
      <c r="A1093" s="1891" t="s">
        <v>3114</v>
      </c>
      <c r="B1093" s="1898" t="s">
        <v>1189</v>
      </c>
      <c r="C1093" s="1898" t="s">
        <v>2038</v>
      </c>
      <c r="D1093" s="1898" t="s">
        <v>2039</v>
      </c>
      <c r="E1093" s="1898" t="s">
        <v>1862</v>
      </c>
      <c r="F1093" s="1898" t="s">
        <v>1863</v>
      </c>
      <c r="G1093" s="1899">
        <v>22391316</v>
      </c>
      <c r="H1093" s="1892"/>
    </row>
    <row r="1094" spans="1:8" s="1893" customFormat="1" ht="23.25" customHeight="1" x14ac:dyDescent="0.3">
      <c r="A1094" s="1891" t="s">
        <v>3114</v>
      </c>
      <c r="B1094" s="1898" t="s">
        <v>1189</v>
      </c>
      <c r="C1094" s="1898" t="s">
        <v>2038</v>
      </c>
      <c r="D1094" s="1898" t="s">
        <v>2039</v>
      </c>
      <c r="E1094" s="1898" t="s">
        <v>1862</v>
      </c>
      <c r="F1094" s="1898" t="s">
        <v>1864</v>
      </c>
      <c r="G1094" s="1899">
        <v>3838500</v>
      </c>
      <c r="H1094" s="1892"/>
    </row>
    <row r="1095" spans="1:8" s="1893" customFormat="1" ht="23.25" customHeight="1" x14ac:dyDescent="0.3">
      <c r="A1095" s="1891" t="s">
        <v>3114</v>
      </c>
      <c r="B1095" s="1898" t="s">
        <v>1189</v>
      </c>
      <c r="C1095" s="1898" t="s">
        <v>2038</v>
      </c>
      <c r="D1095" s="1898" t="s">
        <v>2039</v>
      </c>
      <c r="E1095" s="1898" t="s">
        <v>1862</v>
      </c>
      <c r="F1095" s="1898" t="s">
        <v>1865</v>
      </c>
      <c r="G1095" s="1899">
        <v>2559006</v>
      </c>
      <c r="H1095" s="1892"/>
    </row>
    <row r="1096" spans="1:8" s="1893" customFormat="1" ht="23.25" customHeight="1" x14ac:dyDescent="0.3">
      <c r="A1096" s="1891" t="s">
        <v>3114</v>
      </c>
      <c r="B1096" s="1898" t="s">
        <v>1189</v>
      </c>
      <c r="C1096" s="1898" t="s">
        <v>2038</v>
      </c>
      <c r="D1096" s="1898" t="s">
        <v>2039</v>
      </c>
      <c r="E1096" s="1898" t="s">
        <v>1862</v>
      </c>
      <c r="F1096" s="1898" t="s">
        <v>1866</v>
      </c>
      <c r="G1096" s="1899">
        <v>1279506</v>
      </c>
      <c r="H1096" s="1892"/>
    </row>
    <row r="1097" spans="1:8" s="1893" customFormat="1" ht="23.25" customHeight="1" x14ac:dyDescent="0.3">
      <c r="A1097" s="1891" t="s">
        <v>3114</v>
      </c>
      <c r="B1097" s="1898" t="s">
        <v>1189</v>
      </c>
      <c r="C1097" s="1898" t="s">
        <v>2038</v>
      </c>
      <c r="D1097" s="1898" t="s">
        <v>2039</v>
      </c>
      <c r="E1097" s="1898" t="s">
        <v>1869</v>
      </c>
      <c r="F1097" s="1898" t="s">
        <v>1870</v>
      </c>
      <c r="G1097" s="1899">
        <v>3906141</v>
      </c>
      <c r="H1097" s="1892"/>
    </row>
    <row r="1098" spans="1:8" s="1893" customFormat="1" ht="23.25" customHeight="1" x14ac:dyDescent="0.3">
      <c r="A1098" s="1891" t="s">
        <v>3114</v>
      </c>
      <c r="B1098" s="1898" t="s">
        <v>1189</v>
      </c>
      <c r="C1098" s="1898" t="s">
        <v>2038</v>
      </c>
      <c r="D1098" s="1898" t="s">
        <v>2039</v>
      </c>
      <c r="E1098" s="1898" t="s">
        <v>1869</v>
      </c>
      <c r="F1098" s="1898" t="s">
        <v>1871</v>
      </c>
      <c r="G1098" s="1899">
        <v>914395</v>
      </c>
      <c r="H1098" s="1892"/>
    </row>
    <row r="1099" spans="1:8" s="1893" customFormat="1" ht="23.25" customHeight="1" x14ac:dyDescent="0.3">
      <c r="A1099" s="1891" t="s">
        <v>3114</v>
      </c>
      <c r="B1099" s="1898" t="s">
        <v>1189</v>
      </c>
      <c r="C1099" s="1898" t="s">
        <v>2038</v>
      </c>
      <c r="D1099" s="1898" t="s">
        <v>2039</v>
      </c>
      <c r="E1099" s="1898" t="s">
        <v>1869</v>
      </c>
      <c r="F1099" s="1898" t="s">
        <v>1872</v>
      </c>
      <c r="G1099" s="1899">
        <v>1840223</v>
      </c>
      <c r="H1099" s="1892"/>
    </row>
    <row r="1100" spans="1:8" s="1893" customFormat="1" ht="23.25" customHeight="1" x14ac:dyDescent="0.3">
      <c r="A1100" s="1891" t="s">
        <v>3114</v>
      </c>
      <c r="B1100" s="1898" t="s">
        <v>1189</v>
      </c>
      <c r="C1100" s="1898" t="s">
        <v>2038</v>
      </c>
      <c r="D1100" s="1898" t="s">
        <v>2039</v>
      </c>
      <c r="E1100" s="1898" t="s">
        <v>1869</v>
      </c>
      <c r="F1100" s="1898" t="s">
        <v>1873</v>
      </c>
      <c r="G1100" s="1899">
        <v>1080000</v>
      </c>
      <c r="H1100" s="1892"/>
    </row>
    <row r="1101" spans="1:8" s="1893" customFormat="1" ht="23.25" customHeight="1" x14ac:dyDescent="0.3">
      <c r="A1101" s="1891" t="s">
        <v>3114</v>
      </c>
      <c r="B1101" s="1898" t="s">
        <v>1189</v>
      </c>
      <c r="C1101" s="1898" t="s">
        <v>2038</v>
      </c>
      <c r="D1101" s="1898" t="s">
        <v>2039</v>
      </c>
      <c r="E1101" s="1898" t="s">
        <v>1874</v>
      </c>
      <c r="F1101" s="1898" t="s">
        <v>1875</v>
      </c>
      <c r="G1101" s="1899">
        <v>1835000</v>
      </c>
      <c r="H1101" s="1892"/>
    </row>
    <row r="1102" spans="1:8" s="1893" customFormat="1" ht="23.25" customHeight="1" x14ac:dyDescent="0.3">
      <c r="A1102" s="1891" t="s">
        <v>3114</v>
      </c>
      <c r="B1102" s="1898" t="s">
        <v>1189</v>
      </c>
      <c r="C1102" s="1898" t="s">
        <v>2038</v>
      </c>
      <c r="D1102" s="1898" t="s">
        <v>2039</v>
      </c>
      <c r="E1102" s="1898" t="s">
        <v>1874</v>
      </c>
      <c r="F1102" s="1898" t="s">
        <v>1876</v>
      </c>
      <c r="G1102" s="1899">
        <v>7000000</v>
      </c>
      <c r="H1102" s="1892"/>
    </row>
    <row r="1103" spans="1:8" s="1893" customFormat="1" ht="23.25" customHeight="1" x14ac:dyDescent="0.3">
      <c r="A1103" s="1891" t="s">
        <v>3114</v>
      </c>
      <c r="B1103" s="1898" t="s">
        <v>1189</v>
      </c>
      <c r="C1103" s="1898" t="s">
        <v>2038</v>
      </c>
      <c r="D1103" s="1898" t="s">
        <v>2039</v>
      </c>
      <c r="E1103" s="1898" t="s">
        <v>1878</v>
      </c>
      <c r="F1103" s="1898" t="s">
        <v>1881</v>
      </c>
      <c r="G1103" s="1899">
        <v>577500</v>
      </c>
      <c r="H1103" s="1892"/>
    </row>
    <row r="1104" spans="1:8" s="1893" customFormat="1" ht="23.25" customHeight="1" x14ac:dyDescent="0.3">
      <c r="A1104" s="1891" t="s">
        <v>3114</v>
      </c>
      <c r="B1104" s="1898" t="s">
        <v>1189</v>
      </c>
      <c r="C1104" s="1898" t="s">
        <v>2038</v>
      </c>
      <c r="D1104" s="1898" t="s">
        <v>2039</v>
      </c>
      <c r="E1104" s="1898" t="s">
        <v>1878</v>
      </c>
      <c r="F1104" s="1898" t="s">
        <v>1882</v>
      </c>
      <c r="G1104" s="1899">
        <v>12600000</v>
      </c>
      <c r="H1104" s="1892"/>
    </row>
    <row r="1105" spans="1:8" s="1893" customFormat="1" ht="23.25" customHeight="1" x14ac:dyDescent="0.3">
      <c r="A1105" s="1891" t="s">
        <v>3114</v>
      </c>
      <c r="B1105" s="1898" t="s">
        <v>1189</v>
      </c>
      <c r="C1105" s="1898" t="s">
        <v>2038</v>
      </c>
      <c r="D1105" s="1898" t="s">
        <v>2039</v>
      </c>
      <c r="E1105" s="1898" t="s">
        <v>1878</v>
      </c>
      <c r="F1105" s="1898" t="s">
        <v>1883</v>
      </c>
      <c r="G1105" s="1899">
        <v>6548900</v>
      </c>
      <c r="H1105" s="1892"/>
    </row>
    <row r="1106" spans="1:8" s="1893" customFormat="1" ht="23.25" customHeight="1" x14ac:dyDescent="0.3">
      <c r="A1106" s="1891" t="s">
        <v>3114</v>
      </c>
      <c r="B1106" s="1898" t="s">
        <v>1189</v>
      </c>
      <c r="C1106" s="1898" t="s">
        <v>2038</v>
      </c>
      <c r="D1106" s="1898" t="s">
        <v>2039</v>
      </c>
      <c r="E1106" s="1898" t="s">
        <v>1889</v>
      </c>
      <c r="F1106" s="1898" t="s">
        <v>1921</v>
      </c>
      <c r="G1106" s="1899">
        <v>2095000</v>
      </c>
      <c r="H1106" s="1892"/>
    </row>
    <row r="1107" spans="1:8" s="1893" customFormat="1" ht="23.25" customHeight="1" x14ac:dyDescent="0.3">
      <c r="A1107" s="1891" t="s">
        <v>3114</v>
      </c>
      <c r="B1107" s="1898" t="s">
        <v>1189</v>
      </c>
      <c r="C1107" s="1898" t="s">
        <v>2038</v>
      </c>
      <c r="D1107" s="1898" t="s">
        <v>2039</v>
      </c>
      <c r="E1107" s="1898" t="s">
        <v>1889</v>
      </c>
      <c r="F1107" s="1898" t="s">
        <v>1890</v>
      </c>
      <c r="G1107" s="1899">
        <v>1000000</v>
      </c>
      <c r="H1107" s="1892"/>
    </row>
    <row r="1108" spans="1:8" s="1893" customFormat="1" ht="23.25" customHeight="1" x14ac:dyDescent="0.3">
      <c r="A1108" s="1891" t="s">
        <v>3114</v>
      </c>
      <c r="B1108" s="1898" t="s">
        <v>1189</v>
      </c>
      <c r="C1108" s="1898" t="s">
        <v>2038</v>
      </c>
      <c r="D1108" s="1898" t="s">
        <v>2039</v>
      </c>
      <c r="E1108" s="1898" t="s">
        <v>1889</v>
      </c>
      <c r="F1108" s="1898" t="s">
        <v>1891</v>
      </c>
      <c r="G1108" s="1899">
        <v>900000</v>
      </c>
      <c r="H1108" s="1892"/>
    </row>
    <row r="1109" spans="1:8" s="1893" customFormat="1" ht="23.25" customHeight="1" x14ac:dyDescent="0.3">
      <c r="A1109" s="1891" t="s">
        <v>3114</v>
      </c>
      <c r="B1109" s="1898" t="s">
        <v>1189</v>
      </c>
      <c r="C1109" s="1898" t="s">
        <v>2038</v>
      </c>
      <c r="D1109" s="1898" t="s">
        <v>2039</v>
      </c>
      <c r="E1109" s="1898" t="s">
        <v>1889</v>
      </c>
      <c r="F1109" s="1898" t="s">
        <v>1892</v>
      </c>
      <c r="G1109" s="1899">
        <v>11100000</v>
      </c>
      <c r="H1109" s="1892"/>
    </row>
    <row r="1110" spans="1:8" s="1893" customFormat="1" ht="23.25" customHeight="1" x14ac:dyDescent="0.3">
      <c r="A1110" s="1891" t="s">
        <v>3114</v>
      </c>
      <c r="B1110" s="1898" t="s">
        <v>1189</v>
      </c>
      <c r="C1110" s="1898" t="s">
        <v>2038</v>
      </c>
      <c r="D1110" s="1898" t="s">
        <v>2039</v>
      </c>
      <c r="E1110" s="1898" t="s">
        <v>1893</v>
      </c>
      <c r="F1110" s="1898" t="s">
        <v>1894</v>
      </c>
      <c r="G1110" s="1899">
        <v>0</v>
      </c>
      <c r="H1110" s="1892"/>
    </row>
    <row r="1111" spans="1:8" s="1893" customFormat="1" ht="23.25" customHeight="1" x14ac:dyDescent="0.3">
      <c r="A1111" s="1891" t="s">
        <v>3114</v>
      </c>
      <c r="B1111" s="1898" t="s">
        <v>1189</v>
      </c>
      <c r="C1111" s="1898" t="s">
        <v>2038</v>
      </c>
      <c r="D1111" s="1898" t="s">
        <v>2039</v>
      </c>
      <c r="E1111" s="1898" t="s">
        <v>1893</v>
      </c>
      <c r="F1111" s="1898" t="s">
        <v>2051</v>
      </c>
      <c r="G1111" s="1899">
        <v>84202000</v>
      </c>
      <c r="H1111" s="1892"/>
    </row>
    <row r="1112" spans="1:8" s="1893" customFormat="1" ht="23.25" customHeight="1" x14ac:dyDescent="0.3">
      <c r="A1112" s="1891" t="s">
        <v>3114</v>
      </c>
      <c r="B1112" s="1898" t="s">
        <v>1189</v>
      </c>
      <c r="C1112" s="1898" t="s">
        <v>2038</v>
      </c>
      <c r="D1112" s="1898" t="s">
        <v>2039</v>
      </c>
      <c r="E1112" s="1898" t="s">
        <v>1896</v>
      </c>
      <c r="F1112" s="1898" t="s">
        <v>1900</v>
      </c>
      <c r="G1112" s="1899">
        <v>3550000</v>
      </c>
      <c r="H1112" s="1892"/>
    </row>
    <row r="1113" spans="1:8" s="1893" customFormat="1" ht="23.25" customHeight="1" x14ac:dyDescent="0.3">
      <c r="A1113" s="1891" t="s">
        <v>3114</v>
      </c>
      <c r="B1113" s="1898" t="s">
        <v>1189</v>
      </c>
      <c r="C1113" s="1898" t="s">
        <v>2038</v>
      </c>
      <c r="D1113" s="1898" t="s">
        <v>2039</v>
      </c>
      <c r="E1113" s="1898" t="s">
        <v>1896</v>
      </c>
      <c r="F1113" s="1898" t="s">
        <v>2055</v>
      </c>
      <c r="G1113" s="1899">
        <v>560807800</v>
      </c>
      <c r="H1113" s="1892"/>
    </row>
    <row r="1114" spans="1:8" s="1893" customFormat="1" ht="23.25" customHeight="1" x14ac:dyDescent="0.3">
      <c r="A1114" s="1891" t="s">
        <v>3114</v>
      </c>
      <c r="B1114" s="1898" t="s">
        <v>1189</v>
      </c>
      <c r="C1114" s="1898" t="s">
        <v>2038</v>
      </c>
      <c r="D1114" s="1898" t="s">
        <v>2039</v>
      </c>
      <c r="E1114" s="1898" t="s">
        <v>1906</v>
      </c>
      <c r="F1114" s="1898" t="s">
        <v>1908</v>
      </c>
      <c r="G1114" s="1899">
        <v>400000</v>
      </c>
      <c r="H1114" s="1892"/>
    </row>
    <row r="1115" spans="1:8" s="1893" customFormat="1" ht="23.25" customHeight="1" x14ac:dyDescent="0.3">
      <c r="A1115" s="1891" t="s">
        <v>3114</v>
      </c>
      <c r="B1115" s="1898" t="s">
        <v>1189</v>
      </c>
      <c r="C1115" s="1898" t="s">
        <v>2038</v>
      </c>
      <c r="D1115" s="1898" t="s">
        <v>2039</v>
      </c>
      <c r="E1115" s="1898" t="s">
        <v>1906</v>
      </c>
      <c r="F1115" s="1898" t="s">
        <v>1909</v>
      </c>
      <c r="G1115" s="1899">
        <v>48200000</v>
      </c>
      <c r="H1115" s="1892"/>
    </row>
    <row r="1116" spans="1:8" s="1893" customFormat="1" ht="23.25" customHeight="1" x14ac:dyDescent="0.3">
      <c r="A1116" s="1891" t="s">
        <v>3114</v>
      </c>
      <c r="B1116" s="1898" t="s">
        <v>1189</v>
      </c>
      <c r="C1116" s="1898" t="s">
        <v>2038</v>
      </c>
      <c r="D1116" s="1898" t="s">
        <v>2039</v>
      </c>
      <c r="E1116" s="1898" t="s">
        <v>1912</v>
      </c>
      <c r="F1116" s="1898" t="s">
        <v>1913</v>
      </c>
      <c r="G1116" s="1899">
        <v>3600000</v>
      </c>
      <c r="H1116" s="1892"/>
    </row>
    <row r="1117" spans="1:8" s="1893" customFormat="1" ht="23.25" customHeight="1" x14ac:dyDescent="0.3">
      <c r="A1117" s="1891" t="s">
        <v>3114</v>
      </c>
      <c r="B1117" s="1898" t="s">
        <v>1189</v>
      </c>
      <c r="C1117" s="1898" t="s">
        <v>2038</v>
      </c>
      <c r="D1117" s="1898" t="s">
        <v>2039</v>
      </c>
      <c r="E1117" s="1898" t="s">
        <v>1912</v>
      </c>
      <c r="F1117" s="1898" t="s">
        <v>1915</v>
      </c>
      <c r="G1117" s="1899">
        <v>945000</v>
      </c>
      <c r="H1117" s="1892"/>
    </row>
    <row r="1118" spans="1:8" s="1893" customFormat="1" ht="23.25" customHeight="1" x14ac:dyDescent="0.3">
      <c r="A1118" s="1891" t="s">
        <v>3114</v>
      </c>
      <c r="B1118" s="1898" t="s">
        <v>1189</v>
      </c>
      <c r="C1118" s="1898" t="s">
        <v>2038</v>
      </c>
      <c r="D1118" s="1898" t="s">
        <v>2039</v>
      </c>
      <c r="E1118" s="1898" t="s">
        <v>1912</v>
      </c>
      <c r="F1118" s="1898" t="s">
        <v>1916</v>
      </c>
      <c r="G1118" s="1899">
        <v>450000</v>
      </c>
      <c r="H1118" s="1892"/>
    </row>
    <row r="1119" spans="1:8" s="1893" customFormat="1" ht="23.25" customHeight="1" x14ac:dyDescent="0.3">
      <c r="A1119" s="1891" t="s">
        <v>3114</v>
      </c>
      <c r="B1119" s="1898" t="s">
        <v>1189</v>
      </c>
      <c r="C1119" s="1898" t="s">
        <v>2038</v>
      </c>
      <c r="D1119" s="1898" t="s">
        <v>2039</v>
      </c>
      <c r="E1119" s="1898" t="s">
        <v>2245</v>
      </c>
      <c r="F1119" s="1898" t="s">
        <v>2767</v>
      </c>
      <c r="G1119" s="1899">
        <v>12450000</v>
      </c>
      <c r="H1119" s="1892"/>
    </row>
    <row r="1120" spans="1:8" s="1893" customFormat="1" ht="23.25" customHeight="1" x14ac:dyDescent="0.3">
      <c r="A1120" s="1891" t="s">
        <v>3114</v>
      </c>
      <c r="B1120" s="1898" t="s">
        <v>1189</v>
      </c>
      <c r="C1120" s="1898" t="s">
        <v>2038</v>
      </c>
      <c r="D1120" s="1898" t="s">
        <v>2039</v>
      </c>
      <c r="E1120" s="1898" t="s">
        <v>2030</v>
      </c>
      <c r="F1120" s="1898" t="s">
        <v>2031</v>
      </c>
      <c r="G1120" s="1899">
        <v>243000</v>
      </c>
      <c r="H1120" s="1892"/>
    </row>
    <row r="1121" spans="1:8" s="1893" customFormat="1" ht="23.25" customHeight="1" x14ac:dyDescent="0.3">
      <c r="A1121" s="1891" t="s">
        <v>3114</v>
      </c>
      <c r="B1121" s="1898" t="s">
        <v>1189</v>
      </c>
      <c r="C1121" s="1898" t="s">
        <v>2038</v>
      </c>
      <c r="D1121" s="1898" t="s">
        <v>2039</v>
      </c>
      <c r="E1121" s="1898" t="s">
        <v>2024</v>
      </c>
      <c r="F1121" s="1898" t="s">
        <v>2025</v>
      </c>
      <c r="G1121" s="1899">
        <v>2063892500</v>
      </c>
      <c r="H1121" s="1892"/>
    </row>
    <row r="1122" spans="1:8" s="1893" customFormat="1" ht="23.25" customHeight="1" x14ac:dyDescent="0.3">
      <c r="A1122" s="1891" t="s">
        <v>3114</v>
      </c>
      <c r="B1122" s="1898" t="s">
        <v>1189</v>
      </c>
      <c r="C1122" s="1898" t="s">
        <v>2038</v>
      </c>
      <c r="D1122" s="1898" t="s">
        <v>2039</v>
      </c>
      <c r="E1122" s="1898" t="s">
        <v>2026</v>
      </c>
      <c r="F1122" s="1898" t="s">
        <v>2027</v>
      </c>
      <c r="G1122" s="1899">
        <v>61164000</v>
      </c>
      <c r="H1122" s="1892"/>
    </row>
    <row r="1123" spans="1:8" s="1893" customFormat="1" ht="23.25" customHeight="1" x14ac:dyDescent="0.3">
      <c r="A1123" s="1891" t="s">
        <v>3114</v>
      </c>
      <c r="B1123" s="1898" t="s">
        <v>1189</v>
      </c>
      <c r="C1123" s="1898" t="s">
        <v>2038</v>
      </c>
      <c r="D1123" s="1898" t="s">
        <v>2039</v>
      </c>
      <c r="E1123" s="1898" t="s">
        <v>2026</v>
      </c>
      <c r="F1123" s="1898" t="s">
        <v>2028</v>
      </c>
      <c r="G1123" s="1899">
        <v>165682400</v>
      </c>
      <c r="H1123" s="1892"/>
    </row>
    <row r="1124" spans="1:8" s="1893" customFormat="1" ht="23.25" customHeight="1" x14ac:dyDescent="0.3">
      <c r="A1124" s="1891" t="s">
        <v>3114</v>
      </c>
      <c r="B1124" s="1898" t="s">
        <v>1189</v>
      </c>
      <c r="C1124" s="1898" t="s">
        <v>2038</v>
      </c>
      <c r="D1124" s="1898" t="s">
        <v>2039</v>
      </c>
      <c r="E1124" s="1898" t="s">
        <v>2026</v>
      </c>
      <c r="F1124" s="1898" t="s">
        <v>2029</v>
      </c>
      <c r="G1124" s="1899">
        <v>21876000</v>
      </c>
      <c r="H1124" s="1892"/>
    </row>
    <row r="1125" spans="1:8" s="1893" customFormat="1" ht="23.25" customHeight="1" x14ac:dyDescent="0.3">
      <c r="A1125" s="1891" t="s">
        <v>3114</v>
      </c>
      <c r="B1125" s="1898" t="s">
        <v>1189</v>
      </c>
      <c r="C1125" s="1898" t="s">
        <v>2044</v>
      </c>
      <c r="D1125" s="1898" t="s">
        <v>2045</v>
      </c>
      <c r="E1125" s="1898" t="s">
        <v>1848</v>
      </c>
      <c r="F1125" s="1898" t="s">
        <v>1849</v>
      </c>
      <c r="G1125" s="1899">
        <v>314509202</v>
      </c>
      <c r="H1125" s="1892"/>
    </row>
    <row r="1126" spans="1:8" s="1893" customFormat="1" ht="23.25" customHeight="1" x14ac:dyDescent="0.3">
      <c r="A1126" s="1891" t="s">
        <v>3114</v>
      </c>
      <c r="B1126" s="1898" t="s">
        <v>1189</v>
      </c>
      <c r="C1126" s="1898" t="s">
        <v>2044</v>
      </c>
      <c r="D1126" s="1898" t="s">
        <v>2045</v>
      </c>
      <c r="E1126" s="1898" t="s">
        <v>1853</v>
      </c>
      <c r="F1126" s="1898" t="s">
        <v>1854</v>
      </c>
      <c r="G1126" s="1899">
        <v>1788000</v>
      </c>
      <c r="H1126" s="1892"/>
    </row>
    <row r="1127" spans="1:8" s="1893" customFormat="1" ht="23.25" customHeight="1" x14ac:dyDescent="0.3">
      <c r="A1127" s="1891" t="s">
        <v>3114</v>
      </c>
      <c r="B1127" s="1898" t="s">
        <v>1189</v>
      </c>
      <c r="C1127" s="1898" t="s">
        <v>2044</v>
      </c>
      <c r="D1127" s="1898" t="s">
        <v>2045</v>
      </c>
      <c r="E1127" s="1898" t="s">
        <v>1853</v>
      </c>
      <c r="F1127" s="1898" t="s">
        <v>1855</v>
      </c>
      <c r="G1127" s="1899">
        <v>44700000</v>
      </c>
      <c r="H1127" s="1892"/>
    </row>
    <row r="1128" spans="1:8" s="1893" customFormat="1" ht="23.25" customHeight="1" x14ac:dyDescent="0.3">
      <c r="A1128" s="1891" t="s">
        <v>3114</v>
      </c>
      <c r="B1128" s="1898" t="s">
        <v>1189</v>
      </c>
      <c r="C1128" s="1898" t="s">
        <v>2044</v>
      </c>
      <c r="D1128" s="1898" t="s">
        <v>2045</v>
      </c>
      <c r="E1128" s="1898" t="s">
        <v>1853</v>
      </c>
      <c r="F1128" s="1898" t="s">
        <v>1856</v>
      </c>
      <c r="G1128" s="1899">
        <v>26063148</v>
      </c>
      <c r="H1128" s="1892"/>
    </row>
    <row r="1129" spans="1:8" s="1893" customFormat="1" ht="23.25" customHeight="1" x14ac:dyDescent="0.3">
      <c r="A1129" s="1891" t="s">
        <v>3114</v>
      </c>
      <c r="B1129" s="1898" t="s">
        <v>1189</v>
      </c>
      <c r="C1129" s="1898" t="s">
        <v>2044</v>
      </c>
      <c r="D1129" s="1898" t="s">
        <v>2045</v>
      </c>
      <c r="E1129" s="1898" t="s">
        <v>1853</v>
      </c>
      <c r="F1129" s="1898" t="s">
        <v>1936</v>
      </c>
      <c r="G1129" s="1899">
        <v>7152000</v>
      </c>
      <c r="H1129" s="1892"/>
    </row>
    <row r="1130" spans="1:8" s="1893" customFormat="1" ht="23.25" customHeight="1" x14ac:dyDescent="0.3">
      <c r="A1130" s="1891" t="s">
        <v>3114</v>
      </c>
      <c r="B1130" s="1898" t="s">
        <v>1189</v>
      </c>
      <c r="C1130" s="1898" t="s">
        <v>2044</v>
      </c>
      <c r="D1130" s="1898" t="s">
        <v>2045</v>
      </c>
      <c r="E1130" s="1898" t="s">
        <v>1860</v>
      </c>
      <c r="F1130" s="1898" t="s">
        <v>1861</v>
      </c>
      <c r="G1130" s="1899">
        <v>4500000</v>
      </c>
      <c r="H1130" s="1892"/>
    </row>
    <row r="1131" spans="1:8" s="1893" customFormat="1" ht="23.25" customHeight="1" x14ac:dyDescent="0.3">
      <c r="A1131" s="1891" t="s">
        <v>3114</v>
      </c>
      <c r="B1131" s="1898" t="s">
        <v>1189</v>
      </c>
      <c r="C1131" s="1898" t="s">
        <v>2044</v>
      </c>
      <c r="D1131" s="1898" t="s">
        <v>2045</v>
      </c>
      <c r="E1131" s="1898" t="s">
        <v>1862</v>
      </c>
      <c r="F1131" s="1898" t="s">
        <v>1863</v>
      </c>
      <c r="G1131" s="1899">
        <v>55352011</v>
      </c>
      <c r="H1131" s="1892"/>
    </row>
    <row r="1132" spans="1:8" s="1893" customFormat="1" ht="23.25" customHeight="1" x14ac:dyDescent="0.3">
      <c r="A1132" s="1891" t="s">
        <v>3114</v>
      </c>
      <c r="B1132" s="1898" t="s">
        <v>1189</v>
      </c>
      <c r="C1132" s="1898" t="s">
        <v>2044</v>
      </c>
      <c r="D1132" s="1898" t="s">
        <v>2045</v>
      </c>
      <c r="E1132" s="1898" t="s">
        <v>1862</v>
      </c>
      <c r="F1132" s="1898" t="s">
        <v>1864</v>
      </c>
      <c r="G1132" s="1899">
        <v>9488916</v>
      </c>
      <c r="H1132" s="1892"/>
    </row>
    <row r="1133" spans="1:8" s="1893" customFormat="1" ht="23.25" customHeight="1" x14ac:dyDescent="0.3">
      <c r="A1133" s="1891" t="s">
        <v>3114</v>
      </c>
      <c r="B1133" s="1898" t="s">
        <v>1189</v>
      </c>
      <c r="C1133" s="1898" t="s">
        <v>2044</v>
      </c>
      <c r="D1133" s="1898" t="s">
        <v>2045</v>
      </c>
      <c r="E1133" s="1898" t="s">
        <v>1862</v>
      </c>
      <c r="F1133" s="1898" t="s">
        <v>1865</v>
      </c>
      <c r="G1133" s="1899">
        <v>6325944</v>
      </c>
      <c r="H1133" s="1892"/>
    </row>
    <row r="1134" spans="1:8" s="1893" customFormat="1" ht="23.25" customHeight="1" x14ac:dyDescent="0.3">
      <c r="A1134" s="1891" t="s">
        <v>3114</v>
      </c>
      <c r="B1134" s="1898" t="s">
        <v>1189</v>
      </c>
      <c r="C1134" s="1898" t="s">
        <v>2044</v>
      </c>
      <c r="D1134" s="1898" t="s">
        <v>2045</v>
      </c>
      <c r="E1134" s="1898" t="s">
        <v>1862</v>
      </c>
      <c r="F1134" s="1898" t="s">
        <v>1866</v>
      </c>
      <c r="G1134" s="1899">
        <v>3162972</v>
      </c>
      <c r="H1134" s="1892"/>
    </row>
    <row r="1135" spans="1:8" s="1893" customFormat="1" ht="23.25" customHeight="1" x14ac:dyDescent="0.3">
      <c r="A1135" s="1891" t="s">
        <v>3114</v>
      </c>
      <c r="B1135" s="1898" t="s">
        <v>1189</v>
      </c>
      <c r="C1135" s="1898" t="s">
        <v>2044</v>
      </c>
      <c r="D1135" s="1898" t="s">
        <v>2045</v>
      </c>
      <c r="E1135" s="1898" t="s">
        <v>1869</v>
      </c>
      <c r="F1135" s="1898" t="s">
        <v>1870</v>
      </c>
      <c r="G1135" s="1899">
        <v>4735363</v>
      </c>
      <c r="H1135" s="1892"/>
    </row>
    <row r="1136" spans="1:8" s="1893" customFormat="1" ht="23.25" customHeight="1" x14ac:dyDescent="0.3">
      <c r="A1136" s="1891" t="s">
        <v>3114</v>
      </c>
      <c r="B1136" s="1898" t="s">
        <v>1189</v>
      </c>
      <c r="C1136" s="1898" t="s">
        <v>2044</v>
      </c>
      <c r="D1136" s="1898" t="s">
        <v>2045</v>
      </c>
      <c r="E1136" s="1898" t="s">
        <v>1869</v>
      </c>
      <c r="F1136" s="1898" t="s">
        <v>1871</v>
      </c>
      <c r="G1136" s="1899">
        <v>3035292</v>
      </c>
      <c r="H1136" s="1892"/>
    </row>
    <row r="1137" spans="1:8" s="1893" customFormat="1" ht="23.25" customHeight="1" x14ac:dyDescent="0.3">
      <c r="A1137" s="1891" t="s">
        <v>3114</v>
      </c>
      <c r="B1137" s="1898" t="s">
        <v>1189</v>
      </c>
      <c r="C1137" s="1898" t="s">
        <v>2044</v>
      </c>
      <c r="D1137" s="1898" t="s">
        <v>2045</v>
      </c>
      <c r="E1137" s="1898" t="s">
        <v>1874</v>
      </c>
      <c r="F1137" s="1898" t="s">
        <v>1875</v>
      </c>
      <c r="G1137" s="1899">
        <v>270000</v>
      </c>
      <c r="H1137" s="1892"/>
    </row>
    <row r="1138" spans="1:8" s="1893" customFormat="1" ht="23.25" customHeight="1" x14ac:dyDescent="0.3">
      <c r="A1138" s="1891" t="s">
        <v>3114</v>
      </c>
      <c r="B1138" s="1898" t="s">
        <v>1189</v>
      </c>
      <c r="C1138" s="1898" t="s">
        <v>2044</v>
      </c>
      <c r="D1138" s="1898" t="s">
        <v>2045</v>
      </c>
      <c r="E1138" s="1898" t="s">
        <v>1878</v>
      </c>
      <c r="F1138" s="1898" t="s">
        <v>1879</v>
      </c>
      <c r="G1138" s="1899">
        <v>281364</v>
      </c>
      <c r="H1138" s="1892"/>
    </row>
    <row r="1139" spans="1:8" s="1893" customFormat="1" ht="23.25" customHeight="1" x14ac:dyDescent="0.3">
      <c r="A1139" s="1891" t="s">
        <v>3114</v>
      </c>
      <c r="B1139" s="1898" t="s">
        <v>1189</v>
      </c>
      <c r="C1139" s="1898" t="s">
        <v>2044</v>
      </c>
      <c r="D1139" s="1898" t="s">
        <v>2045</v>
      </c>
      <c r="E1139" s="1898" t="s">
        <v>1878</v>
      </c>
      <c r="F1139" s="1898" t="s">
        <v>1881</v>
      </c>
      <c r="G1139" s="1899">
        <v>3176800</v>
      </c>
      <c r="H1139" s="1892"/>
    </row>
    <row r="1140" spans="1:8" s="1893" customFormat="1" ht="23.25" customHeight="1" x14ac:dyDescent="0.3">
      <c r="A1140" s="1891" t="s">
        <v>3114</v>
      </c>
      <c r="B1140" s="1898" t="s">
        <v>1189</v>
      </c>
      <c r="C1140" s="1898" t="s">
        <v>2044</v>
      </c>
      <c r="D1140" s="1898" t="s">
        <v>2045</v>
      </c>
      <c r="E1140" s="1898" t="s">
        <v>1889</v>
      </c>
      <c r="F1140" s="1898" t="s">
        <v>1890</v>
      </c>
      <c r="G1140" s="1899">
        <v>3100000</v>
      </c>
      <c r="H1140" s="1892"/>
    </row>
    <row r="1141" spans="1:8" s="1893" customFormat="1" ht="23.25" customHeight="1" x14ac:dyDescent="0.3">
      <c r="A1141" s="1891" t="s">
        <v>3114</v>
      </c>
      <c r="B1141" s="1898" t="s">
        <v>1189</v>
      </c>
      <c r="C1141" s="1898" t="s">
        <v>2044</v>
      </c>
      <c r="D1141" s="1898" t="s">
        <v>2045</v>
      </c>
      <c r="E1141" s="1898" t="s">
        <v>1889</v>
      </c>
      <c r="F1141" s="1898" t="s">
        <v>1891</v>
      </c>
      <c r="G1141" s="1899">
        <v>2100000</v>
      </c>
      <c r="H1141" s="1892"/>
    </row>
    <row r="1142" spans="1:8" s="1893" customFormat="1" ht="23.25" customHeight="1" x14ac:dyDescent="0.3">
      <c r="A1142" s="1891" t="s">
        <v>3114</v>
      </c>
      <c r="B1142" s="1898" t="s">
        <v>1189</v>
      </c>
      <c r="C1142" s="1898" t="s">
        <v>2044</v>
      </c>
      <c r="D1142" s="1898" t="s">
        <v>2045</v>
      </c>
      <c r="E1142" s="1898" t="s">
        <v>1889</v>
      </c>
      <c r="F1142" s="1898" t="s">
        <v>1892</v>
      </c>
      <c r="G1142" s="1899">
        <v>21600000</v>
      </c>
      <c r="H1142" s="1892"/>
    </row>
    <row r="1143" spans="1:8" s="1893" customFormat="1" ht="23.25" customHeight="1" x14ac:dyDescent="0.3">
      <c r="A1143" s="1891" t="s">
        <v>3114</v>
      </c>
      <c r="B1143" s="1898" t="s">
        <v>1189</v>
      </c>
      <c r="C1143" s="1898" t="s">
        <v>2044</v>
      </c>
      <c r="D1143" s="1898" t="s">
        <v>2045</v>
      </c>
      <c r="E1143" s="1898" t="s">
        <v>1889</v>
      </c>
      <c r="F1143" s="1898" t="s">
        <v>1922</v>
      </c>
      <c r="G1143" s="1899">
        <v>1526000</v>
      </c>
      <c r="H1143" s="1892"/>
    </row>
    <row r="1144" spans="1:8" s="1893" customFormat="1" ht="23.25" customHeight="1" x14ac:dyDescent="0.3">
      <c r="A1144" s="1891" t="s">
        <v>3114</v>
      </c>
      <c r="B1144" s="1898" t="s">
        <v>1189</v>
      </c>
      <c r="C1144" s="1898" t="s">
        <v>2044</v>
      </c>
      <c r="D1144" s="1898" t="s">
        <v>2045</v>
      </c>
      <c r="E1144" s="1898" t="s">
        <v>1893</v>
      </c>
      <c r="F1144" s="1898" t="s">
        <v>2051</v>
      </c>
      <c r="G1144" s="1899">
        <v>5000000</v>
      </c>
      <c r="H1144" s="1892"/>
    </row>
    <row r="1145" spans="1:8" s="1893" customFormat="1" ht="23.25" customHeight="1" x14ac:dyDescent="0.3">
      <c r="A1145" s="1891" t="s">
        <v>3114</v>
      </c>
      <c r="B1145" s="1898" t="s">
        <v>1189</v>
      </c>
      <c r="C1145" s="1898" t="s">
        <v>2044</v>
      </c>
      <c r="D1145" s="1898" t="s">
        <v>2045</v>
      </c>
      <c r="E1145" s="1898" t="s">
        <v>1896</v>
      </c>
      <c r="F1145" s="1898" t="s">
        <v>1900</v>
      </c>
      <c r="G1145" s="1899">
        <v>1678000</v>
      </c>
      <c r="H1145" s="1892"/>
    </row>
    <row r="1146" spans="1:8" s="1893" customFormat="1" ht="23.25" customHeight="1" x14ac:dyDescent="0.3">
      <c r="A1146" s="1891" t="s">
        <v>3114</v>
      </c>
      <c r="B1146" s="1898" t="s">
        <v>1189</v>
      </c>
      <c r="C1146" s="1898" t="s">
        <v>2044</v>
      </c>
      <c r="D1146" s="1898" t="s">
        <v>2045</v>
      </c>
      <c r="E1146" s="1898" t="s">
        <v>1896</v>
      </c>
      <c r="F1146" s="1898" t="s">
        <v>1928</v>
      </c>
      <c r="G1146" s="1899">
        <v>910000</v>
      </c>
      <c r="H1146" s="1892"/>
    </row>
    <row r="1147" spans="1:8" s="1893" customFormat="1" ht="23.25" customHeight="1" x14ac:dyDescent="0.3">
      <c r="A1147" s="1891" t="s">
        <v>3114</v>
      </c>
      <c r="B1147" s="1898" t="s">
        <v>1189</v>
      </c>
      <c r="C1147" s="1898" t="s">
        <v>2044</v>
      </c>
      <c r="D1147" s="1898" t="s">
        <v>2045</v>
      </c>
      <c r="E1147" s="1898" t="s">
        <v>1896</v>
      </c>
      <c r="F1147" s="1898" t="s">
        <v>1902</v>
      </c>
      <c r="G1147" s="1899">
        <v>6620000</v>
      </c>
      <c r="H1147" s="1892"/>
    </row>
    <row r="1148" spans="1:8" s="1893" customFormat="1" ht="23.25" customHeight="1" x14ac:dyDescent="0.3">
      <c r="A1148" s="1891" t="s">
        <v>3114</v>
      </c>
      <c r="B1148" s="1898" t="s">
        <v>1189</v>
      </c>
      <c r="C1148" s="1898" t="s">
        <v>2044</v>
      </c>
      <c r="D1148" s="1898" t="s">
        <v>2045</v>
      </c>
      <c r="E1148" s="1898" t="s">
        <v>1903</v>
      </c>
      <c r="F1148" s="1898" t="s">
        <v>2771</v>
      </c>
      <c r="G1148" s="1899">
        <v>25000000</v>
      </c>
      <c r="H1148" s="1892"/>
    </row>
    <row r="1149" spans="1:8" s="1893" customFormat="1" ht="23.25" customHeight="1" x14ac:dyDescent="0.3">
      <c r="A1149" s="1891" t="s">
        <v>3114</v>
      </c>
      <c r="B1149" s="1898" t="s">
        <v>1189</v>
      </c>
      <c r="C1149" s="1898" t="s">
        <v>2044</v>
      </c>
      <c r="D1149" s="1898" t="s">
        <v>2045</v>
      </c>
      <c r="E1149" s="1898" t="s">
        <v>1912</v>
      </c>
      <c r="F1149" s="1898" t="s">
        <v>1913</v>
      </c>
      <c r="G1149" s="1899">
        <v>1648000</v>
      </c>
      <c r="H1149" s="1892"/>
    </row>
    <row r="1150" spans="1:8" s="1893" customFormat="1" ht="23.25" customHeight="1" x14ac:dyDescent="0.3">
      <c r="A1150" s="1891" t="s">
        <v>3114</v>
      </c>
      <c r="B1150" s="1898" t="s">
        <v>1189</v>
      </c>
      <c r="C1150" s="1898" t="s">
        <v>2044</v>
      </c>
      <c r="D1150" s="1898" t="s">
        <v>2045</v>
      </c>
      <c r="E1150" s="1898" t="s">
        <v>1912</v>
      </c>
      <c r="F1150" s="1898" t="s">
        <v>1914</v>
      </c>
      <c r="G1150" s="1899">
        <v>480700</v>
      </c>
      <c r="H1150" s="1892"/>
    </row>
    <row r="1151" spans="1:8" s="1893" customFormat="1" ht="23.25" customHeight="1" x14ac:dyDescent="0.3">
      <c r="A1151" s="1891" t="s">
        <v>3114</v>
      </c>
      <c r="B1151" s="1898" t="s">
        <v>1189</v>
      </c>
      <c r="C1151" s="1898" t="s">
        <v>2048</v>
      </c>
      <c r="D1151" s="1898" t="s">
        <v>2049</v>
      </c>
      <c r="E1151" s="1898" t="s">
        <v>1848</v>
      </c>
      <c r="F1151" s="1898" t="s">
        <v>1849</v>
      </c>
      <c r="G1151" s="1899">
        <v>26820000</v>
      </c>
      <c r="H1151" s="1892"/>
    </row>
    <row r="1152" spans="1:8" s="1893" customFormat="1" ht="23.25" customHeight="1" x14ac:dyDescent="0.3">
      <c r="A1152" s="1891" t="s">
        <v>3114</v>
      </c>
      <c r="B1152" s="1898" t="s">
        <v>1189</v>
      </c>
      <c r="C1152" s="1898" t="s">
        <v>2048</v>
      </c>
      <c r="D1152" s="1898" t="s">
        <v>2049</v>
      </c>
      <c r="E1152" s="1898" t="s">
        <v>1853</v>
      </c>
      <c r="F1152" s="1898" t="s">
        <v>1855</v>
      </c>
      <c r="G1152" s="1899">
        <v>4470000</v>
      </c>
      <c r="H1152" s="1892"/>
    </row>
    <row r="1153" spans="1:8" s="1893" customFormat="1" ht="23.25" customHeight="1" x14ac:dyDescent="0.3">
      <c r="A1153" s="1891" t="s">
        <v>3114</v>
      </c>
      <c r="B1153" s="1898" t="s">
        <v>1189</v>
      </c>
      <c r="C1153" s="1898" t="s">
        <v>2048</v>
      </c>
      <c r="D1153" s="1898" t="s">
        <v>2049</v>
      </c>
      <c r="E1153" s="1898" t="s">
        <v>1853</v>
      </c>
      <c r="F1153" s="1898" t="s">
        <v>1856</v>
      </c>
      <c r="G1153" s="1899">
        <v>711136</v>
      </c>
      <c r="H1153" s="1892"/>
    </row>
    <row r="1154" spans="1:8" s="1893" customFormat="1" ht="23.25" customHeight="1" x14ac:dyDescent="0.3">
      <c r="A1154" s="1891" t="s">
        <v>3114</v>
      </c>
      <c r="B1154" s="1898" t="s">
        <v>1189</v>
      </c>
      <c r="C1154" s="1898" t="s">
        <v>2048</v>
      </c>
      <c r="D1154" s="1898" t="s">
        <v>2049</v>
      </c>
      <c r="E1154" s="1898" t="s">
        <v>1860</v>
      </c>
      <c r="F1154" s="1898" t="s">
        <v>1861</v>
      </c>
      <c r="G1154" s="1899">
        <v>450000</v>
      </c>
      <c r="H1154" s="1892"/>
    </row>
    <row r="1155" spans="1:8" s="1893" customFormat="1" ht="23.25" customHeight="1" x14ac:dyDescent="0.3">
      <c r="A1155" s="1891" t="s">
        <v>3114</v>
      </c>
      <c r="B1155" s="1898" t="s">
        <v>1189</v>
      </c>
      <c r="C1155" s="1898" t="s">
        <v>2048</v>
      </c>
      <c r="D1155" s="1898" t="s">
        <v>2049</v>
      </c>
      <c r="E1155" s="1898" t="s">
        <v>1862</v>
      </c>
      <c r="F1155" s="1898" t="s">
        <v>1863</v>
      </c>
      <c r="G1155" s="1899">
        <v>4693500</v>
      </c>
      <c r="H1155" s="1892"/>
    </row>
    <row r="1156" spans="1:8" s="1893" customFormat="1" ht="23.25" customHeight="1" x14ac:dyDescent="0.3">
      <c r="A1156" s="1891" t="s">
        <v>3114</v>
      </c>
      <c r="B1156" s="1898" t="s">
        <v>1189</v>
      </c>
      <c r="C1156" s="1898" t="s">
        <v>2048</v>
      </c>
      <c r="D1156" s="1898" t="s">
        <v>2049</v>
      </c>
      <c r="E1156" s="1898" t="s">
        <v>1862</v>
      </c>
      <c r="F1156" s="1898" t="s">
        <v>1864</v>
      </c>
      <c r="G1156" s="1899">
        <v>804600</v>
      </c>
      <c r="H1156" s="1892"/>
    </row>
    <row r="1157" spans="1:8" s="1893" customFormat="1" ht="23.25" customHeight="1" x14ac:dyDescent="0.3">
      <c r="A1157" s="1891" t="s">
        <v>3114</v>
      </c>
      <c r="B1157" s="1898" t="s">
        <v>1189</v>
      </c>
      <c r="C1157" s="1898" t="s">
        <v>2048</v>
      </c>
      <c r="D1157" s="1898" t="s">
        <v>2049</v>
      </c>
      <c r="E1157" s="1898" t="s">
        <v>1862</v>
      </c>
      <c r="F1157" s="1898" t="s">
        <v>1865</v>
      </c>
      <c r="G1157" s="1899">
        <v>536400</v>
      </c>
      <c r="H1157" s="1892"/>
    </row>
    <row r="1158" spans="1:8" s="1893" customFormat="1" ht="23.25" customHeight="1" x14ac:dyDescent="0.3">
      <c r="A1158" s="1891" t="s">
        <v>3114</v>
      </c>
      <c r="B1158" s="1898" t="s">
        <v>1189</v>
      </c>
      <c r="C1158" s="1898" t="s">
        <v>2048</v>
      </c>
      <c r="D1158" s="1898" t="s">
        <v>2049</v>
      </c>
      <c r="E1158" s="1898" t="s">
        <v>1862</v>
      </c>
      <c r="F1158" s="1898" t="s">
        <v>1866</v>
      </c>
      <c r="G1158" s="1899">
        <v>268200</v>
      </c>
      <c r="H1158" s="1892"/>
    </row>
    <row r="1159" spans="1:8" s="1893" customFormat="1" ht="23.25" customHeight="1" x14ac:dyDescent="0.3">
      <c r="A1159" s="1891" t="s">
        <v>3114</v>
      </c>
      <c r="B1159" s="1898" t="s">
        <v>1189</v>
      </c>
      <c r="C1159" s="1898" t="s">
        <v>2048</v>
      </c>
      <c r="D1159" s="1898" t="s">
        <v>2049</v>
      </c>
      <c r="E1159" s="1898" t="s">
        <v>1869</v>
      </c>
      <c r="F1159" s="1898" t="s">
        <v>1870</v>
      </c>
      <c r="G1159" s="1899">
        <v>437270</v>
      </c>
      <c r="H1159" s="1892"/>
    </row>
    <row r="1160" spans="1:8" s="1893" customFormat="1" ht="23.25" customHeight="1" x14ac:dyDescent="0.3">
      <c r="A1160" s="1891" t="s">
        <v>3114</v>
      </c>
      <c r="B1160" s="1898" t="s">
        <v>1189</v>
      </c>
      <c r="C1160" s="1898" t="s">
        <v>2048</v>
      </c>
      <c r="D1160" s="1898" t="s">
        <v>2049</v>
      </c>
      <c r="E1160" s="1898" t="s">
        <v>1869</v>
      </c>
      <c r="F1160" s="1898" t="s">
        <v>1871</v>
      </c>
      <c r="G1160" s="1899">
        <v>266699</v>
      </c>
      <c r="H1160" s="1892"/>
    </row>
    <row r="1161" spans="1:8" s="1893" customFormat="1" ht="23.25" customHeight="1" x14ac:dyDescent="0.3">
      <c r="A1161" s="1891" t="s">
        <v>3114</v>
      </c>
      <c r="B1161" s="1898" t="s">
        <v>1189</v>
      </c>
      <c r="C1161" s="1898" t="s">
        <v>2048</v>
      </c>
      <c r="D1161" s="1898" t="s">
        <v>2049</v>
      </c>
      <c r="E1161" s="1898" t="s">
        <v>1878</v>
      </c>
      <c r="F1161" s="1898" t="s">
        <v>1879</v>
      </c>
      <c r="G1161" s="1899">
        <v>66000</v>
      </c>
      <c r="H1161" s="1892"/>
    </row>
    <row r="1162" spans="1:8" s="1893" customFormat="1" ht="23.25" customHeight="1" x14ac:dyDescent="0.3">
      <c r="A1162" s="1891" t="s">
        <v>3114</v>
      </c>
      <c r="B1162" s="1898" t="s">
        <v>1189</v>
      </c>
      <c r="C1162" s="1898" t="s">
        <v>2048</v>
      </c>
      <c r="D1162" s="1898" t="s">
        <v>2049</v>
      </c>
      <c r="E1162" s="1898" t="s">
        <v>1878</v>
      </c>
      <c r="F1162" s="1898" t="s">
        <v>1881</v>
      </c>
      <c r="G1162" s="1899">
        <v>794200</v>
      </c>
      <c r="H1162" s="1892"/>
    </row>
    <row r="1163" spans="1:8" s="1893" customFormat="1" ht="23.25" customHeight="1" x14ac:dyDescent="0.3">
      <c r="A1163" s="1891" t="s">
        <v>3114</v>
      </c>
      <c r="B1163" s="1898" t="s">
        <v>1189</v>
      </c>
      <c r="C1163" s="1898" t="s">
        <v>2048</v>
      </c>
      <c r="D1163" s="1898" t="s">
        <v>2049</v>
      </c>
      <c r="E1163" s="1898" t="s">
        <v>1878</v>
      </c>
      <c r="F1163" s="1898" t="s">
        <v>1882</v>
      </c>
      <c r="G1163" s="1899">
        <v>4150000</v>
      </c>
      <c r="H1163" s="1892"/>
    </row>
    <row r="1164" spans="1:8" s="1893" customFormat="1" ht="23.25" customHeight="1" x14ac:dyDescent="0.3">
      <c r="A1164" s="1891" t="s">
        <v>3114</v>
      </c>
      <c r="B1164" s="1898" t="s">
        <v>1189</v>
      </c>
      <c r="C1164" s="1898" t="s">
        <v>2048</v>
      </c>
      <c r="D1164" s="1898" t="s">
        <v>2049</v>
      </c>
      <c r="E1164" s="1898" t="s">
        <v>1889</v>
      </c>
      <c r="F1164" s="1898" t="s">
        <v>1890</v>
      </c>
      <c r="G1164" s="1899">
        <v>400000</v>
      </c>
      <c r="H1164" s="1892"/>
    </row>
    <row r="1165" spans="1:8" s="1893" customFormat="1" ht="23.25" customHeight="1" x14ac:dyDescent="0.3">
      <c r="A1165" s="1891" t="s">
        <v>3114</v>
      </c>
      <c r="B1165" s="1898" t="s">
        <v>1189</v>
      </c>
      <c r="C1165" s="1898" t="s">
        <v>2048</v>
      </c>
      <c r="D1165" s="1898" t="s">
        <v>2049</v>
      </c>
      <c r="E1165" s="1898" t="s">
        <v>1889</v>
      </c>
      <c r="F1165" s="1898" t="s">
        <v>1891</v>
      </c>
      <c r="G1165" s="1899">
        <v>300000</v>
      </c>
      <c r="H1165" s="1892"/>
    </row>
    <row r="1166" spans="1:8" s="1893" customFormat="1" ht="23.25" customHeight="1" x14ac:dyDescent="0.3">
      <c r="A1166" s="1891" t="s">
        <v>3114</v>
      </c>
      <c r="B1166" s="1898" t="s">
        <v>1189</v>
      </c>
      <c r="C1166" s="1898" t="s">
        <v>2048</v>
      </c>
      <c r="D1166" s="1898" t="s">
        <v>2049</v>
      </c>
      <c r="E1166" s="1898" t="s">
        <v>1889</v>
      </c>
      <c r="F1166" s="1898" t="s">
        <v>1892</v>
      </c>
      <c r="G1166" s="1899">
        <v>2400000</v>
      </c>
      <c r="H1166" s="1892"/>
    </row>
    <row r="1167" spans="1:8" s="1893" customFormat="1" ht="23.25" customHeight="1" x14ac:dyDescent="0.3">
      <c r="A1167" s="1891" t="s">
        <v>3114</v>
      </c>
      <c r="B1167" s="1898" t="s">
        <v>1189</v>
      </c>
      <c r="C1167" s="1898" t="s">
        <v>2048</v>
      </c>
      <c r="D1167" s="1898" t="s">
        <v>2049</v>
      </c>
      <c r="E1167" s="1898" t="s">
        <v>1889</v>
      </c>
      <c r="F1167" s="1898" t="s">
        <v>1922</v>
      </c>
      <c r="G1167" s="1899">
        <v>142800</v>
      </c>
      <c r="H1167" s="1892"/>
    </row>
    <row r="1168" spans="1:8" s="1893" customFormat="1" ht="23.25" customHeight="1" x14ac:dyDescent="0.3">
      <c r="A1168" s="1891" t="s">
        <v>3114</v>
      </c>
      <c r="B1168" s="1898" t="s">
        <v>1189</v>
      </c>
      <c r="C1168" s="1898" t="s">
        <v>2048</v>
      </c>
      <c r="D1168" s="1898" t="s">
        <v>2049</v>
      </c>
      <c r="E1168" s="1898" t="s">
        <v>1893</v>
      </c>
      <c r="F1168" s="1898" t="s">
        <v>1894</v>
      </c>
      <c r="G1168" s="1899">
        <v>600000</v>
      </c>
      <c r="H1168" s="1892"/>
    </row>
    <row r="1169" spans="1:8" s="1893" customFormat="1" ht="23.25" customHeight="1" x14ac:dyDescent="0.3">
      <c r="A1169" s="1891" t="s">
        <v>3114</v>
      </c>
      <c r="B1169" s="1898" t="s">
        <v>1189</v>
      </c>
      <c r="C1169" s="1898" t="s">
        <v>2048</v>
      </c>
      <c r="D1169" s="1898" t="s">
        <v>2049</v>
      </c>
      <c r="E1169" s="1898" t="s">
        <v>1893</v>
      </c>
      <c r="F1169" s="1898" t="s">
        <v>2051</v>
      </c>
      <c r="G1169" s="1899">
        <v>4000000</v>
      </c>
      <c r="H1169" s="1892"/>
    </row>
    <row r="1170" spans="1:8" s="1893" customFormat="1" ht="23.25" customHeight="1" x14ac:dyDescent="0.3">
      <c r="A1170" s="1891" t="s">
        <v>3114</v>
      </c>
      <c r="B1170" s="1898" t="s">
        <v>1189</v>
      </c>
      <c r="C1170" s="1898" t="s">
        <v>2048</v>
      </c>
      <c r="D1170" s="1898" t="s">
        <v>2049</v>
      </c>
      <c r="E1170" s="1898" t="s">
        <v>1906</v>
      </c>
      <c r="F1170" s="1898" t="s">
        <v>1908</v>
      </c>
      <c r="G1170" s="1899">
        <v>2000000</v>
      </c>
      <c r="H1170" s="1892"/>
    </row>
    <row r="1171" spans="1:8" s="1893" customFormat="1" ht="23.25" customHeight="1" x14ac:dyDescent="0.3">
      <c r="A1171" s="1891" t="s">
        <v>3114</v>
      </c>
      <c r="B1171" s="1898" t="s">
        <v>1189</v>
      </c>
      <c r="C1171" s="1898" t="s">
        <v>2048</v>
      </c>
      <c r="D1171" s="1898" t="s">
        <v>2049</v>
      </c>
      <c r="E1171" s="1898" t="s">
        <v>1906</v>
      </c>
      <c r="F1171" s="1898" t="s">
        <v>1909</v>
      </c>
      <c r="G1171" s="1899">
        <v>126038000</v>
      </c>
      <c r="H1171" s="1892"/>
    </row>
    <row r="1172" spans="1:8" s="1893" customFormat="1" ht="23.25" customHeight="1" x14ac:dyDescent="0.3">
      <c r="A1172" s="1891" t="s">
        <v>3114</v>
      </c>
      <c r="B1172" s="1898" t="s">
        <v>1189</v>
      </c>
      <c r="C1172" s="1898" t="s">
        <v>1970</v>
      </c>
      <c r="D1172" s="1898" t="s">
        <v>2050</v>
      </c>
      <c r="E1172" s="1898" t="s">
        <v>1848</v>
      </c>
      <c r="F1172" s="1898" t="s">
        <v>1850</v>
      </c>
      <c r="G1172" s="1899">
        <v>30548750</v>
      </c>
      <c r="H1172" s="1892"/>
    </row>
    <row r="1173" spans="1:8" s="1893" customFormat="1" ht="23.25" customHeight="1" x14ac:dyDescent="0.3">
      <c r="A1173" s="1891" t="s">
        <v>3114</v>
      </c>
      <c r="B1173" s="1898" t="s">
        <v>1189</v>
      </c>
      <c r="C1173" s="1898" t="s">
        <v>1970</v>
      </c>
      <c r="D1173" s="1898" t="s">
        <v>2050</v>
      </c>
      <c r="E1173" s="1898" t="s">
        <v>1869</v>
      </c>
      <c r="F1173" s="1898" t="s">
        <v>1872</v>
      </c>
      <c r="G1173" s="1899">
        <v>27791094</v>
      </c>
      <c r="H1173" s="1892"/>
    </row>
    <row r="1174" spans="1:8" s="1893" customFormat="1" ht="23.25" customHeight="1" x14ac:dyDescent="0.3">
      <c r="A1174" s="1891" t="s">
        <v>3114</v>
      </c>
      <c r="B1174" s="1898" t="s">
        <v>1189</v>
      </c>
      <c r="C1174" s="1898" t="s">
        <v>1919</v>
      </c>
      <c r="D1174" s="1898" t="s">
        <v>1920</v>
      </c>
      <c r="E1174" s="1898" t="s">
        <v>1848</v>
      </c>
      <c r="F1174" s="1898" t="s">
        <v>1849</v>
      </c>
      <c r="G1174" s="1899">
        <v>691474583</v>
      </c>
      <c r="H1174" s="1892"/>
    </row>
    <row r="1175" spans="1:8" s="1893" customFormat="1" ht="23.25" customHeight="1" x14ac:dyDescent="0.3">
      <c r="A1175" s="1891" t="s">
        <v>3114</v>
      </c>
      <c r="B1175" s="1898" t="s">
        <v>1189</v>
      </c>
      <c r="C1175" s="1898" t="s">
        <v>1919</v>
      </c>
      <c r="D1175" s="1898" t="s">
        <v>1920</v>
      </c>
      <c r="E1175" s="1898" t="s">
        <v>1853</v>
      </c>
      <c r="F1175" s="1898" t="s">
        <v>1854</v>
      </c>
      <c r="G1175" s="1899">
        <v>4470000</v>
      </c>
      <c r="H1175" s="1892"/>
    </row>
    <row r="1176" spans="1:8" s="1893" customFormat="1" ht="23.25" customHeight="1" x14ac:dyDescent="0.3">
      <c r="A1176" s="1891" t="s">
        <v>3114</v>
      </c>
      <c r="B1176" s="1898" t="s">
        <v>1189</v>
      </c>
      <c r="C1176" s="1898" t="s">
        <v>1919</v>
      </c>
      <c r="D1176" s="1898" t="s">
        <v>1920</v>
      </c>
      <c r="E1176" s="1898" t="s">
        <v>1853</v>
      </c>
      <c r="F1176" s="1898" t="s">
        <v>1855</v>
      </c>
      <c r="G1176" s="1899">
        <v>98340000</v>
      </c>
      <c r="H1176" s="1892"/>
    </row>
    <row r="1177" spans="1:8" s="1893" customFormat="1" ht="23.25" customHeight="1" x14ac:dyDescent="0.3">
      <c r="A1177" s="1891" t="s">
        <v>3114</v>
      </c>
      <c r="B1177" s="1898" t="s">
        <v>1189</v>
      </c>
      <c r="C1177" s="1898" t="s">
        <v>1919</v>
      </c>
      <c r="D1177" s="1898" t="s">
        <v>1920</v>
      </c>
      <c r="E1177" s="1898" t="s">
        <v>1853</v>
      </c>
      <c r="F1177" s="1898" t="s">
        <v>1856</v>
      </c>
      <c r="G1177" s="1899">
        <v>76650242</v>
      </c>
      <c r="H1177" s="1892"/>
    </row>
    <row r="1178" spans="1:8" s="1893" customFormat="1" ht="23.25" customHeight="1" x14ac:dyDescent="0.3">
      <c r="A1178" s="1891" t="s">
        <v>3114</v>
      </c>
      <c r="B1178" s="1898" t="s">
        <v>1189</v>
      </c>
      <c r="C1178" s="1898" t="s">
        <v>1919</v>
      </c>
      <c r="D1178" s="1898" t="s">
        <v>1920</v>
      </c>
      <c r="E1178" s="1898" t="s">
        <v>1853</v>
      </c>
      <c r="F1178" s="1898" t="s">
        <v>1937</v>
      </c>
      <c r="G1178" s="1899">
        <v>99039332</v>
      </c>
      <c r="H1178" s="1892"/>
    </row>
    <row r="1179" spans="1:8" s="1893" customFormat="1" ht="23.25" customHeight="1" x14ac:dyDescent="0.3">
      <c r="A1179" s="1891" t="s">
        <v>3114</v>
      </c>
      <c r="B1179" s="1898" t="s">
        <v>1189</v>
      </c>
      <c r="C1179" s="1898" t="s">
        <v>1919</v>
      </c>
      <c r="D1179" s="1898" t="s">
        <v>1920</v>
      </c>
      <c r="E1179" s="1898" t="s">
        <v>1853</v>
      </c>
      <c r="F1179" s="1898" t="s">
        <v>1858</v>
      </c>
      <c r="G1179" s="1899">
        <v>1788000</v>
      </c>
      <c r="H1179" s="1892"/>
    </row>
    <row r="1180" spans="1:8" s="1893" customFormat="1" ht="23.25" customHeight="1" x14ac:dyDescent="0.3">
      <c r="A1180" s="1891" t="s">
        <v>3114</v>
      </c>
      <c r="B1180" s="1898" t="s">
        <v>1189</v>
      </c>
      <c r="C1180" s="1898" t="s">
        <v>1919</v>
      </c>
      <c r="D1180" s="1898" t="s">
        <v>1920</v>
      </c>
      <c r="E1180" s="1898" t="s">
        <v>1860</v>
      </c>
      <c r="F1180" s="1898" t="s">
        <v>1861</v>
      </c>
      <c r="G1180" s="1899">
        <v>7640000</v>
      </c>
      <c r="H1180" s="1892"/>
    </row>
    <row r="1181" spans="1:8" s="1893" customFormat="1" ht="23.25" customHeight="1" x14ac:dyDescent="0.3">
      <c r="A1181" s="1891" t="s">
        <v>3114</v>
      </c>
      <c r="B1181" s="1898" t="s">
        <v>1189</v>
      </c>
      <c r="C1181" s="1898" t="s">
        <v>1919</v>
      </c>
      <c r="D1181" s="1898" t="s">
        <v>1920</v>
      </c>
      <c r="E1181" s="1898" t="s">
        <v>1862</v>
      </c>
      <c r="F1181" s="1898" t="s">
        <v>1863</v>
      </c>
      <c r="G1181" s="1899">
        <v>121796326</v>
      </c>
      <c r="H1181" s="1892"/>
    </row>
    <row r="1182" spans="1:8" s="1893" customFormat="1" ht="23.25" customHeight="1" x14ac:dyDescent="0.3">
      <c r="A1182" s="1891" t="s">
        <v>3114</v>
      </c>
      <c r="B1182" s="1898" t="s">
        <v>1189</v>
      </c>
      <c r="C1182" s="1898" t="s">
        <v>1919</v>
      </c>
      <c r="D1182" s="1898" t="s">
        <v>1920</v>
      </c>
      <c r="E1182" s="1898" t="s">
        <v>1862</v>
      </c>
      <c r="F1182" s="1898" t="s">
        <v>1864</v>
      </c>
      <c r="G1182" s="1899">
        <v>20879370</v>
      </c>
      <c r="H1182" s="1892"/>
    </row>
    <row r="1183" spans="1:8" s="1893" customFormat="1" ht="23.25" customHeight="1" x14ac:dyDescent="0.3">
      <c r="A1183" s="1891" t="s">
        <v>3114</v>
      </c>
      <c r="B1183" s="1898" t="s">
        <v>1189</v>
      </c>
      <c r="C1183" s="1898" t="s">
        <v>1919</v>
      </c>
      <c r="D1183" s="1898" t="s">
        <v>1920</v>
      </c>
      <c r="E1183" s="1898" t="s">
        <v>1862</v>
      </c>
      <c r="F1183" s="1898" t="s">
        <v>1865</v>
      </c>
      <c r="G1183" s="1899">
        <v>14804640</v>
      </c>
      <c r="H1183" s="1892"/>
    </row>
    <row r="1184" spans="1:8" s="1893" customFormat="1" ht="23.25" customHeight="1" x14ac:dyDescent="0.3">
      <c r="A1184" s="1891" t="s">
        <v>3114</v>
      </c>
      <c r="B1184" s="1898" t="s">
        <v>1189</v>
      </c>
      <c r="C1184" s="1898" t="s">
        <v>1919</v>
      </c>
      <c r="D1184" s="1898" t="s">
        <v>1920</v>
      </c>
      <c r="E1184" s="1898" t="s">
        <v>1862</v>
      </c>
      <c r="F1184" s="1898" t="s">
        <v>1866</v>
      </c>
      <c r="G1184" s="1899">
        <v>6925371</v>
      </c>
      <c r="H1184" s="1892"/>
    </row>
    <row r="1185" spans="1:8" s="1893" customFormat="1" ht="23.25" customHeight="1" x14ac:dyDescent="0.3">
      <c r="A1185" s="1891" t="s">
        <v>3114</v>
      </c>
      <c r="B1185" s="1898" t="s">
        <v>1189</v>
      </c>
      <c r="C1185" s="1898" t="s">
        <v>1919</v>
      </c>
      <c r="D1185" s="1898" t="s">
        <v>1920</v>
      </c>
      <c r="E1185" s="1898" t="s">
        <v>1867</v>
      </c>
      <c r="F1185" s="1898" t="s">
        <v>1868</v>
      </c>
      <c r="G1185" s="1899">
        <v>185059916</v>
      </c>
      <c r="H1185" s="1892"/>
    </row>
    <row r="1186" spans="1:8" s="1893" customFormat="1" ht="23.25" customHeight="1" x14ac:dyDescent="0.3">
      <c r="A1186" s="1891" t="s">
        <v>3114</v>
      </c>
      <c r="B1186" s="1898" t="s">
        <v>1189</v>
      </c>
      <c r="C1186" s="1898" t="s">
        <v>1919</v>
      </c>
      <c r="D1186" s="1898" t="s">
        <v>1920</v>
      </c>
      <c r="E1186" s="1898" t="s">
        <v>1869</v>
      </c>
      <c r="F1186" s="1898" t="s">
        <v>1870</v>
      </c>
      <c r="G1186" s="1899">
        <v>6291338</v>
      </c>
      <c r="H1186" s="1892"/>
    </row>
    <row r="1187" spans="1:8" s="1893" customFormat="1" ht="23.25" customHeight="1" x14ac:dyDescent="0.3">
      <c r="A1187" s="1891" t="s">
        <v>3114</v>
      </c>
      <c r="B1187" s="1898" t="s">
        <v>1189</v>
      </c>
      <c r="C1187" s="1898" t="s">
        <v>1919</v>
      </c>
      <c r="D1187" s="1898" t="s">
        <v>1920</v>
      </c>
      <c r="E1187" s="1898" t="s">
        <v>1869</v>
      </c>
      <c r="F1187" s="1898" t="s">
        <v>1871</v>
      </c>
      <c r="G1187" s="1899">
        <v>1016980</v>
      </c>
      <c r="H1187" s="1892"/>
    </row>
    <row r="1188" spans="1:8" s="1893" customFormat="1" ht="23.25" customHeight="1" x14ac:dyDescent="0.3">
      <c r="A1188" s="1891" t="s">
        <v>3114</v>
      </c>
      <c r="B1188" s="1898" t="s">
        <v>1189</v>
      </c>
      <c r="C1188" s="1898" t="s">
        <v>1919</v>
      </c>
      <c r="D1188" s="1898" t="s">
        <v>1920</v>
      </c>
      <c r="E1188" s="1898" t="s">
        <v>1869</v>
      </c>
      <c r="F1188" s="1898" t="s">
        <v>1872</v>
      </c>
      <c r="G1188" s="1899">
        <v>1860000</v>
      </c>
      <c r="H1188" s="1892"/>
    </row>
    <row r="1189" spans="1:8" s="1893" customFormat="1" ht="23.25" customHeight="1" x14ac:dyDescent="0.3">
      <c r="A1189" s="1891" t="s">
        <v>3114</v>
      </c>
      <c r="B1189" s="1898" t="s">
        <v>1189</v>
      </c>
      <c r="C1189" s="1898" t="s">
        <v>1919</v>
      </c>
      <c r="D1189" s="1898" t="s">
        <v>1920</v>
      </c>
      <c r="E1189" s="1898" t="s">
        <v>1869</v>
      </c>
      <c r="F1189" s="1898" t="s">
        <v>1873</v>
      </c>
      <c r="G1189" s="1899">
        <v>720000</v>
      </c>
      <c r="H1189" s="1892"/>
    </row>
    <row r="1190" spans="1:8" s="1893" customFormat="1" ht="23.25" customHeight="1" x14ac:dyDescent="0.3">
      <c r="A1190" s="1891" t="s">
        <v>3114</v>
      </c>
      <c r="B1190" s="1898" t="s">
        <v>1189</v>
      </c>
      <c r="C1190" s="1898" t="s">
        <v>1919</v>
      </c>
      <c r="D1190" s="1898" t="s">
        <v>1920</v>
      </c>
      <c r="E1190" s="1898" t="s">
        <v>1874</v>
      </c>
      <c r="F1190" s="1898" t="s">
        <v>1875</v>
      </c>
      <c r="G1190" s="1899">
        <v>8150000</v>
      </c>
      <c r="H1190" s="1892"/>
    </row>
    <row r="1191" spans="1:8" s="1893" customFormat="1" ht="23.25" customHeight="1" x14ac:dyDescent="0.3">
      <c r="A1191" s="1891" t="s">
        <v>3114</v>
      </c>
      <c r="B1191" s="1898" t="s">
        <v>1189</v>
      </c>
      <c r="C1191" s="1898" t="s">
        <v>1919</v>
      </c>
      <c r="D1191" s="1898" t="s">
        <v>1920</v>
      </c>
      <c r="E1191" s="1898" t="s">
        <v>1874</v>
      </c>
      <c r="F1191" s="1898" t="s">
        <v>1876</v>
      </c>
      <c r="G1191" s="1899">
        <v>3230000</v>
      </c>
      <c r="H1191" s="1892"/>
    </row>
    <row r="1192" spans="1:8" s="1893" customFormat="1" ht="23.25" customHeight="1" x14ac:dyDescent="0.3">
      <c r="A1192" s="1891" t="s">
        <v>3114</v>
      </c>
      <c r="B1192" s="1898" t="s">
        <v>1189</v>
      </c>
      <c r="C1192" s="1898" t="s">
        <v>1919</v>
      </c>
      <c r="D1192" s="1898" t="s">
        <v>1920</v>
      </c>
      <c r="E1192" s="1898" t="s">
        <v>1874</v>
      </c>
      <c r="F1192" s="1898" t="s">
        <v>2062</v>
      </c>
      <c r="G1192" s="1899">
        <v>9500000</v>
      </c>
      <c r="H1192" s="1892"/>
    </row>
    <row r="1193" spans="1:8" s="1893" customFormat="1" ht="23.25" customHeight="1" x14ac:dyDescent="0.3">
      <c r="A1193" s="1891" t="s">
        <v>3114</v>
      </c>
      <c r="B1193" s="1898" t="s">
        <v>1189</v>
      </c>
      <c r="C1193" s="1898" t="s">
        <v>1919</v>
      </c>
      <c r="D1193" s="1898" t="s">
        <v>1920</v>
      </c>
      <c r="E1193" s="1898" t="s">
        <v>1874</v>
      </c>
      <c r="F1193" s="1898" t="s">
        <v>1877</v>
      </c>
      <c r="G1193" s="1899">
        <v>705000</v>
      </c>
      <c r="H1193" s="1892"/>
    </row>
    <row r="1194" spans="1:8" s="1893" customFormat="1" ht="23.25" customHeight="1" x14ac:dyDescent="0.3">
      <c r="A1194" s="1891" t="s">
        <v>3114</v>
      </c>
      <c r="B1194" s="1898" t="s">
        <v>1189</v>
      </c>
      <c r="C1194" s="1898" t="s">
        <v>1919</v>
      </c>
      <c r="D1194" s="1898" t="s">
        <v>1920</v>
      </c>
      <c r="E1194" s="1898" t="s">
        <v>1878</v>
      </c>
      <c r="F1194" s="1898" t="s">
        <v>1879</v>
      </c>
      <c r="G1194" s="1899">
        <v>242702</v>
      </c>
      <c r="H1194" s="1892"/>
    </row>
    <row r="1195" spans="1:8" s="1893" customFormat="1" ht="23.25" customHeight="1" x14ac:dyDescent="0.3">
      <c r="A1195" s="1891" t="s">
        <v>3114</v>
      </c>
      <c r="B1195" s="1898" t="s">
        <v>1189</v>
      </c>
      <c r="C1195" s="1898" t="s">
        <v>1919</v>
      </c>
      <c r="D1195" s="1898" t="s">
        <v>1920</v>
      </c>
      <c r="E1195" s="1898" t="s">
        <v>1878</v>
      </c>
      <c r="F1195" s="1898" t="s">
        <v>1881</v>
      </c>
      <c r="G1195" s="1899">
        <v>2140000</v>
      </c>
      <c r="H1195" s="1892"/>
    </row>
    <row r="1196" spans="1:8" s="1893" customFormat="1" ht="23.25" customHeight="1" x14ac:dyDescent="0.3">
      <c r="A1196" s="1891" t="s">
        <v>3114</v>
      </c>
      <c r="B1196" s="1898" t="s">
        <v>1189</v>
      </c>
      <c r="C1196" s="1898" t="s">
        <v>1919</v>
      </c>
      <c r="D1196" s="1898" t="s">
        <v>1920</v>
      </c>
      <c r="E1196" s="1898" t="s">
        <v>1885</v>
      </c>
      <c r="F1196" s="1898" t="s">
        <v>1925</v>
      </c>
      <c r="G1196" s="1899">
        <v>30780000</v>
      </c>
      <c r="H1196" s="1892"/>
    </row>
    <row r="1197" spans="1:8" s="1893" customFormat="1" ht="23.25" customHeight="1" x14ac:dyDescent="0.3">
      <c r="A1197" s="1891" t="s">
        <v>3114</v>
      </c>
      <c r="B1197" s="1898" t="s">
        <v>1189</v>
      </c>
      <c r="C1197" s="1898" t="s">
        <v>1919</v>
      </c>
      <c r="D1197" s="1898" t="s">
        <v>1920</v>
      </c>
      <c r="E1197" s="1898" t="s">
        <v>1885</v>
      </c>
      <c r="F1197" s="1898" t="s">
        <v>1886</v>
      </c>
      <c r="G1197" s="1899">
        <v>53200000</v>
      </c>
      <c r="H1197" s="1892"/>
    </row>
    <row r="1198" spans="1:8" s="1893" customFormat="1" ht="23.25" customHeight="1" x14ac:dyDescent="0.3">
      <c r="A1198" s="1891" t="s">
        <v>3114</v>
      </c>
      <c r="B1198" s="1898" t="s">
        <v>1189</v>
      </c>
      <c r="C1198" s="1898" t="s">
        <v>1919</v>
      </c>
      <c r="D1198" s="1898" t="s">
        <v>1920</v>
      </c>
      <c r="E1198" s="1898" t="s">
        <v>1885</v>
      </c>
      <c r="F1198" s="1898" t="s">
        <v>1927</v>
      </c>
      <c r="G1198" s="1899">
        <v>1000000</v>
      </c>
      <c r="H1198" s="1892"/>
    </row>
    <row r="1199" spans="1:8" s="1893" customFormat="1" ht="23.25" customHeight="1" x14ac:dyDescent="0.3">
      <c r="A1199" s="1891" t="s">
        <v>3114</v>
      </c>
      <c r="B1199" s="1898" t="s">
        <v>1189</v>
      </c>
      <c r="C1199" s="1898" t="s">
        <v>1919</v>
      </c>
      <c r="D1199" s="1898" t="s">
        <v>1920</v>
      </c>
      <c r="E1199" s="1898" t="s">
        <v>1885</v>
      </c>
      <c r="F1199" s="1898" t="s">
        <v>1887</v>
      </c>
      <c r="G1199" s="1899">
        <v>137720000</v>
      </c>
      <c r="H1199" s="1892"/>
    </row>
    <row r="1200" spans="1:8" s="1893" customFormat="1" ht="23.25" customHeight="1" x14ac:dyDescent="0.3">
      <c r="A1200" s="1891" t="s">
        <v>3114</v>
      </c>
      <c r="B1200" s="1898" t="s">
        <v>1189</v>
      </c>
      <c r="C1200" s="1898" t="s">
        <v>1919</v>
      </c>
      <c r="D1200" s="1898" t="s">
        <v>1920</v>
      </c>
      <c r="E1200" s="1898" t="s">
        <v>1885</v>
      </c>
      <c r="F1200" s="1898" t="s">
        <v>1888</v>
      </c>
      <c r="G1200" s="1899">
        <v>46138000</v>
      </c>
      <c r="H1200" s="1892"/>
    </row>
    <row r="1201" spans="1:8" s="1893" customFormat="1" ht="23.25" customHeight="1" x14ac:dyDescent="0.3">
      <c r="A1201" s="1891" t="s">
        <v>3114</v>
      </c>
      <c r="B1201" s="1898" t="s">
        <v>1189</v>
      </c>
      <c r="C1201" s="1898" t="s">
        <v>1919</v>
      </c>
      <c r="D1201" s="1898" t="s">
        <v>1920</v>
      </c>
      <c r="E1201" s="1898" t="s">
        <v>1889</v>
      </c>
      <c r="F1201" s="1898" t="s">
        <v>1890</v>
      </c>
      <c r="G1201" s="1899">
        <v>43700000</v>
      </c>
      <c r="H1201" s="1892"/>
    </row>
    <row r="1202" spans="1:8" s="1893" customFormat="1" ht="23.25" customHeight="1" x14ac:dyDescent="0.3">
      <c r="A1202" s="1891" t="s">
        <v>3114</v>
      </c>
      <c r="B1202" s="1898" t="s">
        <v>1189</v>
      </c>
      <c r="C1202" s="1898" t="s">
        <v>1919</v>
      </c>
      <c r="D1202" s="1898" t="s">
        <v>1920</v>
      </c>
      <c r="E1202" s="1898" t="s">
        <v>1889</v>
      </c>
      <c r="F1202" s="1898" t="s">
        <v>1892</v>
      </c>
      <c r="G1202" s="1899">
        <v>4200000</v>
      </c>
      <c r="H1202" s="1892"/>
    </row>
    <row r="1203" spans="1:8" s="1893" customFormat="1" ht="23.25" customHeight="1" x14ac:dyDescent="0.3">
      <c r="A1203" s="1891" t="s">
        <v>3114</v>
      </c>
      <c r="B1203" s="1898" t="s">
        <v>1189</v>
      </c>
      <c r="C1203" s="1898" t="s">
        <v>1919</v>
      </c>
      <c r="D1203" s="1898" t="s">
        <v>1920</v>
      </c>
      <c r="E1203" s="1898" t="s">
        <v>1889</v>
      </c>
      <c r="F1203" s="1898" t="s">
        <v>1922</v>
      </c>
      <c r="G1203" s="1899">
        <v>37656700</v>
      </c>
      <c r="H1203" s="1892"/>
    </row>
    <row r="1204" spans="1:8" s="1893" customFormat="1" ht="23.25" customHeight="1" x14ac:dyDescent="0.3">
      <c r="A1204" s="1891" t="s">
        <v>3114</v>
      </c>
      <c r="B1204" s="1898" t="s">
        <v>1189</v>
      </c>
      <c r="C1204" s="1898" t="s">
        <v>1919</v>
      </c>
      <c r="D1204" s="1898" t="s">
        <v>1920</v>
      </c>
      <c r="E1204" s="1898" t="s">
        <v>1896</v>
      </c>
      <c r="F1204" s="1898" t="s">
        <v>1900</v>
      </c>
      <c r="G1204" s="1899">
        <v>11590000</v>
      </c>
      <c r="H1204" s="1892"/>
    </row>
    <row r="1205" spans="1:8" s="1893" customFormat="1" ht="23.25" customHeight="1" x14ac:dyDescent="0.3">
      <c r="A1205" s="1891" t="s">
        <v>3114</v>
      </c>
      <c r="B1205" s="1898" t="s">
        <v>1189</v>
      </c>
      <c r="C1205" s="1898" t="s">
        <v>1919</v>
      </c>
      <c r="D1205" s="1898" t="s">
        <v>1920</v>
      </c>
      <c r="E1205" s="1898" t="s">
        <v>1896</v>
      </c>
      <c r="F1205" s="1898" t="s">
        <v>1928</v>
      </c>
      <c r="G1205" s="1899">
        <v>13287000</v>
      </c>
      <c r="H1205" s="1892"/>
    </row>
    <row r="1206" spans="1:8" s="1893" customFormat="1" ht="23.25" customHeight="1" x14ac:dyDescent="0.3">
      <c r="A1206" s="1891" t="s">
        <v>3114</v>
      </c>
      <c r="B1206" s="1898" t="s">
        <v>1189</v>
      </c>
      <c r="C1206" s="1898" t="s">
        <v>1919</v>
      </c>
      <c r="D1206" s="1898" t="s">
        <v>1920</v>
      </c>
      <c r="E1206" s="1898" t="s">
        <v>1896</v>
      </c>
      <c r="F1206" s="1898" t="s">
        <v>1902</v>
      </c>
      <c r="G1206" s="1899">
        <v>7097000</v>
      </c>
      <c r="H1206" s="1892"/>
    </row>
    <row r="1207" spans="1:8" s="1893" customFormat="1" ht="23.25" customHeight="1" x14ac:dyDescent="0.3">
      <c r="A1207" s="1891" t="s">
        <v>3114</v>
      </c>
      <c r="B1207" s="1898" t="s">
        <v>1189</v>
      </c>
      <c r="C1207" s="1898" t="s">
        <v>1919</v>
      </c>
      <c r="D1207" s="1898" t="s">
        <v>1920</v>
      </c>
      <c r="E1207" s="1898" t="s">
        <v>1903</v>
      </c>
      <c r="F1207" s="1898" t="s">
        <v>2771</v>
      </c>
      <c r="G1207" s="1899">
        <v>15600000</v>
      </c>
      <c r="H1207" s="1892"/>
    </row>
    <row r="1208" spans="1:8" s="1893" customFormat="1" ht="23.25" customHeight="1" x14ac:dyDescent="0.3">
      <c r="A1208" s="1891" t="s">
        <v>3114</v>
      </c>
      <c r="B1208" s="1898" t="s">
        <v>1189</v>
      </c>
      <c r="C1208" s="1898" t="s">
        <v>1919</v>
      </c>
      <c r="D1208" s="1898" t="s">
        <v>1920</v>
      </c>
      <c r="E1208" s="1898" t="s">
        <v>1903</v>
      </c>
      <c r="F1208" s="1898" t="s">
        <v>1904</v>
      </c>
      <c r="G1208" s="1899">
        <v>54450000</v>
      </c>
      <c r="H1208" s="1892"/>
    </row>
    <row r="1209" spans="1:8" s="1893" customFormat="1" ht="23.25" customHeight="1" x14ac:dyDescent="0.3">
      <c r="A1209" s="1891" t="s">
        <v>3114</v>
      </c>
      <c r="B1209" s="1898" t="s">
        <v>1189</v>
      </c>
      <c r="C1209" s="1898" t="s">
        <v>1919</v>
      </c>
      <c r="D1209" s="1898" t="s">
        <v>1920</v>
      </c>
      <c r="E1209" s="1898" t="s">
        <v>1912</v>
      </c>
      <c r="F1209" s="1898" t="s">
        <v>1913</v>
      </c>
      <c r="G1209" s="1899">
        <v>3600000</v>
      </c>
      <c r="H1209" s="1892"/>
    </row>
    <row r="1210" spans="1:8" s="1893" customFormat="1" ht="23.25" customHeight="1" x14ac:dyDescent="0.3">
      <c r="A1210" s="1891" t="s">
        <v>3114</v>
      </c>
      <c r="B1210" s="1898" t="s">
        <v>1189</v>
      </c>
      <c r="C1210" s="1898" t="s">
        <v>1919</v>
      </c>
      <c r="D1210" s="1898" t="s">
        <v>1920</v>
      </c>
      <c r="E1210" s="1898" t="s">
        <v>1912</v>
      </c>
      <c r="F1210" s="1898" t="s">
        <v>1915</v>
      </c>
      <c r="G1210" s="1899">
        <v>1700000</v>
      </c>
      <c r="H1210" s="1892"/>
    </row>
    <row r="1211" spans="1:8" s="1893" customFormat="1" ht="23.25" customHeight="1" x14ac:dyDescent="0.3">
      <c r="A1211" s="1891" t="s">
        <v>3114</v>
      </c>
      <c r="B1211" s="1898" t="s">
        <v>1189</v>
      </c>
      <c r="C1211" s="1898" t="s">
        <v>1919</v>
      </c>
      <c r="D1211" s="1898" t="s">
        <v>1920</v>
      </c>
      <c r="E1211" s="1898" t="s">
        <v>1912</v>
      </c>
      <c r="F1211" s="1898" t="s">
        <v>1916</v>
      </c>
      <c r="G1211" s="1899">
        <v>1285098089</v>
      </c>
      <c r="H1211" s="1892"/>
    </row>
    <row r="1212" spans="1:8" s="1893" customFormat="1" ht="23.25" customHeight="1" x14ac:dyDescent="0.3">
      <c r="A1212" s="1891" t="s">
        <v>3114</v>
      </c>
      <c r="B1212" s="1898" t="s">
        <v>1189</v>
      </c>
      <c r="C1212" s="1898" t="s">
        <v>1919</v>
      </c>
      <c r="D1212" s="1898" t="s">
        <v>2052</v>
      </c>
      <c r="E1212" s="1898" t="s">
        <v>1853</v>
      </c>
      <c r="F1212" s="1898" t="s">
        <v>1856</v>
      </c>
      <c r="G1212" s="1899">
        <v>16000000</v>
      </c>
      <c r="H1212" s="1892"/>
    </row>
    <row r="1213" spans="1:8" s="1893" customFormat="1" ht="23.25" customHeight="1" x14ac:dyDescent="0.3">
      <c r="A1213" s="1891" t="s">
        <v>3114</v>
      </c>
      <c r="B1213" s="1898" t="s">
        <v>1189</v>
      </c>
      <c r="C1213" s="1898" t="s">
        <v>1919</v>
      </c>
      <c r="D1213" s="1898" t="s">
        <v>2052</v>
      </c>
      <c r="E1213" s="1898" t="s">
        <v>1874</v>
      </c>
      <c r="F1213" s="1898" t="s">
        <v>1875</v>
      </c>
      <c r="G1213" s="1899">
        <v>3400000</v>
      </c>
      <c r="H1213" s="1892"/>
    </row>
    <row r="1214" spans="1:8" s="1893" customFormat="1" ht="23.25" customHeight="1" x14ac:dyDescent="0.3">
      <c r="A1214" s="1891" t="s">
        <v>3114</v>
      </c>
      <c r="B1214" s="1898" t="s">
        <v>1189</v>
      </c>
      <c r="C1214" s="1898" t="s">
        <v>1919</v>
      </c>
      <c r="D1214" s="1898" t="s">
        <v>2052</v>
      </c>
      <c r="E1214" s="1898" t="s">
        <v>1878</v>
      </c>
      <c r="F1214" s="1898" t="s">
        <v>1880</v>
      </c>
      <c r="G1214" s="1899">
        <v>600000</v>
      </c>
      <c r="H1214" s="1892"/>
    </row>
    <row r="1215" spans="1:8" s="1893" customFormat="1" ht="23.25" customHeight="1" x14ac:dyDescent="0.3">
      <c r="A1215" s="1891" t="s">
        <v>3114</v>
      </c>
      <c r="B1215" s="1898" t="s">
        <v>1189</v>
      </c>
      <c r="C1215" s="1898" t="s">
        <v>1919</v>
      </c>
      <c r="D1215" s="1898" t="s">
        <v>2052</v>
      </c>
      <c r="E1215" s="1898" t="s">
        <v>1896</v>
      </c>
      <c r="F1215" s="1898" t="s">
        <v>1900</v>
      </c>
      <c r="G1215" s="1899">
        <v>1990000</v>
      </c>
      <c r="H1215" s="1892"/>
    </row>
    <row r="1216" spans="1:8" s="1893" customFormat="1" ht="23.25" customHeight="1" x14ac:dyDescent="0.3">
      <c r="A1216" s="1891" t="s">
        <v>3114</v>
      </c>
      <c r="B1216" s="1898" t="s">
        <v>1189</v>
      </c>
      <c r="C1216" s="1898" t="s">
        <v>1919</v>
      </c>
      <c r="D1216" s="1898" t="s">
        <v>2052</v>
      </c>
      <c r="E1216" s="1898" t="s">
        <v>1912</v>
      </c>
      <c r="F1216" s="1898" t="s">
        <v>1916</v>
      </c>
      <c r="G1216" s="1899">
        <v>552903720</v>
      </c>
      <c r="H1216" s="1892"/>
    </row>
    <row r="1217" spans="1:8" s="1893" customFormat="1" ht="23.25" customHeight="1" x14ac:dyDescent="0.3">
      <c r="A1217" s="1891" t="s">
        <v>3114</v>
      </c>
      <c r="B1217" s="1898" t="s">
        <v>1189</v>
      </c>
      <c r="C1217" s="1898" t="s">
        <v>1919</v>
      </c>
      <c r="D1217" s="1898" t="s">
        <v>2005</v>
      </c>
      <c r="E1217" s="1898" t="s">
        <v>2030</v>
      </c>
      <c r="F1217" s="1898" t="s">
        <v>2031</v>
      </c>
      <c r="G1217" s="1899">
        <v>8636000</v>
      </c>
      <c r="H1217" s="1892"/>
    </row>
    <row r="1218" spans="1:8" s="1893" customFormat="1" ht="23.25" customHeight="1" x14ac:dyDescent="0.3">
      <c r="A1218" s="1891" t="s">
        <v>3114</v>
      </c>
      <c r="B1218" s="1898" t="s">
        <v>1189</v>
      </c>
      <c r="C1218" s="1898" t="s">
        <v>1919</v>
      </c>
      <c r="D1218" s="1898" t="s">
        <v>2005</v>
      </c>
      <c r="E1218" s="1898" t="s">
        <v>2024</v>
      </c>
      <c r="F1218" s="1898" t="s">
        <v>2025</v>
      </c>
      <c r="G1218" s="1899">
        <v>3366902612</v>
      </c>
      <c r="H1218" s="1892"/>
    </row>
    <row r="1219" spans="1:8" s="1893" customFormat="1" ht="23.25" customHeight="1" x14ac:dyDescent="0.3">
      <c r="A1219" s="1891" t="s">
        <v>3114</v>
      </c>
      <c r="B1219" s="1898" t="s">
        <v>1189</v>
      </c>
      <c r="C1219" s="1898" t="s">
        <v>1919</v>
      </c>
      <c r="D1219" s="1898" t="s">
        <v>2005</v>
      </c>
      <c r="E1219" s="1898" t="s">
        <v>2026</v>
      </c>
      <c r="F1219" s="1898" t="s">
        <v>2027</v>
      </c>
      <c r="G1219" s="1899">
        <v>175655000</v>
      </c>
      <c r="H1219" s="1892"/>
    </row>
    <row r="1220" spans="1:8" s="1893" customFormat="1" ht="23.25" customHeight="1" x14ac:dyDescent="0.3">
      <c r="A1220" s="1891" t="s">
        <v>3114</v>
      </c>
      <c r="B1220" s="1898" t="s">
        <v>1189</v>
      </c>
      <c r="C1220" s="1898" t="s">
        <v>1919</v>
      </c>
      <c r="D1220" s="1898" t="s">
        <v>2005</v>
      </c>
      <c r="E1220" s="1898" t="s">
        <v>2026</v>
      </c>
      <c r="F1220" s="1898" t="s">
        <v>2028</v>
      </c>
      <c r="G1220" s="1899">
        <v>649804760</v>
      </c>
      <c r="H1220" s="1892"/>
    </row>
    <row r="1221" spans="1:8" s="1893" customFormat="1" ht="23.25" customHeight="1" x14ac:dyDescent="0.3">
      <c r="A1221" s="1891" t="s">
        <v>3114</v>
      </c>
      <c r="B1221" s="1898" t="s">
        <v>1189</v>
      </c>
      <c r="C1221" s="1898" t="s">
        <v>1919</v>
      </c>
      <c r="D1221" s="1898" t="s">
        <v>2005</v>
      </c>
      <c r="E1221" s="1898" t="s">
        <v>2026</v>
      </c>
      <c r="F1221" s="1898" t="s">
        <v>2029</v>
      </c>
      <c r="G1221" s="1899">
        <v>17836600</v>
      </c>
      <c r="H1221" s="1892"/>
    </row>
    <row r="1222" spans="1:8" s="1893" customFormat="1" ht="23.25" customHeight="1" x14ac:dyDescent="0.3">
      <c r="A1222" s="1891" t="s">
        <v>3114</v>
      </c>
      <c r="B1222" s="1898" t="s">
        <v>1189</v>
      </c>
      <c r="C1222" s="1898" t="s">
        <v>1919</v>
      </c>
      <c r="D1222" s="1898" t="s">
        <v>1931</v>
      </c>
      <c r="E1222" s="1898" t="s">
        <v>2030</v>
      </c>
      <c r="F1222" s="1898" t="s">
        <v>2031</v>
      </c>
      <c r="G1222" s="1899">
        <v>51210700</v>
      </c>
      <c r="H1222" s="1892"/>
    </row>
    <row r="1223" spans="1:8" s="1893" customFormat="1" ht="23.25" customHeight="1" x14ac:dyDescent="0.3">
      <c r="A1223" s="1891" t="s">
        <v>3114</v>
      </c>
      <c r="B1223" s="1898" t="s">
        <v>1189</v>
      </c>
      <c r="C1223" s="1898" t="s">
        <v>1919</v>
      </c>
      <c r="D1223" s="1898" t="s">
        <v>1931</v>
      </c>
      <c r="E1223" s="1898" t="s">
        <v>2024</v>
      </c>
      <c r="F1223" s="1898" t="s">
        <v>2025</v>
      </c>
      <c r="G1223" s="1899">
        <v>10843112001</v>
      </c>
      <c r="H1223" s="1892"/>
    </row>
    <row r="1224" spans="1:8" s="1893" customFormat="1" ht="23.25" customHeight="1" x14ac:dyDescent="0.3">
      <c r="A1224" s="1891" t="s">
        <v>3114</v>
      </c>
      <c r="B1224" s="1898" t="s">
        <v>1189</v>
      </c>
      <c r="C1224" s="1898" t="s">
        <v>1919</v>
      </c>
      <c r="D1224" s="1898" t="s">
        <v>1931</v>
      </c>
      <c r="E1224" s="1898" t="s">
        <v>2026</v>
      </c>
      <c r="F1224" s="1898" t="s">
        <v>2027</v>
      </c>
      <c r="G1224" s="1899">
        <v>461882700</v>
      </c>
      <c r="H1224" s="1892"/>
    </row>
    <row r="1225" spans="1:8" s="1893" customFormat="1" ht="23.25" customHeight="1" x14ac:dyDescent="0.3">
      <c r="A1225" s="1891" t="s">
        <v>3114</v>
      </c>
      <c r="B1225" s="1898" t="s">
        <v>1189</v>
      </c>
      <c r="C1225" s="1898" t="s">
        <v>1919</v>
      </c>
      <c r="D1225" s="1898" t="s">
        <v>1931</v>
      </c>
      <c r="E1225" s="1898" t="s">
        <v>2026</v>
      </c>
      <c r="F1225" s="1898" t="s">
        <v>2028</v>
      </c>
      <c r="G1225" s="1899">
        <v>1714838017</v>
      </c>
      <c r="H1225" s="1892"/>
    </row>
    <row r="1226" spans="1:8" s="1893" customFormat="1" ht="23.25" customHeight="1" x14ac:dyDescent="0.3">
      <c r="A1226" s="1891" t="s">
        <v>3114</v>
      </c>
      <c r="B1226" s="1898" t="s">
        <v>1189</v>
      </c>
      <c r="C1226" s="1898" t="s">
        <v>1919</v>
      </c>
      <c r="D1226" s="1898" t="s">
        <v>1931</v>
      </c>
      <c r="E1226" s="1898" t="s">
        <v>2026</v>
      </c>
      <c r="F1226" s="1898" t="s">
        <v>2029</v>
      </c>
      <c r="G1226" s="1899">
        <v>20970100</v>
      </c>
      <c r="H1226" s="1892"/>
    </row>
    <row r="1227" spans="1:8" s="1893" customFormat="1" ht="23.25" customHeight="1" x14ac:dyDescent="0.3">
      <c r="A1227" s="1891" t="s">
        <v>3114</v>
      </c>
      <c r="B1227" s="1898" t="s">
        <v>1189</v>
      </c>
      <c r="C1227" s="1898" t="s">
        <v>1919</v>
      </c>
      <c r="D1227" s="1898" t="s">
        <v>2770</v>
      </c>
      <c r="E1227" s="1898" t="s">
        <v>1893</v>
      </c>
      <c r="F1227" s="1898" t="s">
        <v>1895</v>
      </c>
      <c r="G1227" s="1899">
        <v>600000</v>
      </c>
      <c r="H1227" s="1892"/>
    </row>
    <row r="1228" spans="1:8" s="1893" customFormat="1" ht="23.25" customHeight="1" x14ac:dyDescent="0.3">
      <c r="A1228" s="1891" t="s">
        <v>3114</v>
      </c>
      <c r="B1228" s="1898" t="s">
        <v>1189</v>
      </c>
      <c r="C1228" s="1898" t="s">
        <v>1919</v>
      </c>
      <c r="D1228" s="1898" t="s">
        <v>2770</v>
      </c>
      <c r="E1228" s="1898" t="s">
        <v>1896</v>
      </c>
      <c r="F1228" s="1898" t="s">
        <v>1900</v>
      </c>
      <c r="G1228" s="1899">
        <v>5500000</v>
      </c>
      <c r="H1228" s="1892"/>
    </row>
    <row r="1229" spans="1:8" s="1893" customFormat="1" ht="23.25" customHeight="1" x14ac:dyDescent="0.3">
      <c r="A1229" s="1891" t="s">
        <v>3114</v>
      </c>
      <c r="B1229" s="1898" t="s">
        <v>1189</v>
      </c>
      <c r="C1229" s="1898" t="s">
        <v>1919</v>
      </c>
      <c r="D1229" s="1898" t="s">
        <v>2770</v>
      </c>
      <c r="E1229" s="1898" t="s">
        <v>1906</v>
      </c>
      <c r="F1229" s="1898" t="s">
        <v>1909</v>
      </c>
      <c r="G1229" s="1899">
        <v>3904000</v>
      </c>
      <c r="H1229" s="1892"/>
    </row>
    <row r="1230" spans="1:8" s="1893" customFormat="1" ht="23.25" customHeight="1" x14ac:dyDescent="0.3">
      <c r="A1230" s="1891" t="s">
        <v>3114</v>
      </c>
      <c r="B1230" s="1898" t="s">
        <v>1189</v>
      </c>
      <c r="C1230" s="1898" t="s">
        <v>1919</v>
      </c>
      <c r="D1230" s="1898" t="s">
        <v>2770</v>
      </c>
      <c r="E1230" s="1898" t="s">
        <v>1912</v>
      </c>
      <c r="F1230" s="1898" t="s">
        <v>1913</v>
      </c>
      <c r="G1230" s="1899">
        <v>3600000</v>
      </c>
      <c r="H1230" s="1892"/>
    </row>
    <row r="1231" spans="1:8" s="1893" customFormat="1" ht="23.25" customHeight="1" x14ac:dyDescent="0.3">
      <c r="A1231" s="1891" t="s">
        <v>3114</v>
      </c>
      <c r="B1231" s="1898" t="s">
        <v>1189</v>
      </c>
      <c r="C1231" s="1898" t="s">
        <v>1919</v>
      </c>
      <c r="D1231" s="1898" t="s">
        <v>2770</v>
      </c>
      <c r="E1231" s="1898" t="s">
        <v>2041</v>
      </c>
      <c r="F1231" s="1898" t="s">
        <v>2042</v>
      </c>
      <c r="G1231" s="1899">
        <v>31688500</v>
      </c>
      <c r="H1231" s="1892"/>
    </row>
    <row r="1232" spans="1:8" s="1893" customFormat="1" ht="23.25" customHeight="1" x14ac:dyDescent="0.3">
      <c r="A1232" s="1891" t="s">
        <v>3114</v>
      </c>
      <c r="B1232" s="1898" t="s">
        <v>1189</v>
      </c>
      <c r="C1232" s="1898" t="s">
        <v>1919</v>
      </c>
      <c r="D1232" s="1898" t="s">
        <v>2770</v>
      </c>
      <c r="E1232" s="1898" t="s">
        <v>2041</v>
      </c>
      <c r="F1232" s="1898" t="s">
        <v>2247</v>
      </c>
      <c r="G1232" s="1899">
        <v>3891000</v>
      </c>
      <c r="H1232" s="1892"/>
    </row>
    <row r="1233" spans="1:8" s="1893" customFormat="1" ht="23.25" customHeight="1" x14ac:dyDescent="0.3">
      <c r="A1233" s="1891" t="s">
        <v>3114</v>
      </c>
      <c r="B1233" s="1898" t="s">
        <v>1189</v>
      </c>
      <c r="C1233" s="1898" t="s">
        <v>1919</v>
      </c>
      <c r="D1233" s="1898" t="s">
        <v>2770</v>
      </c>
      <c r="E1233" s="1898" t="s">
        <v>2024</v>
      </c>
      <c r="F1233" s="1898" t="s">
        <v>2025</v>
      </c>
      <c r="G1233" s="1899">
        <v>57937400</v>
      </c>
      <c r="H1233" s="1892"/>
    </row>
    <row r="1234" spans="1:8" s="1893" customFormat="1" ht="23.25" customHeight="1" x14ac:dyDescent="0.3">
      <c r="A1234" s="1891" t="s">
        <v>3114</v>
      </c>
      <c r="B1234" s="1898" t="s">
        <v>1189</v>
      </c>
      <c r="C1234" s="1898" t="s">
        <v>1919</v>
      </c>
      <c r="D1234" s="1898" t="s">
        <v>2770</v>
      </c>
      <c r="E1234" s="1898" t="s">
        <v>2026</v>
      </c>
      <c r="F1234" s="1898" t="s">
        <v>2028</v>
      </c>
      <c r="G1234" s="1899">
        <v>216781359</v>
      </c>
      <c r="H1234" s="1892"/>
    </row>
    <row r="1235" spans="1:8" s="1893" customFormat="1" ht="23.25" customHeight="1" x14ac:dyDescent="0.3">
      <c r="A1235" s="1891" t="s">
        <v>3114</v>
      </c>
      <c r="B1235" s="1898" t="s">
        <v>1189</v>
      </c>
      <c r="C1235" s="1898" t="s">
        <v>1919</v>
      </c>
      <c r="D1235" s="1898" t="s">
        <v>2770</v>
      </c>
      <c r="E1235" s="1898" t="s">
        <v>2026</v>
      </c>
      <c r="F1235" s="1898" t="s">
        <v>2029</v>
      </c>
      <c r="G1235" s="1899">
        <v>30765800</v>
      </c>
      <c r="H1235" s="1892"/>
    </row>
    <row r="1236" spans="1:8" s="1893" customFormat="1" ht="23.25" customHeight="1" x14ac:dyDescent="0.3">
      <c r="A1236" s="1891" t="s">
        <v>3114</v>
      </c>
      <c r="B1236" s="1898" t="s">
        <v>1189</v>
      </c>
      <c r="C1236" s="1898" t="s">
        <v>1972</v>
      </c>
      <c r="D1236" s="1898" t="s">
        <v>2053</v>
      </c>
      <c r="E1236" s="1898" t="s">
        <v>1896</v>
      </c>
      <c r="F1236" s="1898" t="s">
        <v>1902</v>
      </c>
      <c r="G1236" s="1899">
        <v>2179540900</v>
      </c>
      <c r="H1236" s="1892"/>
    </row>
    <row r="1237" spans="1:8" s="1893" customFormat="1" ht="23.25" customHeight="1" x14ac:dyDescent="0.3">
      <c r="A1237" s="1891" t="s">
        <v>3114</v>
      </c>
      <c r="B1237" s="1898" t="s">
        <v>1189</v>
      </c>
      <c r="C1237" s="1898" t="s">
        <v>1972</v>
      </c>
      <c r="D1237" s="1898" t="s">
        <v>2053</v>
      </c>
      <c r="E1237" s="1898" t="s">
        <v>2041</v>
      </c>
      <c r="F1237" s="1898" t="s">
        <v>2042</v>
      </c>
      <c r="G1237" s="1899">
        <v>450943783</v>
      </c>
      <c r="H1237" s="1892"/>
    </row>
    <row r="1238" spans="1:8" s="1893" customFormat="1" ht="23.25" customHeight="1" x14ac:dyDescent="0.3">
      <c r="A1238" s="1891" t="s">
        <v>3114</v>
      </c>
      <c r="B1238" s="1898" t="s">
        <v>1189</v>
      </c>
      <c r="C1238" s="1898" t="s">
        <v>1972</v>
      </c>
      <c r="D1238" s="1898" t="s">
        <v>2053</v>
      </c>
      <c r="E1238" s="1898" t="s">
        <v>2041</v>
      </c>
      <c r="F1238" s="1898" t="s">
        <v>2043</v>
      </c>
      <c r="G1238" s="1899">
        <v>27236000</v>
      </c>
      <c r="H1238" s="1892"/>
    </row>
    <row r="1239" spans="1:8" s="1893" customFormat="1" ht="23.25" customHeight="1" x14ac:dyDescent="0.3">
      <c r="A1239" s="1891" t="s">
        <v>3114</v>
      </c>
      <c r="B1239" s="1898" t="s">
        <v>1189</v>
      </c>
      <c r="C1239" s="1898" t="s">
        <v>1972</v>
      </c>
      <c r="D1239" s="1898" t="s">
        <v>2053</v>
      </c>
      <c r="E1239" s="1898" t="s">
        <v>2041</v>
      </c>
      <c r="F1239" s="1898" t="s">
        <v>2247</v>
      </c>
      <c r="G1239" s="1899">
        <v>25500000</v>
      </c>
      <c r="H1239" s="1892"/>
    </row>
    <row r="1240" spans="1:8" s="1893" customFormat="1" ht="23.25" customHeight="1" x14ac:dyDescent="0.3">
      <c r="A1240" s="1891" t="s">
        <v>3114</v>
      </c>
      <c r="B1240" s="1898" t="s">
        <v>1189</v>
      </c>
      <c r="C1240" s="1898" t="s">
        <v>1972</v>
      </c>
      <c r="D1240" s="1898" t="s">
        <v>2053</v>
      </c>
      <c r="E1240" s="1898" t="s">
        <v>2024</v>
      </c>
      <c r="F1240" s="1898" t="s">
        <v>2025</v>
      </c>
      <c r="G1240" s="1899">
        <v>3157623904</v>
      </c>
      <c r="H1240" s="1892"/>
    </row>
    <row r="1241" spans="1:8" s="1893" customFormat="1" ht="23.25" customHeight="1" x14ac:dyDescent="0.3">
      <c r="A1241" s="1891" t="s">
        <v>3114</v>
      </c>
      <c r="B1241" s="1898" t="s">
        <v>1189</v>
      </c>
      <c r="C1241" s="1898" t="s">
        <v>1972</v>
      </c>
      <c r="D1241" s="1898" t="s">
        <v>2053</v>
      </c>
      <c r="E1241" s="1898" t="s">
        <v>2026</v>
      </c>
      <c r="F1241" s="1898" t="s">
        <v>2027</v>
      </c>
      <c r="G1241" s="1899">
        <v>101077945</v>
      </c>
      <c r="H1241" s="1892"/>
    </row>
    <row r="1242" spans="1:8" s="1893" customFormat="1" ht="23.25" customHeight="1" x14ac:dyDescent="0.3">
      <c r="A1242" s="1891" t="s">
        <v>3114</v>
      </c>
      <c r="B1242" s="1898" t="s">
        <v>1189</v>
      </c>
      <c r="C1242" s="1898" t="s">
        <v>1972</v>
      </c>
      <c r="D1242" s="1898" t="s">
        <v>2053</v>
      </c>
      <c r="E1242" s="1898" t="s">
        <v>2026</v>
      </c>
      <c r="F1242" s="1898" t="s">
        <v>2028</v>
      </c>
      <c r="G1242" s="1899">
        <v>131000000</v>
      </c>
      <c r="H1242" s="1892"/>
    </row>
    <row r="1243" spans="1:8" s="1893" customFormat="1" ht="23.25" customHeight="1" x14ac:dyDescent="0.3">
      <c r="A1243" s="1891" t="s">
        <v>3114</v>
      </c>
      <c r="B1243" s="1898" t="s">
        <v>1189</v>
      </c>
      <c r="C1243" s="1898" t="s">
        <v>1972</v>
      </c>
      <c r="D1243" s="1898" t="s">
        <v>2054</v>
      </c>
      <c r="E1243" s="1898" t="s">
        <v>1893</v>
      </c>
      <c r="F1243" s="1898" t="s">
        <v>2051</v>
      </c>
      <c r="G1243" s="1899">
        <v>4800000</v>
      </c>
      <c r="H1243" s="1892"/>
    </row>
    <row r="1244" spans="1:8" s="1893" customFormat="1" ht="23.25" customHeight="1" x14ac:dyDescent="0.3">
      <c r="A1244" s="1891" t="s">
        <v>3114</v>
      </c>
      <c r="B1244" s="1898" t="s">
        <v>1189</v>
      </c>
      <c r="C1244" s="1898" t="s">
        <v>1972</v>
      </c>
      <c r="D1244" s="1898" t="s">
        <v>2054</v>
      </c>
      <c r="E1244" s="1898" t="s">
        <v>1896</v>
      </c>
      <c r="F1244" s="1898" t="s">
        <v>1932</v>
      </c>
      <c r="G1244" s="1899">
        <v>1858953240</v>
      </c>
      <c r="H1244" s="1892"/>
    </row>
    <row r="1245" spans="1:8" s="1893" customFormat="1" ht="23.25" customHeight="1" x14ac:dyDescent="0.3">
      <c r="A1245" s="1891" t="s">
        <v>3114</v>
      </c>
      <c r="B1245" s="1898" t="s">
        <v>1189</v>
      </c>
      <c r="C1245" s="1898" t="s">
        <v>1972</v>
      </c>
      <c r="D1245" s="1898" t="s">
        <v>2054</v>
      </c>
      <c r="E1245" s="1898" t="s">
        <v>1896</v>
      </c>
      <c r="F1245" s="1898" t="s">
        <v>1902</v>
      </c>
      <c r="G1245" s="1899">
        <v>308200000</v>
      </c>
      <c r="H1245" s="1892"/>
    </row>
    <row r="1246" spans="1:8" s="1893" customFormat="1" ht="23.25" customHeight="1" x14ac:dyDescent="0.3">
      <c r="A1246" s="1891" t="s">
        <v>3114</v>
      </c>
      <c r="B1246" s="1898" t="s">
        <v>1189</v>
      </c>
      <c r="C1246" s="1898" t="s">
        <v>1972</v>
      </c>
      <c r="D1246" s="1898" t="s">
        <v>2054</v>
      </c>
      <c r="E1246" s="1898" t="s">
        <v>1906</v>
      </c>
      <c r="F1246" s="1898" t="s">
        <v>1909</v>
      </c>
      <c r="G1246" s="1899">
        <v>93120000</v>
      </c>
      <c r="H1246" s="1892"/>
    </row>
    <row r="1247" spans="1:8" s="1893" customFormat="1" ht="23.25" customHeight="1" x14ac:dyDescent="0.3">
      <c r="A1247" s="1891" t="s">
        <v>3114</v>
      </c>
      <c r="B1247" s="1898" t="s">
        <v>1189</v>
      </c>
      <c r="C1247" s="1898" t="s">
        <v>1972</v>
      </c>
      <c r="D1247" s="1898" t="s">
        <v>2064</v>
      </c>
      <c r="E1247" s="1898" t="s">
        <v>1896</v>
      </c>
      <c r="F1247" s="1898" t="s">
        <v>1902</v>
      </c>
      <c r="G1247" s="1899">
        <v>2144930000</v>
      </c>
      <c r="H1247" s="1892"/>
    </row>
    <row r="1248" spans="1:8" s="1893" customFormat="1" ht="23.25" customHeight="1" x14ac:dyDescent="0.3">
      <c r="A1248" s="1891" t="s">
        <v>3114</v>
      </c>
      <c r="B1248" s="1898" t="s">
        <v>1189</v>
      </c>
      <c r="C1248" s="1898" t="s">
        <v>1972</v>
      </c>
      <c r="D1248" s="1898" t="s">
        <v>2235</v>
      </c>
      <c r="E1248" s="1898" t="s">
        <v>1869</v>
      </c>
      <c r="F1248" s="1898" t="s">
        <v>1872</v>
      </c>
      <c r="G1248" s="1899">
        <v>61439655</v>
      </c>
      <c r="H1248" s="1892"/>
    </row>
    <row r="1249" spans="1:8" s="1893" customFormat="1" ht="23.25" customHeight="1" x14ac:dyDescent="0.3">
      <c r="A1249" s="1891" t="s">
        <v>3114</v>
      </c>
      <c r="B1249" s="1898" t="s">
        <v>1189</v>
      </c>
      <c r="C1249" s="1898" t="s">
        <v>1972</v>
      </c>
      <c r="D1249" s="1898" t="s">
        <v>2235</v>
      </c>
      <c r="E1249" s="1898" t="s">
        <v>1874</v>
      </c>
      <c r="F1249" s="1898" t="s">
        <v>1875</v>
      </c>
      <c r="G1249" s="1899">
        <v>22765000</v>
      </c>
      <c r="H1249" s="1892"/>
    </row>
    <row r="1250" spans="1:8" s="1893" customFormat="1" ht="23.25" customHeight="1" x14ac:dyDescent="0.3">
      <c r="A1250" s="1891" t="s">
        <v>3114</v>
      </c>
      <c r="B1250" s="1898" t="s">
        <v>1189</v>
      </c>
      <c r="C1250" s="1898" t="s">
        <v>1972</v>
      </c>
      <c r="D1250" s="1898" t="s">
        <v>2235</v>
      </c>
      <c r="E1250" s="1898" t="s">
        <v>1878</v>
      </c>
      <c r="F1250" s="1898" t="s">
        <v>1882</v>
      </c>
      <c r="G1250" s="1899">
        <v>70600000</v>
      </c>
      <c r="H1250" s="1892"/>
    </row>
    <row r="1251" spans="1:8" s="1893" customFormat="1" ht="23.25" customHeight="1" x14ac:dyDescent="0.3">
      <c r="A1251" s="1891" t="s">
        <v>3114</v>
      </c>
      <c r="B1251" s="1898" t="s">
        <v>1189</v>
      </c>
      <c r="C1251" s="1898" t="s">
        <v>1972</v>
      </c>
      <c r="D1251" s="1898" t="s">
        <v>2235</v>
      </c>
      <c r="E1251" s="1898" t="s">
        <v>1885</v>
      </c>
      <c r="F1251" s="1898" t="s">
        <v>1886</v>
      </c>
      <c r="G1251" s="1899">
        <v>10000000</v>
      </c>
      <c r="H1251" s="1892"/>
    </row>
    <row r="1252" spans="1:8" s="1893" customFormat="1" ht="23.25" customHeight="1" x14ac:dyDescent="0.3">
      <c r="A1252" s="1891" t="s">
        <v>3114</v>
      </c>
      <c r="B1252" s="1898" t="s">
        <v>1189</v>
      </c>
      <c r="C1252" s="1898" t="s">
        <v>1972</v>
      </c>
      <c r="D1252" s="1898" t="s">
        <v>2235</v>
      </c>
      <c r="E1252" s="1898" t="s">
        <v>1885</v>
      </c>
      <c r="F1252" s="1898" t="s">
        <v>1887</v>
      </c>
      <c r="G1252" s="1899">
        <v>4000000</v>
      </c>
      <c r="H1252" s="1892"/>
    </row>
    <row r="1253" spans="1:8" s="1893" customFormat="1" ht="23.25" customHeight="1" x14ac:dyDescent="0.3">
      <c r="A1253" s="1891" t="s">
        <v>3114</v>
      </c>
      <c r="B1253" s="1898" t="s">
        <v>1189</v>
      </c>
      <c r="C1253" s="1898" t="s">
        <v>1972</v>
      </c>
      <c r="D1253" s="1898" t="s">
        <v>2235</v>
      </c>
      <c r="E1253" s="1898" t="s">
        <v>1885</v>
      </c>
      <c r="F1253" s="1898" t="s">
        <v>1888</v>
      </c>
      <c r="G1253" s="1899">
        <v>15000000</v>
      </c>
      <c r="H1253" s="1892"/>
    </row>
    <row r="1254" spans="1:8" s="1893" customFormat="1" ht="23.25" customHeight="1" x14ac:dyDescent="0.3">
      <c r="A1254" s="1891" t="s">
        <v>3114</v>
      </c>
      <c r="B1254" s="1898" t="s">
        <v>1189</v>
      </c>
      <c r="C1254" s="1898" t="s">
        <v>1972</v>
      </c>
      <c r="D1254" s="1898" t="s">
        <v>2235</v>
      </c>
      <c r="E1254" s="1898" t="s">
        <v>1889</v>
      </c>
      <c r="F1254" s="1898" t="s">
        <v>1890</v>
      </c>
      <c r="G1254" s="1899">
        <v>2800000</v>
      </c>
      <c r="H1254" s="1892"/>
    </row>
    <row r="1255" spans="1:8" s="1893" customFormat="1" ht="23.25" customHeight="1" x14ac:dyDescent="0.3">
      <c r="A1255" s="1891" t="s">
        <v>3114</v>
      </c>
      <c r="B1255" s="1898" t="s">
        <v>1189</v>
      </c>
      <c r="C1255" s="1898" t="s">
        <v>1972</v>
      </c>
      <c r="D1255" s="1898" t="s">
        <v>2235</v>
      </c>
      <c r="E1255" s="1898" t="s">
        <v>1896</v>
      </c>
      <c r="F1255" s="1898" t="s">
        <v>1898</v>
      </c>
      <c r="G1255" s="1899">
        <v>9480000</v>
      </c>
      <c r="H1255" s="1892"/>
    </row>
    <row r="1256" spans="1:8" s="1893" customFormat="1" ht="23.25" customHeight="1" x14ac:dyDescent="0.3">
      <c r="A1256" s="1891" t="s">
        <v>3114</v>
      </c>
      <c r="B1256" s="1898" t="s">
        <v>1189</v>
      </c>
      <c r="C1256" s="1898" t="s">
        <v>1972</v>
      </c>
      <c r="D1256" s="1898" t="s">
        <v>2235</v>
      </c>
      <c r="E1256" s="1898" t="s">
        <v>1906</v>
      </c>
      <c r="F1256" s="1898" t="s">
        <v>1909</v>
      </c>
      <c r="G1256" s="1899">
        <v>85000000</v>
      </c>
      <c r="H1256" s="1892"/>
    </row>
    <row r="1257" spans="1:8" s="1893" customFormat="1" ht="23.25" customHeight="1" x14ac:dyDescent="0.3">
      <c r="A1257" s="1891" t="s">
        <v>3114</v>
      </c>
      <c r="B1257" s="1898" t="s">
        <v>1189</v>
      </c>
      <c r="C1257" s="1898" t="s">
        <v>1972</v>
      </c>
      <c r="D1257" s="1898" t="s">
        <v>2235</v>
      </c>
      <c r="E1257" s="1898" t="s">
        <v>1912</v>
      </c>
      <c r="F1257" s="1898" t="s">
        <v>1915</v>
      </c>
      <c r="G1257" s="1899">
        <v>1750000</v>
      </c>
      <c r="H1257" s="1892"/>
    </row>
    <row r="1258" spans="1:8" s="1893" customFormat="1" ht="23.25" customHeight="1" x14ac:dyDescent="0.3">
      <c r="A1258" s="1891" t="s">
        <v>3114</v>
      </c>
      <c r="B1258" s="1898" t="s">
        <v>1189</v>
      </c>
      <c r="C1258" s="1898" t="s">
        <v>1972</v>
      </c>
      <c r="D1258" s="1898" t="s">
        <v>2235</v>
      </c>
      <c r="E1258" s="1898" t="s">
        <v>1912</v>
      </c>
      <c r="F1258" s="1898" t="s">
        <v>1916</v>
      </c>
      <c r="G1258" s="1899">
        <v>60196000</v>
      </c>
      <c r="H1258" s="1892"/>
    </row>
    <row r="1259" spans="1:8" s="1893" customFormat="1" ht="23.25" customHeight="1" x14ac:dyDescent="0.3">
      <c r="A1259" s="1891" t="s">
        <v>3114</v>
      </c>
      <c r="B1259" s="1898" t="s">
        <v>1189</v>
      </c>
      <c r="C1259" s="1898" t="s">
        <v>1972</v>
      </c>
      <c r="D1259" s="1898" t="s">
        <v>2235</v>
      </c>
      <c r="E1259" s="1898" t="s">
        <v>2041</v>
      </c>
      <c r="F1259" s="1898" t="s">
        <v>2042</v>
      </c>
      <c r="G1259" s="1899">
        <v>12501276363</v>
      </c>
      <c r="H1259" s="1892"/>
    </row>
    <row r="1260" spans="1:8" s="1893" customFormat="1" ht="23.25" customHeight="1" x14ac:dyDescent="0.3">
      <c r="A1260" s="1891" t="s">
        <v>3114</v>
      </c>
      <c r="B1260" s="1898" t="s">
        <v>1189</v>
      </c>
      <c r="C1260" s="1898" t="s">
        <v>1846</v>
      </c>
      <c r="D1260" s="1898" t="s">
        <v>1847</v>
      </c>
      <c r="E1260" s="1898" t="s">
        <v>1896</v>
      </c>
      <c r="F1260" s="1898" t="s">
        <v>1899</v>
      </c>
      <c r="G1260" s="1899">
        <v>2059809100</v>
      </c>
      <c r="H1260" s="1892"/>
    </row>
    <row r="1261" spans="1:8" s="1893" customFormat="1" ht="23.25" customHeight="1" x14ac:dyDescent="0.3">
      <c r="A1261" s="1891" t="s">
        <v>3114</v>
      </c>
      <c r="B1261" s="1898" t="s">
        <v>1189</v>
      </c>
      <c r="C1261" s="1898" t="s">
        <v>1846</v>
      </c>
      <c r="D1261" s="1898" t="s">
        <v>1847</v>
      </c>
      <c r="E1261" s="1898" t="s">
        <v>1896</v>
      </c>
      <c r="F1261" s="1898" t="s">
        <v>2055</v>
      </c>
      <c r="G1261" s="1899">
        <v>150011965</v>
      </c>
      <c r="H1261" s="1892"/>
    </row>
    <row r="1262" spans="1:8" s="1893" customFormat="1" ht="23.25" customHeight="1" x14ac:dyDescent="0.3">
      <c r="A1262" s="1891" t="s">
        <v>3114</v>
      </c>
      <c r="B1262" s="1898" t="s">
        <v>1189</v>
      </c>
      <c r="C1262" s="1898" t="s">
        <v>1846</v>
      </c>
      <c r="D1262" s="1898" t="s">
        <v>1847</v>
      </c>
      <c r="E1262" s="1898" t="s">
        <v>2030</v>
      </c>
      <c r="F1262" s="1898" t="s">
        <v>2031</v>
      </c>
      <c r="G1262" s="1899">
        <v>586700</v>
      </c>
      <c r="H1262" s="1892"/>
    </row>
    <row r="1263" spans="1:8" s="1893" customFormat="1" ht="23.25" customHeight="1" x14ac:dyDescent="0.3">
      <c r="A1263" s="1891" t="s">
        <v>3114</v>
      </c>
      <c r="B1263" s="1898" t="s">
        <v>1189</v>
      </c>
      <c r="C1263" s="1898" t="s">
        <v>1846</v>
      </c>
      <c r="D1263" s="1898" t="s">
        <v>1847</v>
      </c>
      <c r="E1263" s="1898" t="s">
        <v>2024</v>
      </c>
      <c r="F1263" s="1898" t="s">
        <v>2025</v>
      </c>
      <c r="G1263" s="1899">
        <v>71669600</v>
      </c>
      <c r="H1263" s="1892"/>
    </row>
    <row r="1264" spans="1:8" s="1893" customFormat="1" ht="23.25" customHeight="1" x14ac:dyDescent="0.3">
      <c r="A1264" s="1891" t="s">
        <v>3114</v>
      </c>
      <c r="B1264" s="1898" t="s">
        <v>1189</v>
      </c>
      <c r="C1264" s="1898" t="s">
        <v>1846</v>
      </c>
      <c r="D1264" s="1898" t="s">
        <v>1847</v>
      </c>
      <c r="E1264" s="1898" t="s">
        <v>2026</v>
      </c>
      <c r="F1264" s="1898" t="s">
        <v>2027</v>
      </c>
      <c r="G1264" s="1899">
        <v>12273000</v>
      </c>
      <c r="H1264" s="1892"/>
    </row>
    <row r="1265" spans="1:8" s="1893" customFormat="1" ht="23.25" customHeight="1" x14ac:dyDescent="0.3">
      <c r="A1265" s="1891" t="s">
        <v>3114</v>
      </c>
      <c r="B1265" s="1898" t="s">
        <v>1189</v>
      </c>
      <c r="C1265" s="1898" t="s">
        <v>1846</v>
      </c>
      <c r="D1265" s="1898" t="s">
        <v>1847</v>
      </c>
      <c r="E1265" s="1898" t="s">
        <v>2026</v>
      </c>
      <c r="F1265" s="1898" t="s">
        <v>2028</v>
      </c>
      <c r="G1265" s="1899">
        <v>52876800</v>
      </c>
      <c r="H1265" s="1892"/>
    </row>
    <row r="1266" spans="1:8" s="1893" customFormat="1" ht="23.25" customHeight="1" x14ac:dyDescent="0.3">
      <c r="A1266" s="1891" t="s">
        <v>3114</v>
      </c>
      <c r="B1266" s="1898" t="s">
        <v>1189</v>
      </c>
      <c r="C1266" s="1898" t="s">
        <v>1846</v>
      </c>
      <c r="D1266" s="1898" t="s">
        <v>1847</v>
      </c>
      <c r="E1266" s="1898" t="s">
        <v>2026</v>
      </c>
      <c r="F1266" s="1898" t="s">
        <v>2029</v>
      </c>
      <c r="G1266" s="1899">
        <v>25426000</v>
      </c>
      <c r="H1266" s="1892"/>
    </row>
    <row r="1267" spans="1:8" s="1893" customFormat="1" ht="23.25" customHeight="1" x14ac:dyDescent="0.3">
      <c r="A1267" s="1891" t="s">
        <v>3114</v>
      </c>
      <c r="B1267" s="1898" t="s">
        <v>1189</v>
      </c>
      <c r="C1267" s="1898" t="s">
        <v>1846</v>
      </c>
      <c r="D1267" s="1898" t="s">
        <v>1993</v>
      </c>
      <c r="E1267" s="1898" t="s">
        <v>1853</v>
      </c>
      <c r="F1267" s="1898" t="s">
        <v>1939</v>
      </c>
      <c r="G1267" s="1899">
        <v>57216000</v>
      </c>
      <c r="H1267" s="1892"/>
    </row>
    <row r="1268" spans="1:8" s="1893" customFormat="1" ht="23.25" customHeight="1" x14ac:dyDescent="0.3">
      <c r="A1268" s="1891" t="s">
        <v>3114</v>
      </c>
      <c r="B1268" s="1898" t="s">
        <v>1189</v>
      </c>
      <c r="C1268" s="1898" t="s">
        <v>1846</v>
      </c>
      <c r="D1268" s="1898" t="s">
        <v>1993</v>
      </c>
      <c r="E1268" s="1898" t="s">
        <v>1874</v>
      </c>
      <c r="F1268" s="1898" t="s">
        <v>1875</v>
      </c>
      <c r="G1268" s="1899">
        <v>100000</v>
      </c>
      <c r="H1268" s="1892"/>
    </row>
    <row r="1269" spans="1:8" s="1893" customFormat="1" ht="23.25" customHeight="1" x14ac:dyDescent="0.3">
      <c r="A1269" s="1891" t="s">
        <v>3114</v>
      </c>
      <c r="B1269" s="1898" t="s">
        <v>1189</v>
      </c>
      <c r="C1269" s="1898" t="s">
        <v>1846</v>
      </c>
      <c r="D1269" s="1898" t="s">
        <v>1993</v>
      </c>
      <c r="E1269" s="1898" t="s">
        <v>1878</v>
      </c>
      <c r="F1269" s="1898" t="s">
        <v>1881</v>
      </c>
      <c r="G1269" s="1899">
        <v>1970000</v>
      </c>
      <c r="H1269" s="1892"/>
    </row>
    <row r="1270" spans="1:8" s="1893" customFormat="1" ht="23.25" customHeight="1" x14ac:dyDescent="0.3">
      <c r="A1270" s="1891" t="s">
        <v>3114</v>
      </c>
      <c r="B1270" s="1898" t="s">
        <v>1189</v>
      </c>
      <c r="C1270" s="1898" t="s">
        <v>1846</v>
      </c>
      <c r="D1270" s="1898" t="s">
        <v>1993</v>
      </c>
      <c r="E1270" s="1898" t="s">
        <v>1885</v>
      </c>
      <c r="F1270" s="1898" t="s">
        <v>1925</v>
      </c>
      <c r="G1270" s="1899">
        <v>1700000</v>
      </c>
      <c r="H1270" s="1892"/>
    </row>
    <row r="1271" spans="1:8" s="1893" customFormat="1" ht="23.25" customHeight="1" x14ac:dyDescent="0.3">
      <c r="A1271" s="1891" t="s">
        <v>3114</v>
      </c>
      <c r="B1271" s="1898" t="s">
        <v>1189</v>
      </c>
      <c r="C1271" s="1898" t="s">
        <v>1846</v>
      </c>
      <c r="D1271" s="1898" t="s">
        <v>1993</v>
      </c>
      <c r="E1271" s="1898" t="s">
        <v>1885</v>
      </c>
      <c r="F1271" s="1898" t="s">
        <v>1927</v>
      </c>
      <c r="G1271" s="1899">
        <v>200000</v>
      </c>
      <c r="H1271" s="1892"/>
    </row>
    <row r="1272" spans="1:8" s="1893" customFormat="1" ht="23.25" customHeight="1" x14ac:dyDescent="0.3">
      <c r="A1272" s="1891" t="s">
        <v>3114</v>
      </c>
      <c r="B1272" s="1898" t="s">
        <v>1189</v>
      </c>
      <c r="C1272" s="1898" t="s">
        <v>1846</v>
      </c>
      <c r="D1272" s="1898" t="s">
        <v>1993</v>
      </c>
      <c r="E1272" s="1898" t="s">
        <v>1889</v>
      </c>
      <c r="F1272" s="1898" t="s">
        <v>1890</v>
      </c>
      <c r="G1272" s="1899">
        <v>1440000</v>
      </c>
      <c r="H1272" s="1892"/>
    </row>
    <row r="1273" spans="1:8" s="1893" customFormat="1" ht="23.25" customHeight="1" x14ac:dyDescent="0.3">
      <c r="A1273" s="1891" t="s">
        <v>3114</v>
      </c>
      <c r="B1273" s="1898" t="s">
        <v>1189</v>
      </c>
      <c r="C1273" s="1898" t="s">
        <v>1846</v>
      </c>
      <c r="D1273" s="1898" t="s">
        <v>1993</v>
      </c>
      <c r="E1273" s="1898" t="s">
        <v>1896</v>
      </c>
      <c r="F1273" s="1898" t="s">
        <v>1900</v>
      </c>
      <c r="G1273" s="1899">
        <v>750000</v>
      </c>
      <c r="H1273" s="1892"/>
    </row>
    <row r="1274" spans="1:8" s="1893" customFormat="1" ht="23.25" customHeight="1" x14ac:dyDescent="0.3">
      <c r="A1274" s="1891" t="s">
        <v>3114</v>
      </c>
      <c r="B1274" s="1898" t="s">
        <v>1189</v>
      </c>
      <c r="C1274" s="1898" t="s">
        <v>1846</v>
      </c>
      <c r="D1274" s="1898" t="s">
        <v>1993</v>
      </c>
      <c r="E1274" s="1898" t="s">
        <v>1906</v>
      </c>
      <c r="F1274" s="1898" t="s">
        <v>1909</v>
      </c>
      <c r="G1274" s="1899">
        <v>3000000</v>
      </c>
      <c r="H1274" s="1892"/>
    </row>
    <row r="1275" spans="1:8" s="1893" customFormat="1" ht="23.25" customHeight="1" x14ac:dyDescent="0.3">
      <c r="A1275" s="1891" t="s">
        <v>3114</v>
      </c>
      <c r="B1275" s="1898" t="s">
        <v>1189</v>
      </c>
      <c r="C1275" s="1898" t="s">
        <v>1846</v>
      </c>
      <c r="D1275" s="1898" t="s">
        <v>1993</v>
      </c>
      <c r="E1275" s="1898" t="s">
        <v>1912</v>
      </c>
      <c r="F1275" s="1898" t="s">
        <v>1915</v>
      </c>
      <c r="G1275" s="1899">
        <v>5230000</v>
      </c>
      <c r="H1275" s="1892"/>
    </row>
    <row r="1276" spans="1:8" s="1893" customFormat="1" ht="23.25" customHeight="1" x14ac:dyDescent="0.3">
      <c r="A1276" s="1891" t="s">
        <v>3114</v>
      </c>
      <c r="B1276" s="1898" t="s">
        <v>1189</v>
      </c>
      <c r="C1276" s="1898" t="s">
        <v>1958</v>
      </c>
      <c r="D1276" s="1898" t="s">
        <v>1997</v>
      </c>
      <c r="E1276" s="1898" t="s">
        <v>2024</v>
      </c>
      <c r="F1276" s="1898" t="s">
        <v>2025</v>
      </c>
      <c r="G1276" s="1899">
        <v>141000000</v>
      </c>
      <c r="H1276" s="1892"/>
    </row>
    <row r="1277" spans="1:8" s="1893" customFormat="1" ht="23.25" customHeight="1" x14ac:dyDescent="0.3">
      <c r="A1277" s="1891" t="s">
        <v>3114</v>
      </c>
      <c r="B1277" s="1898" t="s">
        <v>1189</v>
      </c>
      <c r="C1277" s="1898" t="s">
        <v>1958</v>
      </c>
      <c r="D1277" s="1898" t="s">
        <v>1997</v>
      </c>
      <c r="E1277" s="1898" t="s">
        <v>2026</v>
      </c>
      <c r="F1277" s="1898" t="s">
        <v>2028</v>
      </c>
      <c r="G1277" s="1899">
        <v>39000000</v>
      </c>
      <c r="H1277" s="1892"/>
    </row>
    <row r="1278" spans="1:8" s="1893" customFormat="1" ht="23.25" customHeight="1" x14ac:dyDescent="0.3">
      <c r="A1278" s="1891" t="s">
        <v>2780</v>
      </c>
      <c r="B1278" s="1898" t="s">
        <v>2056</v>
      </c>
      <c r="C1278" s="1898" t="s">
        <v>321</v>
      </c>
      <c r="D1278" s="1898" t="s">
        <v>323</v>
      </c>
      <c r="E1278" s="1898" t="s">
        <v>1848</v>
      </c>
      <c r="F1278" s="1898" t="s">
        <v>1849</v>
      </c>
      <c r="G1278" s="1899">
        <v>903654657</v>
      </c>
      <c r="H1278" s="1892"/>
    </row>
    <row r="1279" spans="1:8" s="1893" customFormat="1" ht="23.25" customHeight="1" x14ac:dyDescent="0.3">
      <c r="A1279" s="1891" t="s">
        <v>2780</v>
      </c>
      <c r="B1279" s="1898" t="s">
        <v>2056</v>
      </c>
      <c r="C1279" s="1898" t="s">
        <v>321</v>
      </c>
      <c r="D1279" s="1898" t="s">
        <v>323</v>
      </c>
      <c r="E1279" s="1898" t="s">
        <v>1853</v>
      </c>
      <c r="F1279" s="1898" t="s">
        <v>1855</v>
      </c>
      <c r="G1279" s="1899">
        <v>158163500</v>
      </c>
      <c r="H1279" s="1892"/>
    </row>
    <row r="1280" spans="1:8" s="1893" customFormat="1" ht="23.25" customHeight="1" x14ac:dyDescent="0.3">
      <c r="A1280" s="1891" t="s">
        <v>2780</v>
      </c>
      <c r="B1280" s="1898" t="s">
        <v>2056</v>
      </c>
      <c r="C1280" s="1898" t="s">
        <v>321</v>
      </c>
      <c r="D1280" s="1898" t="s">
        <v>323</v>
      </c>
      <c r="E1280" s="1898" t="s">
        <v>1853</v>
      </c>
      <c r="F1280" s="1898" t="s">
        <v>1856</v>
      </c>
      <c r="G1280" s="1899">
        <v>21733982</v>
      </c>
      <c r="H1280" s="1892"/>
    </row>
    <row r="1281" spans="1:8" s="1893" customFormat="1" ht="23.25" customHeight="1" x14ac:dyDescent="0.3">
      <c r="A1281" s="1891" t="s">
        <v>2780</v>
      </c>
      <c r="B1281" s="1898" t="s">
        <v>2056</v>
      </c>
      <c r="C1281" s="1898" t="s">
        <v>321</v>
      </c>
      <c r="D1281" s="1898" t="s">
        <v>323</v>
      </c>
      <c r="E1281" s="1898" t="s">
        <v>1853</v>
      </c>
      <c r="F1281" s="1898" t="s">
        <v>1858</v>
      </c>
      <c r="G1281" s="1899">
        <v>329135040</v>
      </c>
      <c r="H1281" s="1892"/>
    </row>
    <row r="1282" spans="1:8" s="1893" customFormat="1" ht="23.25" customHeight="1" x14ac:dyDescent="0.3">
      <c r="A1282" s="1891" t="s">
        <v>2780</v>
      </c>
      <c r="B1282" s="1898" t="s">
        <v>2056</v>
      </c>
      <c r="C1282" s="1898" t="s">
        <v>321</v>
      </c>
      <c r="D1282" s="1898" t="s">
        <v>323</v>
      </c>
      <c r="E1282" s="1898" t="s">
        <v>1853</v>
      </c>
      <c r="F1282" s="1898" t="s">
        <v>1929</v>
      </c>
      <c r="G1282" s="1899">
        <v>129477518</v>
      </c>
      <c r="H1282" s="1892"/>
    </row>
    <row r="1283" spans="1:8" s="1893" customFormat="1" ht="23.25" customHeight="1" x14ac:dyDescent="0.3">
      <c r="A1283" s="1891" t="s">
        <v>2780</v>
      </c>
      <c r="B1283" s="1898" t="s">
        <v>2056</v>
      </c>
      <c r="C1283" s="1898" t="s">
        <v>321</v>
      </c>
      <c r="D1283" s="1898" t="s">
        <v>323</v>
      </c>
      <c r="E1283" s="1898" t="s">
        <v>1853</v>
      </c>
      <c r="F1283" s="1898" t="s">
        <v>1953</v>
      </c>
      <c r="G1283" s="1899">
        <v>74837113</v>
      </c>
      <c r="H1283" s="1892"/>
    </row>
    <row r="1284" spans="1:8" s="1893" customFormat="1" ht="23.25" customHeight="1" x14ac:dyDescent="0.3">
      <c r="A1284" s="1891" t="s">
        <v>2780</v>
      </c>
      <c r="B1284" s="1898" t="s">
        <v>2056</v>
      </c>
      <c r="C1284" s="1898" t="s">
        <v>321</v>
      </c>
      <c r="D1284" s="1898" t="s">
        <v>323</v>
      </c>
      <c r="E1284" s="1898" t="s">
        <v>1853</v>
      </c>
      <c r="F1284" s="1898" t="s">
        <v>1938</v>
      </c>
      <c r="G1284" s="1899">
        <v>48276000</v>
      </c>
      <c r="H1284" s="1892"/>
    </row>
    <row r="1285" spans="1:8" s="1893" customFormat="1" ht="23.25" customHeight="1" x14ac:dyDescent="0.3">
      <c r="A1285" s="1891" t="s">
        <v>2780</v>
      </c>
      <c r="B1285" s="1898" t="s">
        <v>2056</v>
      </c>
      <c r="C1285" s="1898" t="s">
        <v>321</v>
      </c>
      <c r="D1285" s="1898" t="s">
        <v>323</v>
      </c>
      <c r="E1285" s="1898" t="s">
        <v>1853</v>
      </c>
      <c r="F1285" s="1898" t="s">
        <v>1977</v>
      </c>
      <c r="G1285" s="1899">
        <v>0</v>
      </c>
      <c r="H1285" s="1892"/>
    </row>
    <row r="1286" spans="1:8" s="1893" customFormat="1" ht="23.25" customHeight="1" x14ac:dyDescent="0.3">
      <c r="A1286" s="1891" t="s">
        <v>2780</v>
      </c>
      <c r="B1286" s="1898" t="s">
        <v>2056</v>
      </c>
      <c r="C1286" s="1898" t="s">
        <v>321</v>
      </c>
      <c r="D1286" s="1898" t="s">
        <v>323</v>
      </c>
      <c r="E1286" s="1898" t="s">
        <v>1853</v>
      </c>
      <c r="F1286" s="1898" t="s">
        <v>1859</v>
      </c>
      <c r="G1286" s="1899">
        <v>238853580</v>
      </c>
      <c r="H1286" s="1892"/>
    </row>
    <row r="1287" spans="1:8" s="1893" customFormat="1" ht="23.25" customHeight="1" x14ac:dyDescent="0.3">
      <c r="A1287" s="1891" t="s">
        <v>2780</v>
      </c>
      <c r="B1287" s="1898" t="s">
        <v>2056</v>
      </c>
      <c r="C1287" s="1898" t="s">
        <v>321</v>
      </c>
      <c r="D1287" s="1898" t="s">
        <v>323</v>
      </c>
      <c r="E1287" s="1898" t="s">
        <v>1853</v>
      </c>
      <c r="F1287" s="1898" t="s">
        <v>1939</v>
      </c>
      <c r="G1287" s="1899">
        <v>150265084</v>
      </c>
      <c r="H1287" s="1892"/>
    </row>
    <row r="1288" spans="1:8" s="1893" customFormat="1" ht="23.25" customHeight="1" x14ac:dyDescent="0.3">
      <c r="A1288" s="1891" t="s">
        <v>2780</v>
      </c>
      <c r="B1288" s="1898" t="s">
        <v>2056</v>
      </c>
      <c r="C1288" s="1898" t="s">
        <v>321</v>
      </c>
      <c r="D1288" s="1898" t="s">
        <v>323</v>
      </c>
      <c r="E1288" s="1898" t="s">
        <v>1860</v>
      </c>
      <c r="F1288" s="1898" t="s">
        <v>1930</v>
      </c>
      <c r="G1288" s="1899">
        <v>1680000</v>
      </c>
      <c r="H1288" s="1892"/>
    </row>
    <row r="1289" spans="1:8" s="1893" customFormat="1" ht="23.25" customHeight="1" x14ac:dyDescent="0.3">
      <c r="A1289" s="1891" t="s">
        <v>2780</v>
      </c>
      <c r="B1289" s="1898" t="s">
        <v>2056</v>
      </c>
      <c r="C1289" s="1898" t="s">
        <v>321</v>
      </c>
      <c r="D1289" s="1898" t="s">
        <v>323</v>
      </c>
      <c r="E1289" s="1898" t="s">
        <v>1862</v>
      </c>
      <c r="F1289" s="1898" t="s">
        <v>1863</v>
      </c>
      <c r="G1289" s="1899">
        <v>206629373</v>
      </c>
      <c r="H1289" s="1892"/>
    </row>
    <row r="1290" spans="1:8" s="1893" customFormat="1" ht="23.25" customHeight="1" x14ac:dyDescent="0.3">
      <c r="A1290" s="1891" t="s">
        <v>2780</v>
      </c>
      <c r="B1290" s="1898" t="s">
        <v>2056</v>
      </c>
      <c r="C1290" s="1898" t="s">
        <v>321</v>
      </c>
      <c r="D1290" s="1898" t="s">
        <v>323</v>
      </c>
      <c r="E1290" s="1898" t="s">
        <v>1862</v>
      </c>
      <c r="F1290" s="1898" t="s">
        <v>1864</v>
      </c>
      <c r="G1290" s="1899">
        <v>38135422</v>
      </c>
      <c r="H1290" s="1892"/>
    </row>
    <row r="1291" spans="1:8" s="1893" customFormat="1" ht="23.25" customHeight="1" x14ac:dyDescent="0.3">
      <c r="A1291" s="1891" t="s">
        <v>2780</v>
      </c>
      <c r="B1291" s="1898" t="s">
        <v>2056</v>
      </c>
      <c r="C1291" s="1898" t="s">
        <v>321</v>
      </c>
      <c r="D1291" s="1898" t="s">
        <v>323</v>
      </c>
      <c r="E1291" s="1898" t="s">
        <v>1862</v>
      </c>
      <c r="F1291" s="1898" t="s">
        <v>1865</v>
      </c>
      <c r="G1291" s="1899">
        <v>18012397</v>
      </c>
      <c r="H1291" s="1892"/>
    </row>
    <row r="1292" spans="1:8" s="1893" customFormat="1" ht="23.25" customHeight="1" x14ac:dyDescent="0.3">
      <c r="A1292" s="1891" t="s">
        <v>2780</v>
      </c>
      <c r="B1292" s="1898" t="s">
        <v>2056</v>
      </c>
      <c r="C1292" s="1898" t="s">
        <v>321</v>
      </c>
      <c r="D1292" s="1898" t="s">
        <v>323</v>
      </c>
      <c r="E1292" s="1898" t="s">
        <v>2057</v>
      </c>
      <c r="F1292" s="1898" t="s">
        <v>2058</v>
      </c>
      <c r="G1292" s="1899">
        <v>666500930</v>
      </c>
      <c r="H1292" s="1892"/>
    </row>
    <row r="1293" spans="1:8" s="1893" customFormat="1" ht="23.25" customHeight="1" x14ac:dyDescent="0.3">
      <c r="A1293" s="1891" t="s">
        <v>2780</v>
      </c>
      <c r="B1293" s="1898" t="s">
        <v>2056</v>
      </c>
      <c r="C1293" s="1898" t="s">
        <v>321</v>
      </c>
      <c r="D1293" s="1898" t="s">
        <v>323</v>
      </c>
      <c r="E1293" s="1898" t="s">
        <v>2057</v>
      </c>
      <c r="F1293" s="1898" t="s">
        <v>2059</v>
      </c>
      <c r="G1293" s="1899">
        <v>2542444431</v>
      </c>
      <c r="H1293" s="1892"/>
    </row>
    <row r="1294" spans="1:8" s="1893" customFormat="1" ht="23.25" customHeight="1" x14ac:dyDescent="0.3">
      <c r="A1294" s="1891" t="s">
        <v>2780</v>
      </c>
      <c r="B1294" s="1898" t="s">
        <v>2056</v>
      </c>
      <c r="C1294" s="1898" t="s">
        <v>321</v>
      </c>
      <c r="D1294" s="1898" t="s">
        <v>323</v>
      </c>
      <c r="E1294" s="1898" t="s">
        <v>1867</v>
      </c>
      <c r="F1294" s="1898" t="s">
        <v>1868</v>
      </c>
      <c r="G1294" s="1899">
        <v>176453719</v>
      </c>
      <c r="H1294" s="1892"/>
    </row>
    <row r="1295" spans="1:8" s="1893" customFormat="1" ht="23.25" customHeight="1" x14ac:dyDescent="0.3">
      <c r="A1295" s="1891" t="s">
        <v>2780</v>
      </c>
      <c r="B1295" s="1898" t="s">
        <v>2056</v>
      </c>
      <c r="C1295" s="1898" t="s">
        <v>321</v>
      </c>
      <c r="D1295" s="1898" t="s">
        <v>323</v>
      </c>
      <c r="E1295" s="1898" t="s">
        <v>1867</v>
      </c>
      <c r="F1295" s="1898" t="s">
        <v>1947</v>
      </c>
      <c r="G1295" s="1899">
        <v>1281660400</v>
      </c>
      <c r="H1295" s="1892"/>
    </row>
    <row r="1296" spans="1:8" s="1893" customFormat="1" ht="23.25" customHeight="1" x14ac:dyDescent="0.3">
      <c r="A1296" s="1891" t="s">
        <v>2780</v>
      </c>
      <c r="B1296" s="1898" t="s">
        <v>2056</v>
      </c>
      <c r="C1296" s="1898" t="s">
        <v>321</v>
      </c>
      <c r="D1296" s="1898" t="s">
        <v>323</v>
      </c>
      <c r="E1296" s="1898" t="s">
        <v>1869</v>
      </c>
      <c r="F1296" s="1898" t="s">
        <v>1870</v>
      </c>
      <c r="G1296" s="1899">
        <v>3092272</v>
      </c>
      <c r="H1296" s="1892"/>
    </row>
    <row r="1297" spans="1:8" s="1893" customFormat="1" ht="23.25" customHeight="1" x14ac:dyDescent="0.3">
      <c r="A1297" s="1891" t="s">
        <v>2780</v>
      </c>
      <c r="B1297" s="1898" t="s">
        <v>2056</v>
      </c>
      <c r="C1297" s="1898" t="s">
        <v>321</v>
      </c>
      <c r="D1297" s="1898" t="s">
        <v>323</v>
      </c>
      <c r="E1297" s="1898" t="s">
        <v>1869</v>
      </c>
      <c r="F1297" s="1898" t="s">
        <v>1872</v>
      </c>
      <c r="G1297" s="1899">
        <v>1996200</v>
      </c>
      <c r="H1297" s="1892"/>
    </row>
    <row r="1298" spans="1:8" s="1893" customFormat="1" ht="23.25" customHeight="1" x14ac:dyDescent="0.3">
      <c r="A1298" s="1891" t="s">
        <v>2780</v>
      </c>
      <c r="B1298" s="1898" t="s">
        <v>2056</v>
      </c>
      <c r="C1298" s="1898" t="s">
        <v>321</v>
      </c>
      <c r="D1298" s="1898" t="s">
        <v>323</v>
      </c>
      <c r="E1298" s="1898" t="s">
        <v>1874</v>
      </c>
      <c r="F1298" s="1898" t="s">
        <v>1875</v>
      </c>
      <c r="G1298" s="1899">
        <v>44811800</v>
      </c>
      <c r="H1298" s="1892"/>
    </row>
    <row r="1299" spans="1:8" s="1893" customFormat="1" ht="23.25" customHeight="1" x14ac:dyDescent="0.3">
      <c r="A1299" s="1891" t="s">
        <v>2780</v>
      </c>
      <c r="B1299" s="1898" t="s">
        <v>2056</v>
      </c>
      <c r="C1299" s="1898" t="s">
        <v>321</v>
      </c>
      <c r="D1299" s="1898" t="s">
        <v>323</v>
      </c>
      <c r="E1299" s="1898" t="s">
        <v>1874</v>
      </c>
      <c r="F1299" s="1898" t="s">
        <v>1876</v>
      </c>
      <c r="G1299" s="1899">
        <v>76380000</v>
      </c>
      <c r="H1299" s="1892"/>
    </row>
    <row r="1300" spans="1:8" s="1893" customFormat="1" ht="23.25" customHeight="1" x14ac:dyDescent="0.3">
      <c r="A1300" s="1891" t="s">
        <v>2780</v>
      </c>
      <c r="B1300" s="1898" t="s">
        <v>2056</v>
      </c>
      <c r="C1300" s="1898" t="s">
        <v>321</v>
      </c>
      <c r="D1300" s="1898" t="s">
        <v>323</v>
      </c>
      <c r="E1300" s="1898" t="s">
        <v>1874</v>
      </c>
      <c r="F1300" s="1898" t="s">
        <v>1877</v>
      </c>
      <c r="G1300" s="1899">
        <v>25311000</v>
      </c>
      <c r="H1300" s="1892"/>
    </row>
    <row r="1301" spans="1:8" s="1893" customFormat="1" ht="23.25" customHeight="1" x14ac:dyDescent="0.3">
      <c r="A1301" s="1891" t="s">
        <v>2780</v>
      </c>
      <c r="B1301" s="1898" t="s">
        <v>2056</v>
      </c>
      <c r="C1301" s="1898" t="s">
        <v>321</v>
      </c>
      <c r="D1301" s="1898" t="s">
        <v>323</v>
      </c>
      <c r="E1301" s="1898" t="s">
        <v>1878</v>
      </c>
      <c r="F1301" s="1898" t="s">
        <v>1879</v>
      </c>
      <c r="G1301" s="1899">
        <v>88000</v>
      </c>
      <c r="H1301" s="1892"/>
    </row>
    <row r="1302" spans="1:8" s="1893" customFormat="1" ht="23.25" customHeight="1" x14ac:dyDescent="0.3">
      <c r="A1302" s="1891" t="s">
        <v>2780</v>
      </c>
      <c r="B1302" s="1898" t="s">
        <v>2056</v>
      </c>
      <c r="C1302" s="1898" t="s">
        <v>321</v>
      </c>
      <c r="D1302" s="1898" t="s">
        <v>323</v>
      </c>
      <c r="E1302" s="1898" t="s">
        <v>1878</v>
      </c>
      <c r="F1302" s="1898" t="s">
        <v>1881</v>
      </c>
      <c r="G1302" s="1899">
        <v>3542880</v>
      </c>
      <c r="H1302" s="1892"/>
    </row>
    <row r="1303" spans="1:8" s="1893" customFormat="1" ht="23.25" customHeight="1" x14ac:dyDescent="0.3">
      <c r="A1303" s="1891" t="s">
        <v>2780</v>
      </c>
      <c r="B1303" s="1898" t="s">
        <v>2056</v>
      </c>
      <c r="C1303" s="1898" t="s">
        <v>321</v>
      </c>
      <c r="D1303" s="1898" t="s">
        <v>323</v>
      </c>
      <c r="E1303" s="1898" t="s">
        <v>1878</v>
      </c>
      <c r="F1303" s="1898" t="s">
        <v>1882</v>
      </c>
      <c r="G1303" s="1899">
        <v>8610000</v>
      </c>
      <c r="H1303" s="1892"/>
    </row>
    <row r="1304" spans="1:8" s="1893" customFormat="1" ht="23.25" customHeight="1" x14ac:dyDescent="0.3">
      <c r="A1304" s="1891" t="s">
        <v>2780</v>
      </c>
      <c r="B1304" s="1898" t="s">
        <v>2056</v>
      </c>
      <c r="C1304" s="1898" t="s">
        <v>321</v>
      </c>
      <c r="D1304" s="1898" t="s">
        <v>323</v>
      </c>
      <c r="E1304" s="1898" t="s">
        <v>1885</v>
      </c>
      <c r="F1304" s="1898" t="s">
        <v>1925</v>
      </c>
      <c r="G1304" s="1899">
        <v>3000000</v>
      </c>
      <c r="H1304" s="1892"/>
    </row>
    <row r="1305" spans="1:8" s="1893" customFormat="1" ht="23.25" customHeight="1" x14ac:dyDescent="0.3">
      <c r="A1305" s="1891" t="s">
        <v>2780</v>
      </c>
      <c r="B1305" s="1898" t="s">
        <v>2056</v>
      </c>
      <c r="C1305" s="1898" t="s">
        <v>321</v>
      </c>
      <c r="D1305" s="1898" t="s">
        <v>323</v>
      </c>
      <c r="E1305" s="1898" t="s">
        <v>1885</v>
      </c>
      <c r="F1305" s="1898" t="s">
        <v>1886</v>
      </c>
      <c r="G1305" s="1899">
        <v>6550000</v>
      </c>
      <c r="H1305" s="1892"/>
    </row>
    <row r="1306" spans="1:8" s="1893" customFormat="1" ht="23.25" customHeight="1" x14ac:dyDescent="0.3">
      <c r="A1306" s="1891" t="s">
        <v>2780</v>
      </c>
      <c r="B1306" s="1898" t="s">
        <v>2056</v>
      </c>
      <c r="C1306" s="1898" t="s">
        <v>321</v>
      </c>
      <c r="D1306" s="1898" t="s">
        <v>323</v>
      </c>
      <c r="E1306" s="1898" t="s">
        <v>1885</v>
      </c>
      <c r="F1306" s="1898" t="s">
        <v>1887</v>
      </c>
      <c r="G1306" s="1899">
        <v>63251000</v>
      </c>
      <c r="H1306" s="1892"/>
    </row>
    <row r="1307" spans="1:8" s="1893" customFormat="1" ht="23.25" customHeight="1" x14ac:dyDescent="0.3">
      <c r="A1307" s="1891" t="s">
        <v>2780</v>
      </c>
      <c r="B1307" s="1898" t="s">
        <v>2056</v>
      </c>
      <c r="C1307" s="1898" t="s">
        <v>321</v>
      </c>
      <c r="D1307" s="1898" t="s">
        <v>323</v>
      </c>
      <c r="E1307" s="1898" t="s">
        <v>1885</v>
      </c>
      <c r="F1307" s="1898" t="s">
        <v>1888</v>
      </c>
      <c r="G1307" s="1899">
        <v>10753800</v>
      </c>
      <c r="H1307" s="1892"/>
    </row>
    <row r="1308" spans="1:8" s="1893" customFormat="1" ht="23.25" customHeight="1" x14ac:dyDescent="0.3">
      <c r="A1308" s="1891" t="s">
        <v>2780</v>
      </c>
      <c r="B1308" s="1898" t="s">
        <v>2056</v>
      </c>
      <c r="C1308" s="1898" t="s">
        <v>321</v>
      </c>
      <c r="D1308" s="1898" t="s">
        <v>323</v>
      </c>
      <c r="E1308" s="1898" t="s">
        <v>1889</v>
      </c>
      <c r="F1308" s="1898" t="s">
        <v>1890</v>
      </c>
      <c r="G1308" s="1899">
        <v>65712000</v>
      </c>
      <c r="H1308" s="1892"/>
    </row>
    <row r="1309" spans="1:8" s="1893" customFormat="1" ht="23.25" customHeight="1" x14ac:dyDescent="0.3">
      <c r="A1309" s="1891" t="s">
        <v>2780</v>
      </c>
      <c r="B1309" s="1898" t="s">
        <v>2056</v>
      </c>
      <c r="C1309" s="1898" t="s">
        <v>321</v>
      </c>
      <c r="D1309" s="1898" t="s">
        <v>323</v>
      </c>
      <c r="E1309" s="1898" t="s">
        <v>1889</v>
      </c>
      <c r="F1309" s="1898" t="s">
        <v>1891</v>
      </c>
      <c r="G1309" s="1899">
        <v>2000000</v>
      </c>
      <c r="H1309" s="1892"/>
    </row>
    <row r="1310" spans="1:8" s="1893" customFormat="1" ht="23.25" customHeight="1" x14ac:dyDescent="0.3">
      <c r="A1310" s="1891" t="s">
        <v>2780</v>
      </c>
      <c r="B1310" s="1898" t="s">
        <v>2056</v>
      </c>
      <c r="C1310" s="1898" t="s">
        <v>321</v>
      </c>
      <c r="D1310" s="1898" t="s">
        <v>323</v>
      </c>
      <c r="E1310" s="1898" t="s">
        <v>1889</v>
      </c>
      <c r="F1310" s="1898" t="s">
        <v>1892</v>
      </c>
      <c r="G1310" s="1899">
        <v>13100000</v>
      </c>
      <c r="H1310" s="1892"/>
    </row>
    <row r="1311" spans="1:8" s="1893" customFormat="1" ht="23.25" customHeight="1" x14ac:dyDescent="0.3">
      <c r="A1311" s="1891" t="s">
        <v>2780</v>
      </c>
      <c r="B1311" s="1898" t="s">
        <v>2056</v>
      </c>
      <c r="C1311" s="1898" t="s">
        <v>321</v>
      </c>
      <c r="D1311" s="1898" t="s">
        <v>323</v>
      </c>
      <c r="E1311" s="1898" t="s">
        <v>1889</v>
      </c>
      <c r="F1311" s="1898" t="s">
        <v>1922</v>
      </c>
      <c r="G1311" s="1899">
        <v>12324500</v>
      </c>
      <c r="H1311" s="1892"/>
    </row>
    <row r="1312" spans="1:8" s="1893" customFormat="1" ht="23.25" customHeight="1" x14ac:dyDescent="0.3">
      <c r="A1312" s="1891" t="s">
        <v>2780</v>
      </c>
      <c r="B1312" s="1898" t="s">
        <v>2056</v>
      </c>
      <c r="C1312" s="1898" t="s">
        <v>321</v>
      </c>
      <c r="D1312" s="1898" t="s">
        <v>323</v>
      </c>
      <c r="E1312" s="1898" t="s">
        <v>1893</v>
      </c>
      <c r="F1312" s="1898" t="s">
        <v>1894</v>
      </c>
      <c r="G1312" s="1899">
        <v>3250000</v>
      </c>
      <c r="H1312" s="1892"/>
    </row>
    <row r="1313" spans="1:8" s="1893" customFormat="1" ht="23.25" customHeight="1" x14ac:dyDescent="0.3">
      <c r="A1313" s="1891" t="s">
        <v>2780</v>
      </c>
      <c r="B1313" s="1898" t="s">
        <v>2056</v>
      </c>
      <c r="C1313" s="1898" t="s">
        <v>321</v>
      </c>
      <c r="D1313" s="1898" t="s">
        <v>323</v>
      </c>
      <c r="E1313" s="1898" t="s">
        <v>1893</v>
      </c>
      <c r="F1313" s="1898" t="s">
        <v>2769</v>
      </c>
      <c r="G1313" s="1899">
        <v>2500000</v>
      </c>
      <c r="H1313" s="1892"/>
    </row>
    <row r="1314" spans="1:8" s="1893" customFormat="1" ht="23.25" customHeight="1" x14ac:dyDescent="0.3">
      <c r="A1314" s="1891" t="s">
        <v>2780</v>
      </c>
      <c r="B1314" s="1898" t="s">
        <v>2056</v>
      </c>
      <c r="C1314" s="1898" t="s">
        <v>321</v>
      </c>
      <c r="D1314" s="1898" t="s">
        <v>323</v>
      </c>
      <c r="E1314" s="1898" t="s">
        <v>1893</v>
      </c>
      <c r="F1314" s="1898" t="s">
        <v>1895</v>
      </c>
      <c r="G1314" s="1899">
        <v>10400000</v>
      </c>
      <c r="H1314" s="1892"/>
    </row>
    <row r="1315" spans="1:8" s="1893" customFormat="1" ht="23.25" customHeight="1" x14ac:dyDescent="0.3">
      <c r="A1315" s="1891" t="s">
        <v>2780</v>
      </c>
      <c r="B1315" s="1898" t="s">
        <v>2056</v>
      </c>
      <c r="C1315" s="1898" t="s">
        <v>321</v>
      </c>
      <c r="D1315" s="1898" t="s">
        <v>323</v>
      </c>
      <c r="E1315" s="1898" t="s">
        <v>1896</v>
      </c>
      <c r="F1315" s="1898" t="s">
        <v>1900</v>
      </c>
      <c r="G1315" s="1899">
        <v>18524000</v>
      </c>
      <c r="H1315" s="1892"/>
    </row>
    <row r="1316" spans="1:8" s="1893" customFormat="1" ht="23.25" customHeight="1" x14ac:dyDescent="0.3">
      <c r="A1316" s="1891" t="s">
        <v>2780</v>
      </c>
      <c r="B1316" s="1898" t="s">
        <v>2056</v>
      </c>
      <c r="C1316" s="1898" t="s">
        <v>321</v>
      </c>
      <c r="D1316" s="1898" t="s">
        <v>323</v>
      </c>
      <c r="E1316" s="1898" t="s">
        <v>1896</v>
      </c>
      <c r="F1316" s="1898" t="s">
        <v>1902</v>
      </c>
      <c r="G1316" s="1899">
        <v>0</v>
      </c>
      <c r="H1316" s="1892"/>
    </row>
    <row r="1317" spans="1:8" s="1893" customFormat="1" ht="23.25" customHeight="1" x14ac:dyDescent="0.3">
      <c r="A1317" s="1891" t="s">
        <v>2780</v>
      </c>
      <c r="B1317" s="1898" t="s">
        <v>2056</v>
      </c>
      <c r="C1317" s="1898" t="s">
        <v>321</v>
      </c>
      <c r="D1317" s="1898" t="s">
        <v>323</v>
      </c>
      <c r="E1317" s="1898" t="s">
        <v>1903</v>
      </c>
      <c r="F1317" s="1898" t="s">
        <v>1904</v>
      </c>
      <c r="G1317" s="1899">
        <v>77380000</v>
      </c>
      <c r="H1317" s="1892"/>
    </row>
    <row r="1318" spans="1:8" s="1893" customFormat="1" ht="23.25" customHeight="1" x14ac:dyDescent="0.3">
      <c r="A1318" s="1891" t="s">
        <v>2780</v>
      </c>
      <c r="B1318" s="1898" t="s">
        <v>2056</v>
      </c>
      <c r="C1318" s="1898" t="s">
        <v>321</v>
      </c>
      <c r="D1318" s="1898" t="s">
        <v>323</v>
      </c>
      <c r="E1318" s="1898" t="s">
        <v>1903</v>
      </c>
      <c r="F1318" s="1898" t="s">
        <v>1905</v>
      </c>
      <c r="G1318" s="1899">
        <v>63370000</v>
      </c>
      <c r="H1318" s="1892"/>
    </row>
    <row r="1319" spans="1:8" s="1893" customFormat="1" ht="23.25" customHeight="1" x14ac:dyDescent="0.3">
      <c r="A1319" s="1891" t="s">
        <v>2780</v>
      </c>
      <c r="B1319" s="1898" t="s">
        <v>2056</v>
      </c>
      <c r="C1319" s="1898" t="s">
        <v>321</v>
      </c>
      <c r="D1319" s="1898" t="s">
        <v>323</v>
      </c>
      <c r="E1319" s="1898" t="s">
        <v>1906</v>
      </c>
      <c r="F1319" s="1898" t="s">
        <v>1907</v>
      </c>
      <c r="G1319" s="1899">
        <v>14699000</v>
      </c>
      <c r="H1319" s="1892"/>
    </row>
    <row r="1320" spans="1:8" s="1893" customFormat="1" ht="23.25" customHeight="1" x14ac:dyDescent="0.3">
      <c r="A1320" s="1891" t="s">
        <v>2780</v>
      </c>
      <c r="B1320" s="1898" t="s">
        <v>2056</v>
      </c>
      <c r="C1320" s="1898" t="s">
        <v>321</v>
      </c>
      <c r="D1320" s="1898" t="s">
        <v>323</v>
      </c>
      <c r="E1320" s="1898" t="s">
        <v>1906</v>
      </c>
      <c r="F1320" s="1898" t="s">
        <v>1908</v>
      </c>
      <c r="G1320" s="1899">
        <v>9730000</v>
      </c>
      <c r="H1320" s="1892"/>
    </row>
    <row r="1321" spans="1:8" s="1893" customFormat="1" ht="23.25" customHeight="1" x14ac:dyDescent="0.3">
      <c r="A1321" s="1891" t="s">
        <v>2780</v>
      </c>
      <c r="B1321" s="1898" t="s">
        <v>2056</v>
      </c>
      <c r="C1321" s="1898" t="s">
        <v>321</v>
      </c>
      <c r="D1321" s="1898" t="s">
        <v>323</v>
      </c>
      <c r="E1321" s="1898" t="s">
        <v>1906</v>
      </c>
      <c r="F1321" s="1898" t="s">
        <v>1909</v>
      </c>
      <c r="G1321" s="1899">
        <v>133677600</v>
      </c>
      <c r="H1321" s="1892"/>
    </row>
    <row r="1322" spans="1:8" s="1893" customFormat="1" ht="23.25" customHeight="1" x14ac:dyDescent="0.3">
      <c r="A1322" s="1891" t="s">
        <v>2780</v>
      </c>
      <c r="B1322" s="1898" t="s">
        <v>2056</v>
      </c>
      <c r="C1322" s="1898" t="s">
        <v>321</v>
      </c>
      <c r="D1322" s="1898" t="s">
        <v>323</v>
      </c>
      <c r="E1322" s="1898" t="s">
        <v>1912</v>
      </c>
      <c r="F1322" s="1898" t="s">
        <v>1915</v>
      </c>
      <c r="G1322" s="1899">
        <v>46040000</v>
      </c>
      <c r="H1322" s="1892"/>
    </row>
    <row r="1323" spans="1:8" s="1893" customFormat="1" ht="23.25" customHeight="1" x14ac:dyDescent="0.3">
      <c r="A1323" s="1891" t="s">
        <v>2780</v>
      </c>
      <c r="B1323" s="1898" t="s">
        <v>2056</v>
      </c>
      <c r="C1323" s="1898" t="s">
        <v>321</v>
      </c>
      <c r="D1323" s="1898" t="s">
        <v>323</v>
      </c>
      <c r="E1323" s="1898" t="s">
        <v>1912</v>
      </c>
      <c r="F1323" s="1898" t="s">
        <v>1916</v>
      </c>
      <c r="G1323" s="1899">
        <v>1063175300</v>
      </c>
      <c r="H1323" s="1892"/>
    </row>
    <row r="1324" spans="1:8" s="1893" customFormat="1" ht="23.25" customHeight="1" x14ac:dyDescent="0.3">
      <c r="A1324" s="1891" t="s">
        <v>2780</v>
      </c>
      <c r="B1324" s="1898" t="s">
        <v>2056</v>
      </c>
      <c r="C1324" s="1898" t="s">
        <v>321</v>
      </c>
      <c r="D1324" s="1898" t="s">
        <v>323</v>
      </c>
      <c r="E1324" s="1898" t="s">
        <v>1917</v>
      </c>
      <c r="F1324" s="1898" t="s">
        <v>1918</v>
      </c>
      <c r="G1324" s="1899">
        <v>45322615</v>
      </c>
      <c r="H1324" s="1892"/>
    </row>
    <row r="1325" spans="1:8" s="1893" customFormat="1" ht="23.25" customHeight="1" x14ac:dyDescent="0.3">
      <c r="A1325" s="1891" t="s">
        <v>2780</v>
      </c>
      <c r="B1325" s="1898" t="s">
        <v>2056</v>
      </c>
      <c r="C1325" s="1898" t="s">
        <v>2003</v>
      </c>
      <c r="D1325" s="1898" t="s">
        <v>2004</v>
      </c>
      <c r="E1325" s="1898" t="s">
        <v>1853</v>
      </c>
      <c r="F1325" s="1898" t="s">
        <v>1856</v>
      </c>
      <c r="G1325" s="1899">
        <v>2160059</v>
      </c>
      <c r="H1325" s="1892"/>
    </row>
    <row r="1326" spans="1:8" s="1893" customFormat="1" ht="23.25" customHeight="1" x14ac:dyDescent="0.3">
      <c r="A1326" s="1891" t="s">
        <v>2780</v>
      </c>
      <c r="B1326" s="1898" t="s">
        <v>2056</v>
      </c>
      <c r="C1326" s="1898" t="s">
        <v>2003</v>
      </c>
      <c r="D1326" s="1898" t="s">
        <v>2004</v>
      </c>
      <c r="E1326" s="1898" t="s">
        <v>1853</v>
      </c>
      <c r="F1326" s="1898" t="s">
        <v>1859</v>
      </c>
      <c r="G1326" s="1899">
        <v>40630065</v>
      </c>
      <c r="H1326" s="1892"/>
    </row>
    <row r="1327" spans="1:8" s="1893" customFormat="1" ht="23.25" customHeight="1" x14ac:dyDescent="0.3">
      <c r="A1327" s="1891" t="s">
        <v>2780</v>
      </c>
      <c r="B1327" s="1898" t="s">
        <v>2056</v>
      </c>
      <c r="C1327" s="1898" t="s">
        <v>2003</v>
      </c>
      <c r="D1327" s="1898" t="s">
        <v>2004</v>
      </c>
      <c r="E1327" s="1898" t="s">
        <v>1853</v>
      </c>
      <c r="F1327" s="1898" t="s">
        <v>1939</v>
      </c>
      <c r="G1327" s="1899">
        <v>18666720</v>
      </c>
      <c r="H1327" s="1892"/>
    </row>
    <row r="1328" spans="1:8" s="1893" customFormat="1" ht="23.25" customHeight="1" x14ac:dyDescent="0.3">
      <c r="A1328" s="1891" t="s">
        <v>2780</v>
      </c>
      <c r="B1328" s="1898" t="s">
        <v>2056</v>
      </c>
      <c r="C1328" s="1898" t="s">
        <v>2003</v>
      </c>
      <c r="D1328" s="1898" t="s">
        <v>2004</v>
      </c>
      <c r="E1328" s="1898" t="s">
        <v>1860</v>
      </c>
      <c r="F1328" s="1898" t="s">
        <v>1861</v>
      </c>
      <c r="G1328" s="1899">
        <v>12960000</v>
      </c>
      <c r="H1328" s="1892"/>
    </row>
    <row r="1329" spans="1:8" s="1893" customFormat="1" ht="23.25" customHeight="1" x14ac:dyDescent="0.3">
      <c r="A1329" s="1891" t="s">
        <v>2780</v>
      </c>
      <c r="B1329" s="1898" t="s">
        <v>2056</v>
      </c>
      <c r="C1329" s="1898" t="s">
        <v>2003</v>
      </c>
      <c r="D1329" s="1898" t="s">
        <v>2004</v>
      </c>
      <c r="E1329" s="1898" t="s">
        <v>1860</v>
      </c>
      <c r="F1329" s="1898" t="s">
        <v>1930</v>
      </c>
      <c r="G1329" s="1899">
        <v>10380000</v>
      </c>
      <c r="H1329" s="1892"/>
    </row>
    <row r="1330" spans="1:8" s="1893" customFormat="1" ht="23.25" customHeight="1" x14ac:dyDescent="0.3">
      <c r="A1330" s="1891" t="s">
        <v>2780</v>
      </c>
      <c r="B1330" s="1898" t="s">
        <v>2056</v>
      </c>
      <c r="C1330" s="1898" t="s">
        <v>2003</v>
      </c>
      <c r="D1330" s="1898" t="s">
        <v>2004</v>
      </c>
      <c r="E1330" s="1898" t="s">
        <v>1862</v>
      </c>
      <c r="F1330" s="1898" t="s">
        <v>1865</v>
      </c>
      <c r="G1330" s="1899">
        <v>143320</v>
      </c>
      <c r="H1330" s="1892"/>
    </row>
    <row r="1331" spans="1:8" s="1893" customFormat="1" ht="23.25" customHeight="1" x14ac:dyDescent="0.3">
      <c r="A1331" s="1891" t="s">
        <v>2780</v>
      </c>
      <c r="B1331" s="1898" t="s">
        <v>2056</v>
      </c>
      <c r="C1331" s="1898" t="s">
        <v>2003</v>
      </c>
      <c r="D1331" s="1898" t="s">
        <v>2004</v>
      </c>
      <c r="E1331" s="1898" t="s">
        <v>2057</v>
      </c>
      <c r="F1331" s="1898" t="s">
        <v>2058</v>
      </c>
      <c r="G1331" s="1899">
        <v>221080240</v>
      </c>
      <c r="H1331" s="1892"/>
    </row>
    <row r="1332" spans="1:8" s="1893" customFormat="1" ht="23.25" customHeight="1" x14ac:dyDescent="0.3">
      <c r="A1332" s="1891" t="s">
        <v>2780</v>
      </c>
      <c r="B1332" s="1898" t="s">
        <v>2056</v>
      </c>
      <c r="C1332" s="1898" t="s">
        <v>2003</v>
      </c>
      <c r="D1332" s="1898" t="s">
        <v>2004</v>
      </c>
      <c r="E1332" s="1898" t="s">
        <v>2057</v>
      </c>
      <c r="F1332" s="1898" t="s">
        <v>2059</v>
      </c>
      <c r="G1332" s="1899">
        <v>1587547120</v>
      </c>
      <c r="H1332" s="1892"/>
    </row>
    <row r="1333" spans="1:8" s="1893" customFormat="1" ht="23.25" customHeight="1" x14ac:dyDescent="0.3">
      <c r="A1333" s="1891" t="s">
        <v>2780</v>
      </c>
      <c r="B1333" s="1898" t="s">
        <v>2056</v>
      </c>
      <c r="C1333" s="1898" t="s">
        <v>2003</v>
      </c>
      <c r="D1333" s="1898" t="s">
        <v>2004</v>
      </c>
      <c r="E1333" s="1898" t="s">
        <v>1867</v>
      </c>
      <c r="F1333" s="1898" t="s">
        <v>1868</v>
      </c>
      <c r="G1333" s="1899">
        <v>18924590</v>
      </c>
      <c r="H1333" s="1892"/>
    </row>
    <row r="1334" spans="1:8" s="1893" customFormat="1" ht="23.25" customHeight="1" x14ac:dyDescent="0.3">
      <c r="A1334" s="1891" t="s">
        <v>2780</v>
      </c>
      <c r="B1334" s="1898" t="s">
        <v>2056</v>
      </c>
      <c r="C1334" s="1898" t="s">
        <v>2003</v>
      </c>
      <c r="D1334" s="1898" t="s">
        <v>2004</v>
      </c>
      <c r="E1334" s="1898" t="s">
        <v>1874</v>
      </c>
      <c r="F1334" s="1898" t="s">
        <v>1875</v>
      </c>
      <c r="G1334" s="1899">
        <v>14421000</v>
      </c>
      <c r="H1334" s="1892"/>
    </row>
    <row r="1335" spans="1:8" s="1893" customFormat="1" ht="23.25" customHeight="1" x14ac:dyDescent="0.3">
      <c r="A1335" s="1891" t="s">
        <v>2780</v>
      </c>
      <c r="B1335" s="1898" t="s">
        <v>2056</v>
      </c>
      <c r="C1335" s="1898" t="s">
        <v>2003</v>
      </c>
      <c r="D1335" s="1898" t="s">
        <v>2004</v>
      </c>
      <c r="E1335" s="1898" t="s">
        <v>1874</v>
      </c>
      <c r="F1335" s="1898" t="s">
        <v>1876</v>
      </c>
      <c r="G1335" s="1899">
        <v>750000</v>
      </c>
      <c r="H1335" s="1892"/>
    </row>
    <row r="1336" spans="1:8" s="1893" customFormat="1" ht="23.25" customHeight="1" x14ac:dyDescent="0.3">
      <c r="A1336" s="1891" t="s">
        <v>2780</v>
      </c>
      <c r="B1336" s="1898" t="s">
        <v>2056</v>
      </c>
      <c r="C1336" s="1898" t="s">
        <v>2003</v>
      </c>
      <c r="D1336" s="1898" t="s">
        <v>2004</v>
      </c>
      <c r="E1336" s="1898" t="s">
        <v>1874</v>
      </c>
      <c r="F1336" s="1898" t="s">
        <v>1877</v>
      </c>
      <c r="G1336" s="1899">
        <v>9850000</v>
      </c>
      <c r="H1336" s="1892"/>
    </row>
    <row r="1337" spans="1:8" s="1893" customFormat="1" ht="23.25" customHeight="1" x14ac:dyDescent="0.3">
      <c r="A1337" s="1891" t="s">
        <v>2780</v>
      </c>
      <c r="B1337" s="1898" t="s">
        <v>2056</v>
      </c>
      <c r="C1337" s="1898" t="s">
        <v>2003</v>
      </c>
      <c r="D1337" s="1898" t="s">
        <v>2004</v>
      </c>
      <c r="E1337" s="1898" t="s">
        <v>1878</v>
      </c>
      <c r="F1337" s="1898" t="s">
        <v>1881</v>
      </c>
      <c r="G1337" s="1899">
        <v>1091200</v>
      </c>
      <c r="H1337" s="1892"/>
    </row>
    <row r="1338" spans="1:8" s="1893" customFormat="1" ht="23.25" customHeight="1" x14ac:dyDescent="0.3">
      <c r="A1338" s="1891" t="s">
        <v>2780</v>
      </c>
      <c r="B1338" s="1898" t="s">
        <v>2056</v>
      </c>
      <c r="C1338" s="1898" t="s">
        <v>2003</v>
      </c>
      <c r="D1338" s="1898" t="s">
        <v>2004</v>
      </c>
      <c r="E1338" s="1898" t="s">
        <v>1885</v>
      </c>
      <c r="F1338" s="1898" t="s">
        <v>1925</v>
      </c>
      <c r="G1338" s="1899">
        <v>8180000</v>
      </c>
      <c r="H1338" s="1892"/>
    </row>
    <row r="1339" spans="1:8" s="1893" customFormat="1" ht="23.25" customHeight="1" x14ac:dyDescent="0.3">
      <c r="A1339" s="1891" t="s">
        <v>2780</v>
      </c>
      <c r="B1339" s="1898" t="s">
        <v>2056</v>
      </c>
      <c r="C1339" s="1898" t="s">
        <v>2003</v>
      </c>
      <c r="D1339" s="1898" t="s">
        <v>2004</v>
      </c>
      <c r="E1339" s="1898" t="s">
        <v>1885</v>
      </c>
      <c r="F1339" s="1898" t="s">
        <v>1886</v>
      </c>
      <c r="G1339" s="1899">
        <v>14400000</v>
      </c>
      <c r="H1339" s="1892"/>
    </row>
    <row r="1340" spans="1:8" s="1893" customFormat="1" ht="23.25" customHeight="1" x14ac:dyDescent="0.3">
      <c r="A1340" s="1891" t="s">
        <v>2780</v>
      </c>
      <c r="B1340" s="1898" t="s">
        <v>2056</v>
      </c>
      <c r="C1340" s="1898" t="s">
        <v>2003</v>
      </c>
      <c r="D1340" s="1898" t="s">
        <v>2004</v>
      </c>
      <c r="E1340" s="1898" t="s">
        <v>1885</v>
      </c>
      <c r="F1340" s="1898" t="s">
        <v>1887</v>
      </c>
      <c r="G1340" s="1899">
        <v>146660000</v>
      </c>
      <c r="H1340" s="1892"/>
    </row>
    <row r="1341" spans="1:8" s="1893" customFormat="1" ht="23.25" customHeight="1" x14ac:dyDescent="0.3">
      <c r="A1341" s="1891" t="s">
        <v>2780</v>
      </c>
      <c r="B1341" s="1898" t="s">
        <v>2056</v>
      </c>
      <c r="C1341" s="1898" t="s">
        <v>2003</v>
      </c>
      <c r="D1341" s="1898" t="s">
        <v>2004</v>
      </c>
      <c r="E1341" s="1898" t="s">
        <v>1885</v>
      </c>
      <c r="F1341" s="1898" t="s">
        <v>1888</v>
      </c>
      <c r="G1341" s="1899">
        <v>41330000</v>
      </c>
      <c r="H1341" s="1892"/>
    </row>
    <row r="1342" spans="1:8" s="1893" customFormat="1" ht="23.25" customHeight="1" x14ac:dyDescent="0.3">
      <c r="A1342" s="1891" t="s">
        <v>2780</v>
      </c>
      <c r="B1342" s="1898" t="s">
        <v>2056</v>
      </c>
      <c r="C1342" s="1898" t="s">
        <v>2003</v>
      </c>
      <c r="D1342" s="1898" t="s">
        <v>2004</v>
      </c>
      <c r="E1342" s="1898" t="s">
        <v>1896</v>
      </c>
      <c r="F1342" s="1898" t="s">
        <v>1900</v>
      </c>
      <c r="G1342" s="1899">
        <v>5065000</v>
      </c>
      <c r="H1342" s="1892"/>
    </row>
    <row r="1343" spans="1:8" s="1893" customFormat="1" ht="23.25" customHeight="1" x14ac:dyDescent="0.3">
      <c r="A1343" s="1891" t="s">
        <v>2780</v>
      </c>
      <c r="B1343" s="1898" t="s">
        <v>2056</v>
      </c>
      <c r="C1343" s="1898" t="s">
        <v>2003</v>
      </c>
      <c r="D1343" s="1898" t="s">
        <v>2004</v>
      </c>
      <c r="E1343" s="1898" t="s">
        <v>1903</v>
      </c>
      <c r="F1343" s="1898" t="s">
        <v>1905</v>
      </c>
      <c r="G1343" s="1899">
        <v>135739000</v>
      </c>
      <c r="H1343" s="1892"/>
    </row>
    <row r="1344" spans="1:8" s="1893" customFormat="1" ht="23.25" customHeight="1" x14ac:dyDescent="0.3">
      <c r="A1344" s="1891" t="s">
        <v>2780</v>
      </c>
      <c r="B1344" s="1898" t="s">
        <v>2056</v>
      </c>
      <c r="C1344" s="1898" t="s">
        <v>2003</v>
      </c>
      <c r="D1344" s="1898" t="s">
        <v>2004</v>
      </c>
      <c r="E1344" s="1898" t="s">
        <v>1906</v>
      </c>
      <c r="F1344" s="1898" t="s">
        <v>1907</v>
      </c>
      <c r="G1344" s="1899">
        <v>1920000</v>
      </c>
      <c r="H1344" s="1892"/>
    </row>
    <row r="1345" spans="1:8" s="1893" customFormat="1" ht="23.25" customHeight="1" x14ac:dyDescent="0.3">
      <c r="A1345" s="1891" t="s">
        <v>2780</v>
      </c>
      <c r="B1345" s="1898" t="s">
        <v>2056</v>
      </c>
      <c r="C1345" s="1898" t="s">
        <v>2003</v>
      </c>
      <c r="D1345" s="1898" t="s">
        <v>2004</v>
      </c>
      <c r="E1345" s="1898" t="s">
        <v>1906</v>
      </c>
      <c r="F1345" s="1898" t="s">
        <v>1908</v>
      </c>
      <c r="G1345" s="1899">
        <v>11565000</v>
      </c>
      <c r="H1345" s="1892"/>
    </row>
    <row r="1346" spans="1:8" s="1893" customFormat="1" ht="23.25" customHeight="1" x14ac:dyDescent="0.3">
      <c r="A1346" s="1891" t="s">
        <v>2780</v>
      </c>
      <c r="B1346" s="1898" t="s">
        <v>2056</v>
      </c>
      <c r="C1346" s="1898" t="s">
        <v>2003</v>
      </c>
      <c r="D1346" s="1898" t="s">
        <v>2004</v>
      </c>
      <c r="E1346" s="1898" t="s">
        <v>1906</v>
      </c>
      <c r="F1346" s="1898" t="s">
        <v>1909</v>
      </c>
      <c r="G1346" s="1899">
        <v>132579059</v>
      </c>
      <c r="H1346" s="1892"/>
    </row>
    <row r="1347" spans="1:8" s="1893" customFormat="1" ht="23.25" customHeight="1" x14ac:dyDescent="0.3">
      <c r="A1347" s="1891" t="s">
        <v>2780</v>
      </c>
      <c r="B1347" s="1898" t="s">
        <v>2056</v>
      </c>
      <c r="C1347" s="1898" t="s">
        <v>2003</v>
      </c>
      <c r="D1347" s="1898" t="s">
        <v>2004</v>
      </c>
      <c r="E1347" s="1898" t="s">
        <v>1912</v>
      </c>
      <c r="F1347" s="1898" t="s">
        <v>1915</v>
      </c>
      <c r="G1347" s="1899">
        <v>22400000</v>
      </c>
      <c r="H1347" s="1892"/>
    </row>
    <row r="1348" spans="1:8" s="1893" customFormat="1" ht="23.25" customHeight="1" x14ac:dyDescent="0.3">
      <c r="A1348" s="1891" t="s">
        <v>2780</v>
      </c>
      <c r="B1348" s="1898" t="s">
        <v>2056</v>
      </c>
      <c r="C1348" s="1898" t="s">
        <v>2003</v>
      </c>
      <c r="D1348" s="1898" t="s">
        <v>2004</v>
      </c>
      <c r="E1348" s="1898" t="s">
        <v>1912</v>
      </c>
      <c r="F1348" s="1898" t="s">
        <v>1916</v>
      </c>
      <c r="G1348" s="1899">
        <v>291830000</v>
      </c>
      <c r="H1348" s="1892"/>
    </row>
    <row r="1349" spans="1:8" s="1893" customFormat="1" ht="23.25" customHeight="1" x14ac:dyDescent="0.3">
      <c r="A1349" s="1891" t="s">
        <v>2780</v>
      </c>
      <c r="B1349" s="1898" t="s">
        <v>2056</v>
      </c>
      <c r="C1349" s="1898" t="s">
        <v>2003</v>
      </c>
      <c r="D1349" s="1898" t="s">
        <v>2004</v>
      </c>
      <c r="E1349" s="1898" t="s">
        <v>1917</v>
      </c>
      <c r="F1349" s="1898" t="s">
        <v>2061</v>
      </c>
      <c r="G1349" s="1899">
        <v>40471385</v>
      </c>
      <c r="H1349" s="1892"/>
    </row>
    <row r="1350" spans="1:8" s="1893" customFormat="1" ht="23.25" customHeight="1" x14ac:dyDescent="0.3">
      <c r="A1350" s="1891" t="s">
        <v>2780</v>
      </c>
      <c r="B1350" s="1898" t="s">
        <v>2056</v>
      </c>
      <c r="C1350" s="1898" t="s">
        <v>2038</v>
      </c>
      <c r="D1350" s="1898" t="s">
        <v>2039</v>
      </c>
      <c r="E1350" s="1898" t="s">
        <v>1874</v>
      </c>
      <c r="F1350" s="1898" t="s">
        <v>1876</v>
      </c>
      <c r="G1350" s="1899">
        <v>472968200</v>
      </c>
      <c r="H1350" s="1892"/>
    </row>
    <row r="1351" spans="1:8" s="1893" customFormat="1" ht="23.25" customHeight="1" x14ac:dyDescent="0.3">
      <c r="A1351" s="1891" t="s">
        <v>2780</v>
      </c>
      <c r="B1351" s="1898" t="s">
        <v>2056</v>
      </c>
      <c r="C1351" s="1898" t="s">
        <v>2038</v>
      </c>
      <c r="D1351" s="1898" t="s">
        <v>2039</v>
      </c>
      <c r="E1351" s="1898" t="s">
        <v>1874</v>
      </c>
      <c r="F1351" s="1898" t="s">
        <v>1877</v>
      </c>
      <c r="G1351" s="1899">
        <v>3330000</v>
      </c>
      <c r="H1351" s="1892"/>
    </row>
    <row r="1352" spans="1:8" s="1893" customFormat="1" ht="23.25" customHeight="1" x14ac:dyDescent="0.3">
      <c r="A1352" s="1891" t="s">
        <v>2780</v>
      </c>
      <c r="B1352" s="1898" t="s">
        <v>2056</v>
      </c>
      <c r="C1352" s="1898" t="s">
        <v>2038</v>
      </c>
      <c r="D1352" s="1898" t="s">
        <v>2039</v>
      </c>
      <c r="E1352" s="1898" t="s">
        <v>1878</v>
      </c>
      <c r="F1352" s="1898" t="s">
        <v>1882</v>
      </c>
      <c r="G1352" s="1899">
        <v>19984000</v>
      </c>
      <c r="H1352" s="1892"/>
    </row>
    <row r="1353" spans="1:8" s="1893" customFormat="1" ht="23.25" customHeight="1" x14ac:dyDescent="0.3">
      <c r="A1353" s="1891" t="s">
        <v>2780</v>
      </c>
      <c r="B1353" s="1898" t="s">
        <v>2056</v>
      </c>
      <c r="C1353" s="1898" t="s">
        <v>2038</v>
      </c>
      <c r="D1353" s="1898" t="s">
        <v>2039</v>
      </c>
      <c r="E1353" s="1898" t="s">
        <v>1885</v>
      </c>
      <c r="F1353" s="1898" t="s">
        <v>1887</v>
      </c>
      <c r="G1353" s="1899">
        <v>17840000</v>
      </c>
      <c r="H1353" s="1892"/>
    </row>
    <row r="1354" spans="1:8" s="1893" customFormat="1" ht="23.25" customHeight="1" x14ac:dyDescent="0.3">
      <c r="A1354" s="1891" t="s">
        <v>2780</v>
      </c>
      <c r="B1354" s="1898" t="s">
        <v>2056</v>
      </c>
      <c r="C1354" s="1898" t="s">
        <v>2038</v>
      </c>
      <c r="D1354" s="1898" t="s">
        <v>2039</v>
      </c>
      <c r="E1354" s="1898" t="s">
        <v>1885</v>
      </c>
      <c r="F1354" s="1898" t="s">
        <v>1888</v>
      </c>
      <c r="G1354" s="1899">
        <v>19502000</v>
      </c>
      <c r="H1354" s="1892"/>
    </row>
    <row r="1355" spans="1:8" s="1893" customFormat="1" ht="23.25" customHeight="1" x14ac:dyDescent="0.3">
      <c r="A1355" s="1891" t="s">
        <v>2780</v>
      </c>
      <c r="B1355" s="1898" t="s">
        <v>2056</v>
      </c>
      <c r="C1355" s="1898" t="s">
        <v>2038</v>
      </c>
      <c r="D1355" s="1898" t="s">
        <v>2039</v>
      </c>
      <c r="E1355" s="1898" t="s">
        <v>1889</v>
      </c>
      <c r="F1355" s="1898" t="s">
        <v>1891</v>
      </c>
      <c r="G1355" s="1899">
        <v>2300000</v>
      </c>
      <c r="H1355" s="1892"/>
    </row>
    <row r="1356" spans="1:8" s="1893" customFormat="1" ht="23.25" customHeight="1" x14ac:dyDescent="0.3">
      <c r="A1356" s="1891" t="s">
        <v>2780</v>
      </c>
      <c r="B1356" s="1898" t="s">
        <v>2056</v>
      </c>
      <c r="C1356" s="1898" t="s">
        <v>2038</v>
      </c>
      <c r="D1356" s="1898" t="s">
        <v>2039</v>
      </c>
      <c r="E1356" s="1898" t="s">
        <v>1896</v>
      </c>
      <c r="F1356" s="1898" t="s">
        <v>2055</v>
      </c>
      <c r="G1356" s="1899">
        <v>375167200</v>
      </c>
      <c r="H1356" s="1892"/>
    </row>
    <row r="1357" spans="1:8" s="1893" customFormat="1" ht="23.25" customHeight="1" x14ac:dyDescent="0.3">
      <c r="A1357" s="1891" t="s">
        <v>2780</v>
      </c>
      <c r="B1357" s="1898" t="s">
        <v>2056</v>
      </c>
      <c r="C1357" s="1898" t="s">
        <v>2038</v>
      </c>
      <c r="D1357" s="1898" t="s">
        <v>2039</v>
      </c>
      <c r="E1357" s="1898" t="s">
        <v>1896</v>
      </c>
      <c r="F1357" s="1898" t="s">
        <v>1902</v>
      </c>
      <c r="G1357" s="1899">
        <v>1701274961</v>
      </c>
      <c r="H1357" s="1892"/>
    </row>
    <row r="1358" spans="1:8" s="1893" customFormat="1" ht="23.25" customHeight="1" x14ac:dyDescent="0.3">
      <c r="A1358" s="1891" t="s">
        <v>2780</v>
      </c>
      <c r="B1358" s="1898" t="s">
        <v>2056</v>
      </c>
      <c r="C1358" s="1898" t="s">
        <v>2038</v>
      </c>
      <c r="D1358" s="1898" t="s">
        <v>2039</v>
      </c>
      <c r="E1358" s="1898" t="s">
        <v>1903</v>
      </c>
      <c r="F1358" s="1898" t="s">
        <v>1905</v>
      </c>
      <c r="G1358" s="1899">
        <v>99865338</v>
      </c>
      <c r="H1358" s="1892"/>
    </row>
    <row r="1359" spans="1:8" s="1893" customFormat="1" ht="23.25" customHeight="1" x14ac:dyDescent="0.3">
      <c r="A1359" s="1891" t="s">
        <v>2780</v>
      </c>
      <c r="B1359" s="1898" t="s">
        <v>2056</v>
      </c>
      <c r="C1359" s="1898" t="s">
        <v>2038</v>
      </c>
      <c r="D1359" s="1898" t="s">
        <v>2039</v>
      </c>
      <c r="E1359" s="1898" t="s">
        <v>1906</v>
      </c>
      <c r="F1359" s="1898" t="s">
        <v>1907</v>
      </c>
      <c r="G1359" s="1899">
        <v>7160000</v>
      </c>
      <c r="H1359" s="1892"/>
    </row>
    <row r="1360" spans="1:8" s="1893" customFormat="1" ht="23.25" customHeight="1" x14ac:dyDescent="0.3">
      <c r="A1360" s="1891" t="s">
        <v>2780</v>
      </c>
      <c r="B1360" s="1898" t="s">
        <v>2056</v>
      </c>
      <c r="C1360" s="1898" t="s">
        <v>2038</v>
      </c>
      <c r="D1360" s="1898" t="s">
        <v>2039</v>
      </c>
      <c r="E1360" s="1898" t="s">
        <v>1906</v>
      </c>
      <c r="F1360" s="1898" t="s">
        <v>1908</v>
      </c>
      <c r="G1360" s="1899">
        <v>16860000</v>
      </c>
      <c r="H1360" s="1892"/>
    </row>
    <row r="1361" spans="1:8" s="1893" customFormat="1" ht="23.25" customHeight="1" x14ac:dyDescent="0.3">
      <c r="A1361" s="1891" t="s">
        <v>2780</v>
      </c>
      <c r="B1361" s="1898" t="s">
        <v>2056</v>
      </c>
      <c r="C1361" s="1898" t="s">
        <v>2038</v>
      </c>
      <c r="D1361" s="1898" t="s">
        <v>2039</v>
      </c>
      <c r="E1361" s="1898" t="s">
        <v>1906</v>
      </c>
      <c r="F1361" s="1898" t="s">
        <v>1909</v>
      </c>
      <c r="G1361" s="1899">
        <v>50200000</v>
      </c>
      <c r="H1361" s="1892"/>
    </row>
    <row r="1362" spans="1:8" s="1893" customFormat="1" ht="23.25" customHeight="1" x14ac:dyDescent="0.3">
      <c r="A1362" s="1891" t="s">
        <v>2780</v>
      </c>
      <c r="B1362" s="1898" t="s">
        <v>2056</v>
      </c>
      <c r="C1362" s="1898" t="s">
        <v>2038</v>
      </c>
      <c r="D1362" s="1898" t="s">
        <v>2039</v>
      </c>
      <c r="E1362" s="1898" t="s">
        <v>1912</v>
      </c>
      <c r="F1362" s="1898" t="s">
        <v>1915</v>
      </c>
      <c r="G1362" s="1899">
        <v>13500000</v>
      </c>
      <c r="H1362" s="1892"/>
    </row>
    <row r="1363" spans="1:8" s="1893" customFormat="1" ht="23.25" customHeight="1" x14ac:dyDescent="0.3">
      <c r="A1363" s="1891" t="s">
        <v>2780</v>
      </c>
      <c r="B1363" s="1898" t="s">
        <v>2056</v>
      </c>
      <c r="C1363" s="1898" t="s">
        <v>2038</v>
      </c>
      <c r="D1363" s="1898" t="s">
        <v>2039</v>
      </c>
      <c r="E1363" s="1898" t="s">
        <v>1912</v>
      </c>
      <c r="F1363" s="1898" t="s">
        <v>1916</v>
      </c>
      <c r="G1363" s="1899">
        <v>135405000</v>
      </c>
      <c r="H1363" s="1892"/>
    </row>
    <row r="1364" spans="1:8" s="1893" customFormat="1" ht="23.25" customHeight="1" x14ac:dyDescent="0.3">
      <c r="A1364" s="1891" t="s">
        <v>2780</v>
      </c>
      <c r="B1364" s="1898" t="s">
        <v>2056</v>
      </c>
      <c r="C1364" s="1898" t="s">
        <v>2038</v>
      </c>
      <c r="D1364" s="1898" t="s">
        <v>2039</v>
      </c>
      <c r="E1364" s="1898" t="s">
        <v>2024</v>
      </c>
      <c r="F1364" s="1898" t="s">
        <v>2025</v>
      </c>
      <c r="G1364" s="1899">
        <v>1646465346</v>
      </c>
      <c r="H1364" s="1892"/>
    </row>
    <row r="1365" spans="1:8" s="1893" customFormat="1" ht="23.25" customHeight="1" x14ac:dyDescent="0.3">
      <c r="A1365" s="1891" t="s">
        <v>2780</v>
      </c>
      <c r="B1365" s="1898" t="s">
        <v>2056</v>
      </c>
      <c r="C1365" s="1898" t="s">
        <v>2038</v>
      </c>
      <c r="D1365" s="1898" t="s">
        <v>2039</v>
      </c>
      <c r="E1365" s="1898" t="s">
        <v>2046</v>
      </c>
      <c r="F1365" s="1898" t="s">
        <v>2047</v>
      </c>
      <c r="G1365" s="1899">
        <v>621309400</v>
      </c>
      <c r="H1365" s="1892"/>
    </row>
    <row r="1366" spans="1:8" s="1893" customFormat="1" ht="23.25" customHeight="1" x14ac:dyDescent="0.3">
      <c r="A1366" s="1891" t="s">
        <v>2780</v>
      </c>
      <c r="B1366" s="1898" t="s">
        <v>2056</v>
      </c>
      <c r="C1366" s="1898" t="s">
        <v>2038</v>
      </c>
      <c r="D1366" s="1898" t="s">
        <v>2039</v>
      </c>
      <c r="E1366" s="1898" t="s">
        <v>2026</v>
      </c>
      <c r="F1366" s="1898" t="s">
        <v>2027</v>
      </c>
      <c r="G1366" s="1899">
        <v>27173328</v>
      </c>
      <c r="H1366" s="1892"/>
    </row>
    <row r="1367" spans="1:8" s="1893" customFormat="1" ht="23.25" customHeight="1" x14ac:dyDescent="0.3">
      <c r="A1367" s="1891" t="s">
        <v>2780</v>
      </c>
      <c r="B1367" s="1898" t="s">
        <v>2056</v>
      </c>
      <c r="C1367" s="1898" t="s">
        <v>2038</v>
      </c>
      <c r="D1367" s="1898" t="s">
        <v>2039</v>
      </c>
      <c r="E1367" s="1898" t="s">
        <v>2026</v>
      </c>
      <c r="F1367" s="1898" t="s">
        <v>2029</v>
      </c>
      <c r="G1367" s="1899">
        <v>4983942</v>
      </c>
      <c r="H1367" s="1892"/>
    </row>
    <row r="1368" spans="1:8" s="1893" customFormat="1" ht="23.25" customHeight="1" x14ac:dyDescent="0.3">
      <c r="A1368" s="1891" t="s">
        <v>2780</v>
      </c>
      <c r="B1368" s="1898" t="s">
        <v>2056</v>
      </c>
      <c r="C1368" s="1898" t="s">
        <v>2038</v>
      </c>
      <c r="D1368" s="1898" t="s">
        <v>2238</v>
      </c>
      <c r="E1368" s="1898" t="s">
        <v>1878</v>
      </c>
      <c r="F1368" s="1898" t="s">
        <v>1882</v>
      </c>
      <c r="G1368" s="1899">
        <v>20000000</v>
      </c>
      <c r="H1368" s="1892"/>
    </row>
    <row r="1369" spans="1:8" s="1893" customFormat="1" ht="23.25" customHeight="1" x14ac:dyDescent="0.3">
      <c r="A1369" s="1891" t="s">
        <v>2780</v>
      </c>
      <c r="B1369" s="1898" t="s">
        <v>2056</v>
      </c>
      <c r="C1369" s="1898" t="s">
        <v>2044</v>
      </c>
      <c r="D1369" s="1898" t="s">
        <v>2045</v>
      </c>
      <c r="E1369" s="1898" t="s">
        <v>1853</v>
      </c>
      <c r="F1369" s="1898" t="s">
        <v>1856</v>
      </c>
      <c r="G1369" s="1899">
        <v>400</v>
      </c>
      <c r="H1369" s="1892"/>
    </row>
    <row r="1370" spans="1:8" s="1893" customFormat="1" ht="23.25" customHeight="1" x14ac:dyDescent="0.3">
      <c r="A1370" s="1891" t="s">
        <v>2780</v>
      </c>
      <c r="B1370" s="1898" t="s">
        <v>2056</v>
      </c>
      <c r="C1370" s="1898" t="s">
        <v>2044</v>
      </c>
      <c r="D1370" s="1898" t="s">
        <v>2045</v>
      </c>
      <c r="E1370" s="1898" t="s">
        <v>1853</v>
      </c>
      <c r="F1370" s="1898" t="s">
        <v>1939</v>
      </c>
      <c r="G1370" s="1899">
        <v>10191600</v>
      </c>
      <c r="H1370" s="1892"/>
    </row>
    <row r="1371" spans="1:8" s="1893" customFormat="1" ht="23.25" customHeight="1" x14ac:dyDescent="0.3">
      <c r="A1371" s="1891" t="s">
        <v>2780</v>
      </c>
      <c r="B1371" s="1898" t="s">
        <v>2056</v>
      </c>
      <c r="C1371" s="1898" t="s">
        <v>2044</v>
      </c>
      <c r="D1371" s="1898" t="s">
        <v>2045</v>
      </c>
      <c r="E1371" s="1898" t="s">
        <v>2057</v>
      </c>
      <c r="F1371" s="1898" t="s">
        <v>2058</v>
      </c>
      <c r="G1371" s="1899">
        <v>49916400</v>
      </c>
      <c r="H1371" s="1892"/>
    </row>
    <row r="1372" spans="1:8" s="1893" customFormat="1" ht="23.25" customHeight="1" x14ac:dyDescent="0.3">
      <c r="A1372" s="1891" t="s">
        <v>2780</v>
      </c>
      <c r="B1372" s="1898" t="s">
        <v>2056</v>
      </c>
      <c r="C1372" s="1898" t="s">
        <v>2044</v>
      </c>
      <c r="D1372" s="1898" t="s">
        <v>2045</v>
      </c>
      <c r="E1372" s="1898" t="s">
        <v>1867</v>
      </c>
      <c r="F1372" s="1898" t="s">
        <v>1868</v>
      </c>
      <c r="G1372" s="1899">
        <v>9298000</v>
      </c>
      <c r="H1372" s="1892"/>
    </row>
    <row r="1373" spans="1:8" s="1893" customFormat="1" ht="23.25" customHeight="1" x14ac:dyDescent="0.3">
      <c r="A1373" s="1891" t="s">
        <v>2780</v>
      </c>
      <c r="B1373" s="1898" t="s">
        <v>2056</v>
      </c>
      <c r="C1373" s="1898" t="s">
        <v>2044</v>
      </c>
      <c r="D1373" s="1898" t="s">
        <v>2045</v>
      </c>
      <c r="E1373" s="1898" t="s">
        <v>1869</v>
      </c>
      <c r="F1373" s="1898" t="s">
        <v>1870</v>
      </c>
      <c r="G1373" s="1899">
        <v>69046</v>
      </c>
      <c r="H1373" s="1892"/>
    </row>
    <row r="1374" spans="1:8" s="1893" customFormat="1" ht="23.25" customHeight="1" x14ac:dyDescent="0.3">
      <c r="A1374" s="1891" t="s">
        <v>2780</v>
      </c>
      <c r="B1374" s="1898" t="s">
        <v>2056</v>
      </c>
      <c r="C1374" s="1898" t="s">
        <v>2044</v>
      </c>
      <c r="D1374" s="1898" t="s">
        <v>2045</v>
      </c>
      <c r="E1374" s="1898" t="s">
        <v>1874</v>
      </c>
      <c r="F1374" s="1898" t="s">
        <v>1875</v>
      </c>
      <c r="G1374" s="1899">
        <v>2577000</v>
      </c>
      <c r="H1374" s="1892"/>
    </row>
    <row r="1375" spans="1:8" s="1893" customFormat="1" ht="23.25" customHeight="1" x14ac:dyDescent="0.3">
      <c r="A1375" s="1891" t="s">
        <v>2780</v>
      </c>
      <c r="B1375" s="1898" t="s">
        <v>2056</v>
      </c>
      <c r="C1375" s="1898" t="s">
        <v>2044</v>
      </c>
      <c r="D1375" s="1898" t="s">
        <v>2045</v>
      </c>
      <c r="E1375" s="1898" t="s">
        <v>1874</v>
      </c>
      <c r="F1375" s="1898" t="s">
        <v>1876</v>
      </c>
      <c r="G1375" s="1899">
        <v>11380000</v>
      </c>
      <c r="H1375" s="1892"/>
    </row>
    <row r="1376" spans="1:8" s="1893" customFormat="1" ht="23.25" customHeight="1" x14ac:dyDescent="0.3">
      <c r="A1376" s="1891" t="s">
        <v>2780</v>
      </c>
      <c r="B1376" s="1898" t="s">
        <v>2056</v>
      </c>
      <c r="C1376" s="1898" t="s">
        <v>2044</v>
      </c>
      <c r="D1376" s="1898" t="s">
        <v>2045</v>
      </c>
      <c r="E1376" s="1898" t="s">
        <v>1874</v>
      </c>
      <c r="F1376" s="1898" t="s">
        <v>1877</v>
      </c>
      <c r="G1376" s="1899">
        <v>26095000</v>
      </c>
      <c r="H1376" s="1892"/>
    </row>
    <row r="1377" spans="1:8" s="1893" customFormat="1" ht="23.25" customHeight="1" x14ac:dyDescent="0.3">
      <c r="A1377" s="1891" t="s">
        <v>2780</v>
      </c>
      <c r="B1377" s="1898" t="s">
        <v>2056</v>
      </c>
      <c r="C1377" s="1898" t="s">
        <v>2044</v>
      </c>
      <c r="D1377" s="1898" t="s">
        <v>2045</v>
      </c>
      <c r="E1377" s="1898" t="s">
        <v>1893</v>
      </c>
      <c r="F1377" s="1898" t="s">
        <v>2051</v>
      </c>
      <c r="G1377" s="1899">
        <v>3800000</v>
      </c>
      <c r="H1377" s="1892"/>
    </row>
    <row r="1378" spans="1:8" s="1893" customFormat="1" ht="23.25" customHeight="1" x14ac:dyDescent="0.3">
      <c r="A1378" s="1891" t="s">
        <v>2780</v>
      </c>
      <c r="B1378" s="1898" t="s">
        <v>2056</v>
      </c>
      <c r="C1378" s="1898" t="s">
        <v>2044</v>
      </c>
      <c r="D1378" s="1898" t="s">
        <v>2045</v>
      </c>
      <c r="E1378" s="1898" t="s">
        <v>1893</v>
      </c>
      <c r="F1378" s="1898" t="s">
        <v>1895</v>
      </c>
      <c r="G1378" s="1899">
        <v>1800000</v>
      </c>
      <c r="H1378" s="1892"/>
    </row>
    <row r="1379" spans="1:8" s="1893" customFormat="1" ht="23.25" customHeight="1" x14ac:dyDescent="0.3">
      <c r="A1379" s="1891" t="s">
        <v>2780</v>
      </c>
      <c r="B1379" s="1898" t="s">
        <v>2056</v>
      </c>
      <c r="C1379" s="1898" t="s">
        <v>2044</v>
      </c>
      <c r="D1379" s="1898" t="s">
        <v>2045</v>
      </c>
      <c r="E1379" s="1898" t="s">
        <v>1896</v>
      </c>
      <c r="F1379" s="1898" t="s">
        <v>1900</v>
      </c>
      <c r="G1379" s="1899">
        <v>3290000</v>
      </c>
      <c r="H1379" s="1892"/>
    </row>
    <row r="1380" spans="1:8" s="1893" customFormat="1" ht="23.25" customHeight="1" x14ac:dyDescent="0.3">
      <c r="A1380" s="1891" t="s">
        <v>2780</v>
      </c>
      <c r="B1380" s="1898" t="s">
        <v>2056</v>
      </c>
      <c r="C1380" s="1898" t="s">
        <v>2044</v>
      </c>
      <c r="D1380" s="1898" t="s">
        <v>2045</v>
      </c>
      <c r="E1380" s="1898" t="s">
        <v>1896</v>
      </c>
      <c r="F1380" s="1898" t="s">
        <v>1902</v>
      </c>
      <c r="G1380" s="1899">
        <v>94945000</v>
      </c>
      <c r="H1380" s="1892"/>
    </row>
    <row r="1381" spans="1:8" s="1893" customFormat="1" ht="23.25" customHeight="1" x14ac:dyDescent="0.3">
      <c r="A1381" s="1891" t="s">
        <v>2780</v>
      </c>
      <c r="B1381" s="1898" t="s">
        <v>2056</v>
      </c>
      <c r="C1381" s="1898" t="s">
        <v>2044</v>
      </c>
      <c r="D1381" s="1898" t="s">
        <v>2045</v>
      </c>
      <c r="E1381" s="1898" t="s">
        <v>1906</v>
      </c>
      <c r="F1381" s="1898" t="s">
        <v>1907</v>
      </c>
      <c r="G1381" s="1899">
        <v>9880000</v>
      </c>
      <c r="H1381" s="1892"/>
    </row>
    <row r="1382" spans="1:8" s="1893" customFormat="1" ht="23.25" customHeight="1" x14ac:dyDescent="0.3">
      <c r="A1382" s="1891" t="s">
        <v>2780</v>
      </c>
      <c r="B1382" s="1898" t="s">
        <v>2056</v>
      </c>
      <c r="C1382" s="1898" t="s">
        <v>2044</v>
      </c>
      <c r="D1382" s="1898" t="s">
        <v>2045</v>
      </c>
      <c r="E1382" s="1898" t="s">
        <v>1906</v>
      </c>
      <c r="F1382" s="1898" t="s">
        <v>1909</v>
      </c>
      <c r="G1382" s="1899">
        <v>2900000</v>
      </c>
      <c r="H1382" s="1892"/>
    </row>
    <row r="1383" spans="1:8" s="1893" customFormat="1" ht="23.25" customHeight="1" x14ac:dyDescent="0.3">
      <c r="A1383" s="1891" t="s">
        <v>2780</v>
      </c>
      <c r="B1383" s="1898" t="s">
        <v>2056</v>
      </c>
      <c r="C1383" s="1898" t="s">
        <v>2044</v>
      </c>
      <c r="D1383" s="1898" t="s">
        <v>2045</v>
      </c>
      <c r="E1383" s="1898" t="s">
        <v>1912</v>
      </c>
      <c r="F1383" s="1898" t="s">
        <v>1916</v>
      </c>
      <c r="G1383" s="1899">
        <v>38965325</v>
      </c>
      <c r="H1383" s="1892"/>
    </row>
    <row r="1384" spans="1:8" s="1893" customFormat="1" ht="23.25" customHeight="1" x14ac:dyDescent="0.3">
      <c r="A1384" s="1891" t="s">
        <v>2780</v>
      </c>
      <c r="B1384" s="1898" t="s">
        <v>2056</v>
      </c>
      <c r="C1384" s="1898" t="s">
        <v>2048</v>
      </c>
      <c r="D1384" s="1898" t="s">
        <v>2049</v>
      </c>
      <c r="E1384" s="1898" t="s">
        <v>1860</v>
      </c>
      <c r="F1384" s="1898" t="s">
        <v>1930</v>
      </c>
      <c r="G1384" s="1899">
        <v>7800000</v>
      </c>
      <c r="H1384" s="1892"/>
    </row>
    <row r="1385" spans="1:8" s="1893" customFormat="1" ht="23.25" customHeight="1" x14ac:dyDescent="0.3">
      <c r="A1385" s="1891" t="s">
        <v>2780</v>
      </c>
      <c r="B1385" s="1898" t="s">
        <v>2056</v>
      </c>
      <c r="C1385" s="1898" t="s">
        <v>2048</v>
      </c>
      <c r="D1385" s="1898" t="s">
        <v>2049</v>
      </c>
      <c r="E1385" s="1898" t="s">
        <v>1874</v>
      </c>
      <c r="F1385" s="1898" t="s">
        <v>1877</v>
      </c>
      <c r="G1385" s="1899">
        <v>200000</v>
      </c>
      <c r="H1385" s="1892"/>
    </row>
    <row r="1386" spans="1:8" s="1893" customFormat="1" ht="23.25" customHeight="1" x14ac:dyDescent="0.3">
      <c r="A1386" s="1891" t="s">
        <v>2780</v>
      </c>
      <c r="B1386" s="1898" t="s">
        <v>2056</v>
      </c>
      <c r="C1386" s="1898" t="s">
        <v>2048</v>
      </c>
      <c r="D1386" s="1898" t="s">
        <v>2049</v>
      </c>
      <c r="E1386" s="1898" t="s">
        <v>1878</v>
      </c>
      <c r="F1386" s="1898" t="s">
        <v>1882</v>
      </c>
      <c r="G1386" s="1899">
        <v>3696000</v>
      </c>
      <c r="H1386" s="1892"/>
    </row>
    <row r="1387" spans="1:8" s="1893" customFormat="1" ht="23.25" customHeight="1" x14ac:dyDescent="0.3">
      <c r="A1387" s="1891" t="s">
        <v>2780</v>
      </c>
      <c r="B1387" s="1898" t="s">
        <v>2056</v>
      </c>
      <c r="C1387" s="1898" t="s">
        <v>2048</v>
      </c>
      <c r="D1387" s="1898" t="s">
        <v>2049</v>
      </c>
      <c r="E1387" s="1898" t="s">
        <v>1885</v>
      </c>
      <c r="F1387" s="1898" t="s">
        <v>1887</v>
      </c>
      <c r="G1387" s="1899">
        <v>35280000</v>
      </c>
      <c r="H1387" s="1892"/>
    </row>
    <row r="1388" spans="1:8" s="1893" customFormat="1" ht="23.25" customHeight="1" x14ac:dyDescent="0.3">
      <c r="A1388" s="1891" t="s">
        <v>2780</v>
      </c>
      <c r="B1388" s="1898" t="s">
        <v>2056</v>
      </c>
      <c r="C1388" s="1898" t="s">
        <v>2048</v>
      </c>
      <c r="D1388" s="1898" t="s">
        <v>2049</v>
      </c>
      <c r="E1388" s="1898" t="s">
        <v>1885</v>
      </c>
      <c r="F1388" s="1898" t="s">
        <v>1888</v>
      </c>
      <c r="G1388" s="1899">
        <v>8770000</v>
      </c>
      <c r="H1388" s="1892"/>
    </row>
    <row r="1389" spans="1:8" s="1893" customFormat="1" ht="23.25" customHeight="1" x14ac:dyDescent="0.3">
      <c r="A1389" s="1891" t="s">
        <v>2780</v>
      </c>
      <c r="B1389" s="1898" t="s">
        <v>2056</v>
      </c>
      <c r="C1389" s="1898" t="s">
        <v>2048</v>
      </c>
      <c r="D1389" s="1898" t="s">
        <v>2049</v>
      </c>
      <c r="E1389" s="1898" t="s">
        <v>1906</v>
      </c>
      <c r="F1389" s="1898" t="s">
        <v>1907</v>
      </c>
      <c r="G1389" s="1899">
        <v>17425000</v>
      </c>
      <c r="H1389" s="1892"/>
    </row>
    <row r="1390" spans="1:8" s="1893" customFormat="1" ht="23.25" customHeight="1" x14ac:dyDescent="0.3">
      <c r="A1390" s="1891" t="s">
        <v>2780</v>
      </c>
      <c r="B1390" s="1898" t="s">
        <v>2056</v>
      </c>
      <c r="C1390" s="1898" t="s">
        <v>2048</v>
      </c>
      <c r="D1390" s="1898" t="s">
        <v>2049</v>
      </c>
      <c r="E1390" s="1898" t="s">
        <v>1906</v>
      </c>
      <c r="F1390" s="1898" t="s">
        <v>1909</v>
      </c>
      <c r="G1390" s="1899">
        <v>116720000</v>
      </c>
      <c r="H1390" s="1892"/>
    </row>
    <row r="1391" spans="1:8" s="1893" customFormat="1" ht="23.25" customHeight="1" x14ac:dyDescent="0.3">
      <c r="A1391" s="1891" t="s">
        <v>2780</v>
      </c>
      <c r="B1391" s="1898" t="s">
        <v>2056</v>
      </c>
      <c r="C1391" s="1898" t="s">
        <v>2048</v>
      </c>
      <c r="D1391" s="1898" t="s">
        <v>2049</v>
      </c>
      <c r="E1391" s="1898" t="s">
        <v>1912</v>
      </c>
      <c r="F1391" s="1898" t="s">
        <v>1916</v>
      </c>
      <c r="G1391" s="1899">
        <v>159307000</v>
      </c>
      <c r="H1391" s="1892"/>
    </row>
    <row r="1392" spans="1:8" s="1893" customFormat="1" ht="23.25" customHeight="1" x14ac:dyDescent="0.3">
      <c r="A1392" s="1891" t="s">
        <v>2780</v>
      </c>
      <c r="B1392" s="1898" t="s">
        <v>2056</v>
      </c>
      <c r="C1392" s="1898" t="s">
        <v>1970</v>
      </c>
      <c r="D1392" s="1898" t="s">
        <v>2050</v>
      </c>
      <c r="E1392" s="1898" t="s">
        <v>1893</v>
      </c>
      <c r="F1392" s="1898" t="s">
        <v>2051</v>
      </c>
      <c r="G1392" s="1899">
        <v>36000000</v>
      </c>
      <c r="H1392" s="1892"/>
    </row>
    <row r="1393" spans="1:8" s="1893" customFormat="1" ht="23.25" customHeight="1" x14ac:dyDescent="0.3">
      <c r="A1393" s="1891" t="s">
        <v>2780</v>
      </c>
      <c r="B1393" s="1898" t="s">
        <v>2056</v>
      </c>
      <c r="C1393" s="1898" t="s">
        <v>1970</v>
      </c>
      <c r="D1393" s="1898" t="s">
        <v>2050</v>
      </c>
      <c r="E1393" s="1898" t="s">
        <v>1903</v>
      </c>
      <c r="F1393" s="1898" t="s">
        <v>1905</v>
      </c>
      <c r="G1393" s="1899">
        <v>39454113</v>
      </c>
      <c r="H1393" s="1892"/>
    </row>
    <row r="1394" spans="1:8" s="1893" customFormat="1" ht="23.25" customHeight="1" x14ac:dyDescent="0.3">
      <c r="A1394" s="1891" t="s">
        <v>2780</v>
      </c>
      <c r="B1394" s="1898" t="s">
        <v>2056</v>
      </c>
      <c r="C1394" s="1898" t="s">
        <v>1970</v>
      </c>
      <c r="D1394" s="1898" t="s">
        <v>1971</v>
      </c>
      <c r="E1394" s="1898" t="s">
        <v>1912</v>
      </c>
      <c r="F1394" s="1898" t="s">
        <v>1916</v>
      </c>
      <c r="G1394" s="1899">
        <v>25000000</v>
      </c>
      <c r="H1394" s="1892"/>
    </row>
    <row r="1395" spans="1:8" s="1893" customFormat="1" ht="23.25" customHeight="1" x14ac:dyDescent="0.3">
      <c r="A1395" s="1891" t="s">
        <v>2780</v>
      </c>
      <c r="B1395" s="1898" t="s">
        <v>2056</v>
      </c>
      <c r="C1395" s="1898" t="s">
        <v>1919</v>
      </c>
      <c r="D1395" s="1898" t="s">
        <v>1920</v>
      </c>
      <c r="E1395" s="1898" t="s">
        <v>1853</v>
      </c>
      <c r="F1395" s="1898" t="s">
        <v>1856</v>
      </c>
      <c r="G1395" s="1899">
        <v>6303689</v>
      </c>
      <c r="H1395" s="1892"/>
    </row>
    <row r="1396" spans="1:8" s="1893" customFormat="1" ht="23.25" customHeight="1" x14ac:dyDescent="0.3">
      <c r="A1396" s="1891" t="s">
        <v>2780</v>
      </c>
      <c r="B1396" s="1898" t="s">
        <v>2056</v>
      </c>
      <c r="C1396" s="1898" t="s">
        <v>1919</v>
      </c>
      <c r="D1396" s="1898" t="s">
        <v>1920</v>
      </c>
      <c r="E1396" s="1898" t="s">
        <v>1874</v>
      </c>
      <c r="F1396" s="1898" t="s">
        <v>1877</v>
      </c>
      <c r="G1396" s="1899">
        <v>4475000</v>
      </c>
      <c r="H1396" s="1892"/>
    </row>
    <row r="1397" spans="1:8" s="1893" customFormat="1" ht="23.25" customHeight="1" x14ac:dyDescent="0.3">
      <c r="A1397" s="1891" t="s">
        <v>2780</v>
      </c>
      <c r="B1397" s="1898" t="s">
        <v>2056</v>
      </c>
      <c r="C1397" s="1898" t="s">
        <v>1919</v>
      </c>
      <c r="D1397" s="1898" t="s">
        <v>1920</v>
      </c>
      <c r="E1397" s="1898" t="s">
        <v>1885</v>
      </c>
      <c r="F1397" s="1898" t="s">
        <v>1925</v>
      </c>
      <c r="G1397" s="1899">
        <v>860000</v>
      </c>
      <c r="H1397" s="1892"/>
    </row>
    <row r="1398" spans="1:8" s="1893" customFormat="1" ht="23.25" customHeight="1" x14ac:dyDescent="0.3">
      <c r="A1398" s="1891" t="s">
        <v>2780</v>
      </c>
      <c r="B1398" s="1898" t="s">
        <v>2056</v>
      </c>
      <c r="C1398" s="1898" t="s">
        <v>1919</v>
      </c>
      <c r="D1398" s="1898" t="s">
        <v>1920</v>
      </c>
      <c r="E1398" s="1898" t="s">
        <v>1885</v>
      </c>
      <c r="F1398" s="1898" t="s">
        <v>1886</v>
      </c>
      <c r="G1398" s="1899">
        <v>10800000</v>
      </c>
      <c r="H1398" s="1892"/>
    </row>
    <row r="1399" spans="1:8" s="1893" customFormat="1" ht="23.25" customHeight="1" x14ac:dyDescent="0.3">
      <c r="A1399" s="1891" t="s">
        <v>2780</v>
      </c>
      <c r="B1399" s="1898" t="s">
        <v>2056</v>
      </c>
      <c r="C1399" s="1898" t="s">
        <v>1919</v>
      </c>
      <c r="D1399" s="1898" t="s">
        <v>1920</v>
      </c>
      <c r="E1399" s="1898" t="s">
        <v>1885</v>
      </c>
      <c r="F1399" s="1898" t="s">
        <v>1887</v>
      </c>
      <c r="G1399" s="1899">
        <v>15150000</v>
      </c>
      <c r="H1399" s="1892"/>
    </row>
    <row r="1400" spans="1:8" s="1893" customFormat="1" ht="23.25" customHeight="1" x14ac:dyDescent="0.3">
      <c r="A1400" s="1891" t="s">
        <v>2780</v>
      </c>
      <c r="B1400" s="1898" t="s">
        <v>2056</v>
      </c>
      <c r="C1400" s="1898" t="s">
        <v>1919</v>
      </c>
      <c r="D1400" s="1898" t="s">
        <v>1920</v>
      </c>
      <c r="E1400" s="1898" t="s">
        <v>1885</v>
      </c>
      <c r="F1400" s="1898" t="s">
        <v>1888</v>
      </c>
      <c r="G1400" s="1899">
        <v>4203200</v>
      </c>
      <c r="H1400" s="1892"/>
    </row>
    <row r="1401" spans="1:8" s="1893" customFormat="1" ht="23.25" customHeight="1" x14ac:dyDescent="0.3">
      <c r="A1401" s="1891" t="s">
        <v>2780</v>
      </c>
      <c r="B1401" s="1898" t="s">
        <v>2056</v>
      </c>
      <c r="C1401" s="1898" t="s">
        <v>1919</v>
      </c>
      <c r="D1401" s="1898" t="s">
        <v>1920</v>
      </c>
      <c r="E1401" s="1898" t="s">
        <v>1893</v>
      </c>
      <c r="F1401" s="1898" t="s">
        <v>2051</v>
      </c>
      <c r="G1401" s="1899">
        <v>22895500</v>
      </c>
      <c r="H1401" s="1892"/>
    </row>
    <row r="1402" spans="1:8" s="1893" customFormat="1" ht="23.25" customHeight="1" x14ac:dyDescent="0.3">
      <c r="A1402" s="1891" t="s">
        <v>2780</v>
      </c>
      <c r="B1402" s="1898" t="s">
        <v>2056</v>
      </c>
      <c r="C1402" s="1898" t="s">
        <v>1919</v>
      </c>
      <c r="D1402" s="1898" t="s">
        <v>1920</v>
      </c>
      <c r="E1402" s="1898" t="s">
        <v>1906</v>
      </c>
      <c r="F1402" s="1898" t="s">
        <v>1908</v>
      </c>
      <c r="G1402" s="1899">
        <v>3429000</v>
      </c>
      <c r="H1402" s="1892"/>
    </row>
    <row r="1403" spans="1:8" s="1893" customFormat="1" ht="23.25" customHeight="1" x14ac:dyDescent="0.3">
      <c r="A1403" s="1891" t="s">
        <v>2780</v>
      </c>
      <c r="B1403" s="1898" t="s">
        <v>2056</v>
      </c>
      <c r="C1403" s="1898" t="s">
        <v>1919</v>
      </c>
      <c r="D1403" s="1898" t="s">
        <v>1920</v>
      </c>
      <c r="E1403" s="1898" t="s">
        <v>1923</v>
      </c>
      <c r="F1403" s="1898" t="s">
        <v>2007</v>
      </c>
      <c r="G1403" s="1899">
        <v>2760160621</v>
      </c>
      <c r="H1403" s="1892"/>
    </row>
    <row r="1404" spans="1:8" s="1893" customFormat="1" ht="23.25" customHeight="1" x14ac:dyDescent="0.3">
      <c r="A1404" s="1891" t="s">
        <v>2780</v>
      </c>
      <c r="B1404" s="1898" t="s">
        <v>2056</v>
      </c>
      <c r="C1404" s="1898" t="s">
        <v>1919</v>
      </c>
      <c r="D1404" s="1898" t="s">
        <v>1920</v>
      </c>
      <c r="E1404" s="1898" t="s">
        <v>1912</v>
      </c>
      <c r="F1404" s="1898" t="s">
        <v>1916</v>
      </c>
      <c r="G1404" s="1899">
        <v>365355337</v>
      </c>
      <c r="H1404" s="1892"/>
    </row>
    <row r="1405" spans="1:8" s="1893" customFormat="1" ht="23.25" customHeight="1" x14ac:dyDescent="0.3">
      <c r="A1405" s="1891" t="s">
        <v>2780</v>
      </c>
      <c r="B1405" s="1898" t="s">
        <v>2056</v>
      </c>
      <c r="C1405" s="1898" t="s">
        <v>1919</v>
      </c>
      <c r="D1405" s="1898" t="s">
        <v>2005</v>
      </c>
      <c r="E1405" s="1898" t="s">
        <v>1874</v>
      </c>
      <c r="F1405" s="1898" t="s">
        <v>1877</v>
      </c>
      <c r="G1405" s="1899">
        <v>920000</v>
      </c>
      <c r="H1405" s="1892"/>
    </row>
    <row r="1406" spans="1:8" s="1893" customFormat="1" ht="23.25" customHeight="1" x14ac:dyDescent="0.3">
      <c r="A1406" s="1891" t="s">
        <v>2780</v>
      </c>
      <c r="B1406" s="1898" t="s">
        <v>2056</v>
      </c>
      <c r="C1406" s="1898" t="s">
        <v>1919</v>
      </c>
      <c r="D1406" s="1898" t="s">
        <v>2005</v>
      </c>
      <c r="E1406" s="1898" t="s">
        <v>1896</v>
      </c>
      <c r="F1406" s="1898" t="s">
        <v>2006</v>
      </c>
      <c r="G1406" s="1899">
        <v>692028408</v>
      </c>
      <c r="H1406" s="1892"/>
    </row>
    <row r="1407" spans="1:8" s="1893" customFormat="1" ht="23.25" customHeight="1" x14ac:dyDescent="0.3">
      <c r="A1407" s="1891" t="s">
        <v>2780</v>
      </c>
      <c r="B1407" s="1898" t="s">
        <v>2056</v>
      </c>
      <c r="C1407" s="1898" t="s">
        <v>1919</v>
      </c>
      <c r="D1407" s="1898" t="s">
        <v>2005</v>
      </c>
      <c r="E1407" s="1898" t="s">
        <v>1912</v>
      </c>
      <c r="F1407" s="1898" t="s">
        <v>1916</v>
      </c>
      <c r="G1407" s="1899">
        <v>25108000</v>
      </c>
      <c r="H1407" s="1892"/>
    </row>
    <row r="1408" spans="1:8" s="1893" customFormat="1" ht="23.25" customHeight="1" x14ac:dyDescent="0.3">
      <c r="A1408" s="1891" t="s">
        <v>2780</v>
      </c>
      <c r="B1408" s="1898" t="s">
        <v>2056</v>
      </c>
      <c r="C1408" s="1898" t="s">
        <v>1919</v>
      </c>
      <c r="D1408" s="1898" t="s">
        <v>2005</v>
      </c>
      <c r="E1408" s="1898" t="s">
        <v>2024</v>
      </c>
      <c r="F1408" s="1898" t="s">
        <v>2025</v>
      </c>
      <c r="G1408" s="1899">
        <v>98396241</v>
      </c>
      <c r="H1408" s="1892"/>
    </row>
    <row r="1409" spans="1:8" s="1893" customFormat="1" ht="23.25" customHeight="1" x14ac:dyDescent="0.3">
      <c r="A1409" s="1891" t="s">
        <v>2780</v>
      </c>
      <c r="B1409" s="1898" t="s">
        <v>2056</v>
      </c>
      <c r="C1409" s="1898" t="s">
        <v>1919</v>
      </c>
      <c r="D1409" s="1898" t="s">
        <v>2005</v>
      </c>
      <c r="E1409" s="1898" t="s">
        <v>2026</v>
      </c>
      <c r="F1409" s="1898" t="s">
        <v>2027</v>
      </c>
      <c r="G1409" s="1899">
        <v>28988011</v>
      </c>
      <c r="H1409" s="1892"/>
    </row>
    <row r="1410" spans="1:8" s="1893" customFormat="1" ht="23.25" customHeight="1" x14ac:dyDescent="0.3">
      <c r="A1410" s="1891" t="s">
        <v>2780</v>
      </c>
      <c r="B1410" s="1898" t="s">
        <v>2056</v>
      </c>
      <c r="C1410" s="1898" t="s">
        <v>1919</v>
      </c>
      <c r="D1410" s="1898" t="s">
        <v>2005</v>
      </c>
      <c r="E1410" s="1898" t="s">
        <v>2026</v>
      </c>
      <c r="F1410" s="1898" t="s">
        <v>2029</v>
      </c>
      <c r="G1410" s="1899">
        <v>8181659</v>
      </c>
      <c r="H1410" s="1892"/>
    </row>
    <row r="1411" spans="1:8" s="1893" customFormat="1" ht="23.25" customHeight="1" x14ac:dyDescent="0.3">
      <c r="A1411" s="1891" t="s">
        <v>2780</v>
      </c>
      <c r="B1411" s="1898" t="s">
        <v>2056</v>
      </c>
      <c r="C1411" s="1898" t="s">
        <v>1919</v>
      </c>
      <c r="D1411" s="1898" t="s">
        <v>2768</v>
      </c>
      <c r="E1411" s="1898" t="s">
        <v>1912</v>
      </c>
      <c r="F1411" s="1898" t="s">
        <v>1916</v>
      </c>
      <c r="G1411" s="1899">
        <v>5183000</v>
      </c>
      <c r="H1411" s="1892"/>
    </row>
    <row r="1412" spans="1:8" s="1893" customFormat="1" ht="23.25" customHeight="1" x14ac:dyDescent="0.3">
      <c r="A1412" s="1891" t="s">
        <v>2780</v>
      </c>
      <c r="B1412" s="1898" t="s">
        <v>2056</v>
      </c>
      <c r="C1412" s="1898" t="s">
        <v>1919</v>
      </c>
      <c r="D1412" s="1898" t="s">
        <v>1931</v>
      </c>
      <c r="E1412" s="1898" t="s">
        <v>1874</v>
      </c>
      <c r="F1412" s="1898" t="s">
        <v>1875</v>
      </c>
      <c r="G1412" s="1899">
        <v>785913</v>
      </c>
      <c r="H1412" s="1892"/>
    </row>
    <row r="1413" spans="1:8" s="1893" customFormat="1" ht="23.25" customHeight="1" x14ac:dyDescent="0.3">
      <c r="A1413" s="1891" t="s">
        <v>2780</v>
      </c>
      <c r="B1413" s="1898" t="s">
        <v>2056</v>
      </c>
      <c r="C1413" s="1898" t="s">
        <v>1919</v>
      </c>
      <c r="D1413" s="1898" t="s">
        <v>1931</v>
      </c>
      <c r="E1413" s="1898" t="s">
        <v>1896</v>
      </c>
      <c r="F1413" s="1898" t="s">
        <v>1932</v>
      </c>
      <c r="G1413" s="1899">
        <v>1069878139</v>
      </c>
      <c r="H1413" s="1892"/>
    </row>
    <row r="1414" spans="1:8" s="1893" customFormat="1" ht="23.25" customHeight="1" x14ac:dyDescent="0.3">
      <c r="A1414" s="1891" t="s">
        <v>2780</v>
      </c>
      <c r="B1414" s="1898" t="s">
        <v>2056</v>
      </c>
      <c r="C1414" s="1898" t="s">
        <v>1919</v>
      </c>
      <c r="D1414" s="1898" t="s">
        <v>1931</v>
      </c>
      <c r="E1414" s="1898" t="s">
        <v>1896</v>
      </c>
      <c r="F1414" s="1898" t="s">
        <v>2006</v>
      </c>
      <c r="G1414" s="1899">
        <v>46224806</v>
      </c>
      <c r="H1414" s="1892"/>
    </row>
    <row r="1415" spans="1:8" s="1893" customFormat="1" ht="23.25" customHeight="1" x14ac:dyDescent="0.3">
      <c r="A1415" s="1891" t="s">
        <v>2780</v>
      </c>
      <c r="B1415" s="1898" t="s">
        <v>2056</v>
      </c>
      <c r="C1415" s="1898" t="s">
        <v>1919</v>
      </c>
      <c r="D1415" s="1898" t="s">
        <v>1931</v>
      </c>
      <c r="E1415" s="1898" t="s">
        <v>2024</v>
      </c>
      <c r="F1415" s="1898" t="s">
        <v>2025</v>
      </c>
      <c r="G1415" s="1899">
        <v>316588679</v>
      </c>
      <c r="H1415" s="1892"/>
    </row>
    <row r="1416" spans="1:8" s="1893" customFormat="1" ht="23.25" customHeight="1" x14ac:dyDescent="0.3">
      <c r="A1416" s="1891" t="s">
        <v>2780</v>
      </c>
      <c r="B1416" s="1898" t="s">
        <v>2056</v>
      </c>
      <c r="C1416" s="1898" t="s">
        <v>1919</v>
      </c>
      <c r="D1416" s="1898" t="s">
        <v>1931</v>
      </c>
      <c r="E1416" s="1898" t="s">
        <v>2026</v>
      </c>
      <c r="F1416" s="1898" t="s">
        <v>2027</v>
      </c>
      <c r="G1416" s="1899">
        <v>30881774</v>
      </c>
      <c r="H1416" s="1892"/>
    </row>
    <row r="1417" spans="1:8" s="1893" customFormat="1" ht="23.25" customHeight="1" x14ac:dyDescent="0.3">
      <c r="A1417" s="1891" t="s">
        <v>2780</v>
      </c>
      <c r="B1417" s="1898" t="s">
        <v>2056</v>
      </c>
      <c r="C1417" s="1898" t="s">
        <v>1919</v>
      </c>
      <c r="D1417" s="1898" t="s">
        <v>1931</v>
      </c>
      <c r="E1417" s="1898" t="s">
        <v>2026</v>
      </c>
      <c r="F1417" s="1898" t="s">
        <v>2029</v>
      </c>
      <c r="G1417" s="1899">
        <v>9782413</v>
      </c>
      <c r="H1417" s="1892"/>
    </row>
    <row r="1418" spans="1:8" s="1893" customFormat="1" ht="23.25" customHeight="1" x14ac:dyDescent="0.3">
      <c r="A1418" s="1891" t="s">
        <v>2780</v>
      </c>
      <c r="B1418" s="1898" t="s">
        <v>2056</v>
      </c>
      <c r="C1418" s="1898" t="s">
        <v>1972</v>
      </c>
      <c r="D1418" s="1898" t="s">
        <v>2054</v>
      </c>
      <c r="E1418" s="1898" t="s">
        <v>1869</v>
      </c>
      <c r="F1418" s="1898" t="s">
        <v>1870</v>
      </c>
      <c r="G1418" s="1899">
        <v>76875788</v>
      </c>
      <c r="H1418" s="1892"/>
    </row>
    <row r="1419" spans="1:8" s="1893" customFormat="1" ht="23.25" customHeight="1" x14ac:dyDescent="0.3">
      <c r="A1419" s="1891" t="s">
        <v>2780</v>
      </c>
      <c r="B1419" s="1898" t="s">
        <v>2056</v>
      </c>
      <c r="C1419" s="1898" t="s">
        <v>1972</v>
      </c>
      <c r="D1419" s="1898" t="s">
        <v>2054</v>
      </c>
      <c r="E1419" s="1898" t="s">
        <v>1869</v>
      </c>
      <c r="F1419" s="1898" t="s">
        <v>1871</v>
      </c>
      <c r="G1419" s="1899">
        <v>1435095</v>
      </c>
      <c r="H1419" s="1892"/>
    </row>
    <row r="1420" spans="1:8" s="1893" customFormat="1" ht="23.25" customHeight="1" x14ac:dyDescent="0.3">
      <c r="A1420" s="1891" t="s">
        <v>2780</v>
      </c>
      <c r="B1420" s="1898" t="s">
        <v>2056</v>
      </c>
      <c r="C1420" s="1898" t="s">
        <v>1972</v>
      </c>
      <c r="D1420" s="1898" t="s">
        <v>2054</v>
      </c>
      <c r="E1420" s="1898" t="s">
        <v>1874</v>
      </c>
      <c r="F1420" s="1898" t="s">
        <v>1877</v>
      </c>
      <c r="G1420" s="1899">
        <v>47800000</v>
      </c>
      <c r="H1420" s="1892"/>
    </row>
    <row r="1421" spans="1:8" s="1893" customFormat="1" ht="23.25" customHeight="1" x14ac:dyDescent="0.3">
      <c r="A1421" s="1891" t="s">
        <v>2780</v>
      </c>
      <c r="B1421" s="1898" t="s">
        <v>2056</v>
      </c>
      <c r="C1421" s="1898" t="s">
        <v>1972</v>
      </c>
      <c r="D1421" s="1898" t="s">
        <v>2054</v>
      </c>
      <c r="E1421" s="1898" t="s">
        <v>1878</v>
      </c>
      <c r="F1421" s="1898" t="s">
        <v>1882</v>
      </c>
      <c r="G1421" s="1899">
        <v>79370000</v>
      </c>
      <c r="H1421" s="1892"/>
    </row>
    <row r="1422" spans="1:8" s="1893" customFormat="1" ht="23.25" customHeight="1" x14ac:dyDescent="0.3">
      <c r="A1422" s="1891" t="s">
        <v>2780</v>
      </c>
      <c r="B1422" s="1898" t="s">
        <v>2056</v>
      </c>
      <c r="C1422" s="1898" t="s">
        <v>1972</v>
      </c>
      <c r="D1422" s="1898" t="s">
        <v>2054</v>
      </c>
      <c r="E1422" s="1898" t="s">
        <v>1893</v>
      </c>
      <c r="F1422" s="1898" t="s">
        <v>2051</v>
      </c>
      <c r="G1422" s="1899">
        <v>27480000</v>
      </c>
      <c r="H1422" s="1892"/>
    </row>
    <row r="1423" spans="1:8" s="1893" customFormat="1" ht="23.25" customHeight="1" x14ac:dyDescent="0.3">
      <c r="A1423" s="1891" t="s">
        <v>2780</v>
      </c>
      <c r="B1423" s="1898" t="s">
        <v>2056</v>
      </c>
      <c r="C1423" s="1898" t="s">
        <v>1972</v>
      </c>
      <c r="D1423" s="1898" t="s">
        <v>2054</v>
      </c>
      <c r="E1423" s="1898" t="s">
        <v>1896</v>
      </c>
      <c r="F1423" s="1898" t="s">
        <v>2055</v>
      </c>
      <c r="G1423" s="1899">
        <v>21780000</v>
      </c>
      <c r="H1423" s="1892"/>
    </row>
    <row r="1424" spans="1:8" s="1893" customFormat="1" ht="23.25" customHeight="1" x14ac:dyDescent="0.3">
      <c r="A1424" s="1891" t="s">
        <v>2780</v>
      </c>
      <c r="B1424" s="1898" t="s">
        <v>2056</v>
      </c>
      <c r="C1424" s="1898" t="s">
        <v>1972</v>
      </c>
      <c r="D1424" s="1898" t="s">
        <v>2054</v>
      </c>
      <c r="E1424" s="1898" t="s">
        <v>1896</v>
      </c>
      <c r="F1424" s="1898" t="s">
        <v>1928</v>
      </c>
      <c r="G1424" s="1899">
        <v>45635437</v>
      </c>
      <c r="H1424" s="1892"/>
    </row>
    <row r="1425" spans="1:8" s="1893" customFormat="1" ht="23.25" customHeight="1" x14ac:dyDescent="0.3">
      <c r="A1425" s="1891" t="s">
        <v>2780</v>
      </c>
      <c r="B1425" s="1898" t="s">
        <v>2056</v>
      </c>
      <c r="C1425" s="1898" t="s">
        <v>1972</v>
      </c>
      <c r="D1425" s="1898" t="s">
        <v>2054</v>
      </c>
      <c r="E1425" s="1898" t="s">
        <v>1896</v>
      </c>
      <c r="F1425" s="1898" t="s">
        <v>1902</v>
      </c>
      <c r="G1425" s="1899">
        <v>207684182</v>
      </c>
      <c r="H1425" s="1892"/>
    </row>
    <row r="1426" spans="1:8" s="1893" customFormat="1" ht="23.25" customHeight="1" x14ac:dyDescent="0.3">
      <c r="A1426" s="1891" t="s">
        <v>2780</v>
      </c>
      <c r="B1426" s="1898" t="s">
        <v>2056</v>
      </c>
      <c r="C1426" s="1898" t="s">
        <v>1972</v>
      </c>
      <c r="D1426" s="1898" t="s">
        <v>2054</v>
      </c>
      <c r="E1426" s="1898" t="s">
        <v>1906</v>
      </c>
      <c r="F1426" s="1898" t="s">
        <v>1907</v>
      </c>
      <c r="G1426" s="1899">
        <v>25768600</v>
      </c>
      <c r="H1426" s="1892"/>
    </row>
    <row r="1427" spans="1:8" s="1893" customFormat="1" ht="23.25" customHeight="1" x14ac:dyDescent="0.3">
      <c r="A1427" s="1891" t="s">
        <v>2780</v>
      </c>
      <c r="B1427" s="1898" t="s">
        <v>2056</v>
      </c>
      <c r="C1427" s="1898" t="s">
        <v>1972</v>
      </c>
      <c r="D1427" s="1898" t="s">
        <v>2054</v>
      </c>
      <c r="E1427" s="1898" t="s">
        <v>1912</v>
      </c>
      <c r="F1427" s="1898" t="s">
        <v>1916</v>
      </c>
      <c r="G1427" s="1899">
        <v>77625000</v>
      </c>
      <c r="H1427" s="1892"/>
    </row>
    <row r="1428" spans="1:8" s="1893" customFormat="1" ht="23.25" customHeight="1" x14ac:dyDescent="0.3">
      <c r="A1428" s="1891" t="s">
        <v>2780</v>
      </c>
      <c r="B1428" s="1898" t="s">
        <v>2056</v>
      </c>
      <c r="C1428" s="1898" t="s">
        <v>1972</v>
      </c>
      <c r="D1428" s="1898" t="s">
        <v>2064</v>
      </c>
      <c r="E1428" s="1898" t="s">
        <v>1896</v>
      </c>
      <c r="F1428" s="1898" t="s">
        <v>1902</v>
      </c>
      <c r="G1428" s="1899">
        <v>429729018</v>
      </c>
      <c r="H1428" s="1892"/>
    </row>
    <row r="1429" spans="1:8" s="1893" customFormat="1" ht="23.25" customHeight="1" x14ac:dyDescent="0.3">
      <c r="A1429" s="1891" t="s">
        <v>2780</v>
      </c>
      <c r="B1429" s="1898" t="s">
        <v>2056</v>
      </c>
      <c r="C1429" s="1898" t="s">
        <v>1846</v>
      </c>
      <c r="D1429" s="1898" t="s">
        <v>1847</v>
      </c>
      <c r="E1429" s="1898" t="s">
        <v>1848</v>
      </c>
      <c r="F1429" s="1898" t="s">
        <v>1849</v>
      </c>
      <c r="G1429" s="1899">
        <v>12960058971</v>
      </c>
      <c r="H1429" s="1892"/>
    </row>
    <row r="1430" spans="1:8" s="1893" customFormat="1" ht="23.25" customHeight="1" x14ac:dyDescent="0.3">
      <c r="A1430" s="1891" t="s">
        <v>2780</v>
      </c>
      <c r="B1430" s="1898" t="s">
        <v>2056</v>
      </c>
      <c r="C1430" s="1898" t="s">
        <v>1846</v>
      </c>
      <c r="D1430" s="1898" t="s">
        <v>1847</v>
      </c>
      <c r="E1430" s="1898" t="s">
        <v>1848</v>
      </c>
      <c r="F1430" s="1898" t="s">
        <v>1850</v>
      </c>
      <c r="G1430" s="1899">
        <v>567914</v>
      </c>
      <c r="H1430" s="1892"/>
    </row>
    <row r="1431" spans="1:8" s="1893" customFormat="1" ht="23.25" customHeight="1" x14ac:dyDescent="0.3">
      <c r="A1431" s="1891" t="s">
        <v>2780</v>
      </c>
      <c r="B1431" s="1898" t="s">
        <v>2056</v>
      </c>
      <c r="C1431" s="1898" t="s">
        <v>1846</v>
      </c>
      <c r="D1431" s="1898" t="s">
        <v>1847</v>
      </c>
      <c r="E1431" s="1898" t="s">
        <v>1853</v>
      </c>
      <c r="F1431" s="1898" t="s">
        <v>1854</v>
      </c>
      <c r="G1431" s="1899">
        <v>227473091</v>
      </c>
      <c r="H1431" s="1892"/>
    </row>
    <row r="1432" spans="1:8" s="1893" customFormat="1" ht="23.25" customHeight="1" x14ac:dyDescent="0.3">
      <c r="A1432" s="1891" t="s">
        <v>2780</v>
      </c>
      <c r="B1432" s="1898" t="s">
        <v>2056</v>
      </c>
      <c r="C1432" s="1898" t="s">
        <v>1846</v>
      </c>
      <c r="D1432" s="1898" t="s">
        <v>1847</v>
      </c>
      <c r="E1432" s="1898" t="s">
        <v>1853</v>
      </c>
      <c r="F1432" s="1898" t="s">
        <v>1855</v>
      </c>
      <c r="G1432" s="1899">
        <v>2177034281</v>
      </c>
      <c r="H1432" s="1892"/>
    </row>
    <row r="1433" spans="1:8" s="1893" customFormat="1" ht="23.25" customHeight="1" x14ac:dyDescent="0.3">
      <c r="A1433" s="1891" t="s">
        <v>2780</v>
      </c>
      <c r="B1433" s="1898" t="s">
        <v>2056</v>
      </c>
      <c r="C1433" s="1898" t="s">
        <v>1846</v>
      </c>
      <c r="D1433" s="1898" t="s">
        <v>1847</v>
      </c>
      <c r="E1433" s="1898" t="s">
        <v>1853</v>
      </c>
      <c r="F1433" s="1898" t="s">
        <v>1935</v>
      </c>
      <c r="G1433" s="1899">
        <v>817840670</v>
      </c>
      <c r="H1433" s="1892"/>
    </row>
    <row r="1434" spans="1:8" s="1893" customFormat="1" ht="23.25" customHeight="1" x14ac:dyDescent="0.3">
      <c r="A1434" s="1891" t="s">
        <v>2780</v>
      </c>
      <c r="B1434" s="1898" t="s">
        <v>2056</v>
      </c>
      <c r="C1434" s="1898" t="s">
        <v>1846</v>
      </c>
      <c r="D1434" s="1898" t="s">
        <v>1847</v>
      </c>
      <c r="E1434" s="1898" t="s">
        <v>1853</v>
      </c>
      <c r="F1434" s="1898" t="s">
        <v>1856</v>
      </c>
      <c r="G1434" s="1899">
        <v>457808615</v>
      </c>
      <c r="H1434" s="1892"/>
    </row>
    <row r="1435" spans="1:8" s="1893" customFormat="1" ht="23.25" customHeight="1" x14ac:dyDescent="0.3">
      <c r="A1435" s="1891" t="s">
        <v>2780</v>
      </c>
      <c r="B1435" s="1898" t="s">
        <v>2056</v>
      </c>
      <c r="C1435" s="1898" t="s">
        <v>1846</v>
      </c>
      <c r="D1435" s="1898" t="s">
        <v>1847</v>
      </c>
      <c r="E1435" s="1898" t="s">
        <v>1853</v>
      </c>
      <c r="F1435" s="1898" t="s">
        <v>1857</v>
      </c>
      <c r="G1435" s="1899">
        <v>2105634063</v>
      </c>
      <c r="H1435" s="1892"/>
    </row>
    <row r="1436" spans="1:8" s="1893" customFormat="1" ht="23.25" customHeight="1" x14ac:dyDescent="0.3">
      <c r="A1436" s="1891" t="s">
        <v>2780</v>
      </c>
      <c r="B1436" s="1898" t="s">
        <v>2056</v>
      </c>
      <c r="C1436" s="1898" t="s">
        <v>1846</v>
      </c>
      <c r="D1436" s="1898" t="s">
        <v>1847</v>
      </c>
      <c r="E1436" s="1898" t="s">
        <v>1853</v>
      </c>
      <c r="F1436" s="1898" t="s">
        <v>1858</v>
      </c>
      <c r="G1436" s="1899">
        <v>49560109</v>
      </c>
      <c r="H1436" s="1892"/>
    </row>
    <row r="1437" spans="1:8" s="1893" customFormat="1" ht="23.25" customHeight="1" x14ac:dyDescent="0.3">
      <c r="A1437" s="1891" t="s">
        <v>2780</v>
      </c>
      <c r="B1437" s="1898" t="s">
        <v>2056</v>
      </c>
      <c r="C1437" s="1898" t="s">
        <v>1846</v>
      </c>
      <c r="D1437" s="1898" t="s">
        <v>1847</v>
      </c>
      <c r="E1437" s="1898" t="s">
        <v>1853</v>
      </c>
      <c r="F1437" s="1898" t="s">
        <v>1938</v>
      </c>
      <c r="G1437" s="1899">
        <v>192210000</v>
      </c>
      <c r="H1437" s="1892"/>
    </row>
    <row r="1438" spans="1:8" s="1893" customFormat="1" ht="23.25" customHeight="1" x14ac:dyDescent="0.3">
      <c r="A1438" s="1891" t="s">
        <v>2780</v>
      </c>
      <c r="B1438" s="1898" t="s">
        <v>2056</v>
      </c>
      <c r="C1438" s="1898" t="s">
        <v>1846</v>
      </c>
      <c r="D1438" s="1898" t="s">
        <v>1847</v>
      </c>
      <c r="E1438" s="1898" t="s">
        <v>1853</v>
      </c>
      <c r="F1438" s="1898" t="s">
        <v>1859</v>
      </c>
      <c r="G1438" s="1899">
        <v>3269477074</v>
      </c>
      <c r="H1438" s="1892"/>
    </row>
    <row r="1439" spans="1:8" s="1893" customFormat="1" ht="23.25" customHeight="1" x14ac:dyDescent="0.3">
      <c r="A1439" s="1891" t="s">
        <v>2780</v>
      </c>
      <c r="B1439" s="1898" t="s">
        <v>2056</v>
      </c>
      <c r="C1439" s="1898" t="s">
        <v>1846</v>
      </c>
      <c r="D1439" s="1898" t="s">
        <v>1847</v>
      </c>
      <c r="E1439" s="1898" t="s">
        <v>1853</v>
      </c>
      <c r="F1439" s="1898" t="s">
        <v>1939</v>
      </c>
      <c r="G1439" s="1899">
        <v>454868441</v>
      </c>
      <c r="H1439" s="1892"/>
    </row>
    <row r="1440" spans="1:8" s="1893" customFormat="1" ht="23.25" customHeight="1" x14ac:dyDescent="0.3">
      <c r="A1440" s="1891" t="s">
        <v>2780</v>
      </c>
      <c r="B1440" s="1898" t="s">
        <v>2056</v>
      </c>
      <c r="C1440" s="1898" t="s">
        <v>1846</v>
      </c>
      <c r="D1440" s="1898" t="s">
        <v>1847</v>
      </c>
      <c r="E1440" s="1898" t="s">
        <v>1860</v>
      </c>
      <c r="F1440" s="1898" t="s">
        <v>1861</v>
      </c>
      <c r="G1440" s="1899">
        <v>276746000</v>
      </c>
      <c r="H1440" s="1892"/>
    </row>
    <row r="1441" spans="1:8" s="1893" customFormat="1" ht="23.25" customHeight="1" x14ac:dyDescent="0.3">
      <c r="A1441" s="1891" t="s">
        <v>2780</v>
      </c>
      <c r="B1441" s="1898" t="s">
        <v>2056</v>
      </c>
      <c r="C1441" s="1898" t="s">
        <v>1846</v>
      </c>
      <c r="D1441" s="1898" t="s">
        <v>1847</v>
      </c>
      <c r="E1441" s="1898" t="s">
        <v>1860</v>
      </c>
      <c r="F1441" s="1898" t="s">
        <v>1930</v>
      </c>
      <c r="G1441" s="1899">
        <v>39010000</v>
      </c>
      <c r="H1441" s="1892"/>
    </row>
    <row r="1442" spans="1:8" s="1893" customFormat="1" ht="23.25" customHeight="1" x14ac:dyDescent="0.3">
      <c r="A1442" s="1891" t="s">
        <v>2780</v>
      </c>
      <c r="B1442" s="1898" t="s">
        <v>2056</v>
      </c>
      <c r="C1442" s="1898" t="s">
        <v>1846</v>
      </c>
      <c r="D1442" s="1898" t="s">
        <v>1847</v>
      </c>
      <c r="E1442" s="1898" t="s">
        <v>1862</v>
      </c>
      <c r="F1442" s="1898" t="s">
        <v>1863</v>
      </c>
      <c r="G1442" s="1899">
        <v>2365437261</v>
      </c>
      <c r="H1442" s="1892"/>
    </row>
    <row r="1443" spans="1:8" s="1893" customFormat="1" ht="23.25" customHeight="1" x14ac:dyDescent="0.3">
      <c r="A1443" s="1891" t="s">
        <v>2780</v>
      </c>
      <c r="B1443" s="1898" t="s">
        <v>2056</v>
      </c>
      <c r="C1443" s="1898" t="s">
        <v>1846</v>
      </c>
      <c r="D1443" s="1898" t="s">
        <v>1847</v>
      </c>
      <c r="E1443" s="1898" t="s">
        <v>1862</v>
      </c>
      <c r="F1443" s="1898" t="s">
        <v>1864</v>
      </c>
      <c r="G1443" s="1899">
        <v>521794878</v>
      </c>
      <c r="H1443" s="1892"/>
    </row>
    <row r="1444" spans="1:8" s="1893" customFormat="1" ht="23.25" customHeight="1" x14ac:dyDescent="0.3">
      <c r="A1444" s="1891" t="s">
        <v>2780</v>
      </c>
      <c r="B1444" s="1898" t="s">
        <v>2056</v>
      </c>
      <c r="C1444" s="1898" t="s">
        <v>1846</v>
      </c>
      <c r="D1444" s="1898" t="s">
        <v>1847</v>
      </c>
      <c r="E1444" s="1898" t="s">
        <v>1862</v>
      </c>
      <c r="F1444" s="1898" t="s">
        <v>1865</v>
      </c>
      <c r="G1444" s="1899">
        <v>250735110</v>
      </c>
      <c r="H1444" s="1892"/>
    </row>
    <row r="1445" spans="1:8" s="1893" customFormat="1" ht="23.25" customHeight="1" x14ac:dyDescent="0.3">
      <c r="A1445" s="1891" t="s">
        <v>2780</v>
      </c>
      <c r="B1445" s="1898" t="s">
        <v>2056</v>
      </c>
      <c r="C1445" s="1898" t="s">
        <v>1846</v>
      </c>
      <c r="D1445" s="1898" t="s">
        <v>1847</v>
      </c>
      <c r="E1445" s="1898" t="s">
        <v>2057</v>
      </c>
      <c r="F1445" s="1898" t="s">
        <v>2058</v>
      </c>
      <c r="G1445" s="1899">
        <v>1540843027</v>
      </c>
      <c r="H1445" s="1892"/>
    </row>
    <row r="1446" spans="1:8" s="1893" customFormat="1" ht="23.25" customHeight="1" x14ac:dyDescent="0.3">
      <c r="A1446" s="1891" t="s">
        <v>2780</v>
      </c>
      <c r="B1446" s="1898" t="s">
        <v>2056</v>
      </c>
      <c r="C1446" s="1898" t="s">
        <v>1846</v>
      </c>
      <c r="D1446" s="1898" t="s">
        <v>1847</v>
      </c>
      <c r="E1446" s="1898" t="s">
        <v>2057</v>
      </c>
      <c r="F1446" s="1898" t="s">
        <v>2059</v>
      </c>
      <c r="G1446" s="1899">
        <v>3985758850</v>
      </c>
      <c r="H1446" s="1892"/>
    </row>
    <row r="1447" spans="1:8" s="1893" customFormat="1" ht="23.25" customHeight="1" x14ac:dyDescent="0.3">
      <c r="A1447" s="1891" t="s">
        <v>2780</v>
      </c>
      <c r="B1447" s="1898" t="s">
        <v>2056</v>
      </c>
      <c r="C1447" s="1898" t="s">
        <v>1846</v>
      </c>
      <c r="D1447" s="1898" t="s">
        <v>1847</v>
      </c>
      <c r="E1447" s="1898" t="s">
        <v>1867</v>
      </c>
      <c r="F1447" s="1898" t="s">
        <v>1868</v>
      </c>
      <c r="G1447" s="1899">
        <v>331054542</v>
      </c>
      <c r="H1447" s="1892"/>
    </row>
    <row r="1448" spans="1:8" s="1893" customFormat="1" ht="23.25" customHeight="1" x14ac:dyDescent="0.3">
      <c r="A1448" s="1891" t="s">
        <v>2780</v>
      </c>
      <c r="B1448" s="1898" t="s">
        <v>2056</v>
      </c>
      <c r="C1448" s="1898" t="s">
        <v>1846</v>
      </c>
      <c r="D1448" s="1898" t="s">
        <v>1847</v>
      </c>
      <c r="E1448" s="1898" t="s">
        <v>1867</v>
      </c>
      <c r="F1448" s="1898" t="s">
        <v>1947</v>
      </c>
      <c r="G1448" s="1899">
        <v>8832000</v>
      </c>
      <c r="H1448" s="1892"/>
    </row>
    <row r="1449" spans="1:8" s="1893" customFormat="1" ht="23.25" customHeight="1" x14ac:dyDescent="0.3">
      <c r="A1449" s="1891" t="s">
        <v>2780</v>
      </c>
      <c r="B1449" s="1898" t="s">
        <v>2056</v>
      </c>
      <c r="C1449" s="1898" t="s">
        <v>1846</v>
      </c>
      <c r="D1449" s="1898" t="s">
        <v>1847</v>
      </c>
      <c r="E1449" s="1898" t="s">
        <v>1869</v>
      </c>
      <c r="F1449" s="1898" t="s">
        <v>1870</v>
      </c>
      <c r="G1449" s="1899">
        <v>418557364</v>
      </c>
      <c r="H1449" s="1892"/>
    </row>
    <row r="1450" spans="1:8" s="1893" customFormat="1" ht="23.25" customHeight="1" x14ac:dyDescent="0.3">
      <c r="A1450" s="1891" t="s">
        <v>2780</v>
      </c>
      <c r="B1450" s="1898" t="s">
        <v>2056</v>
      </c>
      <c r="C1450" s="1898" t="s">
        <v>1846</v>
      </c>
      <c r="D1450" s="1898" t="s">
        <v>1847</v>
      </c>
      <c r="E1450" s="1898" t="s">
        <v>1869</v>
      </c>
      <c r="F1450" s="1898" t="s">
        <v>1871</v>
      </c>
      <c r="G1450" s="1899">
        <v>3848086</v>
      </c>
      <c r="H1450" s="1892"/>
    </row>
    <row r="1451" spans="1:8" s="1893" customFormat="1" ht="23.25" customHeight="1" x14ac:dyDescent="0.3">
      <c r="A1451" s="1891" t="s">
        <v>2780</v>
      </c>
      <c r="B1451" s="1898" t="s">
        <v>2056</v>
      </c>
      <c r="C1451" s="1898" t="s">
        <v>1846</v>
      </c>
      <c r="D1451" s="1898" t="s">
        <v>1847</v>
      </c>
      <c r="E1451" s="1898" t="s">
        <v>1869</v>
      </c>
      <c r="F1451" s="1898" t="s">
        <v>1872</v>
      </c>
      <c r="G1451" s="1899">
        <v>2312400</v>
      </c>
      <c r="H1451" s="1892"/>
    </row>
    <row r="1452" spans="1:8" s="1893" customFormat="1" ht="23.25" customHeight="1" x14ac:dyDescent="0.3">
      <c r="A1452" s="1891" t="s">
        <v>2780</v>
      </c>
      <c r="B1452" s="1898" t="s">
        <v>2056</v>
      </c>
      <c r="C1452" s="1898" t="s">
        <v>1846</v>
      </c>
      <c r="D1452" s="1898" t="s">
        <v>1847</v>
      </c>
      <c r="E1452" s="1898" t="s">
        <v>1869</v>
      </c>
      <c r="F1452" s="1898" t="s">
        <v>1873</v>
      </c>
      <c r="G1452" s="1899">
        <v>1320000</v>
      </c>
      <c r="H1452" s="1892"/>
    </row>
    <row r="1453" spans="1:8" s="1893" customFormat="1" ht="23.25" customHeight="1" x14ac:dyDescent="0.3">
      <c r="A1453" s="1891" t="s">
        <v>2780</v>
      </c>
      <c r="B1453" s="1898" t="s">
        <v>2056</v>
      </c>
      <c r="C1453" s="1898" t="s">
        <v>1846</v>
      </c>
      <c r="D1453" s="1898" t="s">
        <v>1847</v>
      </c>
      <c r="E1453" s="1898" t="s">
        <v>1874</v>
      </c>
      <c r="F1453" s="1898" t="s">
        <v>1875</v>
      </c>
      <c r="G1453" s="1899">
        <v>809891605</v>
      </c>
      <c r="H1453" s="1892"/>
    </row>
    <row r="1454" spans="1:8" s="1893" customFormat="1" ht="23.25" customHeight="1" x14ac:dyDescent="0.3">
      <c r="A1454" s="1891" t="s">
        <v>2780</v>
      </c>
      <c r="B1454" s="1898" t="s">
        <v>2056</v>
      </c>
      <c r="C1454" s="1898" t="s">
        <v>1846</v>
      </c>
      <c r="D1454" s="1898" t="s">
        <v>1847</v>
      </c>
      <c r="E1454" s="1898" t="s">
        <v>1874</v>
      </c>
      <c r="F1454" s="1898" t="s">
        <v>1876</v>
      </c>
      <c r="G1454" s="1899">
        <v>516726000</v>
      </c>
      <c r="H1454" s="1892"/>
    </row>
    <row r="1455" spans="1:8" s="1893" customFormat="1" ht="23.25" customHeight="1" x14ac:dyDescent="0.3">
      <c r="A1455" s="1891" t="s">
        <v>2780</v>
      </c>
      <c r="B1455" s="1898" t="s">
        <v>2056</v>
      </c>
      <c r="C1455" s="1898" t="s">
        <v>1846</v>
      </c>
      <c r="D1455" s="1898" t="s">
        <v>1847</v>
      </c>
      <c r="E1455" s="1898" t="s">
        <v>1874</v>
      </c>
      <c r="F1455" s="1898" t="s">
        <v>1877</v>
      </c>
      <c r="G1455" s="1899">
        <v>358483000</v>
      </c>
      <c r="H1455" s="1892"/>
    </row>
    <row r="1456" spans="1:8" s="1893" customFormat="1" ht="23.25" customHeight="1" x14ac:dyDescent="0.3">
      <c r="A1456" s="1891" t="s">
        <v>2780</v>
      </c>
      <c r="B1456" s="1898" t="s">
        <v>2056</v>
      </c>
      <c r="C1456" s="1898" t="s">
        <v>1846</v>
      </c>
      <c r="D1456" s="1898" t="s">
        <v>1847</v>
      </c>
      <c r="E1456" s="1898" t="s">
        <v>1878</v>
      </c>
      <c r="F1456" s="1898" t="s">
        <v>1879</v>
      </c>
      <c r="G1456" s="1899">
        <v>26620088</v>
      </c>
      <c r="H1456" s="1892"/>
    </row>
    <row r="1457" spans="1:8" s="1893" customFormat="1" ht="23.25" customHeight="1" x14ac:dyDescent="0.3">
      <c r="A1457" s="1891" t="s">
        <v>2780</v>
      </c>
      <c r="B1457" s="1898" t="s">
        <v>2056</v>
      </c>
      <c r="C1457" s="1898" t="s">
        <v>1846</v>
      </c>
      <c r="D1457" s="1898" t="s">
        <v>1847</v>
      </c>
      <c r="E1457" s="1898" t="s">
        <v>1878</v>
      </c>
      <c r="F1457" s="1898" t="s">
        <v>1880</v>
      </c>
      <c r="G1457" s="1899">
        <v>9757000</v>
      </c>
      <c r="H1457" s="1892"/>
    </row>
    <row r="1458" spans="1:8" s="1893" customFormat="1" ht="23.25" customHeight="1" x14ac:dyDescent="0.3">
      <c r="A1458" s="1891" t="s">
        <v>2780</v>
      </c>
      <c r="B1458" s="1898" t="s">
        <v>2056</v>
      </c>
      <c r="C1458" s="1898" t="s">
        <v>1846</v>
      </c>
      <c r="D1458" s="1898" t="s">
        <v>1847</v>
      </c>
      <c r="E1458" s="1898" t="s">
        <v>1878</v>
      </c>
      <c r="F1458" s="1898" t="s">
        <v>1881</v>
      </c>
      <c r="G1458" s="1899">
        <v>448193280</v>
      </c>
      <c r="H1458" s="1892"/>
    </row>
    <row r="1459" spans="1:8" s="1893" customFormat="1" ht="23.25" customHeight="1" x14ac:dyDescent="0.3">
      <c r="A1459" s="1891" t="s">
        <v>2780</v>
      </c>
      <c r="B1459" s="1898" t="s">
        <v>2056</v>
      </c>
      <c r="C1459" s="1898" t="s">
        <v>1846</v>
      </c>
      <c r="D1459" s="1898" t="s">
        <v>1847</v>
      </c>
      <c r="E1459" s="1898" t="s">
        <v>1878</v>
      </c>
      <c r="F1459" s="1898" t="s">
        <v>1882</v>
      </c>
      <c r="G1459" s="1899">
        <v>33570000</v>
      </c>
      <c r="H1459" s="1892"/>
    </row>
    <row r="1460" spans="1:8" s="1893" customFormat="1" ht="23.25" customHeight="1" x14ac:dyDescent="0.3">
      <c r="A1460" s="1891" t="s">
        <v>2780</v>
      </c>
      <c r="B1460" s="1898" t="s">
        <v>2056</v>
      </c>
      <c r="C1460" s="1898" t="s">
        <v>1846</v>
      </c>
      <c r="D1460" s="1898" t="s">
        <v>1847</v>
      </c>
      <c r="E1460" s="1898" t="s">
        <v>1878</v>
      </c>
      <c r="F1460" s="1898" t="s">
        <v>1883</v>
      </c>
      <c r="G1460" s="1899">
        <v>84335900</v>
      </c>
      <c r="H1460" s="1892"/>
    </row>
    <row r="1461" spans="1:8" s="1893" customFormat="1" ht="23.25" customHeight="1" x14ac:dyDescent="0.3">
      <c r="A1461" s="1891" t="s">
        <v>2780</v>
      </c>
      <c r="B1461" s="1898" t="s">
        <v>2056</v>
      </c>
      <c r="C1461" s="1898" t="s">
        <v>1846</v>
      </c>
      <c r="D1461" s="1898" t="s">
        <v>1847</v>
      </c>
      <c r="E1461" s="1898" t="s">
        <v>1878</v>
      </c>
      <c r="F1461" s="1898" t="s">
        <v>1949</v>
      </c>
      <c r="G1461" s="1899">
        <v>7940600</v>
      </c>
      <c r="H1461" s="1892"/>
    </row>
    <row r="1462" spans="1:8" s="1893" customFormat="1" ht="23.25" customHeight="1" x14ac:dyDescent="0.3">
      <c r="A1462" s="1891" t="s">
        <v>2780</v>
      </c>
      <c r="B1462" s="1898" t="s">
        <v>2056</v>
      </c>
      <c r="C1462" s="1898" t="s">
        <v>1846</v>
      </c>
      <c r="D1462" s="1898" t="s">
        <v>1847</v>
      </c>
      <c r="E1462" s="1898" t="s">
        <v>1885</v>
      </c>
      <c r="F1462" s="1898" t="s">
        <v>1925</v>
      </c>
      <c r="G1462" s="1899">
        <v>22932500</v>
      </c>
      <c r="H1462" s="1892"/>
    </row>
    <row r="1463" spans="1:8" s="1893" customFormat="1" ht="23.25" customHeight="1" x14ac:dyDescent="0.3">
      <c r="A1463" s="1891" t="s">
        <v>2780</v>
      </c>
      <c r="B1463" s="1898" t="s">
        <v>2056</v>
      </c>
      <c r="C1463" s="1898" t="s">
        <v>1846</v>
      </c>
      <c r="D1463" s="1898" t="s">
        <v>1847</v>
      </c>
      <c r="E1463" s="1898" t="s">
        <v>1885</v>
      </c>
      <c r="F1463" s="1898" t="s">
        <v>1886</v>
      </c>
      <c r="G1463" s="1899">
        <v>3900000</v>
      </c>
      <c r="H1463" s="1892"/>
    </row>
    <row r="1464" spans="1:8" s="1893" customFormat="1" ht="23.25" customHeight="1" x14ac:dyDescent="0.3">
      <c r="A1464" s="1891" t="s">
        <v>2780</v>
      </c>
      <c r="B1464" s="1898" t="s">
        <v>2056</v>
      </c>
      <c r="C1464" s="1898" t="s">
        <v>1846</v>
      </c>
      <c r="D1464" s="1898" t="s">
        <v>1847</v>
      </c>
      <c r="E1464" s="1898" t="s">
        <v>1885</v>
      </c>
      <c r="F1464" s="1898" t="s">
        <v>1927</v>
      </c>
      <c r="G1464" s="1899">
        <v>7889000</v>
      </c>
      <c r="H1464" s="1892"/>
    </row>
    <row r="1465" spans="1:8" s="1893" customFormat="1" ht="23.25" customHeight="1" x14ac:dyDescent="0.3">
      <c r="A1465" s="1891" t="s">
        <v>2780</v>
      </c>
      <c r="B1465" s="1898" t="s">
        <v>2056</v>
      </c>
      <c r="C1465" s="1898" t="s">
        <v>1846</v>
      </c>
      <c r="D1465" s="1898" t="s">
        <v>1847</v>
      </c>
      <c r="E1465" s="1898" t="s">
        <v>1885</v>
      </c>
      <c r="F1465" s="1898" t="s">
        <v>1887</v>
      </c>
      <c r="G1465" s="1899">
        <v>969324000</v>
      </c>
      <c r="H1465" s="1892"/>
    </row>
    <row r="1466" spans="1:8" s="1893" customFormat="1" ht="23.25" customHeight="1" x14ac:dyDescent="0.3">
      <c r="A1466" s="1891" t="s">
        <v>2780</v>
      </c>
      <c r="B1466" s="1898" t="s">
        <v>2056</v>
      </c>
      <c r="C1466" s="1898" t="s">
        <v>1846</v>
      </c>
      <c r="D1466" s="1898" t="s">
        <v>1847</v>
      </c>
      <c r="E1466" s="1898" t="s">
        <v>1885</v>
      </c>
      <c r="F1466" s="1898" t="s">
        <v>1888</v>
      </c>
      <c r="G1466" s="1899">
        <v>347842000</v>
      </c>
      <c r="H1466" s="1892"/>
    </row>
    <row r="1467" spans="1:8" s="1893" customFormat="1" ht="23.25" customHeight="1" x14ac:dyDescent="0.3">
      <c r="A1467" s="1891" t="s">
        <v>2780</v>
      </c>
      <c r="B1467" s="1898" t="s">
        <v>2056</v>
      </c>
      <c r="C1467" s="1898" t="s">
        <v>1846</v>
      </c>
      <c r="D1467" s="1898" t="s">
        <v>1847</v>
      </c>
      <c r="E1467" s="1898" t="s">
        <v>1889</v>
      </c>
      <c r="F1467" s="1898" t="s">
        <v>1890</v>
      </c>
      <c r="G1467" s="1899">
        <v>330951230</v>
      </c>
      <c r="H1467" s="1892"/>
    </row>
    <row r="1468" spans="1:8" s="1893" customFormat="1" ht="23.25" customHeight="1" x14ac:dyDescent="0.3">
      <c r="A1468" s="1891" t="s">
        <v>2780</v>
      </c>
      <c r="B1468" s="1898" t="s">
        <v>2056</v>
      </c>
      <c r="C1468" s="1898" t="s">
        <v>1846</v>
      </c>
      <c r="D1468" s="1898" t="s">
        <v>1847</v>
      </c>
      <c r="E1468" s="1898" t="s">
        <v>1889</v>
      </c>
      <c r="F1468" s="1898" t="s">
        <v>1891</v>
      </c>
      <c r="G1468" s="1899">
        <v>13890000</v>
      </c>
      <c r="H1468" s="1892"/>
    </row>
    <row r="1469" spans="1:8" s="1893" customFormat="1" ht="23.25" customHeight="1" x14ac:dyDescent="0.3">
      <c r="A1469" s="1891" t="s">
        <v>2780</v>
      </c>
      <c r="B1469" s="1898" t="s">
        <v>2056</v>
      </c>
      <c r="C1469" s="1898" t="s">
        <v>1846</v>
      </c>
      <c r="D1469" s="1898" t="s">
        <v>1847</v>
      </c>
      <c r="E1469" s="1898" t="s">
        <v>1889</v>
      </c>
      <c r="F1469" s="1898" t="s">
        <v>1892</v>
      </c>
      <c r="G1469" s="1899">
        <v>229100000</v>
      </c>
      <c r="H1469" s="1892"/>
    </row>
    <row r="1470" spans="1:8" s="1893" customFormat="1" ht="23.25" customHeight="1" x14ac:dyDescent="0.3">
      <c r="A1470" s="1891" t="s">
        <v>2780</v>
      </c>
      <c r="B1470" s="1898" t="s">
        <v>2056</v>
      </c>
      <c r="C1470" s="1898" t="s">
        <v>1846</v>
      </c>
      <c r="D1470" s="1898" t="s">
        <v>1847</v>
      </c>
      <c r="E1470" s="1898" t="s">
        <v>1889</v>
      </c>
      <c r="F1470" s="1898" t="s">
        <v>1922</v>
      </c>
      <c r="G1470" s="1899">
        <v>154072500</v>
      </c>
      <c r="H1470" s="1892"/>
    </row>
    <row r="1471" spans="1:8" s="1893" customFormat="1" ht="23.25" customHeight="1" x14ac:dyDescent="0.3">
      <c r="A1471" s="1891" t="s">
        <v>2780</v>
      </c>
      <c r="B1471" s="1898" t="s">
        <v>2056</v>
      </c>
      <c r="C1471" s="1898" t="s">
        <v>1846</v>
      </c>
      <c r="D1471" s="1898" t="s">
        <v>1847</v>
      </c>
      <c r="E1471" s="1898" t="s">
        <v>1893</v>
      </c>
      <c r="F1471" s="1898" t="s">
        <v>1894</v>
      </c>
      <c r="G1471" s="1899">
        <v>12000000</v>
      </c>
      <c r="H1471" s="1892"/>
    </row>
    <row r="1472" spans="1:8" s="1893" customFormat="1" ht="23.25" customHeight="1" x14ac:dyDescent="0.3">
      <c r="A1472" s="1891" t="s">
        <v>2780</v>
      </c>
      <c r="B1472" s="1898" t="s">
        <v>2056</v>
      </c>
      <c r="C1472" s="1898" t="s">
        <v>1846</v>
      </c>
      <c r="D1472" s="1898" t="s">
        <v>1847</v>
      </c>
      <c r="E1472" s="1898" t="s">
        <v>1893</v>
      </c>
      <c r="F1472" s="1898" t="s">
        <v>1981</v>
      </c>
      <c r="G1472" s="1899">
        <v>3600000</v>
      </c>
      <c r="H1472" s="1892"/>
    </row>
    <row r="1473" spans="1:8" s="1893" customFormat="1" ht="23.25" customHeight="1" x14ac:dyDescent="0.3">
      <c r="A1473" s="1891" t="s">
        <v>2780</v>
      </c>
      <c r="B1473" s="1898" t="s">
        <v>2056</v>
      </c>
      <c r="C1473" s="1898" t="s">
        <v>1846</v>
      </c>
      <c r="D1473" s="1898" t="s">
        <v>1847</v>
      </c>
      <c r="E1473" s="1898" t="s">
        <v>1893</v>
      </c>
      <c r="F1473" s="1898" t="s">
        <v>2051</v>
      </c>
      <c r="G1473" s="1899">
        <v>696775800</v>
      </c>
      <c r="H1473" s="1892"/>
    </row>
    <row r="1474" spans="1:8" s="1893" customFormat="1" ht="23.25" customHeight="1" x14ac:dyDescent="0.3">
      <c r="A1474" s="1891" t="s">
        <v>2780</v>
      </c>
      <c r="B1474" s="1898" t="s">
        <v>2056</v>
      </c>
      <c r="C1474" s="1898" t="s">
        <v>1846</v>
      </c>
      <c r="D1474" s="1898" t="s">
        <v>1847</v>
      </c>
      <c r="E1474" s="1898" t="s">
        <v>1893</v>
      </c>
      <c r="F1474" s="1898" t="s">
        <v>1895</v>
      </c>
      <c r="G1474" s="1899">
        <v>163062000</v>
      </c>
      <c r="H1474" s="1892"/>
    </row>
    <row r="1475" spans="1:8" s="1893" customFormat="1" ht="23.25" customHeight="1" x14ac:dyDescent="0.3">
      <c r="A1475" s="1891" t="s">
        <v>2780</v>
      </c>
      <c r="B1475" s="1898" t="s">
        <v>2056</v>
      </c>
      <c r="C1475" s="1898" t="s">
        <v>1846</v>
      </c>
      <c r="D1475" s="1898" t="s">
        <v>1847</v>
      </c>
      <c r="E1475" s="1898" t="s">
        <v>1896</v>
      </c>
      <c r="F1475" s="1898" t="s">
        <v>1899</v>
      </c>
      <c r="G1475" s="1899">
        <v>317588668</v>
      </c>
      <c r="H1475" s="1892"/>
    </row>
    <row r="1476" spans="1:8" s="1893" customFormat="1" ht="23.25" customHeight="1" x14ac:dyDescent="0.3">
      <c r="A1476" s="1891" t="s">
        <v>2780</v>
      </c>
      <c r="B1476" s="1898" t="s">
        <v>2056</v>
      </c>
      <c r="C1476" s="1898" t="s">
        <v>1846</v>
      </c>
      <c r="D1476" s="1898" t="s">
        <v>1847</v>
      </c>
      <c r="E1476" s="1898" t="s">
        <v>1896</v>
      </c>
      <c r="F1476" s="1898" t="s">
        <v>1900</v>
      </c>
      <c r="G1476" s="1899">
        <v>891673000</v>
      </c>
      <c r="H1476" s="1892"/>
    </row>
    <row r="1477" spans="1:8" s="1893" customFormat="1" ht="23.25" customHeight="1" x14ac:dyDescent="0.3">
      <c r="A1477" s="1891" t="s">
        <v>2780</v>
      </c>
      <c r="B1477" s="1898" t="s">
        <v>2056</v>
      </c>
      <c r="C1477" s="1898" t="s">
        <v>1846</v>
      </c>
      <c r="D1477" s="1898" t="s">
        <v>1847</v>
      </c>
      <c r="E1477" s="1898" t="s">
        <v>1896</v>
      </c>
      <c r="F1477" s="1898" t="s">
        <v>1901</v>
      </c>
      <c r="G1477" s="1899">
        <v>230940000</v>
      </c>
      <c r="H1477" s="1892"/>
    </row>
    <row r="1478" spans="1:8" s="1893" customFormat="1" ht="23.25" customHeight="1" x14ac:dyDescent="0.3">
      <c r="A1478" s="1891" t="s">
        <v>2780</v>
      </c>
      <c r="B1478" s="1898" t="s">
        <v>2056</v>
      </c>
      <c r="C1478" s="1898" t="s">
        <v>1846</v>
      </c>
      <c r="D1478" s="1898" t="s">
        <v>1847</v>
      </c>
      <c r="E1478" s="1898" t="s">
        <v>1896</v>
      </c>
      <c r="F1478" s="1898" t="s">
        <v>1928</v>
      </c>
      <c r="G1478" s="1899">
        <v>75170647</v>
      </c>
      <c r="H1478" s="1892"/>
    </row>
    <row r="1479" spans="1:8" s="1893" customFormat="1" ht="23.25" customHeight="1" x14ac:dyDescent="0.3">
      <c r="A1479" s="1891" t="s">
        <v>2780</v>
      </c>
      <c r="B1479" s="1898" t="s">
        <v>2056</v>
      </c>
      <c r="C1479" s="1898" t="s">
        <v>1846</v>
      </c>
      <c r="D1479" s="1898" t="s">
        <v>1847</v>
      </c>
      <c r="E1479" s="1898" t="s">
        <v>1896</v>
      </c>
      <c r="F1479" s="1898" t="s">
        <v>1932</v>
      </c>
      <c r="G1479" s="1899">
        <v>278066023</v>
      </c>
      <c r="H1479" s="1892"/>
    </row>
    <row r="1480" spans="1:8" s="1893" customFormat="1" ht="23.25" customHeight="1" x14ac:dyDescent="0.3">
      <c r="A1480" s="1891" t="s">
        <v>2780</v>
      </c>
      <c r="B1480" s="1898" t="s">
        <v>2056</v>
      </c>
      <c r="C1480" s="1898" t="s">
        <v>1846</v>
      </c>
      <c r="D1480" s="1898" t="s">
        <v>1847</v>
      </c>
      <c r="E1480" s="1898" t="s">
        <v>1896</v>
      </c>
      <c r="F1480" s="1898" t="s">
        <v>2006</v>
      </c>
      <c r="G1480" s="1899">
        <v>254270302</v>
      </c>
      <c r="H1480" s="1892"/>
    </row>
    <row r="1481" spans="1:8" s="1893" customFormat="1" ht="23.25" customHeight="1" x14ac:dyDescent="0.3">
      <c r="A1481" s="1891" t="s">
        <v>2780</v>
      </c>
      <c r="B1481" s="1898" t="s">
        <v>2056</v>
      </c>
      <c r="C1481" s="1898" t="s">
        <v>1846</v>
      </c>
      <c r="D1481" s="1898" t="s">
        <v>1847</v>
      </c>
      <c r="E1481" s="1898" t="s">
        <v>1896</v>
      </c>
      <c r="F1481" s="1898" t="s">
        <v>1902</v>
      </c>
      <c r="G1481" s="1899">
        <v>1302911037</v>
      </c>
      <c r="H1481" s="1892"/>
    </row>
    <row r="1482" spans="1:8" s="1893" customFormat="1" ht="23.25" customHeight="1" x14ac:dyDescent="0.3">
      <c r="A1482" s="1891" t="s">
        <v>2780</v>
      </c>
      <c r="B1482" s="1898" t="s">
        <v>2056</v>
      </c>
      <c r="C1482" s="1898" t="s">
        <v>1846</v>
      </c>
      <c r="D1482" s="1898" t="s">
        <v>1847</v>
      </c>
      <c r="E1482" s="1898" t="s">
        <v>1903</v>
      </c>
      <c r="F1482" s="1898" t="s">
        <v>1904</v>
      </c>
      <c r="G1482" s="1899">
        <v>75100000</v>
      </c>
      <c r="H1482" s="1892"/>
    </row>
    <row r="1483" spans="1:8" s="1893" customFormat="1" ht="23.25" customHeight="1" x14ac:dyDescent="0.3">
      <c r="A1483" s="1891" t="s">
        <v>2780</v>
      </c>
      <c r="B1483" s="1898" t="s">
        <v>2056</v>
      </c>
      <c r="C1483" s="1898" t="s">
        <v>1846</v>
      </c>
      <c r="D1483" s="1898" t="s">
        <v>1847</v>
      </c>
      <c r="E1483" s="1898" t="s">
        <v>1903</v>
      </c>
      <c r="F1483" s="1898" t="s">
        <v>1905</v>
      </c>
      <c r="G1483" s="1899">
        <v>254189166</v>
      </c>
      <c r="H1483" s="1892"/>
    </row>
    <row r="1484" spans="1:8" s="1893" customFormat="1" ht="23.25" customHeight="1" x14ac:dyDescent="0.3">
      <c r="A1484" s="1891" t="s">
        <v>2780</v>
      </c>
      <c r="B1484" s="1898" t="s">
        <v>2056</v>
      </c>
      <c r="C1484" s="1898" t="s">
        <v>1846</v>
      </c>
      <c r="D1484" s="1898" t="s">
        <v>1847</v>
      </c>
      <c r="E1484" s="1898" t="s">
        <v>1906</v>
      </c>
      <c r="F1484" s="1898" t="s">
        <v>1907</v>
      </c>
      <c r="G1484" s="1899">
        <v>121144400</v>
      </c>
      <c r="H1484" s="1892"/>
    </row>
    <row r="1485" spans="1:8" s="1893" customFormat="1" ht="23.25" customHeight="1" x14ac:dyDescent="0.3">
      <c r="A1485" s="1891" t="s">
        <v>2780</v>
      </c>
      <c r="B1485" s="1898" t="s">
        <v>2056</v>
      </c>
      <c r="C1485" s="1898" t="s">
        <v>1846</v>
      </c>
      <c r="D1485" s="1898" t="s">
        <v>1847</v>
      </c>
      <c r="E1485" s="1898" t="s">
        <v>1906</v>
      </c>
      <c r="F1485" s="1898" t="s">
        <v>1908</v>
      </c>
      <c r="G1485" s="1899">
        <v>120363000</v>
      </c>
      <c r="H1485" s="1892"/>
    </row>
    <row r="1486" spans="1:8" s="1893" customFormat="1" ht="23.25" customHeight="1" x14ac:dyDescent="0.3">
      <c r="A1486" s="1891" t="s">
        <v>2780</v>
      </c>
      <c r="B1486" s="1898" t="s">
        <v>2056</v>
      </c>
      <c r="C1486" s="1898" t="s">
        <v>1846</v>
      </c>
      <c r="D1486" s="1898" t="s">
        <v>1847</v>
      </c>
      <c r="E1486" s="1898" t="s">
        <v>1906</v>
      </c>
      <c r="F1486" s="1898" t="s">
        <v>1909</v>
      </c>
      <c r="G1486" s="1899">
        <v>573431800</v>
      </c>
      <c r="H1486" s="1892"/>
    </row>
    <row r="1487" spans="1:8" s="1893" customFormat="1" ht="23.25" customHeight="1" x14ac:dyDescent="0.3">
      <c r="A1487" s="1891" t="s">
        <v>2780</v>
      </c>
      <c r="B1487" s="1898" t="s">
        <v>2056</v>
      </c>
      <c r="C1487" s="1898" t="s">
        <v>1846</v>
      </c>
      <c r="D1487" s="1898" t="s">
        <v>1847</v>
      </c>
      <c r="E1487" s="1898" t="s">
        <v>1968</v>
      </c>
      <c r="F1487" s="1898" t="s">
        <v>3113</v>
      </c>
      <c r="G1487" s="1899">
        <v>0</v>
      </c>
      <c r="H1487" s="1892"/>
    </row>
    <row r="1488" spans="1:8" s="1893" customFormat="1" ht="23.25" customHeight="1" x14ac:dyDescent="0.3">
      <c r="A1488" s="1891" t="s">
        <v>2780</v>
      </c>
      <c r="B1488" s="1898" t="s">
        <v>2056</v>
      </c>
      <c r="C1488" s="1898" t="s">
        <v>1846</v>
      </c>
      <c r="D1488" s="1898" t="s">
        <v>1847</v>
      </c>
      <c r="E1488" s="1898" t="s">
        <v>1923</v>
      </c>
      <c r="F1488" s="1898" t="s">
        <v>2007</v>
      </c>
      <c r="G1488" s="1899">
        <v>3360000</v>
      </c>
      <c r="H1488" s="1892"/>
    </row>
    <row r="1489" spans="1:8" s="1893" customFormat="1" ht="23.25" customHeight="1" x14ac:dyDescent="0.3">
      <c r="A1489" s="1891" t="s">
        <v>2780</v>
      </c>
      <c r="B1489" s="1898" t="s">
        <v>2056</v>
      </c>
      <c r="C1489" s="1898" t="s">
        <v>1846</v>
      </c>
      <c r="D1489" s="1898" t="s">
        <v>1847</v>
      </c>
      <c r="E1489" s="1898" t="s">
        <v>1910</v>
      </c>
      <c r="F1489" s="1898" t="s">
        <v>2070</v>
      </c>
      <c r="G1489" s="1899">
        <v>800000</v>
      </c>
      <c r="H1489" s="1892"/>
    </row>
    <row r="1490" spans="1:8" s="1893" customFormat="1" ht="23.25" customHeight="1" x14ac:dyDescent="0.3">
      <c r="A1490" s="1891" t="s">
        <v>2780</v>
      </c>
      <c r="B1490" s="1898" t="s">
        <v>2056</v>
      </c>
      <c r="C1490" s="1898" t="s">
        <v>1846</v>
      </c>
      <c r="D1490" s="1898" t="s">
        <v>1847</v>
      </c>
      <c r="E1490" s="1898" t="s">
        <v>1910</v>
      </c>
      <c r="F1490" s="1898" t="s">
        <v>1911</v>
      </c>
      <c r="G1490" s="1899">
        <v>8750000</v>
      </c>
      <c r="H1490" s="1892"/>
    </row>
    <row r="1491" spans="1:8" s="1893" customFormat="1" ht="23.25" customHeight="1" x14ac:dyDescent="0.3">
      <c r="A1491" s="1891" t="s">
        <v>2780</v>
      </c>
      <c r="B1491" s="1898" t="s">
        <v>2056</v>
      </c>
      <c r="C1491" s="1898" t="s">
        <v>1846</v>
      </c>
      <c r="D1491" s="1898" t="s">
        <v>1847</v>
      </c>
      <c r="E1491" s="1898" t="s">
        <v>1910</v>
      </c>
      <c r="F1491" s="1898" t="s">
        <v>1961</v>
      </c>
      <c r="G1491" s="1899">
        <v>2400000</v>
      </c>
      <c r="H1491" s="1892"/>
    </row>
    <row r="1492" spans="1:8" s="1893" customFormat="1" ht="23.25" customHeight="1" x14ac:dyDescent="0.3">
      <c r="A1492" s="1891" t="s">
        <v>2780</v>
      </c>
      <c r="B1492" s="1898" t="s">
        <v>2056</v>
      </c>
      <c r="C1492" s="1898" t="s">
        <v>1846</v>
      </c>
      <c r="D1492" s="1898" t="s">
        <v>1847</v>
      </c>
      <c r="E1492" s="1898" t="s">
        <v>1912</v>
      </c>
      <c r="F1492" s="1898" t="s">
        <v>1913</v>
      </c>
      <c r="G1492" s="1899">
        <v>136203600</v>
      </c>
      <c r="H1492" s="1892"/>
    </row>
    <row r="1493" spans="1:8" s="1893" customFormat="1" ht="23.25" customHeight="1" x14ac:dyDescent="0.3">
      <c r="A1493" s="1891" t="s">
        <v>2780</v>
      </c>
      <c r="B1493" s="1898" t="s">
        <v>2056</v>
      </c>
      <c r="C1493" s="1898" t="s">
        <v>1846</v>
      </c>
      <c r="D1493" s="1898" t="s">
        <v>1847</v>
      </c>
      <c r="E1493" s="1898" t="s">
        <v>1912</v>
      </c>
      <c r="F1493" s="1898" t="s">
        <v>1915</v>
      </c>
      <c r="G1493" s="1899">
        <v>490540000</v>
      </c>
      <c r="H1493" s="1892"/>
    </row>
    <row r="1494" spans="1:8" s="1893" customFormat="1" ht="23.25" customHeight="1" x14ac:dyDescent="0.3">
      <c r="A1494" s="1891" t="s">
        <v>2780</v>
      </c>
      <c r="B1494" s="1898" t="s">
        <v>2056</v>
      </c>
      <c r="C1494" s="1898" t="s">
        <v>1846</v>
      </c>
      <c r="D1494" s="1898" t="s">
        <v>1847</v>
      </c>
      <c r="E1494" s="1898" t="s">
        <v>1912</v>
      </c>
      <c r="F1494" s="1898" t="s">
        <v>1916</v>
      </c>
      <c r="G1494" s="1899">
        <v>2936954260</v>
      </c>
      <c r="H1494" s="1892"/>
    </row>
    <row r="1495" spans="1:8" s="1893" customFormat="1" ht="23.25" customHeight="1" x14ac:dyDescent="0.3">
      <c r="A1495" s="1891" t="s">
        <v>2780</v>
      </c>
      <c r="B1495" s="1898" t="s">
        <v>2056</v>
      </c>
      <c r="C1495" s="1898" t="s">
        <v>1846</v>
      </c>
      <c r="D1495" s="1898" t="s">
        <v>1847</v>
      </c>
      <c r="E1495" s="1898" t="s">
        <v>1983</v>
      </c>
      <c r="F1495" s="1898" t="s">
        <v>2069</v>
      </c>
      <c r="G1495" s="1899">
        <v>4917000</v>
      </c>
      <c r="H1495" s="1892"/>
    </row>
    <row r="1496" spans="1:8" s="1893" customFormat="1" ht="23.25" customHeight="1" x14ac:dyDescent="0.3">
      <c r="A1496" s="1891" t="s">
        <v>2780</v>
      </c>
      <c r="B1496" s="1898" t="s">
        <v>2056</v>
      </c>
      <c r="C1496" s="1898" t="s">
        <v>1846</v>
      </c>
      <c r="D1496" s="1898" t="s">
        <v>1847</v>
      </c>
      <c r="E1496" s="1898" t="s">
        <v>1983</v>
      </c>
      <c r="F1496" s="1898" t="s">
        <v>1984</v>
      </c>
      <c r="G1496" s="1899">
        <v>2800000</v>
      </c>
      <c r="H1496" s="1892"/>
    </row>
    <row r="1497" spans="1:8" s="1893" customFormat="1" ht="23.25" customHeight="1" x14ac:dyDescent="0.3">
      <c r="A1497" s="1891" t="s">
        <v>2780</v>
      </c>
      <c r="B1497" s="1898" t="s">
        <v>2056</v>
      </c>
      <c r="C1497" s="1898" t="s">
        <v>1846</v>
      </c>
      <c r="D1497" s="1898" t="s">
        <v>1847</v>
      </c>
      <c r="E1497" s="1898" t="s">
        <v>2245</v>
      </c>
      <c r="F1497" s="1898" t="s">
        <v>2767</v>
      </c>
      <c r="G1497" s="1899">
        <v>3398541303</v>
      </c>
      <c r="H1497" s="1892"/>
    </row>
    <row r="1498" spans="1:8" s="1893" customFormat="1" ht="23.25" customHeight="1" x14ac:dyDescent="0.3">
      <c r="A1498" s="1891" t="s">
        <v>2780</v>
      </c>
      <c r="B1498" s="1898" t="s">
        <v>2056</v>
      </c>
      <c r="C1498" s="1898" t="s">
        <v>1846</v>
      </c>
      <c r="D1498" s="1898" t="s">
        <v>1847</v>
      </c>
      <c r="E1498" s="1898" t="s">
        <v>1917</v>
      </c>
      <c r="F1498" s="1898" t="s">
        <v>1918</v>
      </c>
      <c r="G1498" s="1899">
        <v>749200140</v>
      </c>
      <c r="H1498" s="1892"/>
    </row>
    <row r="1499" spans="1:8" s="1893" customFormat="1" ht="23.25" customHeight="1" x14ac:dyDescent="0.3">
      <c r="A1499" s="1891" t="s">
        <v>2780</v>
      </c>
      <c r="B1499" s="1898" t="s">
        <v>2056</v>
      </c>
      <c r="C1499" s="1898" t="s">
        <v>1846</v>
      </c>
      <c r="D1499" s="1898" t="s">
        <v>1847</v>
      </c>
      <c r="E1499" s="1898" t="s">
        <v>1917</v>
      </c>
      <c r="F1499" s="1898" t="s">
        <v>2061</v>
      </c>
      <c r="G1499" s="1899">
        <v>9945750</v>
      </c>
      <c r="H1499" s="1892"/>
    </row>
    <row r="1500" spans="1:8" s="1893" customFormat="1" ht="23.25" customHeight="1" x14ac:dyDescent="0.3">
      <c r="A1500" s="1891" t="s">
        <v>2780</v>
      </c>
      <c r="B1500" s="1898" t="s">
        <v>2056</v>
      </c>
      <c r="C1500" s="1898" t="s">
        <v>1846</v>
      </c>
      <c r="D1500" s="1898" t="s">
        <v>1979</v>
      </c>
      <c r="E1500" s="1898" t="s">
        <v>1848</v>
      </c>
      <c r="F1500" s="1898" t="s">
        <v>1849</v>
      </c>
      <c r="G1500" s="1899">
        <v>2299830349</v>
      </c>
      <c r="H1500" s="1892"/>
    </row>
    <row r="1501" spans="1:8" s="1893" customFormat="1" ht="23.25" customHeight="1" x14ac:dyDescent="0.3">
      <c r="A1501" s="1891" t="s">
        <v>2780</v>
      </c>
      <c r="B1501" s="1898" t="s">
        <v>2056</v>
      </c>
      <c r="C1501" s="1898" t="s">
        <v>1846</v>
      </c>
      <c r="D1501" s="1898" t="s">
        <v>1979</v>
      </c>
      <c r="E1501" s="1898" t="s">
        <v>1853</v>
      </c>
      <c r="F1501" s="1898" t="s">
        <v>1854</v>
      </c>
      <c r="G1501" s="1899">
        <v>180267534</v>
      </c>
      <c r="H1501" s="1892"/>
    </row>
    <row r="1502" spans="1:8" s="1893" customFormat="1" ht="23.25" customHeight="1" x14ac:dyDescent="0.3">
      <c r="A1502" s="1891" t="s">
        <v>2780</v>
      </c>
      <c r="B1502" s="1898" t="s">
        <v>2056</v>
      </c>
      <c r="C1502" s="1898" t="s">
        <v>1846</v>
      </c>
      <c r="D1502" s="1898" t="s">
        <v>1979</v>
      </c>
      <c r="E1502" s="1898" t="s">
        <v>1853</v>
      </c>
      <c r="F1502" s="1898" t="s">
        <v>1855</v>
      </c>
      <c r="G1502" s="1899">
        <v>360341600</v>
      </c>
      <c r="H1502" s="1892"/>
    </row>
    <row r="1503" spans="1:8" s="1893" customFormat="1" ht="23.25" customHeight="1" x14ac:dyDescent="0.3">
      <c r="A1503" s="1891" t="s">
        <v>2780</v>
      </c>
      <c r="B1503" s="1898" t="s">
        <v>2056</v>
      </c>
      <c r="C1503" s="1898" t="s">
        <v>1846</v>
      </c>
      <c r="D1503" s="1898" t="s">
        <v>1979</v>
      </c>
      <c r="E1503" s="1898" t="s">
        <v>1853</v>
      </c>
      <c r="F1503" s="1898" t="s">
        <v>1935</v>
      </c>
      <c r="G1503" s="1899">
        <v>85231510</v>
      </c>
      <c r="H1503" s="1892"/>
    </row>
    <row r="1504" spans="1:8" s="1893" customFormat="1" ht="23.25" customHeight="1" x14ac:dyDescent="0.3">
      <c r="A1504" s="1891" t="s">
        <v>2780</v>
      </c>
      <c r="B1504" s="1898" t="s">
        <v>2056</v>
      </c>
      <c r="C1504" s="1898" t="s">
        <v>1846</v>
      </c>
      <c r="D1504" s="1898" t="s">
        <v>1979</v>
      </c>
      <c r="E1504" s="1898" t="s">
        <v>1853</v>
      </c>
      <c r="F1504" s="1898" t="s">
        <v>1856</v>
      </c>
      <c r="G1504" s="1899">
        <v>48320012</v>
      </c>
      <c r="H1504" s="1892"/>
    </row>
    <row r="1505" spans="1:8" s="1893" customFormat="1" ht="23.25" customHeight="1" x14ac:dyDescent="0.3">
      <c r="A1505" s="1891" t="s">
        <v>2780</v>
      </c>
      <c r="B1505" s="1898" t="s">
        <v>2056</v>
      </c>
      <c r="C1505" s="1898" t="s">
        <v>1846</v>
      </c>
      <c r="D1505" s="1898" t="s">
        <v>1979</v>
      </c>
      <c r="E1505" s="1898" t="s">
        <v>1853</v>
      </c>
      <c r="F1505" s="1898" t="s">
        <v>1929</v>
      </c>
      <c r="G1505" s="1899">
        <v>22245074</v>
      </c>
      <c r="H1505" s="1892"/>
    </row>
    <row r="1506" spans="1:8" s="1893" customFormat="1" ht="23.25" customHeight="1" x14ac:dyDescent="0.3">
      <c r="A1506" s="1891" t="s">
        <v>2780</v>
      </c>
      <c r="B1506" s="1898" t="s">
        <v>2056</v>
      </c>
      <c r="C1506" s="1898" t="s">
        <v>1846</v>
      </c>
      <c r="D1506" s="1898" t="s">
        <v>1979</v>
      </c>
      <c r="E1506" s="1898" t="s">
        <v>1853</v>
      </c>
      <c r="F1506" s="1898" t="s">
        <v>1938</v>
      </c>
      <c r="G1506" s="1899">
        <v>59898000</v>
      </c>
      <c r="H1506" s="1892"/>
    </row>
    <row r="1507" spans="1:8" s="1893" customFormat="1" ht="23.25" customHeight="1" x14ac:dyDescent="0.3">
      <c r="A1507" s="1891" t="s">
        <v>2780</v>
      </c>
      <c r="B1507" s="1898" t="s">
        <v>2056</v>
      </c>
      <c r="C1507" s="1898" t="s">
        <v>1846</v>
      </c>
      <c r="D1507" s="1898" t="s">
        <v>1979</v>
      </c>
      <c r="E1507" s="1898" t="s">
        <v>1853</v>
      </c>
      <c r="F1507" s="1898" t="s">
        <v>1977</v>
      </c>
      <c r="G1507" s="1899">
        <v>388890000</v>
      </c>
      <c r="H1507" s="1892"/>
    </row>
    <row r="1508" spans="1:8" s="1893" customFormat="1" ht="23.25" customHeight="1" x14ac:dyDescent="0.3">
      <c r="A1508" s="1891" t="s">
        <v>2780</v>
      </c>
      <c r="B1508" s="1898" t="s">
        <v>2056</v>
      </c>
      <c r="C1508" s="1898" t="s">
        <v>1846</v>
      </c>
      <c r="D1508" s="1898" t="s">
        <v>1979</v>
      </c>
      <c r="E1508" s="1898" t="s">
        <v>1853</v>
      </c>
      <c r="F1508" s="1898" t="s">
        <v>1859</v>
      </c>
      <c r="G1508" s="1899">
        <v>610666865</v>
      </c>
      <c r="H1508" s="1892"/>
    </row>
    <row r="1509" spans="1:8" s="1893" customFormat="1" ht="23.25" customHeight="1" x14ac:dyDescent="0.3">
      <c r="A1509" s="1891" t="s">
        <v>2780</v>
      </c>
      <c r="B1509" s="1898" t="s">
        <v>2056</v>
      </c>
      <c r="C1509" s="1898" t="s">
        <v>1846</v>
      </c>
      <c r="D1509" s="1898" t="s">
        <v>1979</v>
      </c>
      <c r="E1509" s="1898" t="s">
        <v>1853</v>
      </c>
      <c r="F1509" s="1898" t="s">
        <v>1939</v>
      </c>
      <c r="G1509" s="1899">
        <v>67586400</v>
      </c>
      <c r="H1509" s="1892"/>
    </row>
    <row r="1510" spans="1:8" s="1893" customFormat="1" ht="23.25" customHeight="1" x14ac:dyDescent="0.3">
      <c r="A1510" s="1891" t="s">
        <v>2780</v>
      </c>
      <c r="B1510" s="1898" t="s">
        <v>2056</v>
      </c>
      <c r="C1510" s="1898" t="s">
        <v>1846</v>
      </c>
      <c r="D1510" s="1898" t="s">
        <v>1979</v>
      </c>
      <c r="E1510" s="1898" t="s">
        <v>1860</v>
      </c>
      <c r="F1510" s="1898" t="s">
        <v>1861</v>
      </c>
      <c r="G1510" s="1899">
        <v>18855000</v>
      </c>
      <c r="H1510" s="1892"/>
    </row>
    <row r="1511" spans="1:8" s="1893" customFormat="1" ht="23.25" customHeight="1" x14ac:dyDescent="0.3">
      <c r="A1511" s="1891" t="s">
        <v>2780</v>
      </c>
      <c r="B1511" s="1898" t="s">
        <v>2056</v>
      </c>
      <c r="C1511" s="1898" t="s">
        <v>1846</v>
      </c>
      <c r="D1511" s="1898" t="s">
        <v>1979</v>
      </c>
      <c r="E1511" s="1898" t="s">
        <v>1860</v>
      </c>
      <c r="F1511" s="1898" t="s">
        <v>1930</v>
      </c>
      <c r="G1511" s="1899">
        <v>14366000</v>
      </c>
      <c r="H1511" s="1892"/>
    </row>
    <row r="1512" spans="1:8" s="1893" customFormat="1" ht="23.25" customHeight="1" x14ac:dyDescent="0.3">
      <c r="A1512" s="1891" t="s">
        <v>2780</v>
      </c>
      <c r="B1512" s="1898" t="s">
        <v>2056</v>
      </c>
      <c r="C1512" s="1898" t="s">
        <v>1846</v>
      </c>
      <c r="D1512" s="1898" t="s">
        <v>1979</v>
      </c>
      <c r="E1512" s="1898" t="s">
        <v>1862</v>
      </c>
      <c r="F1512" s="1898" t="s">
        <v>1863</v>
      </c>
      <c r="G1512" s="1899">
        <v>437504929</v>
      </c>
      <c r="H1512" s="1892"/>
    </row>
    <row r="1513" spans="1:8" s="1893" customFormat="1" ht="23.25" customHeight="1" x14ac:dyDescent="0.3">
      <c r="A1513" s="1891" t="s">
        <v>2780</v>
      </c>
      <c r="B1513" s="1898" t="s">
        <v>2056</v>
      </c>
      <c r="C1513" s="1898" t="s">
        <v>1846</v>
      </c>
      <c r="D1513" s="1898" t="s">
        <v>1979</v>
      </c>
      <c r="E1513" s="1898" t="s">
        <v>1862</v>
      </c>
      <c r="F1513" s="1898" t="s">
        <v>1864</v>
      </c>
      <c r="G1513" s="1899">
        <v>67186185</v>
      </c>
      <c r="H1513" s="1892"/>
    </row>
    <row r="1514" spans="1:8" s="1893" customFormat="1" ht="23.25" customHeight="1" x14ac:dyDescent="0.3">
      <c r="A1514" s="1891" t="s">
        <v>2780</v>
      </c>
      <c r="B1514" s="1898" t="s">
        <v>2056</v>
      </c>
      <c r="C1514" s="1898" t="s">
        <v>1846</v>
      </c>
      <c r="D1514" s="1898" t="s">
        <v>1979</v>
      </c>
      <c r="E1514" s="1898" t="s">
        <v>1862</v>
      </c>
      <c r="F1514" s="1898" t="s">
        <v>1865</v>
      </c>
      <c r="G1514" s="1899">
        <v>46940161</v>
      </c>
      <c r="H1514" s="1892"/>
    </row>
    <row r="1515" spans="1:8" s="1893" customFormat="1" ht="23.25" customHeight="1" x14ac:dyDescent="0.3">
      <c r="A1515" s="1891" t="s">
        <v>2780</v>
      </c>
      <c r="B1515" s="1898" t="s">
        <v>2056</v>
      </c>
      <c r="C1515" s="1898" t="s">
        <v>1846</v>
      </c>
      <c r="D1515" s="1898" t="s">
        <v>1979</v>
      </c>
      <c r="E1515" s="1898" t="s">
        <v>2057</v>
      </c>
      <c r="F1515" s="1898" t="s">
        <v>2058</v>
      </c>
      <c r="G1515" s="1899">
        <v>348771750</v>
      </c>
      <c r="H1515" s="1892"/>
    </row>
    <row r="1516" spans="1:8" s="1893" customFormat="1" ht="23.25" customHeight="1" x14ac:dyDescent="0.3">
      <c r="A1516" s="1891" t="s">
        <v>2780</v>
      </c>
      <c r="B1516" s="1898" t="s">
        <v>2056</v>
      </c>
      <c r="C1516" s="1898" t="s">
        <v>1846</v>
      </c>
      <c r="D1516" s="1898" t="s">
        <v>1979</v>
      </c>
      <c r="E1516" s="1898" t="s">
        <v>2057</v>
      </c>
      <c r="F1516" s="1898" t="s">
        <v>2059</v>
      </c>
      <c r="G1516" s="1899">
        <v>4114539703</v>
      </c>
      <c r="H1516" s="1892"/>
    </row>
    <row r="1517" spans="1:8" s="1893" customFormat="1" ht="23.25" customHeight="1" x14ac:dyDescent="0.3">
      <c r="A1517" s="1891" t="s">
        <v>2780</v>
      </c>
      <c r="B1517" s="1898" t="s">
        <v>2056</v>
      </c>
      <c r="C1517" s="1898" t="s">
        <v>1846</v>
      </c>
      <c r="D1517" s="1898" t="s">
        <v>1979</v>
      </c>
      <c r="E1517" s="1898" t="s">
        <v>1867</v>
      </c>
      <c r="F1517" s="1898" t="s">
        <v>1868</v>
      </c>
      <c r="G1517" s="1899">
        <v>126155225</v>
      </c>
      <c r="H1517" s="1892"/>
    </row>
    <row r="1518" spans="1:8" s="1893" customFormat="1" ht="23.25" customHeight="1" x14ac:dyDescent="0.3">
      <c r="A1518" s="1891" t="s">
        <v>2780</v>
      </c>
      <c r="B1518" s="1898" t="s">
        <v>2056</v>
      </c>
      <c r="C1518" s="1898" t="s">
        <v>1846</v>
      </c>
      <c r="D1518" s="1898" t="s">
        <v>1979</v>
      </c>
      <c r="E1518" s="1898" t="s">
        <v>1869</v>
      </c>
      <c r="F1518" s="1898" t="s">
        <v>1870</v>
      </c>
      <c r="G1518" s="1899">
        <v>2563017</v>
      </c>
      <c r="H1518" s="1892"/>
    </row>
    <row r="1519" spans="1:8" s="1893" customFormat="1" ht="23.25" customHeight="1" x14ac:dyDescent="0.3">
      <c r="A1519" s="1891" t="s">
        <v>2780</v>
      </c>
      <c r="B1519" s="1898" t="s">
        <v>2056</v>
      </c>
      <c r="C1519" s="1898" t="s">
        <v>1846</v>
      </c>
      <c r="D1519" s="1898" t="s">
        <v>1979</v>
      </c>
      <c r="E1519" s="1898" t="s">
        <v>1869</v>
      </c>
      <c r="F1519" s="1898" t="s">
        <v>1872</v>
      </c>
      <c r="G1519" s="1899">
        <v>690000</v>
      </c>
      <c r="H1519" s="1892"/>
    </row>
    <row r="1520" spans="1:8" s="1893" customFormat="1" ht="23.25" customHeight="1" x14ac:dyDescent="0.3">
      <c r="A1520" s="1891" t="s">
        <v>2780</v>
      </c>
      <c r="B1520" s="1898" t="s">
        <v>2056</v>
      </c>
      <c r="C1520" s="1898" t="s">
        <v>1846</v>
      </c>
      <c r="D1520" s="1898" t="s">
        <v>1979</v>
      </c>
      <c r="E1520" s="1898" t="s">
        <v>1874</v>
      </c>
      <c r="F1520" s="1898" t="s">
        <v>1875</v>
      </c>
      <c r="G1520" s="1899">
        <v>54334762</v>
      </c>
      <c r="H1520" s="1892"/>
    </row>
    <row r="1521" spans="1:8" s="1893" customFormat="1" ht="23.25" customHeight="1" x14ac:dyDescent="0.3">
      <c r="A1521" s="1891" t="s">
        <v>2780</v>
      </c>
      <c r="B1521" s="1898" t="s">
        <v>2056</v>
      </c>
      <c r="C1521" s="1898" t="s">
        <v>1846</v>
      </c>
      <c r="D1521" s="1898" t="s">
        <v>1979</v>
      </c>
      <c r="E1521" s="1898" t="s">
        <v>1874</v>
      </c>
      <c r="F1521" s="1898" t="s">
        <v>1876</v>
      </c>
      <c r="G1521" s="1899">
        <v>18294000</v>
      </c>
      <c r="H1521" s="1892"/>
    </row>
    <row r="1522" spans="1:8" s="1893" customFormat="1" ht="23.25" customHeight="1" x14ac:dyDescent="0.3">
      <c r="A1522" s="1891" t="s">
        <v>2780</v>
      </c>
      <c r="B1522" s="1898" t="s">
        <v>2056</v>
      </c>
      <c r="C1522" s="1898" t="s">
        <v>1846</v>
      </c>
      <c r="D1522" s="1898" t="s">
        <v>1979</v>
      </c>
      <c r="E1522" s="1898" t="s">
        <v>1874</v>
      </c>
      <c r="F1522" s="1898" t="s">
        <v>1877</v>
      </c>
      <c r="G1522" s="1899">
        <v>2792000</v>
      </c>
      <c r="H1522" s="1892"/>
    </row>
    <row r="1523" spans="1:8" s="1893" customFormat="1" ht="23.25" customHeight="1" x14ac:dyDescent="0.3">
      <c r="A1523" s="1891" t="s">
        <v>2780</v>
      </c>
      <c r="B1523" s="1898" t="s">
        <v>2056</v>
      </c>
      <c r="C1523" s="1898" t="s">
        <v>1846</v>
      </c>
      <c r="D1523" s="1898" t="s">
        <v>1979</v>
      </c>
      <c r="E1523" s="1898" t="s">
        <v>1878</v>
      </c>
      <c r="F1523" s="1898" t="s">
        <v>1879</v>
      </c>
      <c r="G1523" s="1899">
        <v>3451943</v>
      </c>
      <c r="H1523" s="1892"/>
    </row>
    <row r="1524" spans="1:8" s="1893" customFormat="1" ht="23.25" customHeight="1" x14ac:dyDescent="0.3">
      <c r="A1524" s="1891" t="s">
        <v>2780</v>
      </c>
      <c r="B1524" s="1898" t="s">
        <v>2056</v>
      </c>
      <c r="C1524" s="1898" t="s">
        <v>1846</v>
      </c>
      <c r="D1524" s="1898" t="s">
        <v>1979</v>
      </c>
      <c r="E1524" s="1898" t="s">
        <v>1878</v>
      </c>
      <c r="F1524" s="1898" t="s">
        <v>1880</v>
      </c>
      <c r="G1524" s="1899">
        <v>360000</v>
      </c>
      <c r="H1524" s="1892"/>
    </row>
    <row r="1525" spans="1:8" s="1893" customFormat="1" ht="23.25" customHeight="1" x14ac:dyDescent="0.3">
      <c r="A1525" s="1891" t="s">
        <v>2780</v>
      </c>
      <c r="B1525" s="1898" t="s">
        <v>2056</v>
      </c>
      <c r="C1525" s="1898" t="s">
        <v>1846</v>
      </c>
      <c r="D1525" s="1898" t="s">
        <v>1979</v>
      </c>
      <c r="E1525" s="1898" t="s">
        <v>1878</v>
      </c>
      <c r="F1525" s="1898" t="s">
        <v>1881</v>
      </c>
      <c r="G1525" s="1899">
        <v>30946374</v>
      </c>
      <c r="H1525" s="1892"/>
    </row>
    <row r="1526" spans="1:8" s="1893" customFormat="1" ht="23.25" customHeight="1" x14ac:dyDescent="0.3">
      <c r="A1526" s="1891" t="s">
        <v>2780</v>
      </c>
      <c r="B1526" s="1898" t="s">
        <v>2056</v>
      </c>
      <c r="C1526" s="1898" t="s">
        <v>1846</v>
      </c>
      <c r="D1526" s="1898" t="s">
        <v>1979</v>
      </c>
      <c r="E1526" s="1898" t="s">
        <v>1878</v>
      </c>
      <c r="F1526" s="1898" t="s">
        <v>1883</v>
      </c>
      <c r="G1526" s="1899">
        <v>11138200</v>
      </c>
      <c r="H1526" s="1892"/>
    </row>
    <row r="1527" spans="1:8" s="1893" customFormat="1" ht="23.25" customHeight="1" x14ac:dyDescent="0.3">
      <c r="A1527" s="1891" t="s">
        <v>2780</v>
      </c>
      <c r="B1527" s="1898" t="s">
        <v>2056</v>
      </c>
      <c r="C1527" s="1898" t="s">
        <v>1846</v>
      </c>
      <c r="D1527" s="1898" t="s">
        <v>1979</v>
      </c>
      <c r="E1527" s="1898" t="s">
        <v>1885</v>
      </c>
      <c r="F1527" s="1898" t="s">
        <v>1925</v>
      </c>
      <c r="G1527" s="1899">
        <v>1062400</v>
      </c>
      <c r="H1527" s="1892"/>
    </row>
    <row r="1528" spans="1:8" s="1893" customFormat="1" ht="23.25" customHeight="1" x14ac:dyDescent="0.3">
      <c r="A1528" s="1891" t="s">
        <v>2780</v>
      </c>
      <c r="B1528" s="1898" t="s">
        <v>2056</v>
      </c>
      <c r="C1528" s="1898" t="s">
        <v>1846</v>
      </c>
      <c r="D1528" s="1898" t="s">
        <v>1979</v>
      </c>
      <c r="E1528" s="1898" t="s">
        <v>1885</v>
      </c>
      <c r="F1528" s="1898" t="s">
        <v>1887</v>
      </c>
      <c r="G1528" s="1899">
        <v>148070000</v>
      </c>
      <c r="H1528" s="1892"/>
    </row>
    <row r="1529" spans="1:8" s="1893" customFormat="1" ht="23.25" customHeight="1" x14ac:dyDescent="0.3">
      <c r="A1529" s="1891" t="s">
        <v>2780</v>
      </c>
      <c r="B1529" s="1898" t="s">
        <v>2056</v>
      </c>
      <c r="C1529" s="1898" t="s">
        <v>1846</v>
      </c>
      <c r="D1529" s="1898" t="s">
        <v>1979</v>
      </c>
      <c r="E1529" s="1898" t="s">
        <v>1885</v>
      </c>
      <c r="F1529" s="1898" t="s">
        <v>1888</v>
      </c>
      <c r="G1529" s="1899">
        <v>26490000</v>
      </c>
      <c r="H1529" s="1892"/>
    </row>
    <row r="1530" spans="1:8" s="1893" customFormat="1" ht="23.25" customHeight="1" x14ac:dyDescent="0.3">
      <c r="A1530" s="1891" t="s">
        <v>2780</v>
      </c>
      <c r="B1530" s="1898" t="s">
        <v>2056</v>
      </c>
      <c r="C1530" s="1898" t="s">
        <v>1846</v>
      </c>
      <c r="D1530" s="1898" t="s">
        <v>1979</v>
      </c>
      <c r="E1530" s="1898" t="s">
        <v>1889</v>
      </c>
      <c r="F1530" s="1898" t="s">
        <v>1890</v>
      </c>
      <c r="G1530" s="1899">
        <v>74585656</v>
      </c>
      <c r="H1530" s="1892"/>
    </row>
    <row r="1531" spans="1:8" s="1893" customFormat="1" ht="23.25" customHeight="1" x14ac:dyDescent="0.3">
      <c r="A1531" s="1891" t="s">
        <v>2780</v>
      </c>
      <c r="B1531" s="1898" t="s">
        <v>2056</v>
      </c>
      <c r="C1531" s="1898" t="s">
        <v>1846</v>
      </c>
      <c r="D1531" s="1898" t="s">
        <v>1979</v>
      </c>
      <c r="E1531" s="1898" t="s">
        <v>1889</v>
      </c>
      <c r="F1531" s="1898" t="s">
        <v>1891</v>
      </c>
      <c r="G1531" s="1899">
        <v>150000</v>
      </c>
      <c r="H1531" s="1892"/>
    </row>
    <row r="1532" spans="1:8" s="1893" customFormat="1" ht="23.25" customHeight="1" x14ac:dyDescent="0.3">
      <c r="A1532" s="1891" t="s">
        <v>2780</v>
      </c>
      <c r="B1532" s="1898" t="s">
        <v>2056</v>
      </c>
      <c r="C1532" s="1898" t="s">
        <v>1846</v>
      </c>
      <c r="D1532" s="1898" t="s">
        <v>1979</v>
      </c>
      <c r="E1532" s="1898" t="s">
        <v>1889</v>
      </c>
      <c r="F1532" s="1898" t="s">
        <v>1892</v>
      </c>
      <c r="G1532" s="1899">
        <v>35700000</v>
      </c>
      <c r="H1532" s="1892"/>
    </row>
    <row r="1533" spans="1:8" s="1893" customFormat="1" ht="23.25" customHeight="1" x14ac:dyDescent="0.3">
      <c r="A1533" s="1891" t="s">
        <v>2780</v>
      </c>
      <c r="B1533" s="1898" t="s">
        <v>2056</v>
      </c>
      <c r="C1533" s="1898" t="s">
        <v>1846</v>
      </c>
      <c r="D1533" s="1898" t="s">
        <v>1979</v>
      </c>
      <c r="E1533" s="1898" t="s">
        <v>1889</v>
      </c>
      <c r="F1533" s="1898" t="s">
        <v>1922</v>
      </c>
      <c r="G1533" s="1899">
        <v>36491500</v>
      </c>
      <c r="H1533" s="1892"/>
    </row>
    <row r="1534" spans="1:8" s="1893" customFormat="1" ht="23.25" customHeight="1" x14ac:dyDescent="0.3">
      <c r="A1534" s="1891" t="s">
        <v>2780</v>
      </c>
      <c r="B1534" s="1898" t="s">
        <v>2056</v>
      </c>
      <c r="C1534" s="1898" t="s">
        <v>1846</v>
      </c>
      <c r="D1534" s="1898" t="s">
        <v>1979</v>
      </c>
      <c r="E1534" s="1898" t="s">
        <v>1896</v>
      </c>
      <c r="F1534" s="1898" t="s">
        <v>1900</v>
      </c>
      <c r="G1534" s="1899">
        <v>41013000</v>
      </c>
      <c r="H1534" s="1892"/>
    </row>
    <row r="1535" spans="1:8" s="1893" customFormat="1" ht="23.25" customHeight="1" x14ac:dyDescent="0.3">
      <c r="A1535" s="1891" t="s">
        <v>2780</v>
      </c>
      <c r="B1535" s="1898" t="s">
        <v>2056</v>
      </c>
      <c r="C1535" s="1898" t="s">
        <v>1846</v>
      </c>
      <c r="D1535" s="1898" t="s">
        <v>1979</v>
      </c>
      <c r="E1535" s="1898" t="s">
        <v>1906</v>
      </c>
      <c r="F1535" s="1898" t="s">
        <v>1907</v>
      </c>
      <c r="G1535" s="1899">
        <v>8019700</v>
      </c>
      <c r="H1535" s="1892"/>
    </row>
    <row r="1536" spans="1:8" s="1893" customFormat="1" ht="23.25" customHeight="1" x14ac:dyDescent="0.3">
      <c r="A1536" s="1891" t="s">
        <v>2780</v>
      </c>
      <c r="B1536" s="1898" t="s">
        <v>2056</v>
      </c>
      <c r="C1536" s="1898" t="s">
        <v>1846</v>
      </c>
      <c r="D1536" s="1898" t="s">
        <v>1979</v>
      </c>
      <c r="E1536" s="1898" t="s">
        <v>1906</v>
      </c>
      <c r="F1536" s="1898" t="s">
        <v>1909</v>
      </c>
      <c r="G1536" s="1899">
        <v>2360000</v>
      </c>
      <c r="H1536" s="1892"/>
    </row>
    <row r="1537" spans="1:8" s="1893" customFormat="1" ht="23.25" customHeight="1" x14ac:dyDescent="0.3">
      <c r="A1537" s="1891" t="s">
        <v>2780</v>
      </c>
      <c r="B1537" s="1898" t="s">
        <v>2056</v>
      </c>
      <c r="C1537" s="1898" t="s">
        <v>1846</v>
      </c>
      <c r="D1537" s="1898" t="s">
        <v>1979</v>
      </c>
      <c r="E1537" s="1898" t="s">
        <v>1912</v>
      </c>
      <c r="F1537" s="1898" t="s">
        <v>1913</v>
      </c>
      <c r="G1537" s="1899">
        <v>1200000</v>
      </c>
      <c r="H1537" s="1892"/>
    </row>
    <row r="1538" spans="1:8" s="1893" customFormat="1" ht="23.25" customHeight="1" x14ac:dyDescent="0.3">
      <c r="A1538" s="1891" t="s">
        <v>2780</v>
      </c>
      <c r="B1538" s="1898" t="s">
        <v>2056</v>
      </c>
      <c r="C1538" s="1898" t="s">
        <v>1846</v>
      </c>
      <c r="D1538" s="1898" t="s">
        <v>1979</v>
      </c>
      <c r="E1538" s="1898" t="s">
        <v>1912</v>
      </c>
      <c r="F1538" s="1898" t="s">
        <v>1915</v>
      </c>
      <c r="G1538" s="1899">
        <v>40700000</v>
      </c>
      <c r="H1538" s="1892"/>
    </row>
    <row r="1539" spans="1:8" s="1893" customFormat="1" ht="23.25" customHeight="1" x14ac:dyDescent="0.3">
      <c r="A1539" s="1891" t="s">
        <v>2780</v>
      </c>
      <c r="B1539" s="1898" t="s">
        <v>2056</v>
      </c>
      <c r="C1539" s="1898" t="s">
        <v>1846</v>
      </c>
      <c r="D1539" s="1898" t="s">
        <v>1979</v>
      </c>
      <c r="E1539" s="1898" t="s">
        <v>1912</v>
      </c>
      <c r="F1539" s="1898" t="s">
        <v>1916</v>
      </c>
      <c r="G1539" s="1899">
        <v>59108000</v>
      </c>
      <c r="H1539" s="1892"/>
    </row>
    <row r="1540" spans="1:8" s="1893" customFormat="1" ht="23.25" customHeight="1" x14ac:dyDescent="0.3">
      <c r="A1540" s="1891" t="s">
        <v>2780</v>
      </c>
      <c r="B1540" s="1898" t="s">
        <v>2056</v>
      </c>
      <c r="C1540" s="1898" t="s">
        <v>1846</v>
      </c>
      <c r="D1540" s="1898" t="s">
        <v>1979</v>
      </c>
      <c r="E1540" s="1898" t="s">
        <v>1983</v>
      </c>
      <c r="F1540" s="1898" t="s">
        <v>2067</v>
      </c>
      <c r="G1540" s="1899">
        <v>29243400</v>
      </c>
      <c r="H1540" s="1892"/>
    </row>
    <row r="1541" spans="1:8" s="1893" customFormat="1" ht="23.25" customHeight="1" x14ac:dyDescent="0.3">
      <c r="A1541" s="1891" t="s">
        <v>2780</v>
      </c>
      <c r="B1541" s="1898" t="s">
        <v>2056</v>
      </c>
      <c r="C1541" s="1898" t="s">
        <v>1846</v>
      </c>
      <c r="D1541" s="1898" t="s">
        <v>1979</v>
      </c>
      <c r="E1541" s="1898" t="s">
        <v>1983</v>
      </c>
      <c r="F1541" s="1898" t="s">
        <v>2069</v>
      </c>
      <c r="G1541" s="1899">
        <v>46780000</v>
      </c>
      <c r="H1541" s="1892"/>
    </row>
    <row r="1542" spans="1:8" s="1893" customFormat="1" ht="23.25" customHeight="1" x14ac:dyDescent="0.3">
      <c r="A1542" s="1891" t="s">
        <v>2780</v>
      </c>
      <c r="B1542" s="1898" t="s">
        <v>2056</v>
      </c>
      <c r="C1542" s="1898" t="s">
        <v>1846</v>
      </c>
      <c r="D1542" s="1898" t="s">
        <v>1979</v>
      </c>
      <c r="E1542" s="1898" t="s">
        <v>1983</v>
      </c>
      <c r="F1542" s="1898" t="s">
        <v>1984</v>
      </c>
      <c r="G1542" s="1899">
        <v>331029200</v>
      </c>
      <c r="H1542" s="1892"/>
    </row>
    <row r="1543" spans="1:8" s="1893" customFormat="1" ht="23.25" customHeight="1" x14ac:dyDescent="0.3">
      <c r="A1543" s="1891" t="s">
        <v>2780</v>
      </c>
      <c r="B1543" s="1898" t="s">
        <v>2056</v>
      </c>
      <c r="C1543" s="1898" t="s">
        <v>1846</v>
      </c>
      <c r="D1543" s="1898" t="s">
        <v>1979</v>
      </c>
      <c r="E1543" s="1898" t="s">
        <v>1983</v>
      </c>
      <c r="F1543" s="1898" t="s">
        <v>2068</v>
      </c>
      <c r="G1543" s="1899">
        <v>46249000</v>
      </c>
      <c r="H1543" s="1892"/>
    </row>
    <row r="1544" spans="1:8" s="1893" customFormat="1" ht="23.25" customHeight="1" x14ac:dyDescent="0.3">
      <c r="A1544" s="1891" t="s">
        <v>2780</v>
      </c>
      <c r="B1544" s="1898" t="s">
        <v>2056</v>
      </c>
      <c r="C1544" s="1898" t="s">
        <v>1846</v>
      </c>
      <c r="D1544" s="1898" t="s">
        <v>1986</v>
      </c>
      <c r="E1544" s="1898" t="s">
        <v>1848</v>
      </c>
      <c r="F1544" s="1898" t="s">
        <v>1849</v>
      </c>
      <c r="G1544" s="1899">
        <v>4005876978</v>
      </c>
      <c r="H1544" s="1892"/>
    </row>
    <row r="1545" spans="1:8" s="1893" customFormat="1" ht="23.25" customHeight="1" x14ac:dyDescent="0.3">
      <c r="A1545" s="1891" t="s">
        <v>2780</v>
      </c>
      <c r="B1545" s="1898" t="s">
        <v>2056</v>
      </c>
      <c r="C1545" s="1898" t="s">
        <v>1846</v>
      </c>
      <c r="D1545" s="1898" t="s">
        <v>1986</v>
      </c>
      <c r="E1545" s="1898" t="s">
        <v>1853</v>
      </c>
      <c r="F1545" s="1898" t="s">
        <v>1854</v>
      </c>
      <c r="G1545" s="1899">
        <v>227557653</v>
      </c>
      <c r="H1545" s="1892"/>
    </row>
    <row r="1546" spans="1:8" s="1893" customFormat="1" ht="23.25" customHeight="1" x14ac:dyDescent="0.3">
      <c r="A1546" s="1891" t="s">
        <v>2780</v>
      </c>
      <c r="B1546" s="1898" t="s">
        <v>2056</v>
      </c>
      <c r="C1546" s="1898" t="s">
        <v>1846</v>
      </c>
      <c r="D1546" s="1898" t="s">
        <v>1986</v>
      </c>
      <c r="E1546" s="1898" t="s">
        <v>1853</v>
      </c>
      <c r="F1546" s="1898" t="s">
        <v>1855</v>
      </c>
      <c r="G1546" s="1899">
        <v>829304198</v>
      </c>
      <c r="H1546" s="1892"/>
    </row>
    <row r="1547" spans="1:8" s="1893" customFormat="1" ht="23.25" customHeight="1" x14ac:dyDescent="0.3">
      <c r="A1547" s="1891" t="s">
        <v>2780</v>
      </c>
      <c r="B1547" s="1898" t="s">
        <v>2056</v>
      </c>
      <c r="C1547" s="1898" t="s">
        <v>1846</v>
      </c>
      <c r="D1547" s="1898" t="s">
        <v>1986</v>
      </c>
      <c r="E1547" s="1898" t="s">
        <v>1853</v>
      </c>
      <c r="F1547" s="1898" t="s">
        <v>1935</v>
      </c>
      <c r="G1547" s="1899">
        <v>315620740</v>
      </c>
      <c r="H1547" s="1892"/>
    </row>
    <row r="1548" spans="1:8" s="1893" customFormat="1" ht="23.25" customHeight="1" x14ac:dyDescent="0.3">
      <c r="A1548" s="1891" t="s">
        <v>2780</v>
      </c>
      <c r="B1548" s="1898" t="s">
        <v>2056</v>
      </c>
      <c r="C1548" s="1898" t="s">
        <v>1846</v>
      </c>
      <c r="D1548" s="1898" t="s">
        <v>1986</v>
      </c>
      <c r="E1548" s="1898" t="s">
        <v>1853</v>
      </c>
      <c r="F1548" s="1898" t="s">
        <v>1856</v>
      </c>
      <c r="G1548" s="1899">
        <v>39685573</v>
      </c>
      <c r="H1548" s="1892"/>
    </row>
    <row r="1549" spans="1:8" s="1893" customFormat="1" ht="23.25" customHeight="1" x14ac:dyDescent="0.3">
      <c r="A1549" s="1891" t="s">
        <v>2780</v>
      </c>
      <c r="B1549" s="1898" t="s">
        <v>2056</v>
      </c>
      <c r="C1549" s="1898" t="s">
        <v>1846</v>
      </c>
      <c r="D1549" s="1898" t="s">
        <v>1986</v>
      </c>
      <c r="E1549" s="1898" t="s">
        <v>1853</v>
      </c>
      <c r="F1549" s="1898" t="s">
        <v>1938</v>
      </c>
      <c r="G1549" s="1899">
        <v>40975000</v>
      </c>
      <c r="H1549" s="1892"/>
    </row>
    <row r="1550" spans="1:8" s="1893" customFormat="1" ht="23.25" customHeight="1" x14ac:dyDescent="0.3">
      <c r="A1550" s="1891" t="s">
        <v>2780</v>
      </c>
      <c r="B1550" s="1898" t="s">
        <v>2056</v>
      </c>
      <c r="C1550" s="1898" t="s">
        <v>1846</v>
      </c>
      <c r="D1550" s="1898" t="s">
        <v>1986</v>
      </c>
      <c r="E1550" s="1898" t="s">
        <v>1853</v>
      </c>
      <c r="F1550" s="1898" t="s">
        <v>1859</v>
      </c>
      <c r="G1550" s="1899">
        <v>1040493022</v>
      </c>
      <c r="H1550" s="1892"/>
    </row>
    <row r="1551" spans="1:8" s="1893" customFormat="1" ht="23.25" customHeight="1" x14ac:dyDescent="0.3">
      <c r="A1551" s="1891" t="s">
        <v>2780</v>
      </c>
      <c r="B1551" s="1898" t="s">
        <v>2056</v>
      </c>
      <c r="C1551" s="1898" t="s">
        <v>1846</v>
      </c>
      <c r="D1551" s="1898" t="s">
        <v>1986</v>
      </c>
      <c r="E1551" s="1898" t="s">
        <v>1853</v>
      </c>
      <c r="F1551" s="1898" t="s">
        <v>1939</v>
      </c>
      <c r="G1551" s="1899">
        <v>113836620</v>
      </c>
      <c r="H1551" s="1892"/>
    </row>
    <row r="1552" spans="1:8" s="1893" customFormat="1" ht="23.25" customHeight="1" x14ac:dyDescent="0.3">
      <c r="A1552" s="1891" t="s">
        <v>2780</v>
      </c>
      <c r="B1552" s="1898" t="s">
        <v>2056</v>
      </c>
      <c r="C1552" s="1898" t="s">
        <v>1846</v>
      </c>
      <c r="D1552" s="1898" t="s">
        <v>1986</v>
      </c>
      <c r="E1552" s="1898" t="s">
        <v>1860</v>
      </c>
      <c r="F1552" s="1898" t="s">
        <v>1861</v>
      </c>
      <c r="G1552" s="1899">
        <v>19125000</v>
      </c>
      <c r="H1552" s="1892"/>
    </row>
    <row r="1553" spans="1:8" s="1893" customFormat="1" ht="23.25" customHeight="1" x14ac:dyDescent="0.3">
      <c r="A1553" s="1891" t="s">
        <v>2780</v>
      </c>
      <c r="B1553" s="1898" t="s">
        <v>2056</v>
      </c>
      <c r="C1553" s="1898" t="s">
        <v>1846</v>
      </c>
      <c r="D1553" s="1898" t="s">
        <v>1986</v>
      </c>
      <c r="E1553" s="1898" t="s">
        <v>1860</v>
      </c>
      <c r="F1553" s="1898" t="s">
        <v>1930</v>
      </c>
      <c r="G1553" s="1899">
        <v>105267888</v>
      </c>
      <c r="H1553" s="1892"/>
    </row>
    <row r="1554" spans="1:8" s="1893" customFormat="1" ht="23.25" customHeight="1" x14ac:dyDescent="0.3">
      <c r="A1554" s="1891" t="s">
        <v>2780</v>
      </c>
      <c r="B1554" s="1898" t="s">
        <v>2056</v>
      </c>
      <c r="C1554" s="1898" t="s">
        <v>1846</v>
      </c>
      <c r="D1554" s="1898" t="s">
        <v>1986</v>
      </c>
      <c r="E1554" s="1898" t="s">
        <v>1862</v>
      </c>
      <c r="F1554" s="1898" t="s">
        <v>1863</v>
      </c>
      <c r="G1554" s="1899">
        <v>913120926</v>
      </c>
      <c r="H1554" s="1892"/>
    </row>
    <row r="1555" spans="1:8" s="1893" customFormat="1" ht="23.25" customHeight="1" x14ac:dyDescent="0.3">
      <c r="A1555" s="1891" t="s">
        <v>2780</v>
      </c>
      <c r="B1555" s="1898" t="s">
        <v>2056</v>
      </c>
      <c r="C1555" s="1898" t="s">
        <v>1846</v>
      </c>
      <c r="D1555" s="1898" t="s">
        <v>1986</v>
      </c>
      <c r="E1555" s="1898" t="s">
        <v>1862</v>
      </c>
      <c r="F1555" s="1898" t="s">
        <v>1864</v>
      </c>
      <c r="G1555" s="1899">
        <v>157425856</v>
      </c>
      <c r="H1555" s="1892"/>
    </row>
    <row r="1556" spans="1:8" s="1893" customFormat="1" ht="23.25" customHeight="1" x14ac:dyDescent="0.3">
      <c r="A1556" s="1891" t="s">
        <v>2780</v>
      </c>
      <c r="B1556" s="1898" t="s">
        <v>2056</v>
      </c>
      <c r="C1556" s="1898" t="s">
        <v>1846</v>
      </c>
      <c r="D1556" s="1898" t="s">
        <v>1986</v>
      </c>
      <c r="E1556" s="1898" t="s">
        <v>1862</v>
      </c>
      <c r="F1556" s="1898" t="s">
        <v>1865</v>
      </c>
      <c r="G1556" s="1899">
        <v>79590302</v>
      </c>
      <c r="H1556" s="1892"/>
    </row>
    <row r="1557" spans="1:8" s="1893" customFormat="1" ht="23.25" customHeight="1" x14ac:dyDescent="0.3">
      <c r="A1557" s="1891" t="s">
        <v>2780</v>
      </c>
      <c r="B1557" s="1898" t="s">
        <v>2056</v>
      </c>
      <c r="C1557" s="1898" t="s">
        <v>1846</v>
      </c>
      <c r="D1557" s="1898" t="s">
        <v>1986</v>
      </c>
      <c r="E1557" s="1898" t="s">
        <v>1862</v>
      </c>
      <c r="F1557" s="1898" t="s">
        <v>1945</v>
      </c>
      <c r="G1557" s="1899">
        <v>2878680</v>
      </c>
      <c r="H1557" s="1892"/>
    </row>
    <row r="1558" spans="1:8" s="1893" customFormat="1" ht="23.25" customHeight="1" x14ac:dyDescent="0.3">
      <c r="A1558" s="1891" t="s">
        <v>2780</v>
      </c>
      <c r="B1558" s="1898" t="s">
        <v>2056</v>
      </c>
      <c r="C1558" s="1898" t="s">
        <v>1846</v>
      </c>
      <c r="D1558" s="1898" t="s">
        <v>1986</v>
      </c>
      <c r="E1558" s="1898" t="s">
        <v>2057</v>
      </c>
      <c r="F1558" s="1898" t="s">
        <v>2058</v>
      </c>
      <c r="G1558" s="1899">
        <v>1979539873</v>
      </c>
      <c r="H1558" s="1892"/>
    </row>
    <row r="1559" spans="1:8" s="1893" customFormat="1" ht="23.25" customHeight="1" x14ac:dyDescent="0.3">
      <c r="A1559" s="1891" t="s">
        <v>2780</v>
      </c>
      <c r="B1559" s="1898" t="s">
        <v>2056</v>
      </c>
      <c r="C1559" s="1898" t="s">
        <v>1846</v>
      </c>
      <c r="D1559" s="1898" t="s">
        <v>1986</v>
      </c>
      <c r="E1559" s="1898" t="s">
        <v>2057</v>
      </c>
      <c r="F1559" s="1898" t="s">
        <v>2059</v>
      </c>
      <c r="G1559" s="1899">
        <v>1771663848</v>
      </c>
      <c r="H1559" s="1892"/>
    </row>
    <row r="1560" spans="1:8" s="1893" customFormat="1" ht="23.25" customHeight="1" x14ac:dyDescent="0.3">
      <c r="A1560" s="1891" t="s">
        <v>2780</v>
      </c>
      <c r="B1560" s="1898" t="s">
        <v>2056</v>
      </c>
      <c r="C1560" s="1898" t="s">
        <v>1846</v>
      </c>
      <c r="D1560" s="1898" t="s">
        <v>1986</v>
      </c>
      <c r="E1560" s="1898" t="s">
        <v>1867</v>
      </c>
      <c r="F1560" s="1898" t="s">
        <v>1868</v>
      </c>
      <c r="G1560" s="1899">
        <v>383493353</v>
      </c>
      <c r="H1560" s="1892"/>
    </row>
    <row r="1561" spans="1:8" s="1893" customFormat="1" ht="23.25" customHeight="1" x14ac:dyDescent="0.3">
      <c r="A1561" s="1891" t="s">
        <v>2780</v>
      </c>
      <c r="B1561" s="1898" t="s">
        <v>2056</v>
      </c>
      <c r="C1561" s="1898" t="s">
        <v>1846</v>
      </c>
      <c r="D1561" s="1898" t="s">
        <v>1986</v>
      </c>
      <c r="E1561" s="1898" t="s">
        <v>1874</v>
      </c>
      <c r="F1561" s="1898" t="s">
        <v>1875</v>
      </c>
      <c r="G1561" s="1899">
        <v>175678883</v>
      </c>
      <c r="H1561" s="1892"/>
    </row>
    <row r="1562" spans="1:8" s="1893" customFormat="1" ht="23.25" customHeight="1" x14ac:dyDescent="0.3">
      <c r="A1562" s="1891" t="s">
        <v>2780</v>
      </c>
      <c r="B1562" s="1898" t="s">
        <v>2056</v>
      </c>
      <c r="C1562" s="1898" t="s">
        <v>1846</v>
      </c>
      <c r="D1562" s="1898" t="s">
        <v>1986</v>
      </c>
      <c r="E1562" s="1898" t="s">
        <v>1874</v>
      </c>
      <c r="F1562" s="1898" t="s">
        <v>1876</v>
      </c>
      <c r="G1562" s="1899">
        <v>10100000</v>
      </c>
      <c r="H1562" s="1892"/>
    </row>
    <row r="1563" spans="1:8" s="1893" customFormat="1" ht="23.25" customHeight="1" x14ac:dyDescent="0.3">
      <c r="A1563" s="1891" t="s">
        <v>2780</v>
      </c>
      <c r="B1563" s="1898" t="s">
        <v>2056</v>
      </c>
      <c r="C1563" s="1898" t="s">
        <v>1846</v>
      </c>
      <c r="D1563" s="1898" t="s">
        <v>1986</v>
      </c>
      <c r="E1563" s="1898" t="s">
        <v>1874</v>
      </c>
      <c r="F1563" s="1898" t="s">
        <v>1877</v>
      </c>
      <c r="G1563" s="1899">
        <v>43980000</v>
      </c>
      <c r="H1563" s="1892"/>
    </row>
    <row r="1564" spans="1:8" s="1893" customFormat="1" ht="23.25" customHeight="1" x14ac:dyDescent="0.3">
      <c r="A1564" s="1891" t="s">
        <v>2780</v>
      </c>
      <c r="B1564" s="1898" t="s">
        <v>2056</v>
      </c>
      <c r="C1564" s="1898" t="s">
        <v>1846</v>
      </c>
      <c r="D1564" s="1898" t="s">
        <v>1986</v>
      </c>
      <c r="E1564" s="1898" t="s">
        <v>1878</v>
      </c>
      <c r="F1564" s="1898" t="s">
        <v>1879</v>
      </c>
      <c r="G1564" s="1899">
        <v>124974</v>
      </c>
      <c r="H1564" s="1892"/>
    </row>
    <row r="1565" spans="1:8" s="1893" customFormat="1" ht="23.25" customHeight="1" x14ac:dyDescent="0.3">
      <c r="A1565" s="1891" t="s">
        <v>2780</v>
      </c>
      <c r="B1565" s="1898" t="s">
        <v>2056</v>
      </c>
      <c r="C1565" s="1898" t="s">
        <v>1846</v>
      </c>
      <c r="D1565" s="1898" t="s">
        <v>1986</v>
      </c>
      <c r="E1565" s="1898" t="s">
        <v>1878</v>
      </c>
      <c r="F1565" s="1898" t="s">
        <v>1880</v>
      </c>
      <c r="G1565" s="1899">
        <v>1648563</v>
      </c>
      <c r="H1565" s="1892"/>
    </row>
    <row r="1566" spans="1:8" s="1893" customFormat="1" ht="23.25" customHeight="1" x14ac:dyDescent="0.3">
      <c r="A1566" s="1891" t="s">
        <v>2780</v>
      </c>
      <c r="B1566" s="1898" t="s">
        <v>2056</v>
      </c>
      <c r="C1566" s="1898" t="s">
        <v>1846</v>
      </c>
      <c r="D1566" s="1898" t="s">
        <v>1986</v>
      </c>
      <c r="E1566" s="1898" t="s">
        <v>1878</v>
      </c>
      <c r="F1566" s="1898" t="s">
        <v>1881</v>
      </c>
      <c r="G1566" s="1899">
        <v>2527989</v>
      </c>
      <c r="H1566" s="1892"/>
    </row>
    <row r="1567" spans="1:8" s="1893" customFormat="1" ht="23.25" customHeight="1" x14ac:dyDescent="0.3">
      <c r="A1567" s="1891" t="s">
        <v>2780</v>
      </c>
      <c r="B1567" s="1898" t="s">
        <v>2056</v>
      </c>
      <c r="C1567" s="1898" t="s">
        <v>1846</v>
      </c>
      <c r="D1567" s="1898" t="s">
        <v>1986</v>
      </c>
      <c r="E1567" s="1898" t="s">
        <v>1878</v>
      </c>
      <c r="F1567" s="1898" t="s">
        <v>1882</v>
      </c>
      <c r="G1567" s="1899">
        <v>61987999</v>
      </c>
      <c r="H1567" s="1892"/>
    </row>
    <row r="1568" spans="1:8" s="1893" customFormat="1" ht="23.25" customHeight="1" x14ac:dyDescent="0.3">
      <c r="A1568" s="1891" t="s">
        <v>2780</v>
      </c>
      <c r="B1568" s="1898" t="s">
        <v>2056</v>
      </c>
      <c r="C1568" s="1898" t="s">
        <v>1846</v>
      </c>
      <c r="D1568" s="1898" t="s">
        <v>1986</v>
      </c>
      <c r="E1568" s="1898" t="s">
        <v>1878</v>
      </c>
      <c r="F1568" s="1898" t="s">
        <v>1883</v>
      </c>
      <c r="G1568" s="1899">
        <v>620000</v>
      </c>
      <c r="H1568" s="1892"/>
    </row>
    <row r="1569" spans="1:8" s="1893" customFormat="1" ht="23.25" customHeight="1" x14ac:dyDescent="0.3">
      <c r="A1569" s="1891" t="s">
        <v>2780</v>
      </c>
      <c r="B1569" s="1898" t="s">
        <v>2056</v>
      </c>
      <c r="C1569" s="1898" t="s">
        <v>1846</v>
      </c>
      <c r="D1569" s="1898" t="s">
        <v>1986</v>
      </c>
      <c r="E1569" s="1898" t="s">
        <v>1885</v>
      </c>
      <c r="F1569" s="1898" t="s">
        <v>1925</v>
      </c>
      <c r="G1569" s="1899">
        <v>13258300</v>
      </c>
      <c r="H1569" s="1892"/>
    </row>
    <row r="1570" spans="1:8" s="1893" customFormat="1" ht="23.25" customHeight="1" x14ac:dyDescent="0.3">
      <c r="A1570" s="1891" t="s">
        <v>2780</v>
      </c>
      <c r="B1570" s="1898" t="s">
        <v>2056</v>
      </c>
      <c r="C1570" s="1898" t="s">
        <v>1846</v>
      </c>
      <c r="D1570" s="1898" t="s">
        <v>1986</v>
      </c>
      <c r="E1570" s="1898" t="s">
        <v>1885</v>
      </c>
      <c r="F1570" s="1898" t="s">
        <v>1887</v>
      </c>
      <c r="G1570" s="1899">
        <v>971108000</v>
      </c>
      <c r="H1570" s="1892"/>
    </row>
    <row r="1571" spans="1:8" s="1893" customFormat="1" ht="23.25" customHeight="1" x14ac:dyDescent="0.3">
      <c r="A1571" s="1891" t="s">
        <v>2780</v>
      </c>
      <c r="B1571" s="1898" t="s">
        <v>2056</v>
      </c>
      <c r="C1571" s="1898" t="s">
        <v>1846</v>
      </c>
      <c r="D1571" s="1898" t="s">
        <v>1986</v>
      </c>
      <c r="E1571" s="1898" t="s">
        <v>1885</v>
      </c>
      <c r="F1571" s="1898" t="s">
        <v>1888</v>
      </c>
      <c r="G1571" s="1899">
        <v>210238500</v>
      </c>
      <c r="H1571" s="1892"/>
    </row>
    <row r="1572" spans="1:8" s="1893" customFormat="1" ht="23.25" customHeight="1" x14ac:dyDescent="0.3">
      <c r="A1572" s="1891" t="s">
        <v>2780</v>
      </c>
      <c r="B1572" s="1898" t="s">
        <v>2056</v>
      </c>
      <c r="C1572" s="1898" t="s">
        <v>1846</v>
      </c>
      <c r="D1572" s="1898" t="s">
        <v>1986</v>
      </c>
      <c r="E1572" s="1898" t="s">
        <v>1889</v>
      </c>
      <c r="F1572" s="1898" t="s">
        <v>1890</v>
      </c>
      <c r="G1572" s="1899">
        <v>101959877</v>
      </c>
      <c r="H1572" s="1892"/>
    </row>
    <row r="1573" spans="1:8" s="1893" customFormat="1" ht="23.25" customHeight="1" x14ac:dyDescent="0.3">
      <c r="A1573" s="1891" t="s">
        <v>2780</v>
      </c>
      <c r="B1573" s="1898" t="s">
        <v>2056</v>
      </c>
      <c r="C1573" s="1898" t="s">
        <v>1846</v>
      </c>
      <c r="D1573" s="1898" t="s">
        <v>1986</v>
      </c>
      <c r="E1573" s="1898" t="s">
        <v>1889</v>
      </c>
      <c r="F1573" s="1898" t="s">
        <v>1891</v>
      </c>
      <c r="G1573" s="1899">
        <v>8780000</v>
      </c>
      <c r="H1573" s="1892"/>
    </row>
    <row r="1574" spans="1:8" s="1893" customFormat="1" ht="23.25" customHeight="1" x14ac:dyDescent="0.3">
      <c r="A1574" s="1891" t="s">
        <v>2780</v>
      </c>
      <c r="B1574" s="1898" t="s">
        <v>2056</v>
      </c>
      <c r="C1574" s="1898" t="s">
        <v>1846</v>
      </c>
      <c r="D1574" s="1898" t="s">
        <v>1986</v>
      </c>
      <c r="E1574" s="1898" t="s">
        <v>1889</v>
      </c>
      <c r="F1574" s="1898" t="s">
        <v>1892</v>
      </c>
      <c r="G1574" s="1899">
        <v>65100000</v>
      </c>
      <c r="H1574" s="1892"/>
    </row>
    <row r="1575" spans="1:8" s="1893" customFormat="1" ht="23.25" customHeight="1" x14ac:dyDescent="0.3">
      <c r="A1575" s="1891" t="s">
        <v>2780</v>
      </c>
      <c r="B1575" s="1898" t="s">
        <v>2056</v>
      </c>
      <c r="C1575" s="1898" t="s">
        <v>1846</v>
      </c>
      <c r="D1575" s="1898" t="s">
        <v>1986</v>
      </c>
      <c r="E1575" s="1898" t="s">
        <v>1889</v>
      </c>
      <c r="F1575" s="1898" t="s">
        <v>1922</v>
      </c>
      <c r="G1575" s="1899">
        <v>34350000</v>
      </c>
      <c r="H1575" s="1892"/>
    </row>
    <row r="1576" spans="1:8" s="1893" customFormat="1" ht="23.25" customHeight="1" x14ac:dyDescent="0.3">
      <c r="A1576" s="1891" t="s">
        <v>2780</v>
      </c>
      <c r="B1576" s="1898" t="s">
        <v>2056</v>
      </c>
      <c r="C1576" s="1898" t="s">
        <v>1846</v>
      </c>
      <c r="D1576" s="1898" t="s">
        <v>1986</v>
      </c>
      <c r="E1576" s="1898" t="s">
        <v>1893</v>
      </c>
      <c r="F1576" s="1898" t="s">
        <v>1895</v>
      </c>
      <c r="G1576" s="1899">
        <v>1000000</v>
      </c>
      <c r="H1576" s="1892"/>
    </row>
    <row r="1577" spans="1:8" s="1893" customFormat="1" ht="23.25" customHeight="1" x14ac:dyDescent="0.3">
      <c r="A1577" s="1891" t="s">
        <v>2780</v>
      </c>
      <c r="B1577" s="1898" t="s">
        <v>2056</v>
      </c>
      <c r="C1577" s="1898" t="s">
        <v>1846</v>
      </c>
      <c r="D1577" s="1898" t="s">
        <v>1986</v>
      </c>
      <c r="E1577" s="1898" t="s">
        <v>1896</v>
      </c>
      <c r="F1577" s="1898" t="s">
        <v>1900</v>
      </c>
      <c r="G1577" s="1899">
        <v>59226000</v>
      </c>
      <c r="H1577" s="1892"/>
    </row>
    <row r="1578" spans="1:8" s="1893" customFormat="1" ht="23.25" customHeight="1" x14ac:dyDescent="0.3">
      <c r="A1578" s="1891" t="s">
        <v>2780</v>
      </c>
      <c r="B1578" s="1898" t="s">
        <v>2056</v>
      </c>
      <c r="C1578" s="1898" t="s">
        <v>1846</v>
      </c>
      <c r="D1578" s="1898" t="s">
        <v>1986</v>
      </c>
      <c r="E1578" s="1898" t="s">
        <v>1896</v>
      </c>
      <c r="F1578" s="1898" t="s">
        <v>1901</v>
      </c>
      <c r="G1578" s="1899">
        <v>11350000</v>
      </c>
      <c r="H1578" s="1892"/>
    </row>
    <row r="1579" spans="1:8" s="1893" customFormat="1" ht="23.25" customHeight="1" x14ac:dyDescent="0.3">
      <c r="A1579" s="1891" t="s">
        <v>2780</v>
      </c>
      <c r="B1579" s="1898" t="s">
        <v>2056</v>
      </c>
      <c r="C1579" s="1898" t="s">
        <v>1846</v>
      </c>
      <c r="D1579" s="1898" t="s">
        <v>1986</v>
      </c>
      <c r="E1579" s="1898" t="s">
        <v>1896</v>
      </c>
      <c r="F1579" s="1898" t="s">
        <v>1902</v>
      </c>
      <c r="G1579" s="1899">
        <v>100000</v>
      </c>
      <c r="H1579" s="1892"/>
    </row>
    <row r="1580" spans="1:8" s="1893" customFormat="1" ht="23.25" customHeight="1" x14ac:dyDescent="0.3">
      <c r="A1580" s="1891" t="s">
        <v>2780</v>
      </c>
      <c r="B1580" s="1898" t="s">
        <v>2056</v>
      </c>
      <c r="C1580" s="1898" t="s">
        <v>1846</v>
      </c>
      <c r="D1580" s="1898" t="s">
        <v>1986</v>
      </c>
      <c r="E1580" s="1898" t="s">
        <v>1906</v>
      </c>
      <c r="F1580" s="1898" t="s">
        <v>1907</v>
      </c>
      <c r="G1580" s="1899">
        <v>16339900</v>
      </c>
      <c r="H1580" s="1892"/>
    </row>
    <row r="1581" spans="1:8" s="1893" customFormat="1" ht="23.25" customHeight="1" x14ac:dyDescent="0.3">
      <c r="A1581" s="1891" t="s">
        <v>2780</v>
      </c>
      <c r="B1581" s="1898" t="s">
        <v>2056</v>
      </c>
      <c r="C1581" s="1898" t="s">
        <v>1846</v>
      </c>
      <c r="D1581" s="1898" t="s">
        <v>1986</v>
      </c>
      <c r="E1581" s="1898" t="s">
        <v>1906</v>
      </c>
      <c r="F1581" s="1898" t="s">
        <v>1908</v>
      </c>
      <c r="G1581" s="1899">
        <v>9220000</v>
      </c>
      <c r="H1581" s="1892"/>
    </row>
    <row r="1582" spans="1:8" s="1893" customFormat="1" ht="23.25" customHeight="1" x14ac:dyDescent="0.3">
      <c r="A1582" s="1891" t="s">
        <v>2780</v>
      </c>
      <c r="B1582" s="1898" t="s">
        <v>2056</v>
      </c>
      <c r="C1582" s="1898" t="s">
        <v>1846</v>
      </c>
      <c r="D1582" s="1898" t="s">
        <v>1986</v>
      </c>
      <c r="E1582" s="1898" t="s">
        <v>1906</v>
      </c>
      <c r="F1582" s="1898" t="s">
        <v>1909</v>
      </c>
      <c r="G1582" s="1899">
        <v>77393300</v>
      </c>
      <c r="H1582" s="1892"/>
    </row>
    <row r="1583" spans="1:8" s="1893" customFormat="1" ht="23.25" customHeight="1" x14ac:dyDescent="0.3">
      <c r="A1583" s="1891" t="s">
        <v>2780</v>
      </c>
      <c r="B1583" s="1898" t="s">
        <v>2056</v>
      </c>
      <c r="C1583" s="1898" t="s">
        <v>1846</v>
      </c>
      <c r="D1583" s="1898" t="s">
        <v>1986</v>
      </c>
      <c r="E1583" s="1898" t="s">
        <v>1912</v>
      </c>
      <c r="F1583" s="1898" t="s">
        <v>1913</v>
      </c>
      <c r="G1583" s="1899">
        <v>600000</v>
      </c>
      <c r="H1583" s="1892"/>
    </row>
    <row r="1584" spans="1:8" s="1893" customFormat="1" ht="23.25" customHeight="1" x14ac:dyDescent="0.3">
      <c r="A1584" s="1891" t="s">
        <v>2780</v>
      </c>
      <c r="B1584" s="1898" t="s">
        <v>2056</v>
      </c>
      <c r="C1584" s="1898" t="s">
        <v>1846</v>
      </c>
      <c r="D1584" s="1898" t="s">
        <v>1986</v>
      </c>
      <c r="E1584" s="1898" t="s">
        <v>1912</v>
      </c>
      <c r="F1584" s="1898" t="s">
        <v>1915</v>
      </c>
      <c r="G1584" s="1899">
        <v>29120000</v>
      </c>
      <c r="H1584" s="1892"/>
    </row>
    <row r="1585" spans="1:8" s="1893" customFormat="1" ht="23.25" customHeight="1" x14ac:dyDescent="0.3">
      <c r="A1585" s="1891" t="s">
        <v>2780</v>
      </c>
      <c r="B1585" s="1898" t="s">
        <v>2056</v>
      </c>
      <c r="C1585" s="1898" t="s">
        <v>1846</v>
      </c>
      <c r="D1585" s="1898" t="s">
        <v>1986</v>
      </c>
      <c r="E1585" s="1898" t="s">
        <v>1912</v>
      </c>
      <c r="F1585" s="1898" t="s">
        <v>1916</v>
      </c>
      <c r="G1585" s="1899">
        <v>1480098572</v>
      </c>
      <c r="H1585" s="1892"/>
    </row>
    <row r="1586" spans="1:8" s="1893" customFormat="1" ht="23.25" customHeight="1" x14ac:dyDescent="0.3">
      <c r="A1586" s="1891" t="s">
        <v>2780</v>
      </c>
      <c r="B1586" s="1898" t="s">
        <v>2056</v>
      </c>
      <c r="C1586" s="1898" t="s">
        <v>1846</v>
      </c>
      <c r="D1586" s="1898" t="s">
        <v>1986</v>
      </c>
      <c r="E1586" s="1898" t="s">
        <v>1917</v>
      </c>
      <c r="F1586" s="1898" t="s">
        <v>1918</v>
      </c>
      <c r="G1586" s="1899">
        <v>19950000</v>
      </c>
      <c r="H1586" s="1892"/>
    </row>
    <row r="1587" spans="1:8" s="1893" customFormat="1" ht="23.25" customHeight="1" x14ac:dyDescent="0.3">
      <c r="A1587" s="1891" t="s">
        <v>2780</v>
      </c>
      <c r="B1587" s="1898" t="s">
        <v>2056</v>
      </c>
      <c r="C1587" s="1898" t="s">
        <v>1846</v>
      </c>
      <c r="D1587" s="1898" t="s">
        <v>1993</v>
      </c>
      <c r="E1587" s="1898" t="s">
        <v>1848</v>
      </c>
      <c r="F1587" s="1898" t="s">
        <v>1849</v>
      </c>
      <c r="G1587" s="1899">
        <v>283100</v>
      </c>
      <c r="H1587" s="1892"/>
    </row>
    <row r="1588" spans="1:8" s="1893" customFormat="1" ht="23.25" customHeight="1" x14ac:dyDescent="0.3">
      <c r="A1588" s="1891" t="s">
        <v>2780</v>
      </c>
      <c r="B1588" s="1898" t="s">
        <v>2056</v>
      </c>
      <c r="C1588" s="1898" t="s">
        <v>1846</v>
      </c>
      <c r="D1588" s="1898" t="s">
        <v>1993</v>
      </c>
      <c r="E1588" s="1898" t="s">
        <v>1853</v>
      </c>
      <c r="F1588" s="1898" t="s">
        <v>1939</v>
      </c>
      <c r="G1588" s="1899">
        <v>30020520</v>
      </c>
      <c r="H1588" s="1892"/>
    </row>
    <row r="1589" spans="1:8" s="1893" customFormat="1" ht="23.25" customHeight="1" x14ac:dyDescent="0.3">
      <c r="A1589" s="1891" t="s">
        <v>2780</v>
      </c>
      <c r="B1589" s="1898" t="s">
        <v>2056</v>
      </c>
      <c r="C1589" s="1898" t="s">
        <v>1846</v>
      </c>
      <c r="D1589" s="1898" t="s">
        <v>1993</v>
      </c>
      <c r="E1589" s="1898" t="s">
        <v>1862</v>
      </c>
      <c r="F1589" s="1898" t="s">
        <v>1863</v>
      </c>
      <c r="G1589" s="1899">
        <v>23230300</v>
      </c>
      <c r="H1589" s="1892"/>
    </row>
    <row r="1590" spans="1:8" s="1893" customFormat="1" ht="23.25" customHeight="1" x14ac:dyDescent="0.3">
      <c r="A1590" s="1891" t="s">
        <v>2780</v>
      </c>
      <c r="B1590" s="1898" t="s">
        <v>2056</v>
      </c>
      <c r="C1590" s="1898" t="s">
        <v>1846</v>
      </c>
      <c r="D1590" s="1898" t="s">
        <v>1993</v>
      </c>
      <c r="E1590" s="1898" t="s">
        <v>1862</v>
      </c>
      <c r="F1590" s="1898" t="s">
        <v>1864</v>
      </c>
      <c r="G1590" s="1899">
        <v>3248200</v>
      </c>
      <c r="H1590" s="1892"/>
    </row>
    <row r="1591" spans="1:8" s="1893" customFormat="1" ht="23.25" customHeight="1" x14ac:dyDescent="0.3">
      <c r="A1591" s="1891" t="s">
        <v>2780</v>
      </c>
      <c r="B1591" s="1898" t="s">
        <v>2056</v>
      </c>
      <c r="C1591" s="1898" t="s">
        <v>1846</v>
      </c>
      <c r="D1591" s="1898" t="s">
        <v>1993</v>
      </c>
      <c r="E1591" s="1898" t="s">
        <v>2057</v>
      </c>
      <c r="F1591" s="1898" t="s">
        <v>2058</v>
      </c>
      <c r="G1591" s="1899">
        <v>820494043</v>
      </c>
      <c r="H1591" s="1892"/>
    </row>
    <row r="1592" spans="1:8" s="1893" customFormat="1" ht="23.25" customHeight="1" x14ac:dyDescent="0.3">
      <c r="A1592" s="1891" t="s">
        <v>2780</v>
      </c>
      <c r="B1592" s="1898" t="s">
        <v>2056</v>
      </c>
      <c r="C1592" s="1898" t="s">
        <v>1846</v>
      </c>
      <c r="D1592" s="1898" t="s">
        <v>1993</v>
      </c>
      <c r="E1592" s="1898" t="s">
        <v>2057</v>
      </c>
      <c r="F1592" s="1898" t="s">
        <v>2059</v>
      </c>
      <c r="G1592" s="1899">
        <v>20227800</v>
      </c>
      <c r="H1592" s="1892"/>
    </row>
    <row r="1593" spans="1:8" s="1893" customFormat="1" ht="23.25" customHeight="1" x14ac:dyDescent="0.3">
      <c r="A1593" s="1891" t="s">
        <v>2780</v>
      </c>
      <c r="B1593" s="1898" t="s">
        <v>2056</v>
      </c>
      <c r="C1593" s="1898" t="s">
        <v>1846</v>
      </c>
      <c r="D1593" s="1898" t="s">
        <v>1993</v>
      </c>
      <c r="E1593" s="1898" t="s">
        <v>1867</v>
      </c>
      <c r="F1593" s="1898" t="s">
        <v>1868</v>
      </c>
      <c r="G1593" s="1899">
        <v>11194227</v>
      </c>
      <c r="H1593" s="1892"/>
    </row>
    <row r="1594" spans="1:8" s="1893" customFormat="1" ht="23.25" customHeight="1" x14ac:dyDescent="0.3">
      <c r="A1594" s="1891" t="s">
        <v>2780</v>
      </c>
      <c r="B1594" s="1898" t="s">
        <v>2056</v>
      </c>
      <c r="C1594" s="1898" t="s">
        <v>1846</v>
      </c>
      <c r="D1594" s="1898" t="s">
        <v>1993</v>
      </c>
      <c r="E1594" s="1898" t="s">
        <v>1874</v>
      </c>
      <c r="F1594" s="1898" t="s">
        <v>1875</v>
      </c>
      <c r="G1594" s="1899">
        <v>19138000</v>
      </c>
      <c r="H1594" s="1892"/>
    </row>
    <row r="1595" spans="1:8" s="1893" customFormat="1" ht="23.25" customHeight="1" x14ac:dyDescent="0.3">
      <c r="A1595" s="1891" t="s">
        <v>2780</v>
      </c>
      <c r="B1595" s="1898" t="s">
        <v>2056</v>
      </c>
      <c r="C1595" s="1898" t="s">
        <v>1846</v>
      </c>
      <c r="D1595" s="1898" t="s">
        <v>1993</v>
      </c>
      <c r="E1595" s="1898" t="s">
        <v>1874</v>
      </c>
      <c r="F1595" s="1898" t="s">
        <v>1876</v>
      </c>
      <c r="G1595" s="1899">
        <v>650000</v>
      </c>
      <c r="H1595" s="1892"/>
    </row>
    <row r="1596" spans="1:8" s="1893" customFormat="1" ht="23.25" customHeight="1" x14ac:dyDescent="0.3">
      <c r="A1596" s="1891" t="s">
        <v>2780</v>
      </c>
      <c r="B1596" s="1898" t="s">
        <v>2056</v>
      </c>
      <c r="C1596" s="1898" t="s">
        <v>1846</v>
      </c>
      <c r="D1596" s="1898" t="s">
        <v>1993</v>
      </c>
      <c r="E1596" s="1898" t="s">
        <v>1874</v>
      </c>
      <c r="F1596" s="1898" t="s">
        <v>2062</v>
      </c>
      <c r="G1596" s="1899">
        <v>0</v>
      </c>
      <c r="H1596" s="1892"/>
    </row>
    <row r="1597" spans="1:8" s="1893" customFormat="1" ht="23.25" customHeight="1" x14ac:dyDescent="0.3">
      <c r="A1597" s="1891" t="s">
        <v>2780</v>
      </c>
      <c r="B1597" s="1898" t="s">
        <v>2056</v>
      </c>
      <c r="C1597" s="1898" t="s">
        <v>1846</v>
      </c>
      <c r="D1597" s="1898" t="s">
        <v>1993</v>
      </c>
      <c r="E1597" s="1898" t="s">
        <v>1874</v>
      </c>
      <c r="F1597" s="1898" t="s">
        <v>1877</v>
      </c>
      <c r="G1597" s="1899">
        <v>3160000</v>
      </c>
      <c r="H1597" s="1892"/>
    </row>
    <row r="1598" spans="1:8" s="1893" customFormat="1" ht="23.25" customHeight="1" x14ac:dyDescent="0.3">
      <c r="A1598" s="1891" t="s">
        <v>2780</v>
      </c>
      <c r="B1598" s="1898" t="s">
        <v>2056</v>
      </c>
      <c r="C1598" s="1898" t="s">
        <v>1846</v>
      </c>
      <c r="D1598" s="1898" t="s">
        <v>1993</v>
      </c>
      <c r="E1598" s="1898" t="s">
        <v>1885</v>
      </c>
      <c r="F1598" s="1898" t="s">
        <v>1925</v>
      </c>
      <c r="G1598" s="1899">
        <v>3716600</v>
      </c>
      <c r="H1598" s="1892"/>
    </row>
    <row r="1599" spans="1:8" s="1893" customFormat="1" ht="23.25" customHeight="1" x14ac:dyDescent="0.3">
      <c r="A1599" s="1891" t="s">
        <v>2780</v>
      </c>
      <c r="B1599" s="1898" t="s">
        <v>2056</v>
      </c>
      <c r="C1599" s="1898" t="s">
        <v>1846</v>
      </c>
      <c r="D1599" s="1898" t="s">
        <v>1993</v>
      </c>
      <c r="E1599" s="1898" t="s">
        <v>1885</v>
      </c>
      <c r="F1599" s="1898" t="s">
        <v>1887</v>
      </c>
      <c r="G1599" s="1899">
        <v>236599400</v>
      </c>
      <c r="H1599" s="1892"/>
    </row>
    <row r="1600" spans="1:8" s="1893" customFormat="1" ht="23.25" customHeight="1" x14ac:dyDescent="0.3">
      <c r="A1600" s="1891" t="s">
        <v>2780</v>
      </c>
      <c r="B1600" s="1898" t="s">
        <v>2056</v>
      </c>
      <c r="C1600" s="1898" t="s">
        <v>1846</v>
      </c>
      <c r="D1600" s="1898" t="s">
        <v>1993</v>
      </c>
      <c r="E1600" s="1898" t="s">
        <v>1885</v>
      </c>
      <c r="F1600" s="1898" t="s">
        <v>1888</v>
      </c>
      <c r="G1600" s="1899">
        <v>43399800</v>
      </c>
      <c r="H1600" s="1892"/>
    </row>
    <row r="1601" spans="1:8" s="1893" customFormat="1" ht="23.25" customHeight="1" x14ac:dyDescent="0.3">
      <c r="A1601" s="1891" t="s">
        <v>2780</v>
      </c>
      <c r="B1601" s="1898" t="s">
        <v>2056</v>
      </c>
      <c r="C1601" s="1898" t="s">
        <v>1846</v>
      </c>
      <c r="D1601" s="1898" t="s">
        <v>1993</v>
      </c>
      <c r="E1601" s="1898" t="s">
        <v>1889</v>
      </c>
      <c r="F1601" s="1898" t="s">
        <v>1890</v>
      </c>
      <c r="G1601" s="1899">
        <v>1000000</v>
      </c>
      <c r="H1601" s="1892"/>
    </row>
    <row r="1602" spans="1:8" s="1893" customFormat="1" ht="23.25" customHeight="1" x14ac:dyDescent="0.3">
      <c r="A1602" s="1891" t="s">
        <v>2780</v>
      </c>
      <c r="B1602" s="1898" t="s">
        <v>2056</v>
      </c>
      <c r="C1602" s="1898" t="s">
        <v>1846</v>
      </c>
      <c r="D1602" s="1898" t="s">
        <v>1993</v>
      </c>
      <c r="E1602" s="1898" t="s">
        <v>1889</v>
      </c>
      <c r="F1602" s="1898" t="s">
        <v>1922</v>
      </c>
      <c r="G1602" s="1899">
        <v>350000</v>
      </c>
      <c r="H1602" s="1892"/>
    </row>
    <row r="1603" spans="1:8" s="1893" customFormat="1" ht="23.25" customHeight="1" x14ac:dyDescent="0.3">
      <c r="A1603" s="1891" t="s">
        <v>2780</v>
      </c>
      <c r="B1603" s="1898" t="s">
        <v>2056</v>
      </c>
      <c r="C1603" s="1898" t="s">
        <v>1846</v>
      </c>
      <c r="D1603" s="1898" t="s">
        <v>1993</v>
      </c>
      <c r="E1603" s="1898" t="s">
        <v>1906</v>
      </c>
      <c r="F1603" s="1898" t="s">
        <v>1907</v>
      </c>
      <c r="G1603" s="1899">
        <v>3294600</v>
      </c>
      <c r="H1603" s="1892"/>
    </row>
    <row r="1604" spans="1:8" s="1893" customFormat="1" ht="23.25" customHeight="1" x14ac:dyDescent="0.3">
      <c r="A1604" s="1891" t="s">
        <v>2780</v>
      </c>
      <c r="B1604" s="1898" t="s">
        <v>2056</v>
      </c>
      <c r="C1604" s="1898" t="s">
        <v>1846</v>
      </c>
      <c r="D1604" s="1898" t="s">
        <v>1993</v>
      </c>
      <c r="E1604" s="1898" t="s">
        <v>1906</v>
      </c>
      <c r="F1604" s="1898" t="s">
        <v>1909</v>
      </c>
      <c r="G1604" s="1899">
        <v>1505000</v>
      </c>
      <c r="H1604" s="1892"/>
    </row>
    <row r="1605" spans="1:8" s="1893" customFormat="1" ht="23.25" customHeight="1" x14ac:dyDescent="0.3">
      <c r="A1605" s="1891" t="s">
        <v>2780</v>
      </c>
      <c r="B1605" s="1898" t="s">
        <v>2056</v>
      </c>
      <c r="C1605" s="1898" t="s">
        <v>1846</v>
      </c>
      <c r="D1605" s="1898" t="s">
        <v>1993</v>
      </c>
      <c r="E1605" s="1898" t="s">
        <v>1912</v>
      </c>
      <c r="F1605" s="1898" t="s">
        <v>1915</v>
      </c>
      <c r="G1605" s="1899">
        <v>11270000</v>
      </c>
      <c r="H1605" s="1892"/>
    </row>
    <row r="1606" spans="1:8" s="1893" customFormat="1" ht="23.25" customHeight="1" x14ac:dyDescent="0.3">
      <c r="A1606" s="1891" t="s">
        <v>2780</v>
      </c>
      <c r="B1606" s="1898" t="s">
        <v>2056</v>
      </c>
      <c r="C1606" s="1898" t="s">
        <v>1846</v>
      </c>
      <c r="D1606" s="1898" t="s">
        <v>1993</v>
      </c>
      <c r="E1606" s="1898" t="s">
        <v>1912</v>
      </c>
      <c r="F1606" s="1898" t="s">
        <v>1916</v>
      </c>
      <c r="G1606" s="1899">
        <v>291948000</v>
      </c>
      <c r="H1606" s="1892"/>
    </row>
    <row r="1607" spans="1:8" s="1893" customFormat="1" ht="23.25" customHeight="1" x14ac:dyDescent="0.3">
      <c r="A1607" s="1891" t="s">
        <v>2780</v>
      </c>
      <c r="B1607" s="1898" t="s">
        <v>2056</v>
      </c>
      <c r="C1607" s="1898" t="s">
        <v>1958</v>
      </c>
      <c r="D1607" s="1898" t="s">
        <v>1997</v>
      </c>
      <c r="E1607" s="1898" t="s">
        <v>1910</v>
      </c>
      <c r="F1607" s="1898" t="s">
        <v>2066</v>
      </c>
      <c r="G1607" s="1899">
        <v>0</v>
      </c>
      <c r="H1607" s="1892"/>
    </row>
    <row r="1608" spans="1:8" s="1893" customFormat="1" ht="23.25" customHeight="1" x14ac:dyDescent="0.3">
      <c r="A1608" s="1891" t="s">
        <v>2780</v>
      </c>
      <c r="B1608" s="1898" t="s">
        <v>2056</v>
      </c>
      <c r="C1608" s="1898" t="s">
        <v>1958</v>
      </c>
      <c r="D1608" s="1898" t="s">
        <v>1997</v>
      </c>
      <c r="E1608" s="1898" t="s">
        <v>1912</v>
      </c>
      <c r="F1608" s="1898" t="s">
        <v>1915</v>
      </c>
      <c r="G1608" s="1899">
        <v>0</v>
      </c>
      <c r="H1608" s="1892"/>
    </row>
    <row r="1609" spans="1:8" s="1893" customFormat="1" ht="23.25" customHeight="1" x14ac:dyDescent="0.3">
      <c r="A1609" s="1891" t="s">
        <v>2780</v>
      </c>
      <c r="B1609" s="1898" t="s">
        <v>2056</v>
      </c>
      <c r="C1609" s="1898" t="s">
        <v>1958</v>
      </c>
      <c r="D1609" s="1898" t="s">
        <v>2071</v>
      </c>
      <c r="E1609" s="1898" t="s">
        <v>1874</v>
      </c>
      <c r="F1609" s="1898" t="s">
        <v>1876</v>
      </c>
      <c r="G1609" s="1899">
        <v>1080000</v>
      </c>
      <c r="H1609" s="1892"/>
    </row>
    <row r="1610" spans="1:8" s="1893" customFormat="1" ht="23.25" customHeight="1" x14ac:dyDescent="0.3">
      <c r="A1610" s="1891" t="s">
        <v>2780</v>
      </c>
      <c r="B1610" s="1898" t="s">
        <v>2056</v>
      </c>
      <c r="C1610" s="1898" t="s">
        <v>1958</v>
      </c>
      <c r="D1610" s="1898" t="s">
        <v>2071</v>
      </c>
      <c r="E1610" s="1898" t="s">
        <v>1885</v>
      </c>
      <c r="F1610" s="1898" t="s">
        <v>1887</v>
      </c>
      <c r="G1610" s="1899">
        <v>14000000</v>
      </c>
      <c r="H1610" s="1892"/>
    </row>
    <row r="1611" spans="1:8" s="1893" customFormat="1" ht="23.25" customHeight="1" x14ac:dyDescent="0.3">
      <c r="A1611" s="1891" t="s">
        <v>2780</v>
      </c>
      <c r="B1611" s="1898" t="s">
        <v>2056</v>
      </c>
      <c r="C1611" s="1898" t="s">
        <v>1958</v>
      </c>
      <c r="D1611" s="1898" t="s">
        <v>2071</v>
      </c>
      <c r="E1611" s="1898" t="s">
        <v>1896</v>
      </c>
      <c r="F1611" s="1898" t="s">
        <v>1900</v>
      </c>
      <c r="G1611" s="1899">
        <v>9917000</v>
      </c>
      <c r="H1611" s="1892"/>
    </row>
    <row r="1612" spans="1:8" s="1893" customFormat="1" ht="23.25" customHeight="1" x14ac:dyDescent="0.3">
      <c r="A1612" s="1891" t="s">
        <v>2780</v>
      </c>
      <c r="B1612" s="1898" t="s">
        <v>2056</v>
      </c>
      <c r="C1612" s="1898" t="s">
        <v>1958</v>
      </c>
      <c r="D1612" s="1898" t="s">
        <v>2071</v>
      </c>
      <c r="E1612" s="1898" t="s">
        <v>1962</v>
      </c>
      <c r="F1612" s="1898" t="s">
        <v>2002</v>
      </c>
      <c r="G1612" s="1899">
        <v>1480238923</v>
      </c>
      <c r="H1612" s="1892"/>
    </row>
    <row r="1613" spans="1:8" s="1893" customFormat="1" ht="23.25" customHeight="1" x14ac:dyDescent="0.3">
      <c r="A1613" s="1891" t="s">
        <v>2780</v>
      </c>
      <c r="B1613" s="1898" t="s">
        <v>2056</v>
      </c>
      <c r="C1613" s="1898" t="s">
        <v>1958</v>
      </c>
      <c r="D1613" s="1898" t="s">
        <v>2071</v>
      </c>
      <c r="E1613" s="1898" t="s">
        <v>1962</v>
      </c>
      <c r="F1613" s="1898" t="s">
        <v>2060</v>
      </c>
      <c r="G1613" s="1899">
        <v>174800000</v>
      </c>
      <c r="H1613" s="1892"/>
    </row>
    <row r="1614" spans="1:8" s="1893" customFormat="1" ht="23.25" customHeight="1" x14ac:dyDescent="0.3">
      <c r="A1614" s="1891" t="s">
        <v>2780</v>
      </c>
      <c r="B1614" s="1898" t="s">
        <v>2056</v>
      </c>
      <c r="C1614" s="1898" t="s">
        <v>1958</v>
      </c>
      <c r="D1614" s="1898" t="s">
        <v>2071</v>
      </c>
      <c r="E1614" s="1898" t="s">
        <v>1912</v>
      </c>
      <c r="F1614" s="1898" t="s">
        <v>1916</v>
      </c>
      <c r="G1614" s="1899">
        <v>1090000</v>
      </c>
      <c r="H1614" s="1892"/>
    </row>
    <row r="1615" spans="1:8" s="1893" customFormat="1" ht="23.25" customHeight="1" x14ac:dyDescent="0.3">
      <c r="A1615" s="1891" t="s">
        <v>2780</v>
      </c>
      <c r="B1615" s="1898" t="s">
        <v>2056</v>
      </c>
      <c r="C1615" s="1898" t="s">
        <v>1958</v>
      </c>
      <c r="D1615" s="1898" t="s">
        <v>1959</v>
      </c>
      <c r="E1615" s="1898" t="s">
        <v>1912</v>
      </c>
      <c r="F1615" s="1898" t="s">
        <v>1916</v>
      </c>
      <c r="G1615" s="1899">
        <v>243280000</v>
      </c>
      <c r="H1615" s="1892"/>
    </row>
    <row r="1616" spans="1:8" s="1893" customFormat="1" ht="23.25" customHeight="1" x14ac:dyDescent="0.3">
      <c r="A1616" s="1891" t="s">
        <v>2780</v>
      </c>
      <c r="B1616" s="1898" t="s">
        <v>2056</v>
      </c>
      <c r="C1616" s="1898" t="s">
        <v>2011</v>
      </c>
      <c r="D1616" s="1898" t="s">
        <v>2016</v>
      </c>
      <c r="E1616" s="1898" t="s">
        <v>2017</v>
      </c>
      <c r="F1616" s="1898" t="s">
        <v>2073</v>
      </c>
      <c r="G1616" s="1899">
        <v>681183415</v>
      </c>
      <c r="H1616" s="1892"/>
    </row>
    <row r="1617" spans="1:10" s="1893" customFormat="1" ht="23.25" customHeight="1" x14ac:dyDescent="0.3">
      <c r="A1617" s="1891" t="s">
        <v>2780</v>
      </c>
      <c r="B1617" s="1898" t="s">
        <v>2056</v>
      </c>
      <c r="C1617" s="1898" t="s">
        <v>2011</v>
      </c>
      <c r="D1617" s="1898" t="s">
        <v>2016</v>
      </c>
      <c r="E1617" s="1898" t="s">
        <v>2017</v>
      </c>
      <c r="F1617" s="1898" t="s">
        <v>2018</v>
      </c>
      <c r="G1617" s="1899">
        <v>4970602434</v>
      </c>
      <c r="H1617" s="1892"/>
    </row>
    <row r="1618" spans="1:10" s="1893" customFormat="1" ht="23.25" customHeight="1" x14ac:dyDescent="0.3">
      <c r="A1618" s="1891" t="s">
        <v>2780</v>
      </c>
      <c r="B1618" s="1898" t="s">
        <v>2056</v>
      </c>
      <c r="C1618" s="1898" t="s">
        <v>2011</v>
      </c>
      <c r="D1618" s="1898" t="s">
        <v>2019</v>
      </c>
      <c r="E1618" s="1898" t="s">
        <v>2020</v>
      </c>
      <c r="F1618" s="1898" t="s">
        <v>2074</v>
      </c>
      <c r="G1618" s="1899">
        <v>5485460714</v>
      </c>
      <c r="H1618" s="1892"/>
    </row>
    <row r="1619" spans="1:10" s="1893" customFormat="1" ht="23.25" customHeight="1" x14ac:dyDescent="0.3">
      <c r="A1619" s="1891" t="s">
        <v>2780</v>
      </c>
      <c r="B1619" s="1898" t="s">
        <v>2056</v>
      </c>
      <c r="C1619" s="1898" t="s">
        <v>2011</v>
      </c>
      <c r="D1619" s="1898" t="s">
        <v>2019</v>
      </c>
      <c r="E1619" s="1898" t="s">
        <v>2020</v>
      </c>
      <c r="F1619" s="1898" t="s">
        <v>2022</v>
      </c>
      <c r="G1619" s="1899">
        <v>44894795</v>
      </c>
      <c r="H1619" s="1892"/>
    </row>
    <row r="1620" spans="1:10" s="1893" customFormat="1" ht="23.25" customHeight="1" x14ac:dyDescent="0.3">
      <c r="A1620" s="1891" t="s">
        <v>2780</v>
      </c>
      <c r="B1620" s="1898" t="s">
        <v>2056</v>
      </c>
      <c r="C1620" s="1898" t="s">
        <v>2011</v>
      </c>
      <c r="D1620" s="1898" t="s">
        <v>2019</v>
      </c>
      <c r="E1620" s="1898" t="s">
        <v>2020</v>
      </c>
      <c r="F1620" s="1898" t="s">
        <v>2023</v>
      </c>
      <c r="G1620" s="1899">
        <v>121974605</v>
      </c>
      <c r="H1620" s="1892"/>
    </row>
    <row r="1621" spans="1:10" s="1893" customFormat="1" ht="23.25" customHeight="1" x14ac:dyDescent="0.3">
      <c r="A1621" s="1891" t="s">
        <v>2780</v>
      </c>
      <c r="B1621" s="1898" t="s">
        <v>2056</v>
      </c>
      <c r="C1621" s="1898" t="s">
        <v>2011</v>
      </c>
      <c r="D1621" s="1898" t="s">
        <v>2019</v>
      </c>
      <c r="E1621" s="1898" t="s">
        <v>2020</v>
      </c>
      <c r="F1621" s="1898" t="s">
        <v>2075</v>
      </c>
      <c r="G1621" s="1899">
        <v>2971005055</v>
      </c>
      <c r="H1621" s="1892"/>
    </row>
    <row r="1622" spans="1:10" s="1893" customFormat="1" ht="23.25" customHeight="1" x14ac:dyDescent="0.3">
      <c r="A1622" s="1891" t="s">
        <v>2780</v>
      </c>
      <c r="B1622" s="1898" t="s">
        <v>2056</v>
      </c>
      <c r="C1622" s="1898" t="s">
        <v>2011</v>
      </c>
      <c r="D1622" s="1898" t="s">
        <v>2019</v>
      </c>
      <c r="E1622" s="1898" t="s">
        <v>2020</v>
      </c>
      <c r="F1622" s="1898" t="s">
        <v>2076</v>
      </c>
      <c r="G1622" s="1899">
        <v>27032641</v>
      </c>
      <c r="H1622" s="1892"/>
    </row>
    <row r="1623" spans="1:10" x14ac:dyDescent="0.3">
      <c r="B1623" s="1700"/>
      <c r="C1623" s="1700"/>
      <c r="D1623" s="1700"/>
      <c r="E1623" s="1700"/>
      <c r="F1623" s="1700"/>
      <c r="G1623" s="1700"/>
      <c r="H1623" s="1700"/>
      <c r="I1623" s="1700"/>
    </row>
    <row r="1624" spans="1:10" s="2309" customFormat="1" ht="21.75" customHeight="1" x14ac:dyDescent="0.3">
      <c r="A1624" s="4520" t="s">
        <v>2766</v>
      </c>
      <c r="B1624" s="4520"/>
      <c r="C1624" s="4520"/>
      <c r="D1624" s="4520"/>
      <c r="E1624" s="4520"/>
      <c r="F1624" s="4520"/>
      <c r="G1624" s="4520"/>
      <c r="H1624" s="1700"/>
      <c r="I1624" s="1700"/>
      <c r="J1624" s="1697"/>
    </row>
    <row r="1625" spans="1:10" s="2309" customFormat="1" ht="49.9" customHeight="1" x14ac:dyDescent="0.3">
      <c r="A1625" s="4521" t="s">
        <v>2174</v>
      </c>
      <c r="B1625" s="4521"/>
      <c r="C1625" s="4521"/>
      <c r="D1625" s="4521"/>
      <c r="E1625" s="4521"/>
      <c r="F1625" s="4522" t="s">
        <v>1440</v>
      </c>
      <c r="G1625" s="4522"/>
    </row>
    <row r="1626" spans="1:10" s="2309" customFormat="1" ht="22.5" customHeight="1" x14ac:dyDescent="0.3">
      <c r="A1626" s="4521" t="s">
        <v>2781</v>
      </c>
      <c r="B1626" s="4521"/>
      <c r="C1626" s="4521"/>
      <c r="D1626" s="4521"/>
      <c r="E1626" s="4521"/>
      <c r="F1626" s="4522" t="s">
        <v>807</v>
      </c>
      <c r="G1626" s="4522"/>
    </row>
    <row r="1627" spans="1:10" s="2309" customFormat="1" ht="22.5" customHeight="1" x14ac:dyDescent="0.3">
      <c r="A1627" s="2310"/>
      <c r="B1627" s="2310"/>
      <c r="C1627" s="2311"/>
      <c r="D1627" s="2312"/>
      <c r="F1627" s="2313"/>
    </row>
    <row r="1628" spans="1:10" s="2309" customFormat="1" x14ac:dyDescent="0.3">
      <c r="A1628" s="2310"/>
      <c r="B1628" s="2310"/>
      <c r="C1628" s="2311"/>
      <c r="D1628" s="2312"/>
      <c r="F1628" s="2314"/>
    </row>
    <row r="1629" spans="1:10" s="2309" customFormat="1" ht="15" customHeight="1" x14ac:dyDescent="0.3">
      <c r="A1629" s="2310"/>
      <c r="B1629" s="2310"/>
      <c r="C1629" s="2311"/>
      <c r="D1629" s="2312"/>
      <c r="F1629" s="2314"/>
    </row>
    <row r="1630" spans="1:10" s="2309" customFormat="1" ht="15" customHeight="1" x14ac:dyDescent="0.3">
      <c r="A1630" s="2310"/>
      <c r="B1630" s="2310"/>
      <c r="C1630" s="2311"/>
      <c r="D1630" s="2312"/>
      <c r="F1630" s="2314"/>
    </row>
    <row r="1631" spans="1:10" s="2309" customFormat="1" x14ac:dyDescent="0.3">
      <c r="A1631" s="2310"/>
      <c r="B1631" s="2310"/>
      <c r="C1631" s="2311"/>
      <c r="D1631" s="2312"/>
      <c r="F1631" s="2313"/>
    </row>
    <row r="1632" spans="1:10" s="2309" customFormat="1" ht="19.5" x14ac:dyDescent="0.3">
      <c r="A1632" s="2315"/>
      <c r="C1632" s="2311"/>
      <c r="D1632" s="2311"/>
      <c r="F1632" s="2316"/>
    </row>
    <row r="1633" spans="1:9" s="2309" customFormat="1" ht="19.5" x14ac:dyDescent="0.3">
      <c r="A1633" s="2315"/>
      <c r="B1633" s="2317"/>
      <c r="C1633" s="2318"/>
      <c r="F1633" s="4518" t="s">
        <v>808</v>
      </c>
      <c r="G1633" s="4518"/>
    </row>
    <row r="1634" spans="1:9" x14ac:dyDescent="0.3">
      <c r="B1634" s="1700"/>
      <c r="C1634" s="1700"/>
      <c r="D1634" s="1700"/>
      <c r="E1634" s="1700"/>
      <c r="F1634" s="1700"/>
      <c r="G1634" s="1700"/>
    </row>
    <row r="1635" spans="1:9" x14ac:dyDescent="0.3">
      <c r="B1635" s="1700"/>
      <c r="C1635" s="1700"/>
      <c r="D1635" s="1700"/>
      <c r="E1635" s="1700"/>
      <c r="F1635" s="1700"/>
      <c r="G1635" s="1700"/>
      <c r="H1635" s="1700"/>
      <c r="I1635" s="1700"/>
    </row>
    <row r="1636" spans="1:9" x14ac:dyDescent="0.3">
      <c r="B1636" s="1700"/>
      <c r="C1636" s="1700"/>
      <c r="D1636" s="1700"/>
      <c r="E1636" s="1700"/>
      <c r="F1636" s="1700"/>
      <c r="G1636" s="1700"/>
      <c r="H1636" s="1700"/>
      <c r="I1636" s="1700"/>
    </row>
    <row r="1637" spans="1:9" x14ac:dyDescent="0.3">
      <c r="B1637" s="1700"/>
      <c r="C1637" s="4521" t="s">
        <v>638</v>
      </c>
      <c r="D1637" s="4521"/>
      <c r="E1637" s="4521"/>
      <c r="F1637" s="1700"/>
      <c r="G1637" s="1700"/>
      <c r="H1637" s="1700"/>
      <c r="I1637" s="1700"/>
    </row>
    <row r="1638" spans="1:9" x14ac:dyDescent="0.3">
      <c r="B1638" s="1700"/>
      <c r="C1638" s="4521" t="s">
        <v>639</v>
      </c>
      <c r="D1638" s="4521"/>
      <c r="E1638" s="4521"/>
      <c r="F1638" s="1700"/>
      <c r="G1638" s="1700"/>
      <c r="H1638" s="1700"/>
      <c r="I1638" s="1700"/>
    </row>
    <row r="1639" spans="1:9" x14ac:dyDescent="0.3">
      <c r="B1639" s="1700"/>
      <c r="C1639" s="2309"/>
      <c r="D1639" s="2319"/>
      <c r="E1639" s="2309"/>
      <c r="F1639" s="1700"/>
      <c r="G1639" s="1700"/>
      <c r="H1639" s="1700"/>
      <c r="I1639" s="1700"/>
    </row>
    <row r="1640" spans="1:9" x14ac:dyDescent="0.3">
      <c r="B1640" s="1700"/>
      <c r="C1640" s="2309"/>
      <c r="D1640" s="2320"/>
      <c r="E1640" s="2309"/>
      <c r="F1640" s="1700"/>
      <c r="G1640" s="1700"/>
      <c r="H1640" s="1700"/>
      <c r="I1640" s="1700"/>
    </row>
    <row r="1641" spans="1:9" x14ac:dyDescent="0.3">
      <c r="B1641" s="1700"/>
      <c r="C1641" s="2309"/>
      <c r="D1641" s="2319"/>
      <c r="E1641" s="2309"/>
      <c r="F1641" s="1700"/>
      <c r="G1641" s="1700"/>
      <c r="H1641" s="1700"/>
      <c r="I1641" s="1700"/>
    </row>
    <row r="1642" spans="1:9" x14ac:dyDescent="0.3">
      <c r="B1642" s="1700"/>
      <c r="C1642" s="2309"/>
      <c r="D1642" s="2319"/>
      <c r="E1642" s="2309"/>
      <c r="F1642" s="1700"/>
      <c r="G1642" s="1700"/>
      <c r="H1642" s="1700"/>
      <c r="I1642" s="1700"/>
    </row>
    <row r="1643" spans="1:9" x14ac:dyDescent="0.3">
      <c r="B1643" s="1700"/>
      <c r="C1643" s="2309"/>
      <c r="D1643" s="2319"/>
      <c r="E1643" s="2309"/>
      <c r="F1643" s="1700"/>
      <c r="G1643" s="1700"/>
      <c r="H1643" s="1700"/>
      <c r="I1643" s="1700"/>
    </row>
    <row r="1644" spans="1:9" x14ac:dyDescent="0.3">
      <c r="B1644" s="1700"/>
      <c r="C1644" s="2309"/>
      <c r="D1644" s="2319"/>
      <c r="E1644" s="2309"/>
      <c r="F1644" s="1700"/>
      <c r="G1644" s="1700"/>
      <c r="H1644" s="1700"/>
      <c r="I1644" s="1700"/>
    </row>
    <row r="1645" spans="1:9" x14ac:dyDescent="0.3">
      <c r="B1645" s="1700"/>
      <c r="C1645" s="4519" t="s">
        <v>1731</v>
      </c>
      <c r="D1645" s="4519"/>
      <c r="E1645" s="4519"/>
      <c r="F1645" s="1700"/>
      <c r="G1645" s="1700"/>
      <c r="H1645" s="1700"/>
      <c r="I1645" s="1700"/>
    </row>
    <row r="1646" spans="1:9" x14ac:dyDescent="0.3">
      <c r="B1646" s="1700"/>
      <c r="C1646" s="1700"/>
      <c r="D1646" s="1700"/>
      <c r="F1646" s="1700"/>
      <c r="G1646" s="1700"/>
      <c r="H1646" s="1700"/>
      <c r="I1646" s="1700"/>
    </row>
    <row r="1647" spans="1:9" x14ac:dyDescent="0.3">
      <c r="B1647" s="1700"/>
      <c r="C1647" s="1700"/>
      <c r="D1647" s="1700"/>
      <c r="E1647" s="1700"/>
      <c r="F1647" s="1700"/>
      <c r="G1647" s="1700"/>
      <c r="H1647" s="1700"/>
      <c r="I1647" s="1700"/>
    </row>
    <row r="1648" spans="1:9" x14ac:dyDescent="0.3">
      <c r="B1648" s="1700"/>
      <c r="C1648" s="1700"/>
      <c r="D1648" s="1700"/>
      <c r="E1648" s="1700"/>
      <c r="F1648" s="1700"/>
      <c r="G1648" s="1700"/>
      <c r="H1648" s="1700"/>
      <c r="I1648" s="1700"/>
    </row>
    <row r="1649" spans="2:9" x14ac:dyDescent="0.3">
      <c r="B1649" s="1700"/>
      <c r="C1649" s="1700"/>
      <c r="D1649" s="1700"/>
      <c r="E1649" s="1700"/>
      <c r="F1649" s="1700"/>
      <c r="G1649" s="1700"/>
      <c r="H1649" s="1700"/>
      <c r="I1649" s="1700"/>
    </row>
    <row r="1650" spans="2:9" x14ac:dyDescent="0.3">
      <c r="B1650" s="1700"/>
      <c r="C1650" s="1700"/>
      <c r="D1650" s="1700"/>
      <c r="E1650" s="1700"/>
      <c r="F1650" s="1700"/>
      <c r="G1650" s="1700"/>
      <c r="H1650" s="1700"/>
      <c r="I1650" s="1700"/>
    </row>
    <row r="1651" spans="2:9" x14ac:dyDescent="0.3">
      <c r="B1651" s="1700"/>
      <c r="C1651" s="1700"/>
      <c r="D1651" s="1700"/>
      <c r="E1651" s="1700"/>
      <c r="F1651" s="1700"/>
      <c r="G1651" s="1700"/>
      <c r="H1651" s="1700"/>
      <c r="I1651" s="1700"/>
    </row>
    <row r="1652" spans="2:9" s="1964" customFormat="1" x14ac:dyDescent="0.3">
      <c r="B1652" s="1963"/>
      <c r="C1652" s="1963"/>
      <c r="D1652" s="1963"/>
      <c r="E1652" s="1963"/>
      <c r="F1652" s="1963"/>
      <c r="G1652" s="1963"/>
      <c r="H1652" s="1963"/>
      <c r="I1652" s="1963"/>
    </row>
    <row r="1653" spans="2:9" s="1964" customFormat="1" x14ac:dyDescent="0.3">
      <c r="B1653" s="1963"/>
      <c r="C1653" s="1963"/>
      <c r="D1653" s="1963"/>
      <c r="E1653" s="1963"/>
      <c r="F1653" s="1963"/>
      <c r="G1653" s="1963"/>
      <c r="H1653" s="1963"/>
      <c r="I1653" s="1963"/>
    </row>
    <row r="1654" spans="2:9" s="1964" customFormat="1" x14ac:dyDescent="0.3">
      <c r="B1654" s="1963"/>
      <c r="C1654" s="1963"/>
      <c r="D1654" s="1963"/>
      <c r="E1654" s="1963"/>
      <c r="F1654" s="1963"/>
      <c r="G1654" s="1963"/>
      <c r="H1654" s="1963"/>
      <c r="I1654" s="1963"/>
    </row>
    <row r="1655" spans="2:9" s="1964" customFormat="1" x14ac:dyDescent="0.3">
      <c r="B1655" s="1963"/>
      <c r="C1655" s="1963"/>
      <c r="D1655" s="1963"/>
      <c r="E1655" s="1963"/>
      <c r="F1655" s="1963"/>
      <c r="G1655" s="1963"/>
      <c r="H1655" s="1963"/>
      <c r="I1655" s="1963"/>
    </row>
    <row r="1656" spans="2:9" s="1964" customFormat="1" x14ac:dyDescent="0.3">
      <c r="B1656" s="1963"/>
      <c r="C1656" s="1963"/>
      <c r="D1656" s="1963"/>
      <c r="E1656" s="1963"/>
      <c r="F1656" s="1963"/>
      <c r="G1656" s="1963"/>
      <c r="H1656" s="1963"/>
      <c r="I1656" s="1963"/>
    </row>
    <row r="1657" spans="2:9" s="1964" customFormat="1" x14ac:dyDescent="0.3">
      <c r="B1657" s="1963"/>
      <c r="C1657" s="1963"/>
      <c r="D1657" s="1963"/>
      <c r="E1657" s="1963"/>
      <c r="F1657" s="1963"/>
      <c r="G1657" s="1963"/>
      <c r="H1657" s="1963"/>
      <c r="I1657" s="1963"/>
    </row>
    <row r="1658" spans="2:9" s="1964" customFormat="1" x14ac:dyDescent="0.3">
      <c r="B1658" s="1963"/>
      <c r="C1658" s="1963"/>
      <c r="D1658" s="1963"/>
      <c r="E1658" s="1963"/>
      <c r="F1658" s="1963"/>
      <c r="G1658" s="1963"/>
      <c r="H1658" s="1963"/>
      <c r="I1658" s="1963"/>
    </row>
    <row r="1659" spans="2:9" s="1964" customFormat="1" x14ac:dyDescent="0.3">
      <c r="B1659" s="1963"/>
      <c r="C1659" s="1963"/>
      <c r="D1659" s="1963"/>
      <c r="E1659" s="1963"/>
      <c r="F1659" s="1963"/>
      <c r="G1659" s="1963"/>
      <c r="H1659" s="1963"/>
      <c r="I1659" s="1963"/>
    </row>
    <row r="1660" spans="2:9" s="1964" customFormat="1" x14ac:dyDescent="0.3">
      <c r="B1660" s="1963"/>
      <c r="C1660" s="1963"/>
      <c r="D1660" s="1963"/>
      <c r="E1660" s="1963"/>
      <c r="F1660" s="1963"/>
      <c r="G1660" s="1963"/>
      <c r="H1660" s="1963"/>
      <c r="I1660" s="1963"/>
    </row>
    <row r="1661" spans="2:9" s="1964" customFormat="1" x14ac:dyDescent="0.3">
      <c r="B1661" s="1963"/>
      <c r="C1661" s="1963"/>
      <c r="D1661" s="1963"/>
      <c r="E1661" s="1963"/>
      <c r="F1661" s="1963"/>
      <c r="G1661" s="1963"/>
      <c r="H1661" s="1963"/>
      <c r="I1661" s="1963"/>
    </row>
    <row r="1662" spans="2:9" s="1964" customFormat="1" x14ac:dyDescent="0.3">
      <c r="B1662" s="1963"/>
      <c r="C1662" s="1963"/>
      <c r="D1662" s="1963"/>
      <c r="E1662" s="1963"/>
      <c r="F1662" s="1963"/>
      <c r="G1662" s="1963"/>
      <c r="H1662" s="1963"/>
      <c r="I1662" s="1963"/>
    </row>
    <row r="1663" spans="2:9" s="1964" customFormat="1" x14ac:dyDescent="0.3">
      <c r="B1663" s="1963"/>
      <c r="C1663" s="1963"/>
      <c r="D1663" s="1963"/>
      <c r="E1663" s="1963"/>
      <c r="F1663" s="1963"/>
      <c r="G1663" s="1963"/>
      <c r="H1663" s="1963"/>
      <c r="I1663" s="1963"/>
    </row>
    <row r="1664" spans="2:9" s="1964" customFormat="1" x14ac:dyDescent="0.3">
      <c r="B1664" s="1963"/>
      <c r="C1664" s="1963"/>
      <c r="D1664" s="1963"/>
      <c r="E1664" s="1963"/>
      <c r="F1664" s="1963"/>
      <c r="G1664" s="1963"/>
      <c r="H1664" s="1963"/>
      <c r="I1664" s="1963"/>
    </row>
    <row r="1665" spans="2:9" s="1964" customFormat="1" x14ac:dyDescent="0.3">
      <c r="B1665" s="1963"/>
      <c r="C1665" s="1963"/>
      <c r="D1665" s="1963"/>
      <c r="E1665" s="1963"/>
      <c r="F1665" s="1963"/>
      <c r="G1665" s="1963"/>
      <c r="H1665" s="1963"/>
      <c r="I1665" s="1963"/>
    </row>
    <row r="1666" spans="2:9" s="1964" customFormat="1" x14ac:dyDescent="0.3">
      <c r="B1666" s="1963"/>
      <c r="C1666" s="1963"/>
      <c r="D1666" s="1963"/>
      <c r="E1666" s="1963"/>
      <c r="F1666" s="1963"/>
      <c r="G1666" s="1963"/>
      <c r="H1666" s="1963"/>
      <c r="I1666" s="1963"/>
    </row>
    <row r="1667" spans="2:9" s="1964" customFormat="1" x14ac:dyDescent="0.3">
      <c r="B1667" s="1963"/>
      <c r="C1667" s="1963"/>
      <c r="D1667" s="1963"/>
      <c r="E1667" s="1963"/>
      <c r="F1667" s="1963"/>
      <c r="G1667" s="1963"/>
      <c r="H1667" s="1963"/>
      <c r="I1667" s="1963"/>
    </row>
    <row r="1668" spans="2:9" s="1964" customFormat="1" x14ac:dyDescent="0.3">
      <c r="B1668" s="1963"/>
      <c r="C1668" s="1963"/>
      <c r="D1668" s="1963"/>
      <c r="E1668" s="1963"/>
      <c r="F1668" s="1963"/>
      <c r="G1668" s="1963"/>
      <c r="H1668" s="1963"/>
      <c r="I1668" s="1963"/>
    </row>
    <row r="1669" spans="2:9" s="1964" customFormat="1" x14ac:dyDescent="0.3">
      <c r="B1669" s="1963"/>
      <c r="C1669" s="1963"/>
      <c r="D1669" s="1963"/>
      <c r="E1669" s="1963"/>
      <c r="F1669" s="1963"/>
      <c r="G1669" s="1963"/>
      <c r="H1669" s="1963"/>
      <c r="I1669" s="1963"/>
    </row>
    <row r="1670" spans="2:9" s="1964" customFormat="1" x14ac:dyDescent="0.3">
      <c r="B1670" s="1963"/>
      <c r="C1670" s="1963"/>
      <c r="D1670" s="1963"/>
      <c r="E1670" s="1963"/>
      <c r="F1670" s="1963"/>
      <c r="G1670" s="1963"/>
      <c r="H1670" s="1963"/>
      <c r="I1670" s="1963"/>
    </row>
    <row r="1671" spans="2:9" s="1964" customFormat="1" x14ac:dyDescent="0.3">
      <c r="B1671" s="1963"/>
      <c r="C1671" s="1963"/>
      <c r="D1671" s="1963"/>
      <c r="E1671" s="1963"/>
      <c r="F1671" s="1963"/>
      <c r="G1671" s="1963"/>
      <c r="H1671" s="1963"/>
      <c r="I1671" s="1963"/>
    </row>
    <row r="1672" spans="2:9" s="1964" customFormat="1" x14ac:dyDescent="0.3">
      <c r="B1672" s="1963"/>
      <c r="C1672" s="1963"/>
      <c r="D1672" s="1963"/>
      <c r="E1672" s="1963"/>
      <c r="F1672" s="1963"/>
      <c r="G1672" s="1963"/>
      <c r="H1672" s="1963"/>
      <c r="I1672" s="1963"/>
    </row>
    <row r="1673" spans="2:9" s="1964" customFormat="1" x14ac:dyDescent="0.3">
      <c r="B1673" s="1963"/>
      <c r="C1673" s="1963"/>
      <c r="D1673" s="1963"/>
      <c r="E1673" s="1963"/>
      <c r="F1673" s="1963"/>
      <c r="G1673" s="1963"/>
      <c r="H1673" s="1963"/>
      <c r="I1673" s="1963"/>
    </row>
    <row r="1674" spans="2:9" s="1964" customFormat="1" x14ac:dyDescent="0.3">
      <c r="B1674" s="1963"/>
      <c r="C1674" s="1963"/>
      <c r="D1674" s="1963"/>
      <c r="E1674" s="1963"/>
      <c r="F1674" s="1963"/>
      <c r="G1674" s="1963"/>
      <c r="H1674" s="1963"/>
      <c r="I1674" s="1963"/>
    </row>
    <row r="1675" spans="2:9" s="1964" customFormat="1" x14ac:dyDescent="0.3">
      <c r="B1675" s="1963"/>
      <c r="C1675" s="1963"/>
      <c r="D1675" s="1963"/>
      <c r="E1675" s="1963"/>
      <c r="F1675" s="1963"/>
      <c r="G1675" s="1963"/>
      <c r="H1675" s="1963"/>
      <c r="I1675" s="1963"/>
    </row>
    <row r="1676" spans="2:9" s="1964" customFormat="1" x14ac:dyDescent="0.3">
      <c r="B1676" s="1963"/>
      <c r="C1676" s="1963"/>
      <c r="D1676" s="1963"/>
      <c r="E1676" s="1963"/>
      <c r="F1676" s="1963"/>
      <c r="G1676" s="1963"/>
      <c r="H1676" s="1963"/>
      <c r="I1676" s="1963"/>
    </row>
    <row r="1677" spans="2:9" s="1964" customFormat="1" x14ac:dyDescent="0.3">
      <c r="B1677" s="1963"/>
      <c r="C1677" s="1963"/>
      <c r="D1677" s="1963"/>
      <c r="E1677" s="1963"/>
      <c r="F1677" s="1963"/>
      <c r="G1677" s="1963"/>
      <c r="H1677" s="1963"/>
      <c r="I1677" s="1963"/>
    </row>
    <row r="1678" spans="2:9" s="1964" customFormat="1" x14ac:dyDescent="0.3">
      <c r="B1678" s="1963"/>
      <c r="C1678" s="1963"/>
      <c r="D1678" s="1963"/>
      <c r="E1678" s="1963"/>
      <c r="F1678" s="1963"/>
      <c r="G1678" s="1963"/>
      <c r="H1678" s="1963"/>
      <c r="I1678" s="1963"/>
    </row>
    <row r="1679" spans="2:9" s="1964" customFormat="1" x14ac:dyDescent="0.3">
      <c r="B1679" s="1963"/>
      <c r="C1679" s="1963"/>
      <c r="D1679" s="1963"/>
      <c r="E1679" s="1963"/>
      <c r="F1679" s="1963"/>
      <c r="G1679" s="1963"/>
      <c r="H1679" s="1963"/>
      <c r="I1679" s="1963"/>
    </row>
    <row r="1680" spans="2:9" s="1964" customFormat="1" x14ac:dyDescent="0.3">
      <c r="B1680" s="1963"/>
      <c r="C1680" s="1963"/>
      <c r="D1680" s="1963"/>
      <c r="E1680" s="1963"/>
      <c r="F1680" s="1963"/>
      <c r="G1680" s="1963"/>
      <c r="H1680" s="1963"/>
      <c r="I1680" s="1963"/>
    </row>
    <row r="1681" spans="2:9" s="1964" customFormat="1" x14ac:dyDescent="0.3">
      <c r="B1681" s="1963"/>
      <c r="C1681" s="1963"/>
      <c r="D1681" s="1963"/>
      <c r="E1681" s="1963"/>
      <c r="F1681" s="1963"/>
      <c r="G1681" s="1963"/>
      <c r="H1681" s="1963"/>
      <c r="I1681" s="1963"/>
    </row>
    <row r="1682" spans="2:9" s="1964" customFormat="1" x14ac:dyDescent="0.3">
      <c r="B1682" s="1963"/>
      <c r="C1682" s="1963"/>
      <c r="D1682" s="1963"/>
      <c r="E1682" s="1963"/>
      <c r="F1682" s="1963"/>
      <c r="G1682" s="1963"/>
      <c r="H1682" s="1963"/>
      <c r="I1682" s="1963"/>
    </row>
    <row r="1683" spans="2:9" s="1964" customFormat="1" x14ac:dyDescent="0.3">
      <c r="B1683" s="1963"/>
      <c r="C1683" s="1963"/>
      <c r="D1683" s="1963"/>
      <c r="E1683" s="1963"/>
      <c r="F1683" s="1963"/>
      <c r="G1683" s="1963"/>
      <c r="H1683" s="1963"/>
      <c r="I1683" s="1963"/>
    </row>
    <row r="1684" spans="2:9" s="1964" customFormat="1" x14ac:dyDescent="0.3">
      <c r="B1684" s="1963"/>
      <c r="C1684" s="1963"/>
      <c r="D1684" s="1963"/>
      <c r="E1684" s="1963"/>
      <c r="F1684" s="1963"/>
      <c r="G1684" s="1963"/>
      <c r="H1684" s="1963"/>
      <c r="I1684" s="1963"/>
    </row>
    <row r="1685" spans="2:9" s="1964" customFormat="1" x14ac:dyDescent="0.3">
      <c r="B1685" s="1963"/>
      <c r="C1685" s="1963"/>
      <c r="D1685" s="1963"/>
      <c r="E1685" s="1963"/>
      <c r="F1685" s="1963"/>
      <c r="G1685" s="1963"/>
      <c r="H1685" s="1963"/>
      <c r="I1685" s="1963"/>
    </row>
    <row r="1686" spans="2:9" s="1964" customFormat="1" x14ac:dyDescent="0.3">
      <c r="B1686" s="1963"/>
      <c r="C1686" s="1963"/>
      <c r="D1686" s="1963"/>
      <c r="E1686" s="1963"/>
      <c r="F1686" s="1963"/>
      <c r="G1686" s="1963"/>
      <c r="H1686" s="1963"/>
      <c r="I1686" s="1963"/>
    </row>
    <row r="1687" spans="2:9" s="1964" customFormat="1" x14ac:dyDescent="0.3">
      <c r="B1687" s="1963"/>
      <c r="C1687" s="1963"/>
      <c r="D1687" s="1963"/>
      <c r="E1687" s="1963"/>
      <c r="F1687" s="1963"/>
      <c r="G1687" s="1963"/>
      <c r="H1687" s="1963"/>
      <c r="I1687" s="1963"/>
    </row>
    <row r="1688" spans="2:9" s="1964" customFormat="1" x14ac:dyDescent="0.3">
      <c r="B1688" s="1963"/>
      <c r="C1688" s="1963"/>
      <c r="D1688" s="1963"/>
      <c r="E1688" s="1963"/>
      <c r="F1688" s="1963"/>
      <c r="G1688" s="1963"/>
      <c r="H1688" s="1963"/>
      <c r="I1688" s="1963"/>
    </row>
    <row r="1689" spans="2:9" s="1964" customFormat="1" x14ac:dyDescent="0.3">
      <c r="B1689" s="1963"/>
      <c r="C1689" s="1963"/>
      <c r="D1689" s="1963"/>
      <c r="E1689" s="1963"/>
      <c r="F1689" s="1963"/>
      <c r="G1689" s="1963"/>
      <c r="H1689" s="1963"/>
      <c r="I1689" s="1963"/>
    </row>
    <row r="1690" spans="2:9" s="1964" customFormat="1" x14ac:dyDescent="0.3">
      <c r="B1690" s="1963"/>
      <c r="C1690" s="1963"/>
      <c r="D1690" s="1963"/>
      <c r="E1690" s="1963"/>
      <c r="F1690" s="1963"/>
      <c r="G1690" s="1963"/>
      <c r="H1690" s="1963"/>
      <c r="I1690" s="1963"/>
    </row>
    <row r="1691" spans="2:9" s="1964" customFormat="1" x14ac:dyDescent="0.3">
      <c r="B1691" s="1963"/>
      <c r="C1691" s="1963"/>
      <c r="D1691" s="1963"/>
      <c r="E1691" s="1963"/>
      <c r="F1691" s="1963"/>
      <c r="G1691" s="1963"/>
      <c r="H1691" s="1963"/>
      <c r="I1691" s="1963"/>
    </row>
    <row r="1692" spans="2:9" s="1964" customFormat="1" x14ac:dyDescent="0.3">
      <c r="B1692" s="1963"/>
      <c r="C1692" s="1963"/>
      <c r="D1692" s="1963"/>
      <c r="E1692" s="1963"/>
      <c r="F1692" s="1963"/>
      <c r="G1692" s="1963"/>
      <c r="H1692" s="1963"/>
      <c r="I1692" s="1963"/>
    </row>
    <row r="1693" spans="2:9" s="1964" customFormat="1" x14ac:dyDescent="0.3">
      <c r="B1693" s="1963"/>
      <c r="C1693" s="1963"/>
      <c r="D1693" s="1963"/>
      <c r="E1693" s="1963"/>
      <c r="F1693" s="1963"/>
      <c r="G1693" s="1963"/>
      <c r="H1693" s="1963"/>
      <c r="I1693" s="1963"/>
    </row>
    <row r="1694" spans="2:9" s="1964" customFormat="1" x14ac:dyDescent="0.3">
      <c r="B1694" s="1963"/>
      <c r="C1694" s="1963"/>
      <c r="D1694" s="1963"/>
      <c r="E1694" s="1963"/>
      <c r="F1694" s="1963"/>
      <c r="G1694" s="1963"/>
      <c r="H1694" s="1963"/>
      <c r="I1694" s="1963"/>
    </row>
    <row r="1695" spans="2:9" s="1964" customFormat="1" x14ac:dyDescent="0.3">
      <c r="B1695" s="1963"/>
      <c r="C1695" s="1963"/>
      <c r="D1695" s="1963"/>
      <c r="E1695" s="1963"/>
      <c r="F1695" s="1963"/>
      <c r="G1695" s="1963"/>
      <c r="H1695" s="1963"/>
      <c r="I1695" s="1963"/>
    </row>
    <row r="1696" spans="2:9" s="1964" customFormat="1" x14ac:dyDescent="0.3">
      <c r="B1696" s="1963"/>
      <c r="C1696" s="1963"/>
      <c r="D1696" s="1963"/>
      <c r="E1696" s="1963"/>
      <c r="F1696" s="1963"/>
      <c r="G1696" s="1963"/>
      <c r="H1696" s="1963"/>
      <c r="I1696" s="1963"/>
    </row>
    <row r="1697" spans="2:9" s="1964" customFormat="1" x14ac:dyDescent="0.3">
      <c r="B1697" s="1963"/>
      <c r="C1697" s="1963"/>
      <c r="D1697" s="1963"/>
      <c r="E1697" s="1963"/>
      <c r="F1697" s="1963"/>
      <c r="G1697" s="1963"/>
      <c r="H1697" s="1963"/>
      <c r="I1697" s="1963"/>
    </row>
    <row r="1698" spans="2:9" s="1964" customFormat="1" x14ac:dyDescent="0.3">
      <c r="B1698" s="1963"/>
      <c r="C1698" s="1963"/>
      <c r="D1698" s="1963"/>
      <c r="E1698" s="1963"/>
      <c r="F1698" s="1963"/>
      <c r="G1698" s="1963"/>
      <c r="H1698" s="1963"/>
      <c r="I1698" s="1963"/>
    </row>
    <row r="1699" spans="2:9" s="1964" customFormat="1" x14ac:dyDescent="0.3">
      <c r="B1699" s="1963"/>
      <c r="C1699" s="1963"/>
      <c r="D1699" s="1963"/>
      <c r="E1699" s="1963"/>
      <c r="F1699" s="1963"/>
      <c r="G1699" s="1963"/>
      <c r="H1699" s="1963"/>
      <c r="I1699" s="1963"/>
    </row>
    <row r="1700" spans="2:9" s="1964" customFormat="1" x14ac:dyDescent="0.3">
      <c r="B1700" s="1963"/>
      <c r="C1700" s="1963"/>
      <c r="D1700" s="1963"/>
      <c r="E1700" s="1963"/>
      <c r="F1700" s="1963"/>
      <c r="G1700" s="1963"/>
      <c r="H1700" s="1963"/>
      <c r="I1700" s="1963"/>
    </row>
    <row r="1701" spans="2:9" s="1964" customFormat="1" x14ac:dyDescent="0.3">
      <c r="B1701" s="1963"/>
      <c r="C1701" s="1963"/>
      <c r="D1701" s="1963"/>
      <c r="E1701" s="1963"/>
      <c r="F1701" s="1963"/>
      <c r="G1701" s="1963"/>
      <c r="H1701" s="1963"/>
      <c r="I1701" s="1963"/>
    </row>
    <row r="1702" spans="2:9" s="1964" customFormat="1" x14ac:dyDescent="0.3">
      <c r="B1702" s="1963"/>
      <c r="C1702" s="1963"/>
      <c r="D1702" s="1963"/>
      <c r="E1702" s="1963"/>
      <c r="F1702" s="1963"/>
      <c r="G1702" s="1963"/>
      <c r="H1702" s="1963"/>
      <c r="I1702" s="1963"/>
    </row>
    <row r="1703" spans="2:9" s="1964" customFormat="1" x14ac:dyDescent="0.3">
      <c r="B1703" s="1963"/>
      <c r="C1703" s="1963"/>
      <c r="D1703" s="1963"/>
      <c r="E1703" s="1963"/>
      <c r="F1703" s="1963"/>
      <c r="G1703" s="1963"/>
      <c r="H1703" s="1963"/>
      <c r="I1703" s="1963"/>
    </row>
    <row r="1704" spans="2:9" s="1964" customFormat="1" x14ac:dyDescent="0.3">
      <c r="B1704" s="1963"/>
      <c r="C1704" s="1963"/>
      <c r="D1704" s="1963"/>
      <c r="E1704" s="1963"/>
      <c r="F1704" s="1963"/>
      <c r="G1704" s="1963"/>
      <c r="H1704" s="1963"/>
      <c r="I1704" s="1963"/>
    </row>
    <row r="1705" spans="2:9" s="1964" customFormat="1" x14ac:dyDescent="0.3">
      <c r="B1705" s="1963"/>
      <c r="C1705" s="1963"/>
      <c r="D1705" s="1963"/>
      <c r="E1705" s="1963"/>
      <c r="F1705" s="1963"/>
      <c r="G1705" s="1963"/>
      <c r="H1705" s="1963"/>
      <c r="I1705" s="1963"/>
    </row>
    <row r="1706" spans="2:9" s="1964" customFormat="1" x14ac:dyDescent="0.3">
      <c r="B1706" s="1963"/>
      <c r="C1706" s="1963"/>
      <c r="D1706" s="1963"/>
      <c r="E1706" s="1963"/>
      <c r="F1706" s="1963"/>
      <c r="G1706" s="1963"/>
      <c r="H1706" s="1963"/>
      <c r="I1706" s="1963"/>
    </row>
    <row r="1707" spans="2:9" s="1964" customFormat="1" x14ac:dyDescent="0.3">
      <c r="B1707" s="1963"/>
      <c r="C1707" s="1963"/>
      <c r="D1707" s="1963"/>
      <c r="E1707" s="1963"/>
      <c r="F1707" s="1963"/>
      <c r="G1707" s="1963"/>
      <c r="H1707" s="1963"/>
      <c r="I1707" s="1963"/>
    </row>
    <row r="1708" spans="2:9" s="1964" customFormat="1" x14ac:dyDescent="0.3">
      <c r="B1708" s="1963"/>
      <c r="C1708" s="1963"/>
      <c r="D1708" s="1963"/>
      <c r="E1708" s="1963"/>
      <c r="F1708" s="1963"/>
      <c r="G1708" s="1963"/>
      <c r="H1708" s="1963"/>
      <c r="I1708" s="1963"/>
    </row>
    <row r="1709" spans="2:9" s="1964" customFormat="1" x14ac:dyDescent="0.3">
      <c r="B1709" s="1963"/>
      <c r="C1709" s="1963"/>
      <c r="D1709" s="1963"/>
      <c r="E1709" s="1963"/>
      <c r="F1709" s="1963"/>
      <c r="G1709" s="1963"/>
      <c r="H1709" s="1963"/>
      <c r="I1709" s="1963"/>
    </row>
    <row r="1710" spans="2:9" s="1964" customFormat="1" x14ac:dyDescent="0.3">
      <c r="B1710" s="1963"/>
      <c r="C1710" s="1963"/>
      <c r="D1710" s="1963"/>
      <c r="E1710" s="1963"/>
      <c r="F1710" s="1963"/>
      <c r="G1710" s="1963"/>
      <c r="H1710" s="1963"/>
      <c r="I1710" s="1963"/>
    </row>
    <row r="1711" spans="2:9" s="1964" customFormat="1" x14ac:dyDescent="0.3">
      <c r="B1711" s="1963"/>
      <c r="C1711" s="1963"/>
      <c r="D1711" s="1963"/>
      <c r="E1711" s="1963"/>
      <c r="F1711" s="1963"/>
      <c r="G1711" s="1963"/>
      <c r="H1711" s="1963"/>
      <c r="I1711" s="1963"/>
    </row>
    <row r="1712" spans="2:9" s="1964" customFormat="1" x14ac:dyDescent="0.3">
      <c r="B1712" s="1963"/>
      <c r="C1712" s="1963"/>
      <c r="D1712" s="1963"/>
      <c r="E1712" s="1963"/>
      <c r="F1712" s="1963"/>
      <c r="G1712" s="1963"/>
      <c r="H1712" s="1963"/>
      <c r="I1712" s="1963"/>
    </row>
    <row r="1713" spans="2:10" s="1964" customFormat="1" x14ac:dyDescent="0.3">
      <c r="B1713" s="1963"/>
      <c r="C1713" s="1963"/>
      <c r="D1713" s="1963"/>
      <c r="E1713" s="1963"/>
      <c r="F1713" s="1963"/>
      <c r="G1713" s="1963"/>
      <c r="H1713" s="1963"/>
      <c r="I1713" s="1963"/>
    </row>
    <row r="1714" spans="2:10" s="1964" customFormat="1" x14ac:dyDescent="0.3">
      <c r="B1714" s="1963"/>
      <c r="C1714" s="1963"/>
      <c r="D1714" s="1963"/>
      <c r="E1714" s="1963"/>
      <c r="F1714" s="1963"/>
      <c r="G1714" s="1963"/>
      <c r="H1714" s="1963"/>
      <c r="I1714" s="1963"/>
    </row>
    <row r="1715" spans="2:10" s="1964" customFormat="1" x14ac:dyDescent="0.3">
      <c r="B1715" s="1963"/>
      <c r="C1715" s="1963"/>
      <c r="D1715" s="1963"/>
      <c r="E1715" s="1963"/>
      <c r="F1715" s="1963"/>
      <c r="G1715" s="1963"/>
      <c r="H1715" s="1963"/>
      <c r="I1715" s="1963"/>
    </row>
    <row r="1716" spans="2:10" s="1964" customFormat="1" x14ac:dyDescent="0.3">
      <c r="B1716" s="1963"/>
      <c r="C1716" s="1963"/>
      <c r="D1716" s="1963"/>
      <c r="E1716" s="1963"/>
      <c r="F1716" s="1963"/>
      <c r="G1716" s="1963"/>
      <c r="H1716" s="1963"/>
      <c r="I1716" s="1963"/>
    </row>
    <row r="1717" spans="2:10" s="1947" customFormat="1" x14ac:dyDescent="0.3">
      <c r="B1717" s="4532" t="s">
        <v>2766</v>
      </c>
      <c r="C1717" s="4532"/>
      <c r="D1717" s="4532"/>
      <c r="F1717" s="4529" t="s">
        <v>2765</v>
      </c>
      <c r="G1717" s="4529"/>
      <c r="H1717" s="4529"/>
      <c r="I1717" s="4529"/>
      <c r="J1717" s="1948"/>
    </row>
    <row r="1718" spans="2:10" s="1947" customFormat="1" x14ac:dyDescent="0.3">
      <c r="B1718" s="4530" t="s">
        <v>2174</v>
      </c>
      <c r="C1718" s="4530"/>
      <c r="D1718" s="4530"/>
      <c r="E1718" s="4530"/>
      <c r="F1718" s="4531" t="s">
        <v>1440</v>
      </c>
      <c r="G1718" s="4531"/>
      <c r="H1718" s="4530" t="s">
        <v>638</v>
      </c>
      <c r="I1718" s="4530"/>
      <c r="J1718" s="1949"/>
    </row>
    <row r="1719" spans="2:10" s="1947" customFormat="1" x14ac:dyDescent="0.3">
      <c r="B1719" s="4530" t="s">
        <v>2781</v>
      </c>
      <c r="C1719" s="4530"/>
      <c r="D1719" s="4530"/>
      <c r="E1719" s="4530"/>
      <c r="F1719" s="4531" t="s">
        <v>807</v>
      </c>
      <c r="G1719" s="4531"/>
      <c r="H1719" s="4530" t="s">
        <v>639</v>
      </c>
      <c r="I1719" s="4530"/>
      <c r="J1719" s="1949"/>
    </row>
    <row r="1720" spans="2:10" s="1947" customFormat="1" x14ac:dyDescent="0.3">
      <c r="B1720" s="1950"/>
      <c r="C1720" s="1950"/>
      <c r="D1720" s="1951"/>
      <c r="E1720" s="1952"/>
      <c r="F1720" s="1953"/>
      <c r="H1720" s="1954"/>
      <c r="J1720" s="1948"/>
    </row>
    <row r="1721" spans="2:10" s="1947" customFormat="1" x14ac:dyDescent="0.3">
      <c r="B1721" s="1950"/>
      <c r="C1721" s="1950"/>
      <c r="D1721" s="1951"/>
      <c r="E1721" s="1952"/>
      <c r="F1721" s="1955"/>
      <c r="H1721" s="1956"/>
      <c r="J1721" s="1952"/>
    </row>
    <row r="1722" spans="2:10" s="1947" customFormat="1" x14ac:dyDescent="0.3">
      <c r="B1722" s="1950"/>
      <c r="C1722" s="1950"/>
      <c r="D1722" s="1951"/>
      <c r="E1722" s="1952"/>
      <c r="F1722" s="1955"/>
      <c r="H1722" s="1954"/>
      <c r="J1722" s="1952"/>
    </row>
    <row r="1723" spans="2:10" s="1947" customFormat="1" x14ac:dyDescent="0.3">
      <c r="B1723" s="1950"/>
      <c r="C1723" s="1950"/>
      <c r="D1723" s="1951"/>
      <c r="E1723" s="1952"/>
      <c r="F1723" s="1955"/>
      <c r="H1723" s="1954"/>
      <c r="J1723" s="1952"/>
    </row>
    <row r="1724" spans="2:10" s="1947" customFormat="1" x14ac:dyDescent="0.3">
      <c r="B1724" s="1950"/>
      <c r="C1724" s="1950"/>
      <c r="D1724" s="1951"/>
      <c r="E1724" s="1952"/>
      <c r="F1724" s="1953"/>
      <c r="H1724" s="1954"/>
      <c r="J1724" s="1952"/>
    </row>
    <row r="1725" spans="2:10" s="1947" customFormat="1" ht="19.5" x14ac:dyDescent="0.3">
      <c r="B1725" s="1957"/>
      <c r="D1725" s="1951"/>
      <c r="E1725" s="1951"/>
      <c r="F1725" s="1958"/>
      <c r="H1725" s="1954"/>
      <c r="J1725" s="1951"/>
    </row>
    <row r="1726" spans="2:10" s="1947" customFormat="1" ht="19.5" x14ac:dyDescent="0.3">
      <c r="B1726" s="1957"/>
      <c r="C1726" s="1959"/>
      <c r="D1726" s="1960"/>
      <c r="F1726" s="4528" t="s">
        <v>808</v>
      </c>
      <c r="G1726" s="4528"/>
      <c r="H1726" s="4527" t="s">
        <v>1731</v>
      </c>
      <c r="I1726" s="4527"/>
      <c r="J1726" s="1961"/>
    </row>
    <row r="1727" spans="2:10" s="1962" customFormat="1" x14ac:dyDescent="0.3"/>
    <row r="1728" spans="2:10" s="1962" customFormat="1" x14ac:dyDescent="0.3"/>
    <row r="1729" s="1962" customFormat="1" x14ac:dyDescent="0.3"/>
    <row r="1730" s="1962" customFormat="1" x14ac:dyDescent="0.3"/>
  </sheetData>
  <mergeCells count="25">
    <mergeCell ref="H1726:I1726"/>
    <mergeCell ref="F1726:G1726"/>
    <mergeCell ref="F1717:I1717"/>
    <mergeCell ref="B1718:E1718"/>
    <mergeCell ref="F1718:G1718"/>
    <mergeCell ref="H1718:I1718"/>
    <mergeCell ref="B1719:E1719"/>
    <mergeCell ref="F1719:G1719"/>
    <mergeCell ref="H1719:I1719"/>
    <mergeCell ref="B1717:D1717"/>
    <mergeCell ref="B7:F7"/>
    <mergeCell ref="A1:C1"/>
    <mergeCell ref="A2:G2"/>
    <mergeCell ref="A3:G3"/>
    <mergeCell ref="F1:G1"/>
    <mergeCell ref="F4:G4"/>
    <mergeCell ref="F1633:G1633"/>
    <mergeCell ref="C1645:E1645"/>
    <mergeCell ref="A1624:G1624"/>
    <mergeCell ref="A1625:E1625"/>
    <mergeCell ref="F1625:G1625"/>
    <mergeCell ref="C1637:E1637"/>
    <mergeCell ref="A1626:E1626"/>
    <mergeCell ref="F1626:G1626"/>
    <mergeCell ref="C1638:E1638"/>
  </mergeCells>
  <pageMargins left="0.75" right="0.5" top="0.75" bottom="0.5" header="0.31496062992126" footer="0.31496062992126"/>
  <pageSetup paperSize="9" scale="90"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J2725"/>
  <sheetViews>
    <sheetView showWhiteSpace="0" view="pageBreakPreview" topLeftCell="A2707" zoomScaleSheetLayoutView="100" workbookViewId="0">
      <selection activeCell="A2716" sqref="A2716:XFD2724"/>
    </sheetView>
  </sheetViews>
  <sheetFormatPr defaultColWidth="9.140625" defaultRowHeight="15.75" x14ac:dyDescent="0.25"/>
  <cols>
    <col min="1" max="1" width="17.5703125" style="1387" customWidth="1"/>
    <col min="2" max="2" width="15.28515625" style="1387" customWidth="1"/>
    <col min="3" max="3" width="13.28515625" style="1387" customWidth="1"/>
    <col min="4" max="4" width="14.7109375" style="1387" customWidth="1"/>
    <col min="5" max="5" width="17.42578125" style="1387" customWidth="1"/>
    <col min="6" max="6" width="14.42578125" style="1387" customWidth="1"/>
    <col min="7" max="7" width="22.42578125" style="1387" customWidth="1"/>
    <col min="8" max="8" width="18.5703125" style="1387" customWidth="1"/>
    <col min="9" max="9" width="16" style="1387" customWidth="1"/>
    <col min="10" max="10" width="17.42578125" style="1387" customWidth="1"/>
    <col min="11" max="16384" width="9.140625" style="1387"/>
  </cols>
  <sheetData>
    <row r="1" spans="1:10" ht="21" customHeight="1" x14ac:dyDescent="0.25">
      <c r="A1" s="4533" t="s">
        <v>842</v>
      </c>
      <c r="B1" s="4533"/>
      <c r="C1" s="4533"/>
      <c r="D1" s="4533"/>
      <c r="F1" s="4533" t="s">
        <v>2594</v>
      </c>
      <c r="G1" s="4533"/>
      <c r="H1" s="1409"/>
    </row>
    <row r="2" spans="1:10" x14ac:dyDescent="0.25">
      <c r="A2" s="1388" t="s">
        <v>1815</v>
      </c>
    </row>
    <row r="3" spans="1:10" ht="21" customHeight="1" x14ac:dyDescent="0.25">
      <c r="A3" s="4539" t="s">
        <v>2583</v>
      </c>
      <c r="B3" s="4539"/>
      <c r="C3" s="4539"/>
      <c r="D3" s="4539"/>
      <c r="E3" s="4539"/>
      <c r="F3" s="4539"/>
      <c r="G3" s="4539"/>
    </row>
    <row r="4" spans="1:10" x14ac:dyDescent="0.25">
      <c r="A4" s="4517" t="str">
        <f>'B56'!A4:R4</f>
        <v>(Kèm theo Quyết định số         /QĐ-UBND ngày      tháng 4 năm 2026 của UBND xã Phong Quang)</v>
      </c>
      <c r="B4" s="4517"/>
      <c r="C4" s="4517"/>
      <c r="D4" s="4517"/>
      <c r="E4" s="4517"/>
      <c r="F4" s="4517"/>
      <c r="G4" s="4517"/>
    </row>
    <row r="5" spans="1:10" ht="31.15" customHeight="1" x14ac:dyDescent="0.25">
      <c r="F5" s="4535" t="s">
        <v>2584</v>
      </c>
      <c r="G5" s="4535"/>
    </row>
    <row r="6" spans="1:10" x14ac:dyDescent="0.25">
      <c r="A6" s="1388" t="s">
        <v>1815</v>
      </c>
    </row>
    <row r="7" spans="1:10" x14ac:dyDescent="0.25">
      <c r="A7" s="1389" t="s">
        <v>2556</v>
      </c>
      <c r="B7" s="1389" t="s">
        <v>494</v>
      </c>
      <c r="C7" s="1389" t="s">
        <v>502</v>
      </c>
      <c r="D7" s="1389" t="s">
        <v>503</v>
      </c>
      <c r="E7" s="1389" t="s">
        <v>495</v>
      </c>
      <c r="F7" s="1389" t="s">
        <v>496</v>
      </c>
      <c r="G7" s="1390" t="s">
        <v>504</v>
      </c>
    </row>
    <row r="8" spans="1:10" ht="15.6" customHeight="1" x14ac:dyDescent="0.25">
      <c r="A8" s="4540" t="s">
        <v>2593</v>
      </c>
      <c r="B8" s="4541"/>
      <c r="C8" s="4541"/>
      <c r="D8" s="4541"/>
      <c r="E8" s="4541"/>
      <c r="F8" s="4542"/>
      <c r="G8" s="1391">
        <v>690226171782</v>
      </c>
      <c r="H8" s="1408"/>
      <c r="I8" s="4543"/>
      <c r="J8" s="4543"/>
    </row>
    <row r="9" spans="1:10" ht="15.6" customHeight="1" x14ac:dyDescent="0.25">
      <c r="A9" s="4536" t="s">
        <v>2592</v>
      </c>
      <c r="B9" s="4537"/>
      <c r="C9" s="4537"/>
      <c r="D9" s="4537"/>
      <c r="E9" s="4537"/>
      <c r="F9" s="4538"/>
      <c r="G9" s="1391">
        <v>499182312609</v>
      </c>
      <c r="H9" s="1447"/>
    </row>
    <row r="10" spans="1:10" x14ac:dyDescent="0.25">
      <c r="A10" s="1392" t="s">
        <v>2576</v>
      </c>
      <c r="B10" s="4536" t="s">
        <v>1141</v>
      </c>
      <c r="C10" s="4537"/>
      <c r="D10" s="4537"/>
      <c r="E10" s="4537"/>
      <c r="F10" s="4538"/>
      <c r="G10" s="1391">
        <v>6163219419</v>
      </c>
      <c r="I10" s="1393"/>
      <c r="J10" s="1393"/>
    </row>
    <row r="11" spans="1:10" x14ac:dyDescent="0.25">
      <c r="A11" s="1392" t="s">
        <v>2576</v>
      </c>
      <c r="B11" s="1392" t="s">
        <v>1141</v>
      </c>
      <c r="C11" s="4536" t="s">
        <v>1846</v>
      </c>
      <c r="D11" s="4537"/>
      <c r="E11" s="4537"/>
      <c r="F11" s="4538"/>
      <c r="G11" s="1391">
        <v>6163219419</v>
      </c>
      <c r="I11" s="1393"/>
    </row>
    <row r="12" spans="1:10" x14ac:dyDescent="0.25">
      <c r="A12" s="1392" t="s">
        <v>2576</v>
      </c>
      <c r="B12" s="1392" t="s">
        <v>1141</v>
      </c>
      <c r="C12" s="1392" t="s">
        <v>1846</v>
      </c>
      <c r="D12" s="4536" t="s">
        <v>1847</v>
      </c>
      <c r="E12" s="4537"/>
      <c r="F12" s="4538"/>
      <c r="G12" s="1391">
        <v>6163219419</v>
      </c>
    </row>
    <row r="13" spans="1:10" x14ac:dyDescent="0.25">
      <c r="A13" s="1392" t="s">
        <v>2576</v>
      </c>
      <c r="B13" s="1392" t="s">
        <v>1141</v>
      </c>
      <c r="C13" s="1392" t="s">
        <v>1846</v>
      </c>
      <c r="D13" s="1392" t="s">
        <v>1847</v>
      </c>
      <c r="E13" s="4536" t="s">
        <v>1848</v>
      </c>
      <c r="F13" s="4538"/>
      <c r="G13" s="1391">
        <v>1043276397</v>
      </c>
    </row>
    <row r="14" spans="1:10" x14ac:dyDescent="0.25">
      <c r="A14" s="1392" t="s">
        <v>2576</v>
      </c>
      <c r="B14" s="1392" t="s">
        <v>1141</v>
      </c>
      <c r="C14" s="1392" t="s">
        <v>1846</v>
      </c>
      <c r="D14" s="1392" t="s">
        <v>1847</v>
      </c>
      <c r="E14" s="1392" t="s">
        <v>1848</v>
      </c>
      <c r="F14" s="1392" t="s">
        <v>1849</v>
      </c>
      <c r="G14" s="1391">
        <v>1043276397</v>
      </c>
    </row>
    <row r="15" spans="1:10" x14ac:dyDescent="0.25">
      <c r="A15" s="1392" t="s">
        <v>2576</v>
      </c>
      <c r="B15" s="1392" t="s">
        <v>1141</v>
      </c>
      <c r="C15" s="1392" t="s">
        <v>1846</v>
      </c>
      <c r="D15" s="1392" t="s">
        <v>1847</v>
      </c>
      <c r="E15" s="4536" t="s">
        <v>1851</v>
      </c>
      <c r="F15" s="4538"/>
      <c r="G15" s="1391">
        <v>307339119</v>
      </c>
    </row>
    <row r="16" spans="1:10" x14ac:dyDescent="0.25">
      <c r="A16" s="1392" t="s">
        <v>2576</v>
      </c>
      <c r="B16" s="1392" t="s">
        <v>1141</v>
      </c>
      <c r="C16" s="1392" t="s">
        <v>1846</v>
      </c>
      <c r="D16" s="1392" t="s">
        <v>1847</v>
      </c>
      <c r="E16" s="1392" t="s">
        <v>1851</v>
      </c>
      <c r="F16" s="1392" t="s">
        <v>1852</v>
      </c>
      <c r="G16" s="1391">
        <v>307339119</v>
      </c>
    </row>
    <row r="17" spans="1:7" x14ac:dyDescent="0.25">
      <c r="A17" s="1392" t="s">
        <v>2576</v>
      </c>
      <c r="B17" s="1392" t="s">
        <v>1141</v>
      </c>
      <c r="C17" s="1392" t="s">
        <v>1846</v>
      </c>
      <c r="D17" s="1392" t="s">
        <v>1847</v>
      </c>
      <c r="E17" s="4536" t="s">
        <v>1853</v>
      </c>
      <c r="F17" s="4538"/>
      <c r="G17" s="1391">
        <v>811921362</v>
      </c>
    </row>
    <row r="18" spans="1:7" x14ac:dyDescent="0.25">
      <c r="A18" s="1392" t="s">
        <v>2576</v>
      </c>
      <c r="B18" s="1392" t="s">
        <v>1141</v>
      </c>
      <c r="C18" s="1392" t="s">
        <v>1846</v>
      </c>
      <c r="D18" s="1392" t="s">
        <v>1847</v>
      </c>
      <c r="E18" s="1392" t="s">
        <v>1853</v>
      </c>
      <c r="F18" s="1392" t="s">
        <v>1854</v>
      </c>
      <c r="G18" s="1391">
        <v>59756450</v>
      </c>
    </row>
    <row r="19" spans="1:7" x14ac:dyDescent="0.25">
      <c r="A19" s="1392" t="s">
        <v>2576</v>
      </c>
      <c r="B19" s="1392" t="s">
        <v>1141</v>
      </c>
      <c r="C19" s="1392" t="s">
        <v>1846</v>
      </c>
      <c r="D19" s="1392" t="s">
        <v>1847</v>
      </c>
      <c r="E19" s="1392" t="s">
        <v>1853</v>
      </c>
      <c r="F19" s="1392" t="s">
        <v>1855</v>
      </c>
      <c r="G19" s="1391">
        <v>162410000</v>
      </c>
    </row>
    <row r="20" spans="1:7" x14ac:dyDescent="0.25">
      <c r="A20" s="1392" t="s">
        <v>2576</v>
      </c>
      <c r="B20" s="1392" t="s">
        <v>1141</v>
      </c>
      <c r="C20" s="1392" t="s">
        <v>1846</v>
      </c>
      <c r="D20" s="1392" t="s">
        <v>1847</v>
      </c>
      <c r="E20" s="1392" t="s">
        <v>1853</v>
      </c>
      <c r="F20" s="1392" t="s">
        <v>1856</v>
      </c>
      <c r="G20" s="1391">
        <v>92523287</v>
      </c>
    </row>
    <row r="21" spans="1:7" x14ac:dyDescent="0.25">
      <c r="A21" s="1392" t="s">
        <v>2576</v>
      </c>
      <c r="B21" s="1392" t="s">
        <v>1141</v>
      </c>
      <c r="C21" s="1392" t="s">
        <v>1846</v>
      </c>
      <c r="D21" s="1392" t="s">
        <v>1847</v>
      </c>
      <c r="E21" s="1392" t="s">
        <v>1853</v>
      </c>
      <c r="F21" s="1392" t="s">
        <v>1857</v>
      </c>
      <c r="G21" s="1391">
        <v>189528000</v>
      </c>
    </row>
    <row r="22" spans="1:7" x14ac:dyDescent="0.25">
      <c r="A22" s="1392" t="s">
        <v>2576</v>
      </c>
      <c r="B22" s="1392" t="s">
        <v>1141</v>
      </c>
      <c r="C22" s="1392" t="s">
        <v>1846</v>
      </c>
      <c r="D22" s="1392" t="s">
        <v>1847</v>
      </c>
      <c r="E22" s="1392" t="s">
        <v>1853</v>
      </c>
      <c r="F22" s="1392" t="s">
        <v>1858</v>
      </c>
      <c r="G22" s="1391">
        <v>7152000</v>
      </c>
    </row>
    <row r="23" spans="1:7" x14ac:dyDescent="0.25">
      <c r="A23" s="1392" t="s">
        <v>2576</v>
      </c>
      <c r="B23" s="1392" t="s">
        <v>1141</v>
      </c>
      <c r="C23" s="1392" t="s">
        <v>1846</v>
      </c>
      <c r="D23" s="1392" t="s">
        <v>1847</v>
      </c>
      <c r="E23" s="1392" t="s">
        <v>1853</v>
      </c>
      <c r="F23" s="1392" t="s">
        <v>1859</v>
      </c>
      <c r="G23" s="1391">
        <v>300551625</v>
      </c>
    </row>
    <row r="24" spans="1:7" x14ac:dyDescent="0.25">
      <c r="A24" s="1392" t="s">
        <v>2576</v>
      </c>
      <c r="B24" s="1392" t="s">
        <v>1141</v>
      </c>
      <c r="C24" s="1392" t="s">
        <v>1846</v>
      </c>
      <c r="D24" s="1392" t="s">
        <v>1847</v>
      </c>
      <c r="E24" s="4536" t="s">
        <v>1860</v>
      </c>
      <c r="F24" s="4538"/>
      <c r="G24" s="1391">
        <v>26850000</v>
      </c>
    </row>
    <row r="25" spans="1:7" x14ac:dyDescent="0.25">
      <c r="A25" s="1392" t="s">
        <v>2576</v>
      </c>
      <c r="B25" s="1392" t="s">
        <v>1141</v>
      </c>
      <c r="C25" s="1392" t="s">
        <v>1846</v>
      </c>
      <c r="D25" s="1392" t="s">
        <v>1847</v>
      </c>
      <c r="E25" s="1392" t="s">
        <v>1860</v>
      </c>
      <c r="F25" s="1392" t="s">
        <v>1861</v>
      </c>
      <c r="G25" s="1391">
        <v>26850000</v>
      </c>
    </row>
    <row r="26" spans="1:7" x14ac:dyDescent="0.25">
      <c r="A26" s="1392" t="s">
        <v>2576</v>
      </c>
      <c r="B26" s="1392" t="s">
        <v>1141</v>
      </c>
      <c r="C26" s="1392" t="s">
        <v>1846</v>
      </c>
      <c r="D26" s="1392" t="s">
        <v>1847</v>
      </c>
      <c r="E26" s="4536" t="s">
        <v>1862</v>
      </c>
      <c r="F26" s="4538"/>
      <c r="G26" s="1391">
        <v>318020150</v>
      </c>
    </row>
    <row r="27" spans="1:7" x14ac:dyDescent="0.25">
      <c r="A27" s="1392" t="s">
        <v>2576</v>
      </c>
      <c r="B27" s="1392" t="s">
        <v>1141</v>
      </c>
      <c r="C27" s="1392" t="s">
        <v>1846</v>
      </c>
      <c r="D27" s="1392" t="s">
        <v>1847</v>
      </c>
      <c r="E27" s="1392" t="s">
        <v>1862</v>
      </c>
      <c r="F27" s="1392" t="s">
        <v>1863</v>
      </c>
      <c r="G27" s="1391">
        <v>245117588</v>
      </c>
    </row>
    <row r="28" spans="1:7" x14ac:dyDescent="0.25">
      <c r="A28" s="1392" t="s">
        <v>2576</v>
      </c>
      <c r="B28" s="1392" t="s">
        <v>1141</v>
      </c>
      <c r="C28" s="1392" t="s">
        <v>1846</v>
      </c>
      <c r="D28" s="1392" t="s">
        <v>1847</v>
      </c>
      <c r="E28" s="1392" t="s">
        <v>1862</v>
      </c>
      <c r="F28" s="1392" t="s">
        <v>1864</v>
      </c>
      <c r="G28" s="1391">
        <v>42020158</v>
      </c>
    </row>
    <row r="29" spans="1:7" x14ac:dyDescent="0.25">
      <c r="A29" s="1392" t="s">
        <v>2576</v>
      </c>
      <c r="B29" s="1392" t="s">
        <v>1141</v>
      </c>
      <c r="C29" s="1392" t="s">
        <v>1846</v>
      </c>
      <c r="D29" s="1392" t="s">
        <v>1847</v>
      </c>
      <c r="E29" s="1392" t="s">
        <v>1862</v>
      </c>
      <c r="F29" s="1392" t="s">
        <v>1865</v>
      </c>
      <c r="G29" s="1391">
        <v>27892748</v>
      </c>
    </row>
    <row r="30" spans="1:7" x14ac:dyDescent="0.25">
      <c r="A30" s="1392" t="s">
        <v>2576</v>
      </c>
      <c r="B30" s="1392" t="s">
        <v>1141</v>
      </c>
      <c r="C30" s="1392" t="s">
        <v>1846</v>
      </c>
      <c r="D30" s="1392" t="s">
        <v>1847</v>
      </c>
      <c r="E30" s="1392" t="s">
        <v>1862</v>
      </c>
      <c r="F30" s="1392" t="s">
        <v>1866</v>
      </c>
      <c r="G30" s="1391">
        <v>2989656</v>
      </c>
    </row>
    <row r="31" spans="1:7" x14ac:dyDescent="0.25">
      <c r="A31" s="1392" t="s">
        <v>2576</v>
      </c>
      <c r="B31" s="1392" t="s">
        <v>1141</v>
      </c>
      <c r="C31" s="1392" t="s">
        <v>1846</v>
      </c>
      <c r="D31" s="1392" t="s">
        <v>1847</v>
      </c>
      <c r="E31" s="4536" t="s">
        <v>1867</v>
      </c>
      <c r="F31" s="4538"/>
      <c r="G31" s="1391">
        <v>400712860</v>
      </c>
    </row>
    <row r="32" spans="1:7" x14ac:dyDescent="0.25">
      <c r="A32" s="1392" t="s">
        <v>2576</v>
      </c>
      <c r="B32" s="1392" t="s">
        <v>1141</v>
      </c>
      <c r="C32" s="1392" t="s">
        <v>1846</v>
      </c>
      <c r="D32" s="1392" t="s">
        <v>1847</v>
      </c>
      <c r="E32" s="1392" t="s">
        <v>1867</v>
      </c>
      <c r="F32" s="1392" t="s">
        <v>1868</v>
      </c>
      <c r="G32" s="1391">
        <v>400712860</v>
      </c>
    </row>
    <row r="33" spans="1:7" x14ac:dyDescent="0.25">
      <c r="A33" s="1392" t="s">
        <v>2576</v>
      </c>
      <c r="B33" s="1392" t="s">
        <v>1141</v>
      </c>
      <c r="C33" s="1392" t="s">
        <v>1846</v>
      </c>
      <c r="D33" s="1392" t="s">
        <v>1847</v>
      </c>
      <c r="E33" s="4536" t="s">
        <v>1869</v>
      </c>
      <c r="F33" s="4538"/>
      <c r="G33" s="1391">
        <v>189171042</v>
      </c>
    </row>
    <row r="34" spans="1:7" x14ac:dyDescent="0.25">
      <c r="A34" s="1392" t="s">
        <v>2576</v>
      </c>
      <c r="B34" s="1392" t="s">
        <v>1141</v>
      </c>
      <c r="C34" s="1392" t="s">
        <v>1846</v>
      </c>
      <c r="D34" s="1392" t="s">
        <v>1847</v>
      </c>
      <c r="E34" s="1392" t="s">
        <v>1869</v>
      </c>
      <c r="F34" s="1392" t="s">
        <v>1870</v>
      </c>
      <c r="G34" s="1391">
        <v>49367551</v>
      </c>
    </row>
    <row r="35" spans="1:7" x14ac:dyDescent="0.25">
      <c r="A35" s="1392" t="s">
        <v>2576</v>
      </c>
      <c r="B35" s="1392" t="s">
        <v>1141</v>
      </c>
      <c r="C35" s="1392" t="s">
        <v>1846</v>
      </c>
      <c r="D35" s="1392" t="s">
        <v>1847</v>
      </c>
      <c r="E35" s="1392" t="s">
        <v>1869</v>
      </c>
      <c r="F35" s="1392" t="s">
        <v>1871</v>
      </c>
      <c r="G35" s="1391">
        <v>16446491</v>
      </c>
    </row>
    <row r="36" spans="1:7" x14ac:dyDescent="0.25">
      <c r="A36" s="1392" t="s">
        <v>2576</v>
      </c>
      <c r="B36" s="1392" t="s">
        <v>1141</v>
      </c>
      <c r="C36" s="1392" t="s">
        <v>1846</v>
      </c>
      <c r="D36" s="1392" t="s">
        <v>1847</v>
      </c>
      <c r="E36" s="1392" t="s">
        <v>1869</v>
      </c>
      <c r="F36" s="1392" t="s">
        <v>1872</v>
      </c>
      <c r="G36" s="1391">
        <v>122037000</v>
      </c>
    </row>
    <row r="37" spans="1:7" x14ac:dyDescent="0.25">
      <c r="A37" s="1392" t="s">
        <v>2576</v>
      </c>
      <c r="B37" s="1392" t="s">
        <v>1141</v>
      </c>
      <c r="C37" s="1392" t="s">
        <v>1846</v>
      </c>
      <c r="D37" s="1392" t="s">
        <v>1847</v>
      </c>
      <c r="E37" s="1392" t="s">
        <v>1869</v>
      </c>
      <c r="F37" s="1392" t="s">
        <v>1873</v>
      </c>
      <c r="G37" s="1391">
        <v>1320000</v>
      </c>
    </row>
    <row r="38" spans="1:7" x14ac:dyDescent="0.25">
      <c r="A38" s="1392" t="s">
        <v>2576</v>
      </c>
      <c r="B38" s="1392" t="s">
        <v>1141</v>
      </c>
      <c r="C38" s="1392" t="s">
        <v>1846</v>
      </c>
      <c r="D38" s="1392" t="s">
        <v>1847</v>
      </c>
      <c r="E38" s="4536" t="s">
        <v>1874</v>
      </c>
      <c r="F38" s="4538"/>
      <c r="G38" s="1391">
        <v>306967000</v>
      </c>
    </row>
    <row r="39" spans="1:7" x14ac:dyDescent="0.25">
      <c r="A39" s="1392" t="s">
        <v>2576</v>
      </c>
      <c r="B39" s="1392" t="s">
        <v>1141</v>
      </c>
      <c r="C39" s="1392" t="s">
        <v>1846</v>
      </c>
      <c r="D39" s="1392" t="s">
        <v>1847</v>
      </c>
      <c r="E39" s="1392" t="s">
        <v>1874</v>
      </c>
      <c r="F39" s="1392" t="s">
        <v>1875</v>
      </c>
      <c r="G39" s="1391">
        <v>53272000</v>
      </c>
    </row>
    <row r="40" spans="1:7" x14ac:dyDescent="0.25">
      <c r="A40" s="1392" t="s">
        <v>2576</v>
      </c>
      <c r="B40" s="1392" t="s">
        <v>1141</v>
      </c>
      <c r="C40" s="1392" t="s">
        <v>1846</v>
      </c>
      <c r="D40" s="1392" t="s">
        <v>1847</v>
      </c>
      <c r="E40" s="1392" t="s">
        <v>1874</v>
      </c>
      <c r="F40" s="1392" t="s">
        <v>1876</v>
      </c>
      <c r="G40" s="1391">
        <v>136650000</v>
      </c>
    </row>
    <row r="41" spans="1:7" x14ac:dyDescent="0.25">
      <c r="A41" s="1392" t="s">
        <v>2576</v>
      </c>
      <c r="B41" s="1392" t="s">
        <v>1141</v>
      </c>
      <c r="C41" s="1392" t="s">
        <v>1846</v>
      </c>
      <c r="D41" s="1392" t="s">
        <v>1847</v>
      </c>
      <c r="E41" s="1392" t="s">
        <v>1874</v>
      </c>
      <c r="F41" s="1392" t="s">
        <v>1877</v>
      </c>
      <c r="G41" s="1391">
        <v>117045000</v>
      </c>
    </row>
    <row r="42" spans="1:7" x14ac:dyDescent="0.25">
      <c r="A42" s="1392" t="s">
        <v>2576</v>
      </c>
      <c r="B42" s="1392" t="s">
        <v>1141</v>
      </c>
      <c r="C42" s="1392" t="s">
        <v>1846</v>
      </c>
      <c r="D42" s="1392" t="s">
        <v>1847</v>
      </c>
      <c r="E42" s="4536" t="s">
        <v>1878</v>
      </c>
      <c r="F42" s="4538"/>
      <c r="G42" s="1391">
        <v>139145131</v>
      </c>
    </row>
    <row r="43" spans="1:7" x14ac:dyDescent="0.25">
      <c r="A43" s="1392" t="s">
        <v>2576</v>
      </c>
      <c r="B43" s="1392" t="s">
        <v>1141</v>
      </c>
      <c r="C43" s="1392" t="s">
        <v>1846</v>
      </c>
      <c r="D43" s="1392" t="s">
        <v>1847</v>
      </c>
      <c r="E43" s="1392" t="s">
        <v>1878</v>
      </c>
      <c r="F43" s="1392" t="s">
        <v>1879</v>
      </c>
      <c r="G43" s="1391">
        <v>8188348</v>
      </c>
    </row>
    <row r="44" spans="1:7" x14ac:dyDescent="0.25">
      <c r="A44" s="1392" t="s">
        <v>2576</v>
      </c>
      <c r="B44" s="1392" t="s">
        <v>1141</v>
      </c>
      <c r="C44" s="1392" t="s">
        <v>1846</v>
      </c>
      <c r="D44" s="1392" t="s">
        <v>1847</v>
      </c>
      <c r="E44" s="1392" t="s">
        <v>1878</v>
      </c>
      <c r="F44" s="1392" t="s">
        <v>1880</v>
      </c>
      <c r="G44" s="1391">
        <v>14613543</v>
      </c>
    </row>
    <row r="45" spans="1:7" x14ac:dyDescent="0.25">
      <c r="A45" s="1392" t="s">
        <v>2576</v>
      </c>
      <c r="B45" s="1392" t="s">
        <v>1141</v>
      </c>
      <c r="C45" s="1392" t="s">
        <v>1846</v>
      </c>
      <c r="D45" s="1392" t="s">
        <v>1847</v>
      </c>
      <c r="E45" s="1392" t="s">
        <v>1878</v>
      </c>
      <c r="F45" s="1392" t="s">
        <v>1881</v>
      </c>
      <c r="G45" s="1391">
        <v>32157840</v>
      </c>
    </row>
    <row r="46" spans="1:7" x14ac:dyDescent="0.25">
      <c r="A46" s="1392" t="s">
        <v>2576</v>
      </c>
      <c r="B46" s="1392" t="s">
        <v>1141</v>
      </c>
      <c r="C46" s="1392" t="s">
        <v>1846</v>
      </c>
      <c r="D46" s="1392" t="s">
        <v>1847</v>
      </c>
      <c r="E46" s="1392" t="s">
        <v>1878</v>
      </c>
      <c r="F46" s="1392" t="s">
        <v>1882</v>
      </c>
      <c r="G46" s="1391">
        <v>16620000</v>
      </c>
    </row>
    <row r="47" spans="1:7" x14ac:dyDescent="0.25">
      <c r="A47" s="1392" t="s">
        <v>2576</v>
      </c>
      <c r="B47" s="1392" t="s">
        <v>1141</v>
      </c>
      <c r="C47" s="1392" t="s">
        <v>1846</v>
      </c>
      <c r="D47" s="1392" t="s">
        <v>1847</v>
      </c>
      <c r="E47" s="1392" t="s">
        <v>1878</v>
      </c>
      <c r="F47" s="1392" t="s">
        <v>1883</v>
      </c>
      <c r="G47" s="1391">
        <v>61265400</v>
      </c>
    </row>
    <row r="48" spans="1:7" x14ac:dyDescent="0.25">
      <c r="A48" s="1392" t="s">
        <v>2576</v>
      </c>
      <c r="B48" s="1392" t="s">
        <v>1141</v>
      </c>
      <c r="C48" s="1392" t="s">
        <v>1846</v>
      </c>
      <c r="D48" s="1392" t="s">
        <v>1847</v>
      </c>
      <c r="E48" s="1392" t="s">
        <v>1878</v>
      </c>
      <c r="F48" s="1392" t="s">
        <v>1884</v>
      </c>
      <c r="G48" s="1391">
        <v>6300000</v>
      </c>
    </row>
    <row r="49" spans="1:7" x14ac:dyDescent="0.25">
      <c r="A49" s="1392" t="s">
        <v>2576</v>
      </c>
      <c r="B49" s="1392" t="s">
        <v>1141</v>
      </c>
      <c r="C49" s="1392" t="s">
        <v>1846</v>
      </c>
      <c r="D49" s="1392" t="s">
        <v>1847</v>
      </c>
      <c r="E49" s="4536" t="s">
        <v>1885</v>
      </c>
      <c r="F49" s="4538"/>
      <c r="G49" s="1391">
        <v>342912000</v>
      </c>
    </row>
    <row r="50" spans="1:7" x14ac:dyDescent="0.25">
      <c r="A50" s="1392" t="s">
        <v>2576</v>
      </c>
      <c r="B50" s="1392" t="s">
        <v>1141</v>
      </c>
      <c r="C50" s="1392" t="s">
        <v>1846</v>
      </c>
      <c r="D50" s="1392" t="s">
        <v>1847</v>
      </c>
      <c r="E50" s="1392" t="s">
        <v>1885</v>
      </c>
      <c r="F50" s="1392" t="s">
        <v>1988</v>
      </c>
      <c r="G50" s="1391">
        <v>5450000</v>
      </c>
    </row>
    <row r="51" spans="1:7" x14ac:dyDescent="0.25">
      <c r="A51" s="1392" t="s">
        <v>2576</v>
      </c>
      <c r="B51" s="1392" t="s">
        <v>1141</v>
      </c>
      <c r="C51" s="1392" t="s">
        <v>1846</v>
      </c>
      <c r="D51" s="1392" t="s">
        <v>1847</v>
      </c>
      <c r="E51" s="1392" t="s">
        <v>1885</v>
      </c>
      <c r="F51" s="1392" t="s">
        <v>1927</v>
      </c>
      <c r="G51" s="1391">
        <v>3700000</v>
      </c>
    </row>
    <row r="52" spans="1:7" x14ac:dyDescent="0.25">
      <c r="A52" s="1392" t="s">
        <v>2576</v>
      </c>
      <c r="B52" s="1392" t="s">
        <v>1141</v>
      </c>
      <c r="C52" s="1392" t="s">
        <v>1846</v>
      </c>
      <c r="D52" s="1392" t="s">
        <v>1847</v>
      </c>
      <c r="E52" s="1392" t="s">
        <v>1885</v>
      </c>
      <c r="F52" s="1392" t="s">
        <v>1887</v>
      </c>
      <c r="G52" s="1391">
        <v>198825000</v>
      </c>
    </row>
    <row r="53" spans="1:7" x14ac:dyDescent="0.25">
      <c r="A53" s="1392" t="s">
        <v>2576</v>
      </c>
      <c r="B53" s="1392" t="s">
        <v>1141</v>
      </c>
      <c r="C53" s="1392" t="s">
        <v>1846</v>
      </c>
      <c r="D53" s="1392" t="s">
        <v>1847</v>
      </c>
      <c r="E53" s="1392" t="s">
        <v>1885</v>
      </c>
      <c r="F53" s="1392" t="s">
        <v>1888</v>
      </c>
      <c r="G53" s="1391">
        <v>134937000</v>
      </c>
    </row>
    <row r="54" spans="1:7" x14ac:dyDescent="0.25">
      <c r="A54" s="1392" t="s">
        <v>2576</v>
      </c>
      <c r="B54" s="1392" t="s">
        <v>1141</v>
      </c>
      <c r="C54" s="1392" t="s">
        <v>1846</v>
      </c>
      <c r="D54" s="1392" t="s">
        <v>1847</v>
      </c>
      <c r="E54" s="4536" t="s">
        <v>1889</v>
      </c>
      <c r="F54" s="4538"/>
      <c r="G54" s="1391">
        <v>155682000</v>
      </c>
    </row>
    <row r="55" spans="1:7" x14ac:dyDescent="0.25">
      <c r="A55" s="1392" t="s">
        <v>2576</v>
      </c>
      <c r="B55" s="1392" t="s">
        <v>1141</v>
      </c>
      <c r="C55" s="1392" t="s">
        <v>1846</v>
      </c>
      <c r="D55" s="1392" t="s">
        <v>1847</v>
      </c>
      <c r="E55" s="1392" t="s">
        <v>1889</v>
      </c>
      <c r="F55" s="1392" t="s">
        <v>1921</v>
      </c>
      <c r="G55" s="1391">
        <v>14500000</v>
      </c>
    </row>
    <row r="56" spans="1:7" x14ac:dyDescent="0.25">
      <c r="A56" s="1392" t="s">
        <v>2576</v>
      </c>
      <c r="B56" s="1392" t="s">
        <v>1141</v>
      </c>
      <c r="C56" s="1392" t="s">
        <v>1846</v>
      </c>
      <c r="D56" s="1392" t="s">
        <v>1847</v>
      </c>
      <c r="E56" s="1392" t="s">
        <v>1889</v>
      </c>
      <c r="F56" s="1392" t="s">
        <v>1890</v>
      </c>
      <c r="G56" s="1391">
        <v>21200000</v>
      </c>
    </row>
    <row r="57" spans="1:7" x14ac:dyDescent="0.25">
      <c r="A57" s="1392" t="s">
        <v>2576</v>
      </c>
      <c r="B57" s="1392" t="s">
        <v>1141</v>
      </c>
      <c r="C57" s="1392" t="s">
        <v>1846</v>
      </c>
      <c r="D57" s="1392" t="s">
        <v>1847</v>
      </c>
      <c r="E57" s="1392" t="s">
        <v>1889</v>
      </c>
      <c r="F57" s="1392" t="s">
        <v>1891</v>
      </c>
      <c r="G57" s="1391">
        <v>15850000</v>
      </c>
    </row>
    <row r="58" spans="1:7" x14ac:dyDescent="0.25">
      <c r="A58" s="1392" t="s">
        <v>2576</v>
      </c>
      <c r="B58" s="1392" t="s">
        <v>1141</v>
      </c>
      <c r="C58" s="1392" t="s">
        <v>1846</v>
      </c>
      <c r="D58" s="1392" t="s">
        <v>1847</v>
      </c>
      <c r="E58" s="1392" t="s">
        <v>1889</v>
      </c>
      <c r="F58" s="1392" t="s">
        <v>1892</v>
      </c>
      <c r="G58" s="1391">
        <v>102500000</v>
      </c>
    </row>
    <row r="59" spans="1:7" x14ac:dyDescent="0.25">
      <c r="A59" s="1392" t="s">
        <v>2576</v>
      </c>
      <c r="B59" s="1392" t="s">
        <v>1141</v>
      </c>
      <c r="C59" s="1392" t="s">
        <v>1846</v>
      </c>
      <c r="D59" s="1392" t="s">
        <v>1847</v>
      </c>
      <c r="E59" s="1392" t="s">
        <v>1889</v>
      </c>
      <c r="F59" s="1392" t="s">
        <v>1922</v>
      </c>
      <c r="G59" s="1391">
        <v>1632000</v>
      </c>
    </row>
    <row r="60" spans="1:7" x14ac:dyDescent="0.25">
      <c r="A60" s="1392" t="s">
        <v>2576</v>
      </c>
      <c r="B60" s="1392" t="s">
        <v>1141</v>
      </c>
      <c r="C60" s="1392" t="s">
        <v>1846</v>
      </c>
      <c r="D60" s="1392" t="s">
        <v>1847</v>
      </c>
      <c r="E60" s="4536" t="s">
        <v>1893</v>
      </c>
      <c r="F60" s="4538"/>
      <c r="G60" s="1391">
        <v>75900000</v>
      </c>
    </row>
    <row r="61" spans="1:7" x14ac:dyDescent="0.25">
      <c r="A61" s="1392" t="s">
        <v>2576</v>
      </c>
      <c r="B61" s="1392" t="s">
        <v>1141</v>
      </c>
      <c r="C61" s="1392" t="s">
        <v>1846</v>
      </c>
      <c r="D61" s="1392" t="s">
        <v>1847</v>
      </c>
      <c r="E61" s="1392" t="s">
        <v>1893</v>
      </c>
      <c r="F61" s="1392" t="s">
        <v>1894</v>
      </c>
      <c r="G61" s="1391">
        <v>13500000</v>
      </c>
    </row>
    <row r="62" spans="1:7" x14ac:dyDescent="0.25">
      <c r="A62" s="1392" t="s">
        <v>2576</v>
      </c>
      <c r="B62" s="1392" t="s">
        <v>1141</v>
      </c>
      <c r="C62" s="1392" t="s">
        <v>1846</v>
      </c>
      <c r="D62" s="1392" t="s">
        <v>1847</v>
      </c>
      <c r="E62" s="1392" t="s">
        <v>1893</v>
      </c>
      <c r="F62" s="1392" t="s">
        <v>2051</v>
      </c>
      <c r="G62" s="1391">
        <v>10400000</v>
      </c>
    </row>
    <row r="63" spans="1:7" x14ac:dyDescent="0.25">
      <c r="A63" s="1392" t="s">
        <v>2576</v>
      </c>
      <c r="B63" s="1392" t="s">
        <v>1141</v>
      </c>
      <c r="C63" s="1392" t="s">
        <v>1846</v>
      </c>
      <c r="D63" s="1392" t="s">
        <v>1847</v>
      </c>
      <c r="E63" s="1392" t="s">
        <v>1893</v>
      </c>
      <c r="F63" s="1392" t="s">
        <v>1895</v>
      </c>
      <c r="G63" s="1391">
        <v>52000000</v>
      </c>
    </row>
    <row r="64" spans="1:7" x14ac:dyDescent="0.25">
      <c r="A64" s="1392" t="s">
        <v>2576</v>
      </c>
      <c r="B64" s="1392" t="s">
        <v>1141</v>
      </c>
      <c r="C64" s="1392" t="s">
        <v>1846</v>
      </c>
      <c r="D64" s="1392" t="s">
        <v>1847</v>
      </c>
      <c r="E64" s="4536" t="s">
        <v>1896</v>
      </c>
      <c r="F64" s="4538"/>
      <c r="G64" s="1391">
        <v>355238600</v>
      </c>
    </row>
    <row r="65" spans="1:7" x14ac:dyDescent="0.25">
      <c r="A65" s="1392" t="s">
        <v>2576</v>
      </c>
      <c r="B65" s="1392" t="s">
        <v>1141</v>
      </c>
      <c r="C65" s="1392" t="s">
        <v>1846</v>
      </c>
      <c r="D65" s="1392" t="s">
        <v>1847</v>
      </c>
      <c r="E65" s="1392" t="s">
        <v>1896</v>
      </c>
      <c r="F65" s="1392" t="s">
        <v>1897</v>
      </c>
      <c r="G65" s="1391">
        <v>221680000</v>
      </c>
    </row>
    <row r="66" spans="1:7" x14ac:dyDescent="0.25">
      <c r="A66" s="1392" t="s">
        <v>2576</v>
      </c>
      <c r="B66" s="1392" t="s">
        <v>1141</v>
      </c>
      <c r="C66" s="1392" t="s">
        <v>1846</v>
      </c>
      <c r="D66" s="1392" t="s">
        <v>1847</v>
      </c>
      <c r="E66" s="1392" t="s">
        <v>1896</v>
      </c>
      <c r="F66" s="1392" t="s">
        <v>1900</v>
      </c>
      <c r="G66" s="1391">
        <v>77720000</v>
      </c>
    </row>
    <row r="67" spans="1:7" x14ac:dyDescent="0.25">
      <c r="A67" s="1392" t="s">
        <v>2576</v>
      </c>
      <c r="B67" s="1392" t="s">
        <v>1141</v>
      </c>
      <c r="C67" s="1392" t="s">
        <v>1846</v>
      </c>
      <c r="D67" s="1392" t="s">
        <v>1847</v>
      </c>
      <c r="E67" s="1392" t="s">
        <v>1896</v>
      </c>
      <c r="F67" s="1392" t="s">
        <v>1901</v>
      </c>
      <c r="G67" s="1391">
        <v>36430000</v>
      </c>
    </row>
    <row r="68" spans="1:7" x14ac:dyDescent="0.25">
      <c r="A68" s="1392" t="s">
        <v>2576</v>
      </c>
      <c r="B68" s="1392" t="s">
        <v>1141</v>
      </c>
      <c r="C68" s="1392" t="s">
        <v>1846</v>
      </c>
      <c r="D68" s="1392" t="s">
        <v>1847</v>
      </c>
      <c r="E68" s="1392" t="s">
        <v>1896</v>
      </c>
      <c r="F68" s="1392" t="s">
        <v>1928</v>
      </c>
      <c r="G68" s="1391">
        <v>5653000</v>
      </c>
    </row>
    <row r="69" spans="1:7" x14ac:dyDescent="0.25">
      <c r="A69" s="1392" t="s">
        <v>2576</v>
      </c>
      <c r="B69" s="1392" t="s">
        <v>1141</v>
      </c>
      <c r="C69" s="1392" t="s">
        <v>1846</v>
      </c>
      <c r="D69" s="1392" t="s">
        <v>1847</v>
      </c>
      <c r="E69" s="1392" t="s">
        <v>1896</v>
      </c>
      <c r="F69" s="1392" t="s">
        <v>1902</v>
      </c>
      <c r="G69" s="1391">
        <v>13755600</v>
      </c>
    </row>
    <row r="70" spans="1:7" x14ac:dyDescent="0.25">
      <c r="A70" s="1392" t="s">
        <v>2576</v>
      </c>
      <c r="B70" s="1392" t="s">
        <v>1141</v>
      </c>
      <c r="C70" s="1392" t="s">
        <v>1846</v>
      </c>
      <c r="D70" s="1392" t="s">
        <v>1847</v>
      </c>
      <c r="E70" s="4536" t="s">
        <v>1903</v>
      </c>
      <c r="F70" s="4538"/>
      <c r="G70" s="1391">
        <v>514705500</v>
      </c>
    </row>
    <row r="71" spans="1:7" x14ac:dyDescent="0.25">
      <c r="A71" s="1392" t="s">
        <v>2576</v>
      </c>
      <c r="B71" s="1392" t="s">
        <v>1141</v>
      </c>
      <c r="C71" s="1392" t="s">
        <v>1846</v>
      </c>
      <c r="D71" s="1392" t="s">
        <v>1847</v>
      </c>
      <c r="E71" s="1392" t="s">
        <v>1903</v>
      </c>
      <c r="F71" s="1392" t="s">
        <v>1905</v>
      </c>
      <c r="G71" s="1391">
        <v>514705500</v>
      </c>
    </row>
    <row r="72" spans="1:7" x14ac:dyDescent="0.25">
      <c r="A72" s="1392" t="s">
        <v>2576</v>
      </c>
      <c r="B72" s="1392" t="s">
        <v>1141</v>
      </c>
      <c r="C72" s="1392" t="s">
        <v>1846</v>
      </c>
      <c r="D72" s="1392" t="s">
        <v>1847</v>
      </c>
      <c r="E72" s="4536" t="s">
        <v>1906</v>
      </c>
      <c r="F72" s="4538"/>
      <c r="G72" s="1391">
        <v>86284000</v>
      </c>
    </row>
    <row r="73" spans="1:7" x14ac:dyDescent="0.25">
      <c r="A73" s="1392" t="s">
        <v>2576</v>
      </c>
      <c r="B73" s="1392" t="s">
        <v>1141</v>
      </c>
      <c r="C73" s="1392" t="s">
        <v>1846</v>
      </c>
      <c r="D73" s="1392" t="s">
        <v>1847</v>
      </c>
      <c r="E73" s="1392" t="s">
        <v>1906</v>
      </c>
      <c r="F73" s="1392" t="s">
        <v>1907</v>
      </c>
      <c r="G73" s="1391">
        <v>1185000</v>
      </c>
    </row>
    <row r="74" spans="1:7" x14ac:dyDescent="0.25">
      <c r="A74" s="1392" t="s">
        <v>2576</v>
      </c>
      <c r="B74" s="1392" t="s">
        <v>1141</v>
      </c>
      <c r="C74" s="1392" t="s">
        <v>1846</v>
      </c>
      <c r="D74" s="1392" t="s">
        <v>1847</v>
      </c>
      <c r="E74" s="1392" t="s">
        <v>1906</v>
      </c>
      <c r="F74" s="1392" t="s">
        <v>1908</v>
      </c>
      <c r="G74" s="1391">
        <v>29689000</v>
      </c>
    </row>
    <row r="75" spans="1:7" x14ac:dyDescent="0.25">
      <c r="A75" s="1392" t="s">
        <v>2576</v>
      </c>
      <c r="B75" s="1392" t="s">
        <v>1141</v>
      </c>
      <c r="C75" s="1392" t="s">
        <v>1846</v>
      </c>
      <c r="D75" s="1392" t="s">
        <v>1847</v>
      </c>
      <c r="E75" s="1392" t="s">
        <v>1906</v>
      </c>
      <c r="F75" s="1392" t="s">
        <v>1909</v>
      </c>
      <c r="G75" s="1391">
        <v>55410000</v>
      </c>
    </row>
    <row r="76" spans="1:7" x14ac:dyDescent="0.25">
      <c r="A76" s="1392" t="s">
        <v>2576</v>
      </c>
      <c r="B76" s="1392" t="s">
        <v>1141</v>
      </c>
      <c r="C76" s="1392" t="s">
        <v>1846</v>
      </c>
      <c r="D76" s="1392" t="s">
        <v>1847</v>
      </c>
      <c r="E76" s="4536" t="s">
        <v>1968</v>
      </c>
      <c r="F76" s="4538"/>
      <c r="G76" s="1391">
        <v>1199000</v>
      </c>
    </row>
    <row r="77" spans="1:7" x14ac:dyDescent="0.25">
      <c r="A77" s="1392" t="s">
        <v>2576</v>
      </c>
      <c r="B77" s="1392" t="s">
        <v>1141</v>
      </c>
      <c r="C77" s="1392" t="s">
        <v>1846</v>
      </c>
      <c r="D77" s="1392" t="s">
        <v>1847</v>
      </c>
      <c r="E77" s="1392" t="s">
        <v>1968</v>
      </c>
      <c r="F77" s="1392" t="s">
        <v>1969</v>
      </c>
      <c r="G77" s="1391">
        <v>1199000</v>
      </c>
    </row>
    <row r="78" spans="1:7" x14ac:dyDescent="0.25">
      <c r="A78" s="1392" t="s">
        <v>2576</v>
      </c>
      <c r="B78" s="1392" t="s">
        <v>1141</v>
      </c>
      <c r="C78" s="1392" t="s">
        <v>1846</v>
      </c>
      <c r="D78" s="1392" t="s">
        <v>1847</v>
      </c>
      <c r="E78" s="4536" t="s">
        <v>1912</v>
      </c>
      <c r="F78" s="4538"/>
      <c r="G78" s="1391">
        <v>1084295258</v>
      </c>
    </row>
    <row r="79" spans="1:7" x14ac:dyDescent="0.25">
      <c r="A79" s="1392" t="s">
        <v>2576</v>
      </c>
      <c r="B79" s="1392" t="s">
        <v>1141</v>
      </c>
      <c r="C79" s="1392" t="s">
        <v>1846</v>
      </c>
      <c r="D79" s="1392" t="s">
        <v>1847</v>
      </c>
      <c r="E79" s="1392" t="s">
        <v>1912</v>
      </c>
      <c r="F79" s="1392" t="s">
        <v>1913</v>
      </c>
      <c r="G79" s="1391">
        <v>11626000</v>
      </c>
    </row>
    <row r="80" spans="1:7" x14ac:dyDescent="0.25">
      <c r="A80" s="1392" t="s">
        <v>2576</v>
      </c>
      <c r="B80" s="1392" t="s">
        <v>1141</v>
      </c>
      <c r="C80" s="1392" t="s">
        <v>1846</v>
      </c>
      <c r="D80" s="1392" t="s">
        <v>1847</v>
      </c>
      <c r="E80" s="1392" t="s">
        <v>1912</v>
      </c>
      <c r="F80" s="1392" t="s">
        <v>1914</v>
      </c>
      <c r="G80" s="1391">
        <v>10419029</v>
      </c>
    </row>
    <row r="81" spans="1:7" x14ac:dyDescent="0.25">
      <c r="A81" s="1392" t="s">
        <v>2576</v>
      </c>
      <c r="B81" s="1392" t="s">
        <v>1141</v>
      </c>
      <c r="C81" s="1392" t="s">
        <v>1846</v>
      </c>
      <c r="D81" s="1392" t="s">
        <v>1847</v>
      </c>
      <c r="E81" s="1392" t="s">
        <v>1912</v>
      </c>
      <c r="F81" s="1392" t="s">
        <v>1915</v>
      </c>
      <c r="G81" s="1391">
        <v>648918000</v>
      </c>
    </row>
    <row r="82" spans="1:7" x14ac:dyDescent="0.25">
      <c r="A82" s="1392" t="s">
        <v>2576</v>
      </c>
      <c r="B82" s="1392" t="s">
        <v>1141</v>
      </c>
      <c r="C82" s="1392" t="s">
        <v>1846</v>
      </c>
      <c r="D82" s="1392" t="s">
        <v>1847</v>
      </c>
      <c r="E82" s="1392" t="s">
        <v>1912</v>
      </c>
      <c r="F82" s="1392" t="s">
        <v>1916</v>
      </c>
      <c r="G82" s="1391">
        <v>413332229</v>
      </c>
    </row>
    <row r="83" spans="1:7" x14ac:dyDescent="0.25">
      <c r="A83" s="1392" t="s">
        <v>2576</v>
      </c>
      <c r="B83" s="1392" t="s">
        <v>1141</v>
      </c>
      <c r="C83" s="1392" t="s">
        <v>1846</v>
      </c>
      <c r="D83" s="1392" t="s">
        <v>1847</v>
      </c>
      <c r="E83" s="4536" t="s">
        <v>1983</v>
      </c>
      <c r="F83" s="4538"/>
      <c r="G83" s="1391">
        <v>3600000</v>
      </c>
    </row>
    <row r="84" spans="1:7" x14ac:dyDescent="0.25">
      <c r="A84" s="1392" t="s">
        <v>2576</v>
      </c>
      <c r="B84" s="1392" t="s">
        <v>1141</v>
      </c>
      <c r="C84" s="1392" t="s">
        <v>1846</v>
      </c>
      <c r="D84" s="1392" t="s">
        <v>1847</v>
      </c>
      <c r="E84" s="1392" t="s">
        <v>1983</v>
      </c>
      <c r="F84" s="1392" t="s">
        <v>2240</v>
      </c>
      <c r="G84" s="1391">
        <v>3600000</v>
      </c>
    </row>
    <row r="85" spans="1:7" x14ac:dyDescent="0.25">
      <c r="A85" s="1392" t="s">
        <v>2576</v>
      </c>
      <c r="B85" s="4536" t="s">
        <v>1825</v>
      </c>
      <c r="C85" s="4537"/>
      <c r="D85" s="4537"/>
      <c r="E85" s="4537"/>
      <c r="F85" s="4538"/>
      <c r="G85" s="1391">
        <v>1966444007</v>
      </c>
    </row>
    <row r="86" spans="1:7" x14ac:dyDescent="0.25">
      <c r="A86" s="1392" t="s">
        <v>2576</v>
      </c>
      <c r="B86" s="1392" t="s">
        <v>1825</v>
      </c>
      <c r="C86" s="4536" t="s">
        <v>1919</v>
      </c>
      <c r="D86" s="4537"/>
      <c r="E86" s="4537"/>
      <c r="F86" s="4538"/>
      <c r="G86" s="1391">
        <v>875132220</v>
      </c>
    </row>
    <row r="87" spans="1:7" x14ac:dyDescent="0.25">
      <c r="A87" s="1392" t="s">
        <v>2576</v>
      </c>
      <c r="B87" s="1392" t="s">
        <v>1825</v>
      </c>
      <c r="C87" s="1392" t="s">
        <v>1919</v>
      </c>
      <c r="D87" s="4536" t="s">
        <v>1920</v>
      </c>
      <c r="E87" s="4537"/>
      <c r="F87" s="4538"/>
      <c r="G87" s="1391">
        <v>815132220</v>
      </c>
    </row>
    <row r="88" spans="1:7" x14ac:dyDescent="0.25">
      <c r="A88" s="1392" t="s">
        <v>2576</v>
      </c>
      <c r="B88" s="1392" t="s">
        <v>1825</v>
      </c>
      <c r="C88" s="1392" t="s">
        <v>1919</v>
      </c>
      <c r="D88" s="1392" t="s">
        <v>1920</v>
      </c>
      <c r="E88" s="4536" t="s">
        <v>1869</v>
      </c>
      <c r="F88" s="4538"/>
      <c r="G88" s="1391">
        <v>1852500</v>
      </c>
    </row>
    <row r="89" spans="1:7" x14ac:dyDescent="0.25">
      <c r="A89" s="1392" t="s">
        <v>2576</v>
      </c>
      <c r="B89" s="1392" t="s">
        <v>1825</v>
      </c>
      <c r="C89" s="1392" t="s">
        <v>1919</v>
      </c>
      <c r="D89" s="1392" t="s">
        <v>1920</v>
      </c>
      <c r="E89" s="1392" t="s">
        <v>1869</v>
      </c>
      <c r="F89" s="1392" t="s">
        <v>1872</v>
      </c>
      <c r="G89" s="1391">
        <v>1852500</v>
      </c>
    </row>
    <row r="90" spans="1:7" x14ac:dyDescent="0.25">
      <c r="A90" s="1392" t="s">
        <v>2576</v>
      </c>
      <c r="B90" s="1392" t="s">
        <v>1825</v>
      </c>
      <c r="C90" s="1392" t="s">
        <v>1919</v>
      </c>
      <c r="D90" s="1392" t="s">
        <v>1920</v>
      </c>
      <c r="E90" s="4536" t="s">
        <v>1874</v>
      </c>
      <c r="F90" s="4538"/>
      <c r="G90" s="1391">
        <v>330000</v>
      </c>
    </row>
    <row r="91" spans="1:7" x14ac:dyDescent="0.25">
      <c r="A91" s="1392" t="s">
        <v>2576</v>
      </c>
      <c r="B91" s="1392" t="s">
        <v>1825</v>
      </c>
      <c r="C91" s="1392" t="s">
        <v>1919</v>
      </c>
      <c r="D91" s="1392" t="s">
        <v>1920</v>
      </c>
      <c r="E91" s="1392" t="s">
        <v>1874</v>
      </c>
      <c r="F91" s="1392" t="s">
        <v>1875</v>
      </c>
      <c r="G91" s="1391">
        <v>330000</v>
      </c>
    </row>
    <row r="92" spans="1:7" x14ac:dyDescent="0.25">
      <c r="A92" s="1392" t="s">
        <v>2576</v>
      </c>
      <c r="B92" s="1392" t="s">
        <v>1825</v>
      </c>
      <c r="C92" s="1392" t="s">
        <v>1919</v>
      </c>
      <c r="D92" s="1392" t="s">
        <v>1920</v>
      </c>
      <c r="E92" s="4536" t="s">
        <v>1885</v>
      </c>
      <c r="F92" s="4538"/>
      <c r="G92" s="1391">
        <v>21800000</v>
      </c>
    </row>
    <row r="93" spans="1:7" x14ac:dyDescent="0.25">
      <c r="A93" s="1392" t="s">
        <v>2576</v>
      </c>
      <c r="B93" s="1392" t="s">
        <v>1825</v>
      </c>
      <c r="C93" s="1392" t="s">
        <v>1919</v>
      </c>
      <c r="D93" s="1392" t="s">
        <v>1920</v>
      </c>
      <c r="E93" s="1392" t="s">
        <v>1885</v>
      </c>
      <c r="F93" s="1392" t="s">
        <v>1925</v>
      </c>
      <c r="G93" s="1391">
        <v>1360000</v>
      </c>
    </row>
    <row r="94" spans="1:7" x14ac:dyDescent="0.25">
      <c r="A94" s="1392" t="s">
        <v>2576</v>
      </c>
      <c r="B94" s="1392" t="s">
        <v>1825</v>
      </c>
      <c r="C94" s="1392" t="s">
        <v>1919</v>
      </c>
      <c r="D94" s="1392" t="s">
        <v>1920</v>
      </c>
      <c r="E94" s="1392" t="s">
        <v>1885</v>
      </c>
      <c r="F94" s="1392" t="s">
        <v>1886</v>
      </c>
      <c r="G94" s="1391">
        <v>2400000</v>
      </c>
    </row>
    <row r="95" spans="1:7" x14ac:dyDescent="0.25">
      <c r="A95" s="1392" t="s">
        <v>2576</v>
      </c>
      <c r="B95" s="1392" t="s">
        <v>1825</v>
      </c>
      <c r="C95" s="1392" t="s">
        <v>1919</v>
      </c>
      <c r="D95" s="1392" t="s">
        <v>1920</v>
      </c>
      <c r="E95" s="1392" t="s">
        <v>1885</v>
      </c>
      <c r="F95" s="1392" t="s">
        <v>1887</v>
      </c>
      <c r="G95" s="1391">
        <v>13500000</v>
      </c>
    </row>
    <row r="96" spans="1:7" x14ac:dyDescent="0.25">
      <c r="A96" s="1392" t="s">
        <v>2576</v>
      </c>
      <c r="B96" s="1392" t="s">
        <v>1825</v>
      </c>
      <c r="C96" s="1392" t="s">
        <v>1919</v>
      </c>
      <c r="D96" s="1392" t="s">
        <v>1920</v>
      </c>
      <c r="E96" s="1392" t="s">
        <v>1885</v>
      </c>
      <c r="F96" s="1392" t="s">
        <v>1888</v>
      </c>
      <c r="G96" s="1391">
        <v>4540000</v>
      </c>
    </row>
    <row r="97" spans="1:7" x14ac:dyDescent="0.25">
      <c r="A97" s="1392" t="s">
        <v>2576</v>
      </c>
      <c r="B97" s="1392" t="s">
        <v>1825</v>
      </c>
      <c r="C97" s="1392" t="s">
        <v>1919</v>
      </c>
      <c r="D97" s="1392" t="s">
        <v>1920</v>
      </c>
      <c r="E97" s="4536" t="s">
        <v>1889</v>
      </c>
      <c r="F97" s="4538"/>
      <c r="G97" s="1391">
        <v>11900000</v>
      </c>
    </row>
    <row r="98" spans="1:7" x14ac:dyDescent="0.25">
      <c r="A98" s="1392" t="s">
        <v>2576</v>
      </c>
      <c r="B98" s="1392" t="s">
        <v>1825</v>
      </c>
      <c r="C98" s="1392" t="s">
        <v>1919</v>
      </c>
      <c r="D98" s="1392" t="s">
        <v>1920</v>
      </c>
      <c r="E98" s="1392" t="s">
        <v>1889</v>
      </c>
      <c r="F98" s="1392" t="s">
        <v>1891</v>
      </c>
      <c r="G98" s="1391">
        <v>11900000</v>
      </c>
    </row>
    <row r="99" spans="1:7" x14ac:dyDescent="0.25">
      <c r="A99" s="1392" t="s">
        <v>2576</v>
      </c>
      <c r="B99" s="1392" t="s">
        <v>1825</v>
      </c>
      <c r="C99" s="1392" t="s">
        <v>1919</v>
      </c>
      <c r="D99" s="1392" t="s">
        <v>1920</v>
      </c>
      <c r="E99" s="4536" t="s">
        <v>1893</v>
      </c>
      <c r="F99" s="4538"/>
      <c r="G99" s="1391">
        <v>20980000</v>
      </c>
    </row>
    <row r="100" spans="1:7" x14ac:dyDescent="0.25">
      <c r="A100" s="1392" t="s">
        <v>2576</v>
      </c>
      <c r="B100" s="1392" t="s">
        <v>1825</v>
      </c>
      <c r="C100" s="1392" t="s">
        <v>1919</v>
      </c>
      <c r="D100" s="1392" t="s">
        <v>1920</v>
      </c>
      <c r="E100" s="1392" t="s">
        <v>1893</v>
      </c>
      <c r="F100" s="1392" t="s">
        <v>1894</v>
      </c>
      <c r="G100" s="1391">
        <v>14980000</v>
      </c>
    </row>
    <row r="101" spans="1:7" x14ac:dyDescent="0.25">
      <c r="A101" s="1392" t="s">
        <v>2576</v>
      </c>
      <c r="B101" s="1392" t="s">
        <v>1825</v>
      </c>
      <c r="C101" s="1392" t="s">
        <v>1919</v>
      </c>
      <c r="D101" s="1392" t="s">
        <v>1920</v>
      </c>
      <c r="E101" s="1392" t="s">
        <v>1893</v>
      </c>
      <c r="F101" s="1392" t="s">
        <v>1895</v>
      </c>
      <c r="G101" s="1391">
        <v>6000000</v>
      </c>
    </row>
    <row r="102" spans="1:7" x14ac:dyDescent="0.25">
      <c r="A102" s="1392" t="s">
        <v>2576</v>
      </c>
      <c r="B102" s="1392" t="s">
        <v>1825</v>
      </c>
      <c r="C102" s="1392" t="s">
        <v>1919</v>
      </c>
      <c r="D102" s="1392" t="s">
        <v>1920</v>
      </c>
      <c r="E102" s="4536" t="s">
        <v>1912</v>
      </c>
      <c r="F102" s="4538"/>
      <c r="G102" s="1391">
        <v>758269720</v>
      </c>
    </row>
    <row r="103" spans="1:7" x14ac:dyDescent="0.25">
      <c r="A103" s="1392" t="s">
        <v>2576</v>
      </c>
      <c r="B103" s="1392" t="s">
        <v>1825</v>
      </c>
      <c r="C103" s="1392" t="s">
        <v>1919</v>
      </c>
      <c r="D103" s="1392" t="s">
        <v>1920</v>
      </c>
      <c r="E103" s="1392" t="s">
        <v>1912</v>
      </c>
      <c r="F103" s="1392" t="s">
        <v>1916</v>
      </c>
      <c r="G103" s="1391">
        <v>758269720</v>
      </c>
    </row>
    <row r="104" spans="1:7" x14ac:dyDescent="0.25">
      <c r="A104" s="1392" t="s">
        <v>2576</v>
      </c>
      <c r="B104" s="1392" t="s">
        <v>1825</v>
      </c>
      <c r="C104" s="1392" t="s">
        <v>1919</v>
      </c>
      <c r="D104" s="4536" t="s">
        <v>2235</v>
      </c>
      <c r="E104" s="4537"/>
      <c r="F104" s="4538"/>
      <c r="G104" s="1391">
        <v>60000000</v>
      </c>
    </row>
    <row r="105" spans="1:7" x14ac:dyDescent="0.25">
      <c r="A105" s="1392" t="s">
        <v>2576</v>
      </c>
      <c r="B105" s="1392" t="s">
        <v>1825</v>
      </c>
      <c r="C105" s="1392" t="s">
        <v>1919</v>
      </c>
      <c r="D105" s="1392" t="s">
        <v>2235</v>
      </c>
      <c r="E105" s="4536" t="s">
        <v>1896</v>
      </c>
      <c r="F105" s="4538"/>
      <c r="G105" s="1391">
        <v>60000000</v>
      </c>
    </row>
    <row r="106" spans="1:7" x14ac:dyDescent="0.25">
      <c r="A106" s="1392" t="s">
        <v>2576</v>
      </c>
      <c r="B106" s="1392" t="s">
        <v>1825</v>
      </c>
      <c r="C106" s="1392" t="s">
        <v>1919</v>
      </c>
      <c r="D106" s="1392" t="s">
        <v>2235</v>
      </c>
      <c r="E106" s="1392" t="s">
        <v>1896</v>
      </c>
      <c r="F106" s="1392" t="s">
        <v>1902</v>
      </c>
      <c r="G106" s="1391">
        <v>60000000</v>
      </c>
    </row>
    <row r="107" spans="1:7" x14ac:dyDescent="0.25">
      <c r="A107" s="1392" t="s">
        <v>2576</v>
      </c>
      <c r="B107" s="1392" t="s">
        <v>1825</v>
      </c>
      <c r="C107" s="4536" t="s">
        <v>1846</v>
      </c>
      <c r="D107" s="4537"/>
      <c r="E107" s="4537"/>
      <c r="F107" s="4538"/>
      <c r="G107" s="1391">
        <v>1091311787</v>
      </c>
    </row>
    <row r="108" spans="1:7" x14ac:dyDescent="0.25">
      <c r="A108" s="1392" t="s">
        <v>2576</v>
      </c>
      <c r="B108" s="1392" t="s">
        <v>1825</v>
      </c>
      <c r="C108" s="1392" t="s">
        <v>1846</v>
      </c>
      <c r="D108" s="4536" t="s">
        <v>1847</v>
      </c>
      <c r="E108" s="4537"/>
      <c r="F108" s="4538"/>
      <c r="G108" s="1391">
        <v>1091311787</v>
      </c>
    </row>
    <row r="109" spans="1:7" x14ac:dyDescent="0.25">
      <c r="A109" s="1392" t="s">
        <v>2576</v>
      </c>
      <c r="B109" s="1392" t="s">
        <v>1825</v>
      </c>
      <c r="C109" s="1392" t="s">
        <v>1846</v>
      </c>
      <c r="D109" s="1392" t="s">
        <v>1847</v>
      </c>
      <c r="E109" s="4536" t="s">
        <v>1848</v>
      </c>
      <c r="F109" s="4538"/>
      <c r="G109" s="1391">
        <v>271105509</v>
      </c>
    </row>
    <row r="110" spans="1:7" x14ac:dyDescent="0.25">
      <c r="A110" s="1392" t="s">
        <v>2576</v>
      </c>
      <c r="B110" s="1392" t="s">
        <v>1825</v>
      </c>
      <c r="C110" s="1392" t="s">
        <v>1846</v>
      </c>
      <c r="D110" s="1392" t="s">
        <v>1847</v>
      </c>
      <c r="E110" s="1392" t="s">
        <v>1848</v>
      </c>
      <c r="F110" s="1392" t="s">
        <v>1849</v>
      </c>
      <c r="G110" s="1391">
        <v>271105509</v>
      </c>
    </row>
    <row r="111" spans="1:7" x14ac:dyDescent="0.25">
      <c r="A111" s="1392" t="s">
        <v>2576</v>
      </c>
      <c r="B111" s="1392" t="s">
        <v>1825</v>
      </c>
      <c r="C111" s="1392" t="s">
        <v>1846</v>
      </c>
      <c r="D111" s="1392" t="s">
        <v>1847</v>
      </c>
      <c r="E111" s="4536" t="s">
        <v>1853</v>
      </c>
      <c r="F111" s="4538"/>
      <c r="G111" s="1391">
        <v>238323805</v>
      </c>
    </row>
    <row r="112" spans="1:7" x14ac:dyDescent="0.25">
      <c r="A112" s="1392" t="s">
        <v>2576</v>
      </c>
      <c r="B112" s="1392" t="s">
        <v>1825</v>
      </c>
      <c r="C112" s="1392" t="s">
        <v>1846</v>
      </c>
      <c r="D112" s="1392" t="s">
        <v>1847</v>
      </c>
      <c r="E112" s="1392" t="s">
        <v>1853</v>
      </c>
      <c r="F112" s="1392" t="s">
        <v>1854</v>
      </c>
      <c r="G112" s="1391">
        <v>5364000</v>
      </c>
    </row>
    <row r="113" spans="1:7" x14ac:dyDescent="0.25">
      <c r="A113" s="1392" t="s">
        <v>2576</v>
      </c>
      <c r="B113" s="1392" t="s">
        <v>1825</v>
      </c>
      <c r="C113" s="1392" t="s">
        <v>1846</v>
      </c>
      <c r="D113" s="1392" t="s">
        <v>1847</v>
      </c>
      <c r="E113" s="1392" t="s">
        <v>1853</v>
      </c>
      <c r="F113" s="1392" t="s">
        <v>1855</v>
      </c>
      <c r="G113" s="1391">
        <v>35760000</v>
      </c>
    </row>
    <row r="114" spans="1:7" x14ac:dyDescent="0.25">
      <c r="A114" s="1392" t="s">
        <v>2576</v>
      </c>
      <c r="B114" s="1392" t="s">
        <v>1825</v>
      </c>
      <c r="C114" s="1392" t="s">
        <v>1846</v>
      </c>
      <c r="D114" s="1392" t="s">
        <v>1847</v>
      </c>
      <c r="E114" s="1392" t="s">
        <v>1853</v>
      </c>
      <c r="F114" s="1392" t="s">
        <v>1856</v>
      </c>
      <c r="G114" s="1391">
        <v>126443430</v>
      </c>
    </row>
    <row r="115" spans="1:7" x14ac:dyDescent="0.25">
      <c r="A115" s="1392" t="s">
        <v>2576</v>
      </c>
      <c r="B115" s="1392" t="s">
        <v>1825</v>
      </c>
      <c r="C115" s="1392" t="s">
        <v>1846</v>
      </c>
      <c r="D115" s="1392" t="s">
        <v>1847</v>
      </c>
      <c r="E115" s="1392" t="s">
        <v>1853</v>
      </c>
      <c r="F115" s="1392" t="s">
        <v>1858</v>
      </c>
      <c r="G115" s="1391">
        <v>1639000</v>
      </c>
    </row>
    <row r="116" spans="1:7" x14ac:dyDescent="0.25">
      <c r="A116" s="1392" t="s">
        <v>2576</v>
      </c>
      <c r="B116" s="1392" t="s">
        <v>1825</v>
      </c>
      <c r="C116" s="1392" t="s">
        <v>1846</v>
      </c>
      <c r="D116" s="1392" t="s">
        <v>1847</v>
      </c>
      <c r="E116" s="1392" t="s">
        <v>1853</v>
      </c>
      <c r="F116" s="1392" t="s">
        <v>1859</v>
      </c>
      <c r="G116" s="1391">
        <v>69117375</v>
      </c>
    </row>
    <row r="117" spans="1:7" x14ac:dyDescent="0.25">
      <c r="A117" s="1392" t="s">
        <v>2576</v>
      </c>
      <c r="B117" s="1392" t="s">
        <v>1825</v>
      </c>
      <c r="C117" s="1392" t="s">
        <v>1846</v>
      </c>
      <c r="D117" s="1392" t="s">
        <v>1847</v>
      </c>
      <c r="E117" s="4536" t="s">
        <v>1860</v>
      </c>
      <c r="F117" s="4538"/>
      <c r="G117" s="1391">
        <v>3450000</v>
      </c>
    </row>
    <row r="118" spans="1:7" x14ac:dyDescent="0.25">
      <c r="A118" s="1392" t="s">
        <v>2576</v>
      </c>
      <c r="B118" s="1392" t="s">
        <v>1825</v>
      </c>
      <c r="C118" s="1392" t="s">
        <v>1846</v>
      </c>
      <c r="D118" s="1392" t="s">
        <v>1847</v>
      </c>
      <c r="E118" s="1392" t="s">
        <v>1860</v>
      </c>
      <c r="F118" s="1392" t="s">
        <v>1861</v>
      </c>
      <c r="G118" s="1391">
        <v>3450000</v>
      </c>
    </row>
    <row r="119" spans="1:7" x14ac:dyDescent="0.25">
      <c r="A119" s="1392" t="s">
        <v>2576</v>
      </c>
      <c r="B119" s="1392" t="s">
        <v>1825</v>
      </c>
      <c r="C119" s="1392" t="s">
        <v>1846</v>
      </c>
      <c r="D119" s="1392" t="s">
        <v>1847</v>
      </c>
      <c r="E119" s="4536" t="s">
        <v>1862</v>
      </c>
      <c r="F119" s="4538"/>
      <c r="G119" s="1391">
        <v>62294148</v>
      </c>
    </row>
    <row r="120" spans="1:7" x14ac:dyDescent="0.25">
      <c r="A120" s="1392" t="s">
        <v>2576</v>
      </c>
      <c r="B120" s="1392" t="s">
        <v>1825</v>
      </c>
      <c r="C120" s="1392" t="s">
        <v>1846</v>
      </c>
      <c r="D120" s="1392" t="s">
        <v>1847</v>
      </c>
      <c r="E120" s="1392" t="s">
        <v>1862</v>
      </c>
      <c r="F120" s="1392" t="s">
        <v>1863</v>
      </c>
      <c r="G120" s="1391">
        <v>48382167</v>
      </c>
    </row>
    <row r="121" spans="1:7" x14ac:dyDescent="0.25">
      <c r="A121" s="1392" t="s">
        <v>2576</v>
      </c>
      <c r="B121" s="1392" t="s">
        <v>1825</v>
      </c>
      <c r="C121" s="1392" t="s">
        <v>1846</v>
      </c>
      <c r="D121" s="1392" t="s">
        <v>1847</v>
      </c>
      <c r="E121" s="1392" t="s">
        <v>1862</v>
      </c>
      <c r="F121" s="1392" t="s">
        <v>1864</v>
      </c>
      <c r="G121" s="1391">
        <v>8294085</v>
      </c>
    </row>
    <row r="122" spans="1:7" x14ac:dyDescent="0.25">
      <c r="A122" s="1392" t="s">
        <v>2576</v>
      </c>
      <c r="B122" s="1392" t="s">
        <v>1825</v>
      </c>
      <c r="C122" s="1392" t="s">
        <v>1846</v>
      </c>
      <c r="D122" s="1392" t="s">
        <v>1847</v>
      </c>
      <c r="E122" s="1392" t="s">
        <v>1862</v>
      </c>
      <c r="F122" s="1392" t="s">
        <v>1865</v>
      </c>
      <c r="G122" s="1391">
        <v>5617896</v>
      </c>
    </row>
    <row r="123" spans="1:7" x14ac:dyDescent="0.25">
      <c r="A123" s="1392" t="s">
        <v>2576</v>
      </c>
      <c r="B123" s="1392" t="s">
        <v>1825</v>
      </c>
      <c r="C123" s="1392" t="s">
        <v>1846</v>
      </c>
      <c r="D123" s="1392" t="s">
        <v>1847</v>
      </c>
      <c r="E123" s="4536" t="s">
        <v>1867</v>
      </c>
      <c r="F123" s="4538"/>
      <c r="G123" s="1391">
        <v>129085495</v>
      </c>
    </row>
    <row r="124" spans="1:7" x14ac:dyDescent="0.25">
      <c r="A124" s="1392" t="s">
        <v>2576</v>
      </c>
      <c r="B124" s="1392" t="s">
        <v>1825</v>
      </c>
      <c r="C124" s="1392" t="s">
        <v>1846</v>
      </c>
      <c r="D124" s="1392" t="s">
        <v>1847</v>
      </c>
      <c r="E124" s="1392" t="s">
        <v>1867</v>
      </c>
      <c r="F124" s="1392" t="s">
        <v>1868</v>
      </c>
      <c r="G124" s="1391">
        <v>129085495</v>
      </c>
    </row>
    <row r="125" spans="1:7" x14ac:dyDescent="0.25">
      <c r="A125" s="1392" t="s">
        <v>2576</v>
      </c>
      <c r="B125" s="1392" t="s">
        <v>1825</v>
      </c>
      <c r="C125" s="1392" t="s">
        <v>1846</v>
      </c>
      <c r="D125" s="1392" t="s">
        <v>1847</v>
      </c>
      <c r="E125" s="4536" t="s">
        <v>1869</v>
      </c>
      <c r="F125" s="4538"/>
      <c r="G125" s="1391">
        <v>9214756</v>
      </c>
    </row>
    <row r="126" spans="1:7" x14ac:dyDescent="0.25">
      <c r="A126" s="1392" t="s">
        <v>2576</v>
      </c>
      <c r="B126" s="1392" t="s">
        <v>1825</v>
      </c>
      <c r="C126" s="1392" t="s">
        <v>1846</v>
      </c>
      <c r="D126" s="1392" t="s">
        <v>1847</v>
      </c>
      <c r="E126" s="1392" t="s">
        <v>1869</v>
      </c>
      <c r="F126" s="1392" t="s">
        <v>1870</v>
      </c>
      <c r="G126" s="1391">
        <v>7092558</v>
      </c>
    </row>
    <row r="127" spans="1:7" x14ac:dyDescent="0.25">
      <c r="A127" s="1392" t="s">
        <v>2576</v>
      </c>
      <c r="B127" s="1392" t="s">
        <v>1825</v>
      </c>
      <c r="C127" s="1392" t="s">
        <v>1846</v>
      </c>
      <c r="D127" s="1392" t="s">
        <v>1847</v>
      </c>
      <c r="E127" s="1392" t="s">
        <v>1869</v>
      </c>
      <c r="F127" s="1392" t="s">
        <v>1871</v>
      </c>
      <c r="G127" s="1391">
        <v>888998</v>
      </c>
    </row>
    <row r="128" spans="1:7" x14ac:dyDescent="0.25">
      <c r="A128" s="1392" t="s">
        <v>2576</v>
      </c>
      <c r="B128" s="1392" t="s">
        <v>1825</v>
      </c>
      <c r="C128" s="1392" t="s">
        <v>1846</v>
      </c>
      <c r="D128" s="1392" t="s">
        <v>1847</v>
      </c>
      <c r="E128" s="1392" t="s">
        <v>1869</v>
      </c>
      <c r="F128" s="1392" t="s">
        <v>1872</v>
      </c>
      <c r="G128" s="1391">
        <v>513200</v>
      </c>
    </row>
    <row r="129" spans="1:7" x14ac:dyDescent="0.25">
      <c r="A129" s="1392" t="s">
        <v>2576</v>
      </c>
      <c r="B129" s="1392" t="s">
        <v>1825</v>
      </c>
      <c r="C129" s="1392" t="s">
        <v>1846</v>
      </c>
      <c r="D129" s="1392" t="s">
        <v>1847</v>
      </c>
      <c r="E129" s="1392" t="s">
        <v>1869</v>
      </c>
      <c r="F129" s="1392" t="s">
        <v>1873</v>
      </c>
      <c r="G129" s="1391">
        <v>720000</v>
      </c>
    </row>
    <row r="130" spans="1:7" x14ac:dyDescent="0.25">
      <c r="A130" s="1392" t="s">
        <v>2576</v>
      </c>
      <c r="B130" s="1392" t="s">
        <v>1825</v>
      </c>
      <c r="C130" s="1392" t="s">
        <v>1846</v>
      </c>
      <c r="D130" s="1392" t="s">
        <v>1847</v>
      </c>
      <c r="E130" s="4536" t="s">
        <v>1874</v>
      </c>
      <c r="F130" s="4538"/>
      <c r="G130" s="1391">
        <v>33778000</v>
      </c>
    </row>
    <row r="131" spans="1:7" x14ac:dyDescent="0.25">
      <c r="A131" s="1392" t="s">
        <v>2576</v>
      </c>
      <c r="B131" s="1392" t="s">
        <v>1825</v>
      </c>
      <c r="C131" s="1392" t="s">
        <v>1846</v>
      </c>
      <c r="D131" s="1392" t="s">
        <v>1847</v>
      </c>
      <c r="E131" s="1392" t="s">
        <v>1874</v>
      </c>
      <c r="F131" s="1392" t="s">
        <v>1875</v>
      </c>
      <c r="G131" s="1391">
        <v>12935000</v>
      </c>
    </row>
    <row r="132" spans="1:7" x14ac:dyDescent="0.25">
      <c r="A132" s="1392" t="s">
        <v>2576</v>
      </c>
      <c r="B132" s="1392" t="s">
        <v>1825</v>
      </c>
      <c r="C132" s="1392" t="s">
        <v>1846</v>
      </c>
      <c r="D132" s="1392" t="s">
        <v>1847</v>
      </c>
      <c r="E132" s="1392" t="s">
        <v>1874</v>
      </c>
      <c r="F132" s="1392" t="s">
        <v>1876</v>
      </c>
      <c r="G132" s="1391">
        <v>15400000</v>
      </c>
    </row>
    <row r="133" spans="1:7" x14ac:dyDescent="0.25">
      <c r="A133" s="1392" t="s">
        <v>2576</v>
      </c>
      <c r="B133" s="1392" t="s">
        <v>1825</v>
      </c>
      <c r="C133" s="1392" t="s">
        <v>1846</v>
      </c>
      <c r="D133" s="1392" t="s">
        <v>1847</v>
      </c>
      <c r="E133" s="1392" t="s">
        <v>1874</v>
      </c>
      <c r="F133" s="1392" t="s">
        <v>1877</v>
      </c>
      <c r="G133" s="1391">
        <v>5443000</v>
      </c>
    </row>
    <row r="134" spans="1:7" x14ac:dyDescent="0.25">
      <c r="A134" s="1392" t="s">
        <v>2576</v>
      </c>
      <c r="B134" s="1392" t="s">
        <v>1825</v>
      </c>
      <c r="C134" s="1392" t="s">
        <v>1846</v>
      </c>
      <c r="D134" s="1392" t="s">
        <v>1847</v>
      </c>
      <c r="E134" s="4536" t="s">
        <v>1878</v>
      </c>
      <c r="F134" s="4538"/>
      <c r="G134" s="1391">
        <v>2973674</v>
      </c>
    </row>
    <row r="135" spans="1:7" x14ac:dyDescent="0.25">
      <c r="A135" s="1392" t="s">
        <v>2576</v>
      </c>
      <c r="B135" s="1392" t="s">
        <v>1825</v>
      </c>
      <c r="C135" s="1392" t="s">
        <v>1846</v>
      </c>
      <c r="D135" s="1392" t="s">
        <v>1847</v>
      </c>
      <c r="E135" s="1392" t="s">
        <v>1878</v>
      </c>
      <c r="F135" s="1392" t="s">
        <v>1879</v>
      </c>
      <c r="G135" s="1391">
        <v>973674</v>
      </c>
    </row>
    <row r="136" spans="1:7" x14ac:dyDescent="0.25">
      <c r="A136" s="1392" t="s">
        <v>2576</v>
      </c>
      <c r="B136" s="1392" t="s">
        <v>1825</v>
      </c>
      <c r="C136" s="1392" t="s">
        <v>1846</v>
      </c>
      <c r="D136" s="1392" t="s">
        <v>1847</v>
      </c>
      <c r="E136" s="1392" t="s">
        <v>1878</v>
      </c>
      <c r="F136" s="1392" t="s">
        <v>1880</v>
      </c>
      <c r="G136" s="1391">
        <v>2000000</v>
      </c>
    </row>
    <row r="137" spans="1:7" x14ac:dyDescent="0.25">
      <c r="A137" s="1392" t="s">
        <v>2576</v>
      </c>
      <c r="B137" s="1392" t="s">
        <v>1825</v>
      </c>
      <c r="C137" s="1392" t="s">
        <v>1846</v>
      </c>
      <c r="D137" s="1392" t="s">
        <v>1847</v>
      </c>
      <c r="E137" s="4536" t="s">
        <v>1885</v>
      </c>
      <c r="F137" s="4538"/>
      <c r="G137" s="1391">
        <v>29722000</v>
      </c>
    </row>
    <row r="138" spans="1:7" x14ac:dyDescent="0.25">
      <c r="A138" s="1392" t="s">
        <v>2576</v>
      </c>
      <c r="B138" s="1392" t="s">
        <v>1825</v>
      </c>
      <c r="C138" s="1392" t="s">
        <v>1846</v>
      </c>
      <c r="D138" s="1392" t="s">
        <v>1847</v>
      </c>
      <c r="E138" s="1392" t="s">
        <v>1885</v>
      </c>
      <c r="F138" s="1392" t="s">
        <v>1925</v>
      </c>
      <c r="G138" s="1391">
        <v>160000</v>
      </c>
    </row>
    <row r="139" spans="1:7" x14ac:dyDescent="0.25">
      <c r="A139" s="1392" t="s">
        <v>2576</v>
      </c>
      <c r="B139" s="1392" t="s">
        <v>1825</v>
      </c>
      <c r="C139" s="1392" t="s">
        <v>1846</v>
      </c>
      <c r="D139" s="1392" t="s">
        <v>1847</v>
      </c>
      <c r="E139" s="1392" t="s">
        <v>1885</v>
      </c>
      <c r="F139" s="1392" t="s">
        <v>1887</v>
      </c>
      <c r="G139" s="1391">
        <v>20330000</v>
      </c>
    </row>
    <row r="140" spans="1:7" x14ac:dyDescent="0.25">
      <c r="A140" s="1392" t="s">
        <v>2576</v>
      </c>
      <c r="B140" s="1392" t="s">
        <v>1825</v>
      </c>
      <c r="C140" s="1392" t="s">
        <v>1846</v>
      </c>
      <c r="D140" s="1392" t="s">
        <v>1847</v>
      </c>
      <c r="E140" s="1392" t="s">
        <v>1885</v>
      </c>
      <c r="F140" s="1392" t="s">
        <v>1888</v>
      </c>
      <c r="G140" s="1391">
        <v>9232000</v>
      </c>
    </row>
    <row r="141" spans="1:7" x14ac:dyDescent="0.25">
      <c r="A141" s="1392" t="s">
        <v>2576</v>
      </c>
      <c r="B141" s="1392" t="s">
        <v>1825</v>
      </c>
      <c r="C141" s="1392" t="s">
        <v>1846</v>
      </c>
      <c r="D141" s="1392" t="s">
        <v>1847</v>
      </c>
      <c r="E141" s="4536" t="s">
        <v>1889</v>
      </c>
      <c r="F141" s="4538"/>
      <c r="G141" s="1391">
        <v>120953400</v>
      </c>
    </row>
    <row r="142" spans="1:7" x14ac:dyDescent="0.25">
      <c r="A142" s="1392" t="s">
        <v>2576</v>
      </c>
      <c r="B142" s="1392" t="s">
        <v>1825</v>
      </c>
      <c r="C142" s="1392" t="s">
        <v>1846</v>
      </c>
      <c r="D142" s="1392" t="s">
        <v>1847</v>
      </c>
      <c r="E142" s="1392" t="s">
        <v>1889</v>
      </c>
      <c r="F142" s="1392" t="s">
        <v>1890</v>
      </c>
      <c r="G142" s="1391">
        <v>77300000</v>
      </c>
    </row>
    <row r="143" spans="1:7" x14ac:dyDescent="0.25">
      <c r="A143" s="1392" t="s">
        <v>2576</v>
      </c>
      <c r="B143" s="1392" t="s">
        <v>1825</v>
      </c>
      <c r="C143" s="1392" t="s">
        <v>1846</v>
      </c>
      <c r="D143" s="1392" t="s">
        <v>1847</v>
      </c>
      <c r="E143" s="1392" t="s">
        <v>1889</v>
      </c>
      <c r="F143" s="1392" t="s">
        <v>1891</v>
      </c>
      <c r="G143" s="1391">
        <v>31000000</v>
      </c>
    </row>
    <row r="144" spans="1:7" x14ac:dyDescent="0.25">
      <c r="A144" s="1392" t="s">
        <v>2576</v>
      </c>
      <c r="B144" s="1392" t="s">
        <v>1825</v>
      </c>
      <c r="C144" s="1392" t="s">
        <v>1846</v>
      </c>
      <c r="D144" s="1392" t="s">
        <v>1847</v>
      </c>
      <c r="E144" s="1392" t="s">
        <v>1889</v>
      </c>
      <c r="F144" s="1392" t="s">
        <v>1922</v>
      </c>
      <c r="G144" s="1391">
        <v>12653400</v>
      </c>
    </row>
    <row r="145" spans="1:7" x14ac:dyDescent="0.25">
      <c r="A145" s="1392" t="s">
        <v>2576</v>
      </c>
      <c r="B145" s="1392" t="s">
        <v>1825</v>
      </c>
      <c r="C145" s="1392" t="s">
        <v>1846</v>
      </c>
      <c r="D145" s="1392" t="s">
        <v>1847</v>
      </c>
      <c r="E145" s="4536" t="s">
        <v>1893</v>
      </c>
      <c r="F145" s="4538"/>
      <c r="G145" s="1391">
        <v>40350000</v>
      </c>
    </row>
    <row r="146" spans="1:7" x14ac:dyDescent="0.25">
      <c r="A146" s="1392" t="s">
        <v>2576</v>
      </c>
      <c r="B146" s="1392" t="s">
        <v>1825</v>
      </c>
      <c r="C146" s="1392" t="s">
        <v>1846</v>
      </c>
      <c r="D146" s="1392" t="s">
        <v>1847</v>
      </c>
      <c r="E146" s="1392" t="s">
        <v>1893</v>
      </c>
      <c r="F146" s="1392" t="s">
        <v>1894</v>
      </c>
      <c r="G146" s="1391">
        <v>40350000</v>
      </c>
    </row>
    <row r="147" spans="1:7" x14ac:dyDescent="0.25">
      <c r="A147" s="1392" t="s">
        <v>2576</v>
      </c>
      <c r="B147" s="1392" t="s">
        <v>1825</v>
      </c>
      <c r="C147" s="1392" t="s">
        <v>1846</v>
      </c>
      <c r="D147" s="1392" t="s">
        <v>1847</v>
      </c>
      <c r="E147" s="4536" t="s">
        <v>1896</v>
      </c>
      <c r="F147" s="4538"/>
      <c r="G147" s="1391">
        <v>17517000</v>
      </c>
    </row>
    <row r="148" spans="1:7" x14ac:dyDescent="0.25">
      <c r="A148" s="1392" t="s">
        <v>2576</v>
      </c>
      <c r="B148" s="1392" t="s">
        <v>1825</v>
      </c>
      <c r="C148" s="1392" t="s">
        <v>1846</v>
      </c>
      <c r="D148" s="1392" t="s">
        <v>1847</v>
      </c>
      <c r="E148" s="1392" t="s">
        <v>1896</v>
      </c>
      <c r="F148" s="1392" t="s">
        <v>1900</v>
      </c>
      <c r="G148" s="1391">
        <v>15917000</v>
      </c>
    </row>
    <row r="149" spans="1:7" x14ac:dyDescent="0.25">
      <c r="A149" s="1392" t="s">
        <v>2576</v>
      </c>
      <c r="B149" s="1392" t="s">
        <v>1825</v>
      </c>
      <c r="C149" s="1392" t="s">
        <v>1846</v>
      </c>
      <c r="D149" s="1392" t="s">
        <v>1847</v>
      </c>
      <c r="E149" s="1392" t="s">
        <v>1896</v>
      </c>
      <c r="F149" s="1392" t="s">
        <v>1901</v>
      </c>
      <c r="G149" s="1391">
        <v>1600000</v>
      </c>
    </row>
    <row r="150" spans="1:7" x14ac:dyDescent="0.25">
      <c r="A150" s="1392" t="s">
        <v>2576</v>
      </c>
      <c r="B150" s="1392" t="s">
        <v>1825</v>
      </c>
      <c r="C150" s="1392" t="s">
        <v>1846</v>
      </c>
      <c r="D150" s="1392" t="s">
        <v>1847</v>
      </c>
      <c r="E150" s="4536" t="s">
        <v>1903</v>
      </c>
      <c r="F150" s="4538"/>
      <c r="G150" s="1391">
        <v>14960000</v>
      </c>
    </row>
    <row r="151" spans="1:7" x14ac:dyDescent="0.25">
      <c r="A151" s="1392" t="s">
        <v>2576</v>
      </c>
      <c r="B151" s="1392" t="s">
        <v>1825</v>
      </c>
      <c r="C151" s="1392" t="s">
        <v>1846</v>
      </c>
      <c r="D151" s="1392" t="s">
        <v>1847</v>
      </c>
      <c r="E151" s="1392" t="s">
        <v>1903</v>
      </c>
      <c r="F151" s="1392" t="s">
        <v>1904</v>
      </c>
      <c r="G151" s="1391">
        <v>14960000</v>
      </c>
    </row>
    <row r="152" spans="1:7" x14ac:dyDescent="0.25">
      <c r="A152" s="1392" t="s">
        <v>2576</v>
      </c>
      <c r="B152" s="1392" t="s">
        <v>1825</v>
      </c>
      <c r="C152" s="1392" t="s">
        <v>1846</v>
      </c>
      <c r="D152" s="1392" t="s">
        <v>1847</v>
      </c>
      <c r="E152" s="4536" t="s">
        <v>1906</v>
      </c>
      <c r="F152" s="4538"/>
      <c r="G152" s="1391">
        <v>1196000</v>
      </c>
    </row>
    <row r="153" spans="1:7" x14ac:dyDescent="0.25">
      <c r="A153" s="1392" t="s">
        <v>2576</v>
      </c>
      <c r="B153" s="1392" t="s">
        <v>1825</v>
      </c>
      <c r="C153" s="1392" t="s">
        <v>1846</v>
      </c>
      <c r="D153" s="1392" t="s">
        <v>1847</v>
      </c>
      <c r="E153" s="1392" t="s">
        <v>1906</v>
      </c>
      <c r="F153" s="1392" t="s">
        <v>1909</v>
      </c>
      <c r="G153" s="1391">
        <v>1196000</v>
      </c>
    </row>
    <row r="154" spans="1:7" x14ac:dyDescent="0.25">
      <c r="A154" s="1392" t="s">
        <v>2576</v>
      </c>
      <c r="B154" s="1392" t="s">
        <v>1825</v>
      </c>
      <c r="C154" s="1392" t="s">
        <v>1846</v>
      </c>
      <c r="D154" s="1392" t="s">
        <v>1847</v>
      </c>
      <c r="E154" s="4536" t="s">
        <v>1912</v>
      </c>
      <c r="F154" s="4538"/>
      <c r="G154" s="1391">
        <v>112788000</v>
      </c>
    </row>
    <row r="155" spans="1:7" x14ac:dyDescent="0.25">
      <c r="A155" s="1392" t="s">
        <v>2576</v>
      </c>
      <c r="B155" s="1392" t="s">
        <v>1825</v>
      </c>
      <c r="C155" s="1392" t="s">
        <v>1846</v>
      </c>
      <c r="D155" s="1392" t="s">
        <v>1847</v>
      </c>
      <c r="E155" s="1392" t="s">
        <v>1912</v>
      </c>
      <c r="F155" s="1392" t="s">
        <v>1915</v>
      </c>
      <c r="G155" s="1391">
        <v>23520000</v>
      </c>
    </row>
    <row r="156" spans="1:7" x14ac:dyDescent="0.25">
      <c r="A156" s="1392" t="s">
        <v>2576</v>
      </c>
      <c r="B156" s="1392" t="s">
        <v>1825</v>
      </c>
      <c r="C156" s="1392" t="s">
        <v>1846</v>
      </c>
      <c r="D156" s="1392" t="s">
        <v>1847</v>
      </c>
      <c r="E156" s="1392" t="s">
        <v>1912</v>
      </c>
      <c r="F156" s="1392" t="s">
        <v>1916</v>
      </c>
      <c r="G156" s="1391">
        <v>89268000</v>
      </c>
    </row>
    <row r="157" spans="1:7" x14ac:dyDescent="0.25">
      <c r="A157" s="1392" t="s">
        <v>2576</v>
      </c>
      <c r="B157" s="1392" t="s">
        <v>1825</v>
      </c>
      <c r="C157" s="1392" t="s">
        <v>1846</v>
      </c>
      <c r="D157" s="1392" t="s">
        <v>1847</v>
      </c>
      <c r="E157" s="4536" t="s">
        <v>1983</v>
      </c>
      <c r="F157" s="4538"/>
      <c r="G157" s="1391">
        <v>3600000</v>
      </c>
    </row>
    <row r="158" spans="1:7" x14ac:dyDescent="0.25">
      <c r="A158" s="1392" t="s">
        <v>2576</v>
      </c>
      <c r="B158" s="1392" t="s">
        <v>1825</v>
      </c>
      <c r="C158" s="1392" t="s">
        <v>1846</v>
      </c>
      <c r="D158" s="1392" t="s">
        <v>1847</v>
      </c>
      <c r="E158" s="1392" t="s">
        <v>1983</v>
      </c>
      <c r="F158" s="1392" t="s">
        <v>2240</v>
      </c>
      <c r="G158" s="1391">
        <v>3600000</v>
      </c>
    </row>
    <row r="159" spans="1:7" x14ac:dyDescent="0.25">
      <c r="A159" s="1392" t="s">
        <v>2576</v>
      </c>
      <c r="B159" s="4536" t="s">
        <v>1142</v>
      </c>
      <c r="C159" s="4537"/>
      <c r="D159" s="4537"/>
      <c r="E159" s="4537"/>
      <c r="F159" s="4538"/>
      <c r="G159" s="1391">
        <v>477978549</v>
      </c>
    </row>
    <row r="160" spans="1:7" x14ac:dyDescent="0.25">
      <c r="A160" s="1392" t="s">
        <v>2576</v>
      </c>
      <c r="B160" s="1392" t="s">
        <v>1142</v>
      </c>
      <c r="C160" s="4536" t="s">
        <v>1846</v>
      </c>
      <c r="D160" s="4537"/>
      <c r="E160" s="4537"/>
      <c r="F160" s="4538"/>
      <c r="G160" s="1391">
        <v>477978549</v>
      </c>
    </row>
    <row r="161" spans="1:7" x14ac:dyDescent="0.25">
      <c r="A161" s="1392" t="s">
        <v>2576</v>
      </c>
      <c r="B161" s="1392" t="s">
        <v>1142</v>
      </c>
      <c r="C161" s="1392" t="s">
        <v>1846</v>
      </c>
      <c r="D161" s="4536" t="s">
        <v>1847</v>
      </c>
      <c r="E161" s="4537"/>
      <c r="F161" s="4538"/>
      <c r="G161" s="1391">
        <v>477978549</v>
      </c>
    </row>
    <row r="162" spans="1:7" x14ac:dyDescent="0.25">
      <c r="A162" s="1392" t="s">
        <v>2576</v>
      </c>
      <c r="B162" s="1392" t="s">
        <v>1142</v>
      </c>
      <c r="C162" s="1392" t="s">
        <v>1846</v>
      </c>
      <c r="D162" s="1392" t="s">
        <v>1847</v>
      </c>
      <c r="E162" s="4536" t="s">
        <v>1848</v>
      </c>
      <c r="F162" s="4538"/>
      <c r="G162" s="1391">
        <v>141341400</v>
      </c>
    </row>
    <row r="163" spans="1:7" x14ac:dyDescent="0.25">
      <c r="A163" s="1392" t="s">
        <v>2576</v>
      </c>
      <c r="B163" s="1392" t="s">
        <v>1142</v>
      </c>
      <c r="C163" s="1392" t="s">
        <v>1846</v>
      </c>
      <c r="D163" s="1392" t="s">
        <v>1847</v>
      </c>
      <c r="E163" s="1392" t="s">
        <v>1848</v>
      </c>
      <c r="F163" s="1392" t="s">
        <v>1849</v>
      </c>
      <c r="G163" s="1391">
        <v>141341400</v>
      </c>
    </row>
    <row r="164" spans="1:7" x14ac:dyDescent="0.25">
      <c r="A164" s="1392" t="s">
        <v>2576</v>
      </c>
      <c r="B164" s="1392" t="s">
        <v>1142</v>
      </c>
      <c r="C164" s="1392" t="s">
        <v>1846</v>
      </c>
      <c r="D164" s="1392" t="s">
        <v>1847</v>
      </c>
      <c r="E164" s="4536" t="s">
        <v>1853</v>
      </c>
      <c r="F164" s="4538"/>
      <c r="G164" s="1391">
        <v>77886445</v>
      </c>
    </row>
    <row r="165" spans="1:7" x14ac:dyDescent="0.25">
      <c r="A165" s="1392" t="s">
        <v>2576</v>
      </c>
      <c r="B165" s="1392" t="s">
        <v>1142</v>
      </c>
      <c r="C165" s="1392" t="s">
        <v>1846</v>
      </c>
      <c r="D165" s="1392" t="s">
        <v>1847</v>
      </c>
      <c r="E165" s="1392" t="s">
        <v>1853</v>
      </c>
      <c r="F165" s="1392" t="s">
        <v>1854</v>
      </c>
      <c r="G165" s="1391">
        <v>6258000</v>
      </c>
    </row>
    <row r="166" spans="1:7" x14ac:dyDescent="0.25">
      <c r="A166" s="1392" t="s">
        <v>2576</v>
      </c>
      <c r="B166" s="1392" t="s">
        <v>1142</v>
      </c>
      <c r="C166" s="1392" t="s">
        <v>1846</v>
      </c>
      <c r="D166" s="1392" t="s">
        <v>1847</v>
      </c>
      <c r="E166" s="1392" t="s">
        <v>1853</v>
      </c>
      <c r="F166" s="1392" t="s">
        <v>1855</v>
      </c>
      <c r="G166" s="1391">
        <v>20115000</v>
      </c>
    </row>
    <row r="167" spans="1:7" x14ac:dyDescent="0.25">
      <c r="A167" s="1392" t="s">
        <v>2576</v>
      </c>
      <c r="B167" s="1392" t="s">
        <v>1142</v>
      </c>
      <c r="C167" s="1392" t="s">
        <v>1846</v>
      </c>
      <c r="D167" s="1392" t="s">
        <v>1847</v>
      </c>
      <c r="E167" s="1392" t="s">
        <v>1853</v>
      </c>
      <c r="F167" s="1392" t="s">
        <v>1856</v>
      </c>
      <c r="G167" s="1391">
        <v>12201251</v>
      </c>
    </row>
    <row r="168" spans="1:7" x14ac:dyDescent="0.25">
      <c r="A168" s="1392" t="s">
        <v>2576</v>
      </c>
      <c r="B168" s="1392" t="s">
        <v>1142</v>
      </c>
      <c r="C168" s="1392" t="s">
        <v>1846</v>
      </c>
      <c r="D168" s="1392" t="s">
        <v>1847</v>
      </c>
      <c r="E168" s="1392" t="s">
        <v>1853</v>
      </c>
      <c r="F168" s="1392" t="s">
        <v>1929</v>
      </c>
      <c r="G168" s="1391">
        <v>1928243</v>
      </c>
    </row>
    <row r="169" spans="1:7" x14ac:dyDescent="0.25">
      <c r="A169" s="1392" t="s">
        <v>2576</v>
      </c>
      <c r="B169" s="1392" t="s">
        <v>1142</v>
      </c>
      <c r="C169" s="1392" t="s">
        <v>1846</v>
      </c>
      <c r="D169" s="1392" t="s">
        <v>1847</v>
      </c>
      <c r="E169" s="1392" t="s">
        <v>1853</v>
      </c>
      <c r="F169" s="1392" t="s">
        <v>1859</v>
      </c>
      <c r="G169" s="1391">
        <v>37383951</v>
      </c>
    </row>
    <row r="170" spans="1:7" x14ac:dyDescent="0.25">
      <c r="A170" s="1392" t="s">
        <v>2576</v>
      </c>
      <c r="B170" s="1392" t="s">
        <v>1142</v>
      </c>
      <c r="C170" s="1392" t="s">
        <v>1846</v>
      </c>
      <c r="D170" s="1392" t="s">
        <v>1847</v>
      </c>
      <c r="E170" s="4536" t="s">
        <v>1860</v>
      </c>
      <c r="F170" s="4538"/>
      <c r="G170" s="1391">
        <v>2550000</v>
      </c>
    </row>
    <row r="171" spans="1:7" x14ac:dyDescent="0.25">
      <c r="A171" s="1392" t="s">
        <v>2576</v>
      </c>
      <c r="B171" s="1392" t="s">
        <v>1142</v>
      </c>
      <c r="C171" s="1392" t="s">
        <v>1846</v>
      </c>
      <c r="D171" s="1392" t="s">
        <v>1847</v>
      </c>
      <c r="E171" s="1392" t="s">
        <v>1860</v>
      </c>
      <c r="F171" s="1392" t="s">
        <v>1861</v>
      </c>
      <c r="G171" s="1391">
        <v>2550000</v>
      </c>
    </row>
    <row r="172" spans="1:7" x14ac:dyDescent="0.25">
      <c r="A172" s="1392" t="s">
        <v>2576</v>
      </c>
      <c r="B172" s="1392" t="s">
        <v>1142</v>
      </c>
      <c r="C172" s="1392" t="s">
        <v>1846</v>
      </c>
      <c r="D172" s="1392" t="s">
        <v>1847</v>
      </c>
      <c r="E172" s="4536" t="s">
        <v>1862</v>
      </c>
      <c r="F172" s="4538"/>
      <c r="G172" s="1391">
        <v>33747854</v>
      </c>
    </row>
    <row r="173" spans="1:7" x14ac:dyDescent="0.25">
      <c r="A173" s="1392" t="s">
        <v>2576</v>
      </c>
      <c r="B173" s="1392" t="s">
        <v>1142</v>
      </c>
      <c r="C173" s="1392" t="s">
        <v>1846</v>
      </c>
      <c r="D173" s="1392" t="s">
        <v>1847</v>
      </c>
      <c r="E173" s="1392" t="s">
        <v>1862</v>
      </c>
      <c r="F173" s="1392" t="s">
        <v>1863</v>
      </c>
      <c r="G173" s="1391">
        <v>26165658</v>
      </c>
    </row>
    <row r="174" spans="1:7" x14ac:dyDescent="0.25">
      <c r="A174" s="1392" t="s">
        <v>2576</v>
      </c>
      <c r="B174" s="1392" t="s">
        <v>1142</v>
      </c>
      <c r="C174" s="1392" t="s">
        <v>1846</v>
      </c>
      <c r="D174" s="1392" t="s">
        <v>1847</v>
      </c>
      <c r="E174" s="1392" t="s">
        <v>1862</v>
      </c>
      <c r="F174" s="1392" t="s">
        <v>1864</v>
      </c>
      <c r="G174" s="1391">
        <v>4485541</v>
      </c>
    </row>
    <row r="175" spans="1:7" x14ac:dyDescent="0.25">
      <c r="A175" s="1392" t="s">
        <v>2576</v>
      </c>
      <c r="B175" s="1392" t="s">
        <v>1142</v>
      </c>
      <c r="C175" s="1392" t="s">
        <v>1846</v>
      </c>
      <c r="D175" s="1392" t="s">
        <v>1847</v>
      </c>
      <c r="E175" s="1392" t="s">
        <v>1862</v>
      </c>
      <c r="F175" s="1392" t="s">
        <v>1865</v>
      </c>
      <c r="G175" s="1391">
        <v>3096655</v>
      </c>
    </row>
    <row r="176" spans="1:7" x14ac:dyDescent="0.25">
      <c r="A176" s="1392" t="s">
        <v>2576</v>
      </c>
      <c r="B176" s="1392" t="s">
        <v>1142</v>
      </c>
      <c r="C176" s="1392" t="s">
        <v>1846</v>
      </c>
      <c r="D176" s="1392" t="s">
        <v>1847</v>
      </c>
      <c r="E176" s="4536" t="s">
        <v>1867</v>
      </c>
      <c r="F176" s="4538"/>
      <c r="G176" s="1391">
        <v>135064414</v>
      </c>
    </row>
    <row r="177" spans="1:7" x14ac:dyDescent="0.25">
      <c r="A177" s="1392" t="s">
        <v>2576</v>
      </c>
      <c r="B177" s="1392" t="s">
        <v>1142</v>
      </c>
      <c r="C177" s="1392" t="s">
        <v>1846</v>
      </c>
      <c r="D177" s="1392" t="s">
        <v>1847</v>
      </c>
      <c r="E177" s="1392" t="s">
        <v>1867</v>
      </c>
      <c r="F177" s="1392" t="s">
        <v>1868</v>
      </c>
      <c r="G177" s="1391">
        <v>135064414</v>
      </c>
    </row>
    <row r="178" spans="1:7" x14ac:dyDescent="0.25">
      <c r="A178" s="1392" t="s">
        <v>2576</v>
      </c>
      <c r="B178" s="1392" t="s">
        <v>1142</v>
      </c>
      <c r="C178" s="1392" t="s">
        <v>1846</v>
      </c>
      <c r="D178" s="1392" t="s">
        <v>1847</v>
      </c>
      <c r="E178" s="4536" t="s">
        <v>1869</v>
      </c>
      <c r="F178" s="4538"/>
      <c r="G178" s="1391">
        <v>2760000</v>
      </c>
    </row>
    <row r="179" spans="1:7" x14ac:dyDescent="0.25">
      <c r="A179" s="1392" t="s">
        <v>2576</v>
      </c>
      <c r="B179" s="1392" t="s">
        <v>1142</v>
      </c>
      <c r="C179" s="1392" t="s">
        <v>1846</v>
      </c>
      <c r="D179" s="1392" t="s">
        <v>1847</v>
      </c>
      <c r="E179" s="1392" t="s">
        <v>1869</v>
      </c>
      <c r="F179" s="1392" t="s">
        <v>1872</v>
      </c>
      <c r="G179" s="1391">
        <v>2040000</v>
      </c>
    </row>
    <row r="180" spans="1:7" x14ac:dyDescent="0.25">
      <c r="A180" s="1392" t="s">
        <v>2576</v>
      </c>
      <c r="B180" s="1392" t="s">
        <v>1142</v>
      </c>
      <c r="C180" s="1392" t="s">
        <v>1846</v>
      </c>
      <c r="D180" s="1392" t="s">
        <v>1847</v>
      </c>
      <c r="E180" s="1392" t="s">
        <v>1869</v>
      </c>
      <c r="F180" s="1392" t="s">
        <v>1873</v>
      </c>
      <c r="G180" s="1391">
        <v>720000</v>
      </c>
    </row>
    <row r="181" spans="1:7" x14ac:dyDescent="0.25">
      <c r="A181" s="1392" t="s">
        <v>2576</v>
      </c>
      <c r="B181" s="1392" t="s">
        <v>1142</v>
      </c>
      <c r="C181" s="1392" t="s">
        <v>1846</v>
      </c>
      <c r="D181" s="1392" t="s">
        <v>1847</v>
      </c>
      <c r="E181" s="4536" t="s">
        <v>1874</v>
      </c>
      <c r="F181" s="4538"/>
      <c r="G181" s="1391">
        <v>3355000</v>
      </c>
    </row>
    <row r="182" spans="1:7" x14ac:dyDescent="0.25">
      <c r="A182" s="1392" t="s">
        <v>2576</v>
      </c>
      <c r="B182" s="1392" t="s">
        <v>1142</v>
      </c>
      <c r="C182" s="1392" t="s">
        <v>1846</v>
      </c>
      <c r="D182" s="1392" t="s">
        <v>1847</v>
      </c>
      <c r="E182" s="1392" t="s">
        <v>1874</v>
      </c>
      <c r="F182" s="1392" t="s">
        <v>1875</v>
      </c>
      <c r="G182" s="1391">
        <v>2998000</v>
      </c>
    </row>
    <row r="183" spans="1:7" x14ac:dyDescent="0.25">
      <c r="A183" s="1392" t="s">
        <v>2576</v>
      </c>
      <c r="B183" s="1392" t="s">
        <v>1142</v>
      </c>
      <c r="C183" s="1392" t="s">
        <v>1846</v>
      </c>
      <c r="D183" s="1392" t="s">
        <v>1847</v>
      </c>
      <c r="E183" s="1392" t="s">
        <v>1874</v>
      </c>
      <c r="F183" s="1392" t="s">
        <v>1877</v>
      </c>
      <c r="G183" s="1391">
        <v>357000</v>
      </c>
    </row>
    <row r="184" spans="1:7" x14ac:dyDescent="0.25">
      <c r="A184" s="1392" t="s">
        <v>2576</v>
      </c>
      <c r="B184" s="1392" t="s">
        <v>1142</v>
      </c>
      <c r="C184" s="1392" t="s">
        <v>1846</v>
      </c>
      <c r="D184" s="1392" t="s">
        <v>1847</v>
      </c>
      <c r="E184" s="4536" t="s">
        <v>1878</v>
      </c>
      <c r="F184" s="4538"/>
      <c r="G184" s="1391">
        <v>6549436</v>
      </c>
    </row>
    <row r="185" spans="1:7" x14ac:dyDescent="0.25">
      <c r="A185" s="1392" t="s">
        <v>2576</v>
      </c>
      <c r="B185" s="1392" t="s">
        <v>1142</v>
      </c>
      <c r="C185" s="1392" t="s">
        <v>1846</v>
      </c>
      <c r="D185" s="1392" t="s">
        <v>1847</v>
      </c>
      <c r="E185" s="1392" t="s">
        <v>1878</v>
      </c>
      <c r="F185" s="1392" t="s">
        <v>1879</v>
      </c>
      <c r="G185" s="1391">
        <v>4049436</v>
      </c>
    </row>
    <row r="186" spans="1:7" x14ac:dyDescent="0.25">
      <c r="A186" s="1392" t="s">
        <v>2576</v>
      </c>
      <c r="B186" s="1392" t="s">
        <v>1142</v>
      </c>
      <c r="C186" s="1392" t="s">
        <v>1846</v>
      </c>
      <c r="D186" s="1392" t="s">
        <v>1847</v>
      </c>
      <c r="E186" s="1392" t="s">
        <v>1878</v>
      </c>
      <c r="F186" s="1392" t="s">
        <v>1882</v>
      </c>
      <c r="G186" s="1391">
        <v>2500000</v>
      </c>
    </row>
    <row r="187" spans="1:7" x14ac:dyDescent="0.25">
      <c r="A187" s="1392" t="s">
        <v>2576</v>
      </c>
      <c r="B187" s="1392" t="s">
        <v>1142</v>
      </c>
      <c r="C187" s="1392" t="s">
        <v>1846</v>
      </c>
      <c r="D187" s="1392" t="s">
        <v>1847</v>
      </c>
      <c r="E187" s="4536" t="s">
        <v>1885</v>
      </c>
      <c r="F187" s="4538"/>
      <c r="G187" s="1391">
        <v>34450000</v>
      </c>
    </row>
    <row r="188" spans="1:7" x14ac:dyDescent="0.25">
      <c r="A188" s="1392" t="s">
        <v>2576</v>
      </c>
      <c r="B188" s="1392" t="s">
        <v>1142</v>
      </c>
      <c r="C188" s="1392" t="s">
        <v>1846</v>
      </c>
      <c r="D188" s="1392" t="s">
        <v>1847</v>
      </c>
      <c r="E188" s="1392" t="s">
        <v>1885</v>
      </c>
      <c r="F188" s="1392" t="s">
        <v>1925</v>
      </c>
      <c r="G188" s="1391">
        <v>8000000</v>
      </c>
    </row>
    <row r="189" spans="1:7" x14ac:dyDescent="0.25">
      <c r="A189" s="1392" t="s">
        <v>2576</v>
      </c>
      <c r="B189" s="1392" t="s">
        <v>1142</v>
      </c>
      <c r="C189" s="1392" t="s">
        <v>1846</v>
      </c>
      <c r="D189" s="1392" t="s">
        <v>1847</v>
      </c>
      <c r="E189" s="1392" t="s">
        <v>1885</v>
      </c>
      <c r="F189" s="1392" t="s">
        <v>1886</v>
      </c>
      <c r="G189" s="1391">
        <v>4000000</v>
      </c>
    </row>
    <row r="190" spans="1:7" x14ac:dyDescent="0.25">
      <c r="A190" s="1392" t="s">
        <v>2576</v>
      </c>
      <c r="B190" s="1392" t="s">
        <v>1142</v>
      </c>
      <c r="C190" s="1392" t="s">
        <v>1846</v>
      </c>
      <c r="D190" s="1392" t="s">
        <v>1847</v>
      </c>
      <c r="E190" s="1392" t="s">
        <v>1885</v>
      </c>
      <c r="F190" s="1392" t="s">
        <v>1887</v>
      </c>
      <c r="G190" s="1391">
        <v>14650000</v>
      </c>
    </row>
    <row r="191" spans="1:7" x14ac:dyDescent="0.25">
      <c r="A191" s="1392" t="s">
        <v>2576</v>
      </c>
      <c r="B191" s="1392" t="s">
        <v>1142</v>
      </c>
      <c r="C191" s="1392" t="s">
        <v>1846</v>
      </c>
      <c r="D191" s="1392" t="s">
        <v>1847</v>
      </c>
      <c r="E191" s="1392" t="s">
        <v>1885</v>
      </c>
      <c r="F191" s="1392" t="s">
        <v>1888</v>
      </c>
      <c r="G191" s="1391">
        <v>7800000</v>
      </c>
    </row>
    <row r="192" spans="1:7" x14ac:dyDescent="0.25">
      <c r="A192" s="1392" t="s">
        <v>2576</v>
      </c>
      <c r="B192" s="1392" t="s">
        <v>1142</v>
      </c>
      <c r="C192" s="1392" t="s">
        <v>1846</v>
      </c>
      <c r="D192" s="1392" t="s">
        <v>1847</v>
      </c>
      <c r="E192" s="4536" t="s">
        <v>1889</v>
      </c>
      <c r="F192" s="4538"/>
      <c r="G192" s="1391">
        <v>18410000</v>
      </c>
    </row>
    <row r="193" spans="1:7" x14ac:dyDescent="0.25">
      <c r="A193" s="1392" t="s">
        <v>2576</v>
      </c>
      <c r="B193" s="1392" t="s">
        <v>1142</v>
      </c>
      <c r="C193" s="1392" t="s">
        <v>1846</v>
      </c>
      <c r="D193" s="1392" t="s">
        <v>1847</v>
      </c>
      <c r="E193" s="1392" t="s">
        <v>1889</v>
      </c>
      <c r="F193" s="1392" t="s">
        <v>1890</v>
      </c>
      <c r="G193" s="1391">
        <v>4610000</v>
      </c>
    </row>
    <row r="194" spans="1:7" x14ac:dyDescent="0.25">
      <c r="A194" s="1392" t="s">
        <v>2576</v>
      </c>
      <c r="B194" s="1392" t="s">
        <v>1142</v>
      </c>
      <c r="C194" s="1392" t="s">
        <v>1846</v>
      </c>
      <c r="D194" s="1392" t="s">
        <v>1847</v>
      </c>
      <c r="E194" s="1392" t="s">
        <v>1889</v>
      </c>
      <c r="F194" s="1392" t="s">
        <v>1891</v>
      </c>
      <c r="G194" s="1391">
        <v>1050000</v>
      </c>
    </row>
    <row r="195" spans="1:7" x14ac:dyDescent="0.25">
      <c r="A195" s="1392" t="s">
        <v>2576</v>
      </c>
      <c r="B195" s="1392" t="s">
        <v>1142</v>
      </c>
      <c r="C195" s="1392" t="s">
        <v>1846</v>
      </c>
      <c r="D195" s="1392" t="s">
        <v>1847</v>
      </c>
      <c r="E195" s="1392" t="s">
        <v>1889</v>
      </c>
      <c r="F195" s="1392" t="s">
        <v>1892</v>
      </c>
      <c r="G195" s="1391">
        <v>12250000</v>
      </c>
    </row>
    <row r="196" spans="1:7" x14ac:dyDescent="0.25">
      <c r="A196" s="1392" t="s">
        <v>2576</v>
      </c>
      <c r="B196" s="1392" t="s">
        <v>1142</v>
      </c>
      <c r="C196" s="1392" t="s">
        <v>1846</v>
      </c>
      <c r="D196" s="1392" t="s">
        <v>1847</v>
      </c>
      <c r="E196" s="1392" t="s">
        <v>1889</v>
      </c>
      <c r="F196" s="1392" t="s">
        <v>1922</v>
      </c>
      <c r="G196" s="1391">
        <v>500000</v>
      </c>
    </row>
    <row r="197" spans="1:7" x14ac:dyDescent="0.25">
      <c r="A197" s="1392" t="s">
        <v>2576</v>
      </c>
      <c r="B197" s="1392" t="s">
        <v>1142</v>
      </c>
      <c r="C197" s="1392" t="s">
        <v>1846</v>
      </c>
      <c r="D197" s="1392" t="s">
        <v>1847</v>
      </c>
      <c r="E197" s="4536" t="s">
        <v>1896</v>
      </c>
      <c r="F197" s="4538"/>
      <c r="G197" s="1391">
        <v>299000</v>
      </c>
    </row>
    <row r="198" spans="1:7" x14ac:dyDescent="0.25">
      <c r="A198" s="1392" t="s">
        <v>2576</v>
      </c>
      <c r="B198" s="1392" t="s">
        <v>1142</v>
      </c>
      <c r="C198" s="1392" t="s">
        <v>1846</v>
      </c>
      <c r="D198" s="1392" t="s">
        <v>1847</v>
      </c>
      <c r="E198" s="1392" t="s">
        <v>1896</v>
      </c>
      <c r="F198" s="1392" t="s">
        <v>1900</v>
      </c>
      <c r="G198" s="1391">
        <v>299000</v>
      </c>
    </row>
    <row r="199" spans="1:7" x14ac:dyDescent="0.25">
      <c r="A199" s="1392" t="s">
        <v>2576</v>
      </c>
      <c r="B199" s="1392" t="s">
        <v>1142</v>
      </c>
      <c r="C199" s="1392" t="s">
        <v>1846</v>
      </c>
      <c r="D199" s="1392" t="s">
        <v>1847</v>
      </c>
      <c r="E199" s="4536" t="s">
        <v>1906</v>
      </c>
      <c r="F199" s="4538"/>
      <c r="G199" s="1391">
        <v>750000</v>
      </c>
    </row>
    <row r="200" spans="1:7" x14ac:dyDescent="0.25">
      <c r="A200" s="1392" t="s">
        <v>2576</v>
      </c>
      <c r="B200" s="1392" t="s">
        <v>1142</v>
      </c>
      <c r="C200" s="1392" t="s">
        <v>1846</v>
      </c>
      <c r="D200" s="1392" t="s">
        <v>1847</v>
      </c>
      <c r="E200" s="1392" t="s">
        <v>1906</v>
      </c>
      <c r="F200" s="1392" t="s">
        <v>1909</v>
      </c>
      <c r="G200" s="1391">
        <v>750000</v>
      </c>
    </row>
    <row r="201" spans="1:7" x14ac:dyDescent="0.25">
      <c r="A201" s="1392" t="s">
        <v>2576</v>
      </c>
      <c r="B201" s="1392" t="s">
        <v>1142</v>
      </c>
      <c r="C201" s="1392" t="s">
        <v>1846</v>
      </c>
      <c r="D201" s="1392" t="s">
        <v>1847</v>
      </c>
      <c r="E201" s="4536" t="s">
        <v>1912</v>
      </c>
      <c r="F201" s="4538"/>
      <c r="G201" s="1391">
        <v>20815000</v>
      </c>
    </row>
    <row r="202" spans="1:7" x14ac:dyDescent="0.25">
      <c r="A202" s="1392" t="s">
        <v>2576</v>
      </c>
      <c r="B202" s="1392" t="s">
        <v>1142</v>
      </c>
      <c r="C202" s="1392" t="s">
        <v>1846</v>
      </c>
      <c r="D202" s="1392" t="s">
        <v>1847</v>
      </c>
      <c r="E202" s="1392" t="s">
        <v>1912</v>
      </c>
      <c r="F202" s="1392" t="s">
        <v>1915</v>
      </c>
      <c r="G202" s="1391">
        <v>9650000</v>
      </c>
    </row>
    <row r="203" spans="1:7" x14ac:dyDescent="0.25">
      <c r="A203" s="1392" t="s">
        <v>2576</v>
      </c>
      <c r="B203" s="1392" t="s">
        <v>1142</v>
      </c>
      <c r="C203" s="1392" t="s">
        <v>1846</v>
      </c>
      <c r="D203" s="1392" t="s">
        <v>1847</v>
      </c>
      <c r="E203" s="1392" t="s">
        <v>1912</v>
      </c>
      <c r="F203" s="1392" t="s">
        <v>1916</v>
      </c>
      <c r="G203" s="1391">
        <v>11165000</v>
      </c>
    </row>
    <row r="204" spans="1:7" x14ac:dyDescent="0.25">
      <c r="A204" s="1392" t="s">
        <v>2576</v>
      </c>
      <c r="B204" s="4536" t="s">
        <v>1146</v>
      </c>
      <c r="C204" s="4537"/>
      <c r="D204" s="4537"/>
      <c r="E204" s="4537"/>
      <c r="F204" s="4538"/>
      <c r="G204" s="1391">
        <v>1064451046</v>
      </c>
    </row>
    <row r="205" spans="1:7" x14ac:dyDescent="0.25">
      <c r="A205" s="1392" t="s">
        <v>2576</v>
      </c>
      <c r="B205" s="1392" t="s">
        <v>1146</v>
      </c>
      <c r="C205" s="4536" t="s">
        <v>1846</v>
      </c>
      <c r="D205" s="4537"/>
      <c r="E205" s="4537"/>
      <c r="F205" s="4538"/>
      <c r="G205" s="1391">
        <v>1064451046</v>
      </c>
    </row>
    <row r="206" spans="1:7" x14ac:dyDescent="0.25">
      <c r="A206" s="1392" t="s">
        <v>2576</v>
      </c>
      <c r="B206" s="1392" t="s">
        <v>1146</v>
      </c>
      <c r="C206" s="1392" t="s">
        <v>1846</v>
      </c>
      <c r="D206" s="4536" t="s">
        <v>1847</v>
      </c>
      <c r="E206" s="4537"/>
      <c r="F206" s="4538"/>
      <c r="G206" s="1391">
        <v>1064451046</v>
      </c>
    </row>
    <row r="207" spans="1:7" x14ac:dyDescent="0.25">
      <c r="A207" s="1392" t="s">
        <v>2576</v>
      </c>
      <c r="B207" s="1392" t="s">
        <v>1146</v>
      </c>
      <c r="C207" s="1392" t="s">
        <v>1846</v>
      </c>
      <c r="D207" s="1392" t="s">
        <v>1847</v>
      </c>
      <c r="E207" s="4536" t="s">
        <v>1848</v>
      </c>
      <c r="F207" s="4538"/>
      <c r="G207" s="1391">
        <v>409541400</v>
      </c>
    </row>
    <row r="208" spans="1:7" x14ac:dyDescent="0.25">
      <c r="A208" s="1392" t="s">
        <v>2576</v>
      </c>
      <c r="B208" s="1392" t="s">
        <v>1146</v>
      </c>
      <c r="C208" s="1392" t="s">
        <v>1846</v>
      </c>
      <c r="D208" s="1392" t="s">
        <v>1847</v>
      </c>
      <c r="E208" s="1392" t="s">
        <v>1848</v>
      </c>
      <c r="F208" s="1392" t="s">
        <v>1849</v>
      </c>
      <c r="G208" s="1391">
        <v>409541400</v>
      </c>
    </row>
    <row r="209" spans="1:7" x14ac:dyDescent="0.25">
      <c r="A209" s="1392" t="s">
        <v>2576</v>
      </c>
      <c r="B209" s="1392" t="s">
        <v>1146</v>
      </c>
      <c r="C209" s="1392" t="s">
        <v>1846</v>
      </c>
      <c r="D209" s="1392" t="s">
        <v>1847</v>
      </c>
      <c r="E209" s="4536" t="s">
        <v>1853</v>
      </c>
      <c r="F209" s="4538"/>
      <c r="G209" s="1391">
        <v>293624702</v>
      </c>
    </row>
    <row r="210" spans="1:7" x14ac:dyDescent="0.25">
      <c r="A210" s="1392" t="s">
        <v>2576</v>
      </c>
      <c r="B210" s="1392" t="s">
        <v>1146</v>
      </c>
      <c r="C210" s="1392" t="s">
        <v>1846</v>
      </c>
      <c r="D210" s="1392" t="s">
        <v>1847</v>
      </c>
      <c r="E210" s="1392" t="s">
        <v>1853</v>
      </c>
      <c r="F210" s="1392" t="s">
        <v>1854</v>
      </c>
      <c r="G210" s="1391">
        <v>8940000</v>
      </c>
    </row>
    <row r="211" spans="1:7" x14ac:dyDescent="0.25">
      <c r="A211" s="1392" t="s">
        <v>2576</v>
      </c>
      <c r="B211" s="1392" t="s">
        <v>1146</v>
      </c>
      <c r="C211" s="1392" t="s">
        <v>1846</v>
      </c>
      <c r="D211" s="1392" t="s">
        <v>1847</v>
      </c>
      <c r="E211" s="1392" t="s">
        <v>1853</v>
      </c>
      <c r="F211" s="1392" t="s">
        <v>1855</v>
      </c>
      <c r="G211" s="1391">
        <v>54385000</v>
      </c>
    </row>
    <row r="212" spans="1:7" x14ac:dyDescent="0.25">
      <c r="A212" s="1392" t="s">
        <v>2576</v>
      </c>
      <c r="B212" s="1392" t="s">
        <v>1146</v>
      </c>
      <c r="C212" s="1392" t="s">
        <v>1846</v>
      </c>
      <c r="D212" s="1392" t="s">
        <v>1847</v>
      </c>
      <c r="E212" s="1392" t="s">
        <v>1853</v>
      </c>
      <c r="F212" s="1392" t="s">
        <v>1856</v>
      </c>
      <c r="G212" s="1391">
        <v>122103352</v>
      </c>
    </row>
    <row r="213" spans="1:7" x14ac:dyDescent="0.25">
      <c r="A213" s="1392" t="s">
        <v>2576</v>
      </c>
      <c r="B213" s="1392" t="s">
        <v>1146</v>
      </c>
      <c r="C213" s="1392" t="s">
        <v>1846</v>
      </c>
      <c r="D213" s="1392" t="s">
        <v>1847</v>
      </c>
      <c r="E213" s="1392" t="s">
        <v>1853</v>
      </c>
      <c r="F213" s="1392" t="s">
        <v>1858</v>
      </c>
      <c r="G213" s="1391">
        <v>3576000</v>
      </c>
    </row>
    <row r="214" spans="1:7" x14ac:dyDescent="0.25">
      <c r="A214" s="1392" t="s">
        <v>2576</v>
      </c>
      <c r="B214" s="1392" t="s">
        <v>1146</v>
      </c>
      <c r="C214" s="1392" t="s">
        <v>1846</v>
      </c>
      <c r="D214" s="1392" t="s">
        <v>1847</v>
      </c>
      <c r="E214" s="1392" t="s">
        <v>1853</v>
      </c>
      <c r="F214" s="1392" t="s">
        <v>1859</v>
      </c>
      <c r="G214" s="1391">
        <v>104620350</v>
      </c>
    </row>
    <row r="215" spans="1:7" x14ac:dyDescent="0.25">
      <c r="A215" s="1392" t="s">
        <v>2576</v>
      </c>
      <c r="B215" s="1392" t="s">
        <v>1146</v>
      </c>
      <c r="C215" s="1392" t="s">
        <v>1846</v>
      </c>
      <c r="D215" s="1392" t="s">
        <v>1847</v>
      </c>
      <c r="E215" s="4536" t="s">
        <v>1940</v>
      </c>
      <c r="F215" s="4538"/>
      <c r="G215" s="1391">
        <v>1844000</v>
      </c>
    </row>
    <row r="216" spans="1:7" x14ac:dyDescent="0.25">
      <c r="A216" s="1392" t="s">
        <v>2576</v>
      </c>
      <c r="B216" s="1392" t="s">
        <v>1146</v>
      </c>
      <c r="C216" s="1392" t="s">
        <v>1846</v>
      </c>
      <c r="D216" s="1392" t="s">
        <v>1847</v>
      </c>
      <c r="E216" s="1392" t="s">
        <v>1940</v>
      </c>
      <c r="F216" s="1392" t="s">
        <v>1967</v>
      </c>
      <c r="G216" s="1391">
        <v>1844000</v>
      </c>
    </row>
    <row r="217" spans="1:7" x14ac:dyDescent="0.25">
      <c r="A217" s="1392" t="s">
        <v>2576</v>
      </c>
      <c r="B217" s="1392" t="s">
        <v>1146</v>
      </c>
      <c r="C217" s="1392" t="s">
        <v>1846</v>
      </c>
      <c r="D217" s="1392" t="s">
        <v>1847</v>
      </c>
      <c r="E217" s="4536" t="s">
        <v>1860</v>
      </c>
      <c r="F217" s="4538"/>
      <c r="G217" s="1391">
        <v>3900000</v>
      </c>
    </row>
    <row r="218" spans="1:7" x14ac:dyDescent="0.25">
      <c r="A218" s="1392" t="s">
        <v>2576</v>
      </c>
      <c r="B218" s="1392" t="s">
        <v>1146</v>
      </c>
      <c r="C218" s="1392" t="s">
        <v>1846</v>
      </c>
      <c r="D218" s="1392" t="s">
        <v>1847</v>
      </c>
      <c r="E218" s="1392" t="s">
        <v>1860</v>
      </c>
      <c r="F218" s="1392" t="s">
        <v>1930</v>
      </c>
      <c r="G218" s="1391">
        <v>3900000</v>
      </c>
    </row>
    <row r="219" spans="1:7" x14ac:dyDescent="0.25">
      <c r="A219" s="1392" t="s">
        <v>2576</v>
      </c>
      <c r="B219" s="1392" t="s">
        <v>1146</v>
      </c>
      <c r="C219" s="1392" t="s">
        <v>1846</v>
      </c>
      <c r="D219" s="1392" t="s">
        <v>1847</v>
      </c>
      <c r="E219" s="4536" t="s">
        <v>1862</v>
      </c>
      <c r="F219" s="4538"/>
      <c r="G219" s="1391">
        <v>94209752</v>
      </c>
    </row>
    <row r="220" spans="1:7" x14ac:dyDescent="0.25">
      <c r="A220" s="1392" t="s">
        <v>2576</v>
      </c>
      <c r="B220" s="1392" t="s">
        <v>1146</v>
      </c>
      <c r="C220" s="1392" t="s">
        <v>1846</v>
      </c>
      <c r="D220" s="1392" t="s">
        <v>1847</v>
      </c>
      <c r="E220" s="1392" t="s">
        <v>1862</v>
      </c>
      <c r="F220" s="1392" t="s">
        <v>1863</v>
      </c>
      <c r="G220" s="1391">
        <v>73285682</v>
      </c>
    </row>
    <row r="221" spans="1:7" x14ac:dyDescent="0.25">
      <c r="A221" s="1392" t="s">
        <v>2576</v>
      </c>
      <c r="B221" s="1392" t="s">
        <v>1146</v>
      </c>
      <c r="C221" s="1392" t="s">
        <v>1846</v>
      </c>
      <c r="D221" s="1392" t="s">
        <v>1847</v>
      </c>
      <c r="E221" s="1392" t="s">
        <v>1862</v>
      </c>
      <c r="F221" s="1392" t="s">
        <v>1864</v>
      </c>
      <c r="G221" s="1391">
        <v>12554442</v>
      </c>
    </row>
    <row r="222" spans="1:7" x14ac:dyDescent="0.25">
      <c r="A222" s="1392" t="s">
        <v>2576</v>
      </c>
      <c r="B222" s="1392" t="s">
        <v>1146</v>
      </c>
      <c r="C222" s="1392" t="s">
        <v>1846</v>
      </c>
      <c r="D222" s="1392" t="s">
        <v>1847</v>
      </c>
      <c r="E222" s="1392" t="s">
        <v>1862</v>
      </c>
      <c r="F222" s="1392" t="s">
        <v>1865</v>
      </c>
      <c r="G222" s="1391">
        <v>8369628</v>
      </c>
    </row>
    <row r="223" spans="1:7" x14ac:dyDescent="0.25">
      <c r="A223" s="1392" t="s">
        <v>2576</v>
      </c>
      <c r="B223" s="1392" t="s">
        <v>1146</v>
      </c>
      <c r="C223" s="1392" t="s">
        <v>1846</v>
      </c>
      <c r="D223" s="1392" t="s">
        <v>1847</v>
      </c>
      <c r="E223" s="4536" t="s">
        <v>1867</v>
      </c>
      <c r="F223" s="4538"/>
      <c r="G223" s="1391">
        <v>56053454</v>
      </c>
    </row>
    <row r="224" spans="1:7" x14ac:dyDescent="0.25">
      <c r="A224" s="1392" t="s">
        <v>2576</v>
      </c>
      <c r="B224" s="1392" t="s">
        <v>1146</v>
      </c>
      <c r="C224" s="1392" t="s">
        <v>1846</v>
      </c>
      <c r="D224" s="1392" t="s">
        <v>1847</v>
      </c>
      <c r="E224" s="1392" t="s">
        <v>1867</v>
      </c>
      <c r="F224" s="1392" t="s">
        <v>1868</v>
      </c>
      <c r="G224" s="1391">
        <v>56053454</v>
      </c>
    </row>
    <row r="225" spans="1:7" x14ac:dyDescent="0.25">
      <c r="A225" s="1392" t="s">
        <v>2576</v>
      </c>
      <c r="B225" s="1392" t="s">
        <v>1146</v>
      </c>
      <c r="C225" s="1392" t="s">
        <v>1846</v>
      </c>
      <c r="D225" s="1392" t="s">
        <v>1847</v>
      </c>
      <c r="E225" s="4536" t="s">
        <v>1869</v>
      </c>
      <c r="F225" s="4538"/>
      <c r="G225" s="1391">
        <v>19952630</v>
      </c>
    </row>
    <row r="226" spans="1:7" x14ac:dyDescent="0.25">
      <c r="A226" s="1392" t="s">
        <v>2576</v>
      </c>
      <c r="B226" s="1392" t="s">
        <v>1146</v>
      </c>
      <c r="C226" s="1392" t="s">
        <v>1846</v>
      </c>
      <c r="D226" s="1392" t="s">
        <v>1847</v>
      </c>
      <c r="E226" s="1392" t="s">
        <v>1869</v>
      </c>
      <c r="F226" s="1392" t="s">
        <v>1870</v>
      </c>
      <c r="G226" s="1391">
        <v>15333734</v>
      </c>
    </row>
    <row r="227" spans="1:7" x14ac:dyDescent="0.25">
      <c r="A227" s="1392" t="s">
        <v>2576</v>
      </c>
      <c r="B227" s="1392" t="s">
        <v>1146</v>
      </c>
      <c r="C227" s="1392" t="s">
        <v>1846</v>
      </c>
      <c r="D227" s="1392" t="s">
        <v>1847</v>
      </c>
      <c r="E227" s="1392" t="s">
        <v>1869</v>
      </c>
      <c r="F227" s="1392" t="s">
        <v>1871</v>
      </c>
      <c r="G227" s="1391">
        <v>3898896</v>
      </c>
    </row>
    <row r="228" spans="1:7" x14ac:dyDescent="0.25">
      <c r="A228" s="1392" t="s">
        <v>2576</v>
      </c>
      <c r="B228" s="1392" t="s">
        <v>1146</v>
      </c>
      <c r="C228" s="1392" t="s">
        <v>1846</v>
      </c>
      <c r="D228" s="1392" t="s">
        <v>1847</v>
      </c>
      <c r="E228" s="1392" t="s">
        <v>1869</v>
      </c>
      <c r="F228" s="1392" t="s">
        <v>1873</v>
      </c>
      <c r="G228" s="1391">
        <v>720000</v>
      </c>
    </row>
    <row r="229" spans="1:7" x14ac:dyDescent="0.25">
      <c r="A229" s="1392" t="s">
        <v>2576</v>
      </c>
      <c r="B229" s="1392" t="s">
        <v>1146</v>
      </c>
      <c r="C229" s="1392" t="s">
        <v>1846</v>
      </c>
      <c r="D229" s="1392" t="s">
        <v>1847</v>
      </c>
      <c r="E229" s="4536" t="s">
        <v>1874</v>
      </c>
      <c r="F229" s="4538"/>
      <c r="G229" s="1391">
        <v>16707000</v>
      </c>
    </row>
    <row r="230" spans="1:7" x14ac:dyDescent="0.25">
      <c r="A230" s="1392" t="s">
        <v>2576</v>
      </c>
      <c r="B230" s="1392" t="s">
        <v>1146</v>
      </c>
      <c r="C230" s="1392" t="s">
        <v>1846</v>
      </c>
      <c r="D230" s="1392" t="s">
        <v>1847</v>
      </c>
      <c r="E230" s="1392" t="s">
        <v>1874</v>
      </c>
      <c r="F230" s="1392" t="s">
        <v>1875</v>
      </c>
      <c r="G230" s="1391">
        <v>11624000</v>
      </c>
    </row>
    <row r="231" spans="1:7" x14ac:dyDescent="0.25">
      <c r="A231" s="1392" t="s">
        <v>2576</v>
      </c>
      <c r="B231" s="1392" t="s">
        <v>1146</v>
      </c>
      <c r="C231" s="1392" t="s">
        <v>1846</v>
      </c>
      <c r="D231" s="1392" t="s">
        <v>1847</v>
      </c>
      <c r="E231" s="1392" t="s">
        <v>1874</v>
      </c>
      <c r="F231" s="1392" t="s">
        <v>1876</v>
      </c>
      <c r="G231" s="1391">
        <v>1553000</v>
      </c>
    </row>
    <row r="232" spans="1:7" x14ac:dyDescent="0.25">
      <c r="A232" s="1392" t="s">
        <v>2576</v>
      </c>
      <c r="B232" s="1392" t="s">
        <v>1146</v>
      </c>
      <c r="C232" s="1392" t="s">
        <v>1846</v>
      </c>
      <c r="D232" s="1392" t="s">
        <v>1847</v>
      </c>
      <c r="E232" s="1392" t="s">
        <v>1874</v>
      </c>
      <c r="F232" s="1392" t="s">
        <v>1877</v>
      </c>
      <c r="G232" s="1391">
        <v>3530000</v>
      </c>
    </row>
    <row r="233" spans="1:7" x14ac:dyDescent="0.25">
      <c r="A233" s="1392" t="s">
        <v>2576</v>
      </c>
      <c r="B233" s="1392" t="s">
        <v>1146</v>
      </c>
      <c r="C233" s="1392" t="s">
        <v>1846</v>
      </c>
      <c r="D233" s="1392" t="s">
        <v>1847</v>
      </c>
      <c r="E233" s="4536" t="s">
        <v>1878</v>
      </c>
      <c r="F233" s="4538"/>
      <c r="G233" s="1391">
        <v>17134708</v>
      </c>
    </row>
    <row r="234" spans="1:7" x14ac:dyDescent="0.25">
      <c r="A234" s="1392" t="s">
        <v>2576</v>
      </c>
      <c r="B234" s="1392" t="s">
        <v>1146</v>
      </c>
      <c r="C234" s="1392" t="s">
        <v>1846</v>
      </c>
      <c r="D234" s="1392" t="s">
        <v>1847</v>
      </c>
      <c r="E234" s="1392" t="s">
        <v>1878</v>
      </c>
      <c r="F234" s="1392" t="s">
        <v>1879</v>
      </c>
      <c r="G234" s="1391">
        <v>1970821</v>
      </c>
    </row>
    <row r="235" spans="1:7" x14ac:dyDescent="0.25">
      <c r="A235" s="1392" t="s">
        <v>2576</v>
      </c>
      <c r="B235" s="1392" t="s">
        <v>1146</v>
      </c>
      <c r="C235" s="1392" t="s">
        <v>1846</v>
      </c>
      <c r="D235" s="1392" t="s">
        <v>1847</v>
      </c>
      <c r="E235" s="1392" t="s">
        <v>1878</v>
      </c>
      <c r="F235" s="1392" t="s">
        <v>1881</v>
      </c>
      <c r="G235" s="1391">
        <v>15163887</v>
      </c>
    </row>
    <row r="236" spans="1:7" x14ac:dyDescent="0.25">
      <c r="A236" s="1392" t="s">
        <v>2576</v>
      </c>
      <c r="B236" s="1392" t="s">
        <v>1146</v>
      </c>
      <c r="C236" s="1392" t="s">
        <v>1846</v>
      </c>
      <c r="D236" s="1392" t="s">
        <v>1847</v>
      </c>
      <c r="E236" s="4536" t="s">
        <v>1889</v>
      </c>
      <c r="F236" s="4538"/>
      <c r="G236" s="1391">
        <v>36280000</v>
      </c>
    </row>
    <row r="237" spans="1:7" x14ac:dyDescent="0.25">
      <c r="A237" s="1392" t="s">
        <v>2576</v>
      </c>
      <c r="B237" s="1392" t="s">
        <v>1146</v>
      </c>
      <c r="C237" s="1392" t="s">
        <v>1846</v>
      </c>
      <c r="D237" s="1392" t="s">
        <v>1847</v>
      </c>
      <c r="E237" s="1392" t="s">
        <v>1889</v>
      </c>
      <c r="F237" s="1392" t="s">
        <v>1890</v>
      </c>
      <c r="G237" s="1391">
        <v>3250000</v>
      </c>
    </row>
    <row r="238" spans="1:7" x14ac:dyDescent="0.25">
      <c r="A238" s="1392" t="s">
        <v>2576</v>
      </c>
      <c r="B238" s="1392" t="s">
        <v>1146</v>
      </c>
      <c r="C238" s="1392" t="s">
        <v>1846</v>
      </c>
      <c r="D238" s="1392" t="s">
        <v>1847</v>
      </c>
      <c r="E238" s="1392" t="s">
        <v>1889</v>
      </c>
      <c r="F238" s="1392" t="s">
        <v>1891</v>
      </c>
      <c r="G238" s="1391">
        <v>2600000</v>
      </c>
    </row>
    <row r="239" spans="1:7" x14ac:dyDescent="0.25">
      <c r="A239" s="1392" t="s">
        <v>2576</v>
      </c>
      <c r="B239" s="1392" t="s">
        <v>1146</v>
      </c>
      <c r="C239" s="1392" t="s">
        <v>1846</v>
      </c>
      <c r="D239" s="1392" t="s">
        <v>1847</v>
      </c>
      <c r="E239" s="1392" t="s">
        <v>1889</v>
      </c>
      <c r="F239" s="1392" t="s">
        <v>1892</v>
      </c>
      <c r="G239" s="1391">
        <v>29200000</v>
      </c>
    </row>
    <row r="240" spans="1:7" x14ac:dyDescent="0.25">
      <c r="A240" s="1392" t="s">
        <v>2576</v>
      </c>
      <c r="B240" s="1392" t="s">
        <v>1146</v>
      </c>
      <c r="C240" s="1392" t="s">
        <v>1846</v>
      </c>
      <c r="D240" s="1392" t="s">
        <v>1847</v>
      </c>
      <c r="E240" s="1392" t="s">
        <v>1889</v>
      </c>
      <c r="F240" s="1392" t="s">
        <v>1922</v>
      </c>
      <c r="G240" s="1391">
        <v>1230000</v>
      </c>
    </row>
    <row r="241" spans="1:7" x14ac:dyDescent="0.25">
      <c r="A241" s="1392" t="s">
        <v>2576</v>
      </c>
      <c r="B241" s="1392" t="s">
        <v>1146</v>
      </c>
      <c r="C241" s="1392" t="s">
        <v>1846</v>
      </c>
      <c r="D241" s="1392" t="s">
        <v>1847</v>
      </c>
      <c r="E241" s="4536" t="s">
        <v>1893</v>
      </c>
      <c r="F241" s="4538"/>
      <c r="G241" s="1391">
        <v>14800000</v>
      </c>
    </row>
    <row r="242" spans="1:7" x14ac:dyDescent="0.25">
      <c r="A242" s="1392" t="s">
        <v>2576</v>
      </c>
      <c r="B242" s="1392" t="s">
        <v>1146</v>
      </c>
      <c r="C242" s="1392" t="s">
        <v>1846</v>
      </c>
      <c r="D242" s="1392" t="s">
        <v>1847</v>
      </c>
      <c r="E242" s="1392" t="s">
        <v>1893</v>
      </c>
      <c r="F242" s="1392" t="s">
        <v>1894</v>
      </c>
      <c r="G242" s="1391">
        <v>10300000</v>
      </c>
    </row>
    <row r="243" spans="1:7" x14ac:dyDescent="0.25">
      <c r="A243" s="1392" t="s">
        <v>2576</v>
      </c>
      <c r="B243" s="1392" t="s">
        <v>1146</v>
      </c>
      <c r="C243" s="1392" t="s">
        <v>1846</v>
      </c>
      <c r="D243" s="1392" t="s">
        <v>1847</v>
      </c>
      <c r="E243" s="1392" t="s">
        <v>1893</v>
      </c>
      <c r="F243" s="1392" t="s">
        <v>2034</v>
      </c>
      <c r="G243" s="1391">
        <v>4500000</v>
      </c>
    </row>
    <row r="244" spans="1:7" x14ac:dyDescent="0.25">
      <c r="A244" s="1392" t="s">
        <v>2576</v>
      </c>
      <c r="B244" s="1392" t="s">
        <v>1146</v>
      </c>
      <c r="C244" s="1392" t="s">
        <v>1846</v>
      </c>
      <c r="D244" s="1392" t="s">
        <v>1847</v>
      </c>
      <c r="E244" s="4536" t="s">
        <v>1896</v>
      </c>
      <c r="F244" s="4538"/>
      <c r="G244" s="1391">
        <v>51674400</v>
      </c>
    </row>
    <row r="245" spans="1:7" x14ac:dyDescent="0.25">
      <c r="A245" s="1392" t="s">
        <v>2576</v>
      </c>
      <c r="B245" s="1392" t="s">
        <v>1146</v>
      </c>
      <c r="C245" s="1392" t="s">
        <v>1846</v>
      </c>
      <c r="D245" s="1392" t="s">
        <v>1847</v>
      </c>
      <c r="E245" s="1392" t="s">
        <v>1896</v>
      </c>
      <c r="F245" s="1392" t="s">
        <v>1898</v>
      </c>
      <c r="G245" s="1391">
        <v>30000000</v>
      </c>
    </row>
    <row r="246" spans="1:7" x14ac:dyDescent="0.25">
      <c r="A246" s="1392" t="s">
        <v>2576</v>
      </c>
      <c r="B246" s="1392" t="s">
        <v>1146</v>
      </c>
      <c r="C246" s="1392" t="s">
        <v>1846</v>
      </c>
      <c r="D246" s="1392" t="s">
        <v>1847</v>
      </c>
      <c r="E246" s="1392" t="s">
        <v>1896</v>
      </c>
      <c r="F246" s="1392" t="s">
        <v>1900</v>
      </c>
      <c r="G246" s="1391">
        <v>18224400</v>
      </c>
    </row>
    <row r="247" spans="1:7" x14ac:dyDescent="0.25">
      <c r="A247" s="1392" t="s">
        <v>2576</v>
      </c>
      <c r="B247" s="1392" t="s">
        <v>1146</v>
      </c>
      <c r="C247" s="1392" t="s">
        <v>1846</v>
      </c>
      <c r="D247" s="1392" t="s">
        <v>1847</v>
      </c>
      <c r="E247" s="1392" t="s">
        <v>1896</v>
      </c>
      <c r="F247" s="1392" t="s">
        <v>1901</v>
      </c>
      <c r="G247" s="1391">
        <v>3450000</v>
      </c>
    </row>
    <row r="248" spans="1:7" x14ac:dyDescent="0.25">
      <c r="A248" s="1392" t="s">
        <v>2576</v>
      </c>
      <c r="B248" s="1392" t="s">
        <v>1146</v>
      </c>
      <c r="C248" s="1392" t="s">
        <v>1846</v>
      </c>
      <c r="D248" s="1392" t="s">
        <v>1847</v>
      </c>
      <c r="E248" s="4536" t="s">
        <v>1906</v>
      </c>
      <c r="F248" s="4538"/>
      <c r="G248" s="1391">
        <v>6709000</v>
      </c>
    </row>
    <row r="249" spans="1:7" x14ac:dyDescent="0.25">
      <c r="A249" s="1392" t="s">
        <v>2576</v>
      </c>
      <c r="B249" s="1392" t="s">
        <v>1146</v>
      </c>
      <c r="C249" s="1392" t="s">
        <v>1846</v>
      </c>
      <c r="D249" s="1392" t="s">
        <v>1847</v>
      </c>
      <c r="E249" s="1392" t="s">
        <v>1906</v>
      </c>
      <c r="F249" s="1392" t="s">
        <v>1909</v>
      </c>
      <c r="G249" s="1391">
        <v>6709000</v>
      </c>
    </row>
    <row r="250" spans="1:7" x14ac:dyDescent="0.25">
      <c r="A250" s="1392" t="s">
        <v>2576</v>
      </c>
      <c r="B250" s="1392" t="s">
        <v>1146</v>
      </c>
      <c r="C250" s="1392" t="s">
        <v>1846</v>
      </c>
      <c r="D250" s="1392" t="s">
        <v>1847</v>
      </c>
      <c r="E250" s="4536" t="s">
        <v>1912</v>
      </c>
      <c r="F250" s="4538"/>
      <c r="G250" s="1391">
        <v>38420000</v>
      </c>
    </row>
    <row r="251" spans="1:7" x14ac:dyDescent="0.25">
      <c r="A251" s="1392" t="s">
        <v>2576</v>
      </c>
      <c r="B251" s="1392" t="s">
        <v>1146</v>
      </c>
      <c r="C251" s="1392" t="s">
        <v>1846</v>
      </c>
      <c r="D251" s="1392" t="s">
        <v>1847</v>
      </c>
      <c r="E251" s="1392" t="s">
        <v>1912</v>
      </c>
      <c r="F251" s="1392" t="s">
        <v>1915</v>
      </c>
      <c r="G251" s="1391">
        <v>33460000</v>
      </c>
    </row>
    <row r="252" spans="1:7" x14ac:dyDescent="0.25">
      <c r="A252" s="1392" t="s">
        <v>2576</v>
      </c>
      <c r="B252" s="1392" t="s">
        <v>1146</v>
      </c>
      <c r="C252" s="1392" t="s">
        <v>1846</v>
      </c>
      <c r="D252" s="1392" t="s">
        <v>1847</v>
      </c>
      <c r="E252" s="1392" t="s">
        <v>1912</v>
      </c>
      <c r="F252" s="1392" t="s">
        <v>1916</v>
      </c>
      <c r="G252" s="1391">
        <v>4960000</v>
      </c>
    </row>
    <row r="253" spans="1:7" x14ac:dyDescent="0.25">
      <c r="A253" s="1392" t="s">
        <v>2576</v>
      </c>
      <c r="B253" s="1392" t="s">
        <v>1146</v>
      </c>
      <c r="C253" s="1392" t="s">
        <v>1846</v>
      </c>
      <c r="D253" s="1392" t="s">
        <v>1847</v>
      </c>
      <c r="E253" s="4536" t="s">
        <v>1983</v>
      </c>
      <c r="F253" s="4538"/>
      <c r="G253" s="1391">
        <v>3600000</v>
      </c>
    </row>
    <row r="254" spans="1:7" x14ac:dyDescent="0.25">
      <c r="A254" s="1392" t="s">
        <v>2576</v>
      </c>
      <c r="B254" s="1392" t="s">
        <v>1146</v>
      </c>
      <c r="C254" s="1392" t="s">
        <v>1846</v>
      </c>
      <c r="D254" s="1392" t="s">
        <v>1847</v>
      </c>
      <c r="E254" s="1392" t="s">
        <v>1983</v>
      </c>
      <c r="F254" s="1392" t="s">
        <v>2240</v>
      </c>
      <c r="G254" s="1391">
        <v>3600000</v>
      </c>
    </row>
    <row r="255" spans="1:7" x14ac:dyDescent="0.25">
      <c r="A255" s="1392" t="s">
        <v>2576</v>
      </c>
      <c r="B255" s="4536" t="s">
        <v>1151</v>
      </c>
      <c r="C255" s="4537"/>
      <c r="D255" s="4537"/>
      <c r="E255" s="4537"/>
      <c r="F255" s="4538"/>
      <c r="G255" s="1391">
        <v>3508559980</v>
      </c>
    </row>
    <row r="256" spans="1:7" x14ac:dyDescent="0.25">
      <c r="A256" s="1392" t="s">
        <v>2576</v>
      </c>
      <c r="B256" s="1392" t="s">
        <v>1151</v>
      </c>
      <c r="C256" s="4536" t="s">
        <v>1919</v>
      </c>
      <c r="D256" s="4537"/>
      <c r="E256" s="4537"/>
      <c r="F256" s="4538"/>
      <c r="G256" s="1391">
        <v>2802033245</v>
      </c>
    </row>
    <row r="257" spans="1:7" x14ac:dyDescent="0.25">
      <c r="A257" s="1392" t="s">
        <v>2576</v>
      </c>
      <c r="B257" s="1392" t="s">
        <v>1151</v>
      </c>
      <c r="C257" s="1392" t="s">
        <v>1919</v>
      </c>
      <c r="D257" s="4536" t="s">
        <v>1931</v>
      </c>
      <c r="E257" s="4537"/>
      <c r="F257" s="4538"/>
      <c r="G257" s="1391">
        <v>1999704515</v>
      </c>
    </row>
    <row r="258" spans="1:7" x14ac:dyDescent="0.25">
      <c r="A258" s="1392" t="s">
        <v>2576</v>
      </c>
      <c r="B258" s="1392" t="s">
        <v>1151</v>
      </c>
      <c r="C258" s="1392" t="s">
        <v>1919</v>
      </c>
      <c r="D258" s="1392" t="s">
        <v>1931</v>
      </c>
      <c r="E258" s="4536" t="s">
        <v>1896</v>
      </c>
      <c r="F258" s="4538"/>
      <c r="G258" s="1391">
        <v>1999704515</v>
      </c>
    </row>
    <row r="259" spans="1:7" x14ac:dyDescent="0.25">
      <c r="A259" s="1392" t="s">
        <v>2576</v>
      </c>
      <c r="B259" s="1392" t="s">
        <v>1151</v>
      </c>
      <c r="C259" s="1392" t="s">
        <v>1919</v>
      </c>
      <c r="D259" s="1392" t="s">
        <v>1931</v>
      </c>
      <c r="E259" s="1392" t="s">
        <v>1896</v>
      </c>
      <c r="F259" s="1392" t="s">
        <v>1932</v>
      </c>
      <c r="G259" s="1391">
        <v>1999704515</v>
      </c>
    </row>
    <row r="260" spans="1:7" x14ac:dyDescent="0.25">
      <c r="A260" s="1392" t="s">
        <v>2576</v>
      </c>
      <c r="B260" s="1392" t="s">
        <v>1151</v>
      </c>
      <c r="C260" s="1392" t="s">
        <v>1919</v>
      </c>
      <c r="D260" s="4536" t="s">
        <v>1973</v>
      </c>
      <c r="E260" s="4537"/>
      <c r="F260" s="4538"/>
      <c r="G260" s="1391">
        <v>496005096</v>
      </c>
    </row>
    <row r="261" spans="1:7" x14ac:dyDescent="0.25">
      <c r="A261" s="1392" t="s">
        <v>2576</v>
      </c>
      <c r="B261" s="1392" t="s">
        <v>1151</v>
      </c>
      <c r="C261" s="1392" t="s">
        <v>1919</v>
      </c>
      <c r="D261" s="1392" t="s">
        <v>1973</v>
      </c>
      <c r="E261" s="4536" t="s">
        <v>1974</v>
      </c>
      <c r="F261" s="4538"/>
      <c r="G261" s="1391">
        <v>496005096</v>
      </c>
    </row>
    <row r="262" spans="1:7" x14ac:dyDescent="0.25">
      <c r="A262" s="1392" t="s">
        <v>2576</v>
      </c>
      <c r="B262" s="1392" t="s">
        <v>1151</v>
      </c>
      <c r="C262" s="1392" t="s">
        <v>1919</v>
      </c>
      <c r="D262" s="1392" t="s">
        <v>1973</v>
      </c>
      <c r="E262" s="1392" t="s">
        <v>1974</v>
      </c>
      <c r="F262" s="1392" t="s">
        <v>2241</v>
      </c>
      <c r="G262" s="1391">
        <v>496005096</v>
      </c>
    </row>
    <row r="263" spans="1:7" x14ac:dyDescent="0.25">
      <c r="A263" s="1392" t="s">
        <v>2576</v>
      </c>
      <c r="B263" s="1392" t="s">
        <v>1151</v>
      </c>
      <c r="C263" s="1392" t="s">
        <v>1919</v>
      </c>
      <c r="D263" s="4536" t="s">
        <v>2235</v>
      </c>
      <c r="E263" s="4537"/>
      <c r="F263" s="4538"/>
      <c r="G263" s="1391">
        <v>306323634</v>
      </c>
    </row>
    <row r="264" spans="1:7" x14ac:dyDescent="0.25">
      <c r="A264" s="1392" t="s">
        <v>2576</v>
      </c>
      <c r="B264" s="1392" t="s">
        <v>1151</v>
      </c>
      <c r="C264" s="1392" t="s">
        <v>1919</v>
      </c>
      <c r="D264" s="1392" t="s">
        <v>2235</v>
      </c>
      <c r="E264" s="4536" t="s">
        <v>1869</v>
      </c>
      <c r="F264" s="4538"/>
      <c r="G264" s="1391">
        <v>547274</v>
      </c>
    </row>
    <row r="265" spans="1:7" x14ac:dyDescent="0.25">
      <c r="A265" s="1392" t="s">
        <v>2576</v>
      </c>
      <c r="B265" s="1392" t="s">
        <v>1151</v>
      </c>
      <c r="C265" s="1392" t="s">
        <v>1919</v>
      </c>
      <c r="D265" s="1392" t="s">
        <v>2235</v>
      </c>
      <c r="E265" s="1392" t="s">
        <v>1869</v>
      </c>
      <c r="F265" s="1392" t="s">
        <v>1872</v>
      </c>
      <c r="G265" s="1391">
        <v>547274</v>
      </c>
    </row>
    <row r="266" spans="1:7" x14ac:dyDescent="0.25">
      <c r="A266" s="1392" t="s">
        <v>2576</v>
      </c>
      <c r="B266" s="1392" t="s">
        <v>1151</v>
      </c>
      <c r="C266" s="1392" t="s">
        <v>1919</v>
      </c>
      <c r="D266" s="1392" t="s">
        <v>2235</v>
      </c>
      <c r="E266" s="4536" t="s">
        <v>1893</v>
      </c>
      <c r="F266" s="4538"/>
      <c r="G266" s="1391">
        <v>76000000</v>
      </c>
    </row>
    <row r="267" spans="1:7" x14ac:dyDescent="0.25">
      <c r="A267" s="1392" t="s">
        <v>2576</v>
      </c>
      <c r="B267" s="1392" t="s">
        <v>1151</v>
      </c>
      <c r="C267" s="1392" t="s">
        <v>1919</v>
      </c>
      <c r="D267" s="1392" t="s">
        <v>2235</v>
      </c>
      <c r="E267" s="1392" t="s">
        <v>1893</v>
      </c>
      <c r="F267" s="1392" t="s">
        <v>1894</v>
      </c>
      <c r="G267" s="1391">
        <v>2500000</v>
      </c>
    </row>
    <row r="268" spans="1:7" x14ac:dyDescent="0.25">
      <c r="A268" s="1392" t="s">
        <v>2576</v>
      </c>
      <c r="B268" s="1392" t="s">
        <v>1151</v>
      </c>
      <c r="C268" s="1392" t="s">
        <v>1919</v>
      </c>
      <c r="D268" s="1392" t="s">
        <v>2235</v>
      </c>
      <c r="E268" s="1392" t="s">
        <v>1893</v>
      </c>
      <c r="F268" s="1392" t="s">
        <v>1895</v>
      </c>
      <c r="G268" s="1391">
        <v>73500000</v>
      </c>
    </row>
    <row r="269" spans="1:7" x14ac:dyDescent="0.25">
      <c r="A269" s="1392" t="s">
        <v>2576</v>
      </c>
      <c r="B269" s="1392" t="s">
        <v>1151</v>
      </c>
      <c r="C269" s="1392" t="s">
        <v>1919</v>
      </c>
      <c r="D269" s="1392" t="s">
        <v>2235</v>
      </c>
      <c r="E269" s="4536" t="s">
        <v>1896</v>
      </c>
      <c r="F269" s="4538"/>
      <c r="G269" s="1391">
        <v>194636360</v>
      </c>
    </row>
    <row r="270" spans="1:7" x14ac:dyDescent="0.25">
      <c r="A270" s="1392" t="s">
        <v>2576</v>
      </c>
      <c r="B270" s="1392" t="s">
        <v>1151</v>
      </c>
      <c r="C270" s="1392" t="s">
        <v>1919</v>
      </c>
      <c r="D270" s="1392" t="s">
        <v>2235</v>
      </c>
      <c r="E270" s="1392" t="s">
        <v>1896</v>
      </c>
      <c r="F270" s="1392" t="s">
        <v>1902</v>
      </c>
      <c r="G270" s="1391">
        <v>194636360</v>
      </c>
    </row>
    <row r="271" spans="1:7" x14ac:dyDescent="0.25">
      <c r="A271" s="1392" t="s">
        <v>2576</v>
      </c>
      <c r="B271" s="1392" t="s">
        <v>1151</v>
      </c>
      <c r="C271" s="1392" t="s">
        <v>1919</v>
      </c>
      <c r="D271" s="1392" t="s">
        <v>2235</v>
      </c>
      <c r="E271" s="4536" t="s">
        <v>1906</v>
      </c>
      <c r="F271" s="4538"/>
      <c r="G271" s="1391">
        <v>35140000</v>
      </c>
    </row>
    <row r="272" spans="1:7" x14ac:dyDescent="0.25">
      <c r="A272" s="1392" t="s">
        <v>2576</v>
      </c>
      <c r="B272" s="1392" t="s">
        <v>1151</v>
      </c>
      <c r="C272" s="1392" t="s">
        <v>1919</v>
      </c>
      <c r="D272" s="1392" t="s">
        <v>2235</v>
      </c>
      <c r="E272" s="1392" t="s">
        <v>1906</v>
      </c>
      <c r="F272" s="1392" t="s">
        <v>1909</v>
      </c>
      <c r="G272" s="1391">
        <v>35140000</v>
      </c>
    </row>
    <row r="273" spans="1:7" x14ac:dyDescent="0.25">
      <c r="A273" s="1392" t="s">
        <v>2576</v>
      </c>
      <c r="B273" s="1392" t="s">
        <v>1151</v>
      </c>
      <c r="C273" s="4536" t="s">
        <v>1846</v>
      </c>
      <c r="D273" s="4537"/>
      <c r="E273" s="4537"/>
      <c r="F273" s="4538"/>
      <c r="G273" s="1391">
        <v>706526735</v>
      </c>
    </row>
    <row r="274" spans="1:7" x14ac:dyDescent="0.25">
      <c r="A274" s="1392" t="s">
        <v>2576</v>
      </c>
      <c r="B274" s="1392" t="s">
        <v>1151</v>
      </c>
      <c r="C274" s="1392" t="s">
        <v>1846</v>
      </c>
      <c r="D274" s="4536" t="s">
        <v>1847</v>
      </c>
      <c r="E274" s="4537"/>
      <c r="F274" s="4538"/>
      <c r="G274" s="1391">
        <v>706526735</v>
      </c>
    </row>
    <row r="275" spans="1:7" x14ac:dyDescent="0.25">
      <c r="A275" s="1392" t="s">
        <v>2576</v>
      </c>
      <c r="B275" s="1392" t="s">
        <v>1151</v>
      </c>
      <c r="C275" s="1392" t="s">
        <v>1846</v>
      </c>
      <c r="D275" s="1392" t="s">
        <v>1847</v>
      </c>
      <c r="E275" s="4536" t="s">
        <v>1848</v>
      </c>
      <c r="F275" s="4538"/>
      <c r="G275" s="1391">
        <v>207139804</v>
      </c>
    </row>
    <row r="276" spans="1:7" x14ac:dyDescent="0.25">
      <c r="A276" s="1392" t="s">
        <v>2576</v>
      </c>
      <c r="B276" s="1392" t="s">
        <v>1151</v>
      </c>
      <c r="C276" s="1392" t="s">
        <v>1846</v>
      </c>
      <c r="D276" s="1392" t="s">
        <v>1847</v>
      </c>
      <c r="E276" s="1392" t="s">
        <v>1848</v>
      </c>
      <c r="F276" s="1392" t="s">
        <v>1849</v>
      </c>
      <c r="G276" s="1391">
        <v>207139804</v>
      </c>
    </row>
    <row r="277" spans="1:7" x14ac:dyDescent="0.25">
      <c r="A277" s="1392" t="s">
        <v>2576</v>
      </c>
      <c r="B277" s="1392" t="s">
        <v>1151</v>
      </c>
      <c r="C277" s="1392" t="s">
        <v>1846</v>
      </c>
      <c r="D277" s="1392" t="s">
        <v>1847</v>
      </c>
      <c r="E277" s="4536" t="s">
        <v>1853</v>
      </c>
      <c r="F277" s="4538"/>
      <c r="G277" s="1391">
        <v>123936323</v>
      </c>
    </row>
    <row r="278" spans="1:7" x14ac:dyDescent="0.25">
      <c r="A278" s="1392" t="s">
        <v>2576</v>
      </c>
      <c r="B278" s="1392" t="s">
        <v>1151</v>
      </c>
      <c r="C278" s="1392" t="s">
        <v>1846</v>
      </c>
      <c r="D278" s="1392" t="s">
        <v>1847</v>
      </c>
      <c r="E278" s="1392" t="s">
        <v>1853</v>
      </c>
      <c r="F278" s="1392" t="s">
        <v>1854</v>
      </c>
      <c r="G278" s="1391">
        <v>3576000</v>
      </c>
    </row>
    <row r="279" spans="1:7" x14ac:dyDescent="0.25">
      <c r="A279" s="1392" t="s">
        <v>2576</v>
      </c>
      <c r="B279" s="1392" t="s">
        <v>1151</v>
      </c>
      <c r="C279" s="1392" t="s">
        <v>1846</v>
      </c>
      <c r="D279" s="1392" t="s">
        <v>1847</v>
      </c>
      <c r="E279" s="1392" t="s">
        <v>1853</v>
      </c>
      <c r="F279" s="1392" t="s">
        <v>1855</v>
      </c>
      <c r="G279" s="1391">
        <v>35015000</v>
      </c>
    </row>
    <row r="280" spans="1:7" x14ac:dyDescent="0.25">
      <c r="A280" s="1392" t="s">
        <v>2576</v>
      </c>
      <c r="B280" s="1392" t="s">
        <v>1151</v>
      </c>
      <c r="C280" s="1392" t="s">
        <v>1846</v>
      </c>
      <c r="D280" s="1392" t="s">
        <v>1847</v>
      </c>
      <c r="E280" s="1392" t="s">
        <v>1853</v>
      </c>
      <c r="F280" s="1392" t="s">
        <v>1856</v>
      </c>
      <c r="G280" s="1391">
        <v>29087393</v>
      </c>
    </row>
    <row r="281" spans="1:7" x14ac:dyDescent="0.25">
      <c r="A281" s="1392" t="s">
        <v>2576</v>
      </c>
      <c r="B281" s="1392" t="s">
        <v>1151</v>
      </c>
      <c r="C281" s="1392" t="s">
        <v>1846</v>
      </c>
      <c r="D281" s="1392" t="s">
        <v>1847</v>
      </c>
      <c r="E281" s="1392" t="s">
        <v>1853</v>
      </c>
      <c r="F281" s="1392" t="s">
        <v>1858</v>
      </c>
      <c r="G281" s="1391">
        <v>3576000</v>
      </c>
    </row>
    <row r="282" spans="1:7" x14ac:dyDescent="0.25">
      <c r="A282" s="1392" t="s">
        <v>2576</v>
      </c>
      <c r="B282" s="1392" t="s">
        <v>1151</v>
      </c>
      <c r="C282" s="1392" t="s">
        <v>1846</v>
      </c>
      <c r="D282" s="1392" t="s">
        <v>1847</v>
      </c>
      <c r="E282" s="1392" t="s">
        <v>1853</v>
      </c>
      <c r="F282" s="1392" t="s">
        <v>1859</v>
      </c>
      <c r="G282" s="1391">
        <v>52681930</v>
      </c>
    </row>
    <row r="283" spans="1:7" x14ac:dyDescent="0.25">
      <c r="A283" s="1392" t="s">
        <v>2576</v>
      </c>
      <c r="B283" s="1392" t="s">
        <v>1151</v>
      </c>
      <c r="C283" s="1392" t="s">
        <v>1846</v>
      </c>
      <c r="D283" s="1392" t="s">
        <v>1847</v>
      </c>
      <c r="E283" s="4536" t="s">
        <v>1860</v>
      </c>
      <c r="F283" s="4538"/>
      <c r="G283" s="1391">
        <v>2550000</v>
      </c>
    </row>
    <row r="284" spans="1:7" x14ac:dyDescent="0.25">
      <c r="A284" s="1392" t="s">
        <v>2576</v>
      </c>
      <c r="B284" s="1392" t="s">
        <v>1151</v>
      </c>
      <c r="C284" s="1392" t="s">
        <v>1846</v>
      </c>
      <c r="D284" s="1392" t="s">
        <v>1847</v>
      </c>
      <c r="E284" s="1392" t="s">
        <v>1860</v>
      </c>
      <c r="F284" s="1392" t="s">
        <v>1861</v>
      </c>
      <c r="G284" s="1391">
        <v>2550000</v>
      </c>
    </row>
    <row r="285" spans="1:7" x14ac:dyDescent="0.25">
      <c r="A285" s="1392" t="s">
        <v>2576</v>
      </c>
      <c r="B285" s="1392" t="s">
        <v>1151</v>
      </c>
      <c r="C285" s="1392" t="s">
        <v>1846</v>
      </c>
      <c r="D285" s="1392" t="s">
        <v>1847</v>
      </c>
      <c r="E285" s="4536" t="s">
        <v>1862</v>
      </c>
      <c r="F285" s="4538"/>
      <c r="G285" s="1391">
        <v>45611053</v>
      </c>
    </row>
    <row r="286" spans="1:7" x14ac:dyDescent="0.25">
      <c r="A286" s="1392" t="s">
        <v>2576</v>
      </c>
      <c r="B286" s="1392" t="s">
        <v>1151</v>
      </c>
      <c r="C286" s="1392" t="s">
        <v>1846</v>
      </c>
      <c r="D286" s="1392" t="s">
        <v>1847</v>
      </c>
      <c r="E286" s="1392" t="s">
        <v>1862</v>
      </c>
      <c r="F286" s="1392" t="s">
        <v>1863</v>
      </c>
      <c r="G286" s="1391">
        <v>35075263</v>
      </c>
    </row>
    <row r="287" spans="1:7" x14ac:dyDescent="0.25">
      <c r="A287" s="1392" t="s">
        <v>2576</v>
      </c>
      <c r="B287" s="1392" t="s">
        <v>1151</v>
      </c>
      <c r="C287" s="1392" t="s">
        <v>1846</v>
      </c>
      <c r="D287" s="1392" t="s">
        <v>1847</v>
      </c>
      <c r="E287" s="1392" t="s">
        <v>1862</v>
      </c>
      <c r="F287" s="1392" t="s">
        <v>1864</v>
      </c>
      <c r="G287" s="1391">
        <v>6321474</v>
      </c>
    </row>
    <row r="288" spans="1:7" x14ac:dyDescent="0.25">
      <c r="A288" s="1392" t="s">
        <v>2576</v>
      </c>
      <c r="B288" s="1392" t="s">
        <v>1151</v>
      </c>
      <c r="C288" s="1392" t="s">
        <v>1846</v>
      </c>
      <c r="D288" s="1392" t="s">
        <v>1847</v>
      </c>
      <c r="E288" s="1392" t="s">
        <v>1862</v>
      </c>
      <c r="F288" s="1392" t="s">
        <v>1865</v>
      </c>
      <c r="G288" s="1391">
        <v>4214316</v>
      </c>
    </row>
    <row r="289" spans="1:7" x14ac:dyDescent="0.25">
      <c r="A289" s="1392" t="s">
        <v>2576</v>
      </c>
      <c r="B289" s="1392" t="s">
        <v>1151</v>
      </c>
      <c r="C289" s="1392" t="s">
        <v>1846</v>
      </c>
      <c r="D289" s="1392" t="s">
        <v>1847</v>
      </c>
      <c r="E289" s="4536" t="s">
        <v>1867</v>
      </c>
      <c r="F289" s="4538"/>
      <c r="G289" s="1391">
        <v>159494823</v>
      </c>
    </row>
    <row r="290" spans="1:7" x14ac:dyDescent="0.25">
      <c r="A290" s="1392" t="s">
        <v>2576</v>
      </c>
      <c r="B290" s="1392" t="s">
        <v>1151</v>
      </c>
      <c r="C290" s="1392" t="s">
        <v>1846</v>
      </c>
      <c r="D290" s="1392" t="s">
        <v>1847</v>
      </c>
      <c r="E290" s="1392" t="s">
        <v>1867</v>
      </c>
      <c r="F290" s="1392" t="s">
        <v>1868</v>
      </c>
      <c r="G290" s="1391">
        <v>159494823</v>
      </c>
    </row>
    <row r="291" spans="1:7" x14ac:dyDescent="0.25">
      <c r="A291" s="1392" t="s">
        <v>2576</v>
      </c>
      <c r="B291" s="1392" t="s">
        <v>1151</v>
      </c>
      <c r="C291" s="1392" t="s">
        <v>1846</v>
      </c>
      <c r="D291" s="1392" t="s">
        <v>1847</v>
      </c>
      <c r="E291" s="4536" t="s">
        <v>1869</v>
      </c>
      <c r="F291" s="4538"/>
      <c r="G291" s="1391">
        <v>8510946</v>
      </c>
    </row>
    <row r="292" spans="1:7" x14ac:dyDescent="0.25">
      <c r="A292" s="1392" t="s">
        <v>2576</v>
      </c>
      <c r="B292" s="1392" t="s">
        <v>1151</v>
      </c>
      <c r="C292" s="1392" t="s">
        <v>1846</v>
      </c>
      <c r="D292" s="1392" t="s">
        <v>1847</v>
      </c>
      <c r="E292" s="1392" t="s">
        <v>1869</v>
      </c>
      <c r="F292" s="1392" t="s">
        <v>1871</v>
      </c>
      <c r="G292" s="1391">
        <v>7790946</v>
      </c>
    </row>
    <row r="293" spans="1:7" x14ac:dyDescent="0.25">
      <c r="A293" s="1392" t="s">
        <v>2576</v>
      </c>
      <c r="B293" s="1392" t="s">
        <v>1151</v>
      </c>
      <c r="C293" s="1392" t="s">
        <v>1846</v>
      </c>
      <c r="D293" s="1392" t="s">
        <v>1847</v>
      </c>
      <c r="E293" s="1392" t="s">
        <v>1869</v>
      </c>
      <c r="F293" s="1392" t="s">
        <v>1873</v>
      </c>
      <c r="G293" s="1391">
        <v>720000</v>
      </c>
    </row>
    <row r="294" spans="1:7" x14ac:dyDescent="0.25">
      <c r="A294" s="1392" t="s">
        <v>2576</v>
      </c>
      <c r="B294" s="1392" t="s">
        <v>1151</v>
      </c>
      <c r="C294" s="1392" t="s">
        <v>1846</v>
      </c>
      <c r="D294" s="1392" t="s">
        <v>1847</v>
      </c>
      <c r="E294" s="4536" t="s">
        <v>1874</v>
      </c>
      <c r="F294" s="4538"/>
      <c r="G294" s="1391">
        <v>3514000</v>
      </c>
    </row>
    <row r="295" spans="1:7" x14ac:dyDescent="0.25">
      <c r="A295" s="1392" t="s">
        <v>2576</v>
      </c>
      <c r="B295" s="1392" t="s">
        <v>1151</v>
      </c>
      <c r="C295" s="1392" t="s">
        <v>1846</v>
      </c>
      <c r="D295" s="1392" t="s">
        <v>1847</v>
      </c>
      <c r="E295" s="1392" t="s">
        <v>1874</v>
      </c>
      <c r="F295" s="1392" t="s">
        <v>1877</v>
      </c>
      <c r="G295" s="1391">
        <v>3514000</v>
      </c>
    </row>
    <row r="296" spans="1:7" x14ac:dyDescent="0.25">
      <c r="A296" s="1392" t="s">
        <v>2576</v>
      </c>
      <c r="B296" s="1392" t="s">
        <v>1151</v>
      </c>
      <c r="C296" s="1392" t="s">
        <v>1846</v>
      </c>
      <c r="D296" s="1392" t="s">
        <v>1847</v>
      </c>
      <c r="E296" s="4536" t="s">
        <v>1878</v>
      </c>
      <c r="F296" s="4538"/>
      <c r="G296" s="1391">
        <v>694486</v>
      </c>
    </row>
    <row r="297" spans="1:7" x14ac:dyDescent="0.25">
      <c r="A297" s="1392" t="s">
        <v>2576</v>
      </c>
      <c r="B297" s="1392" t="s">
        <v>1151</v>
      </c>
      <c r="C297" s="1392" t="s">
        <v>1846</v>
      </c>
      <c r="D297" s="1392" t="s">
        <v>1847</v>
      </c>
      <c r="E297" s="1392" t="s">
        <v>1878</v>
      </c>
      <c r="F297" s="1392" t="s">
        <v>1879</v>
      </c>
      <c r="G297" s="1391">
        <v>694486</v>
      </c>
    </row>
    <row r="298" spans="1:7" x14ac:dyDescent="0.25">
      <c r="A298" s="1392" t="s">
        <v>2576</v>
      </c>
      <c r="B298" s="1392" t="s">
        <v>1151</v>
      </c>
      <c r="C298" s="1392" t="s">
        <v>1846</v>
      </c>
      <c r="D298" s="1392" t="s">
        <v>1847</v>
      </c>
      <c r="E298" s="4536" t="s">
        <v>1889</v>
      </c>
      <c r="F298" s="4538"/>
      <c r="G298" s="1391">
        <v>11059800</v>
      </c>
    </row>
    <row r="299" spans="1:7" x14ac:dyDescent="0.25">
      <c r="A299" s="1392" t="s">
        <v>2576</v>
      </c>
      <c r="B299" s="1392" t="s">
        <v>1151</v>
      </c>
      <c r="C299" s="1392" t="s">
        <v>1846</v>
      </c>
      <c r="D299" s="1392" t="s">
        <v>1847</v>
      </c>
      <c r="E299" s="1392" t="s">
        <v>1889</v>
      </c>
      <c r="F299" s="1392" t="s">
        <v>1921</v>
      </c>
      <c r="G299" s="1391">
        <v>828600</v>
      </c>
    </row>
    <row r="300" spans="1:7" x14ac:dyDescent="0.25">
      <c r="A300" s="1392" t="s">
        <v>2576</v>
      </c>
      <c r="B300" s="1392" t="s">
        <v>1151</v>
      </c>
      <c r="C300" s="1392" t="s">
        <v>1846</v>
      </c>
      <c r="D300" s="1392" t="s">
        <v>1847</v>
      </c>
      <c r="E300" s="1392" t="s">
        <v>1889</v>
      </c>
      <c r="F300" s="1392" t="s">
        <v>1890</v>
      </c>
      <c r="G300" s="1391">
        <v>5550000</v>
      </c>
    </row>
    <row r="301" spans="1:7" x14ac:dyDescent="0.25">
      <c r="A301" s="1392" t="s">
        <v>2576</v>
      </c>
      <c r="B301" s="1392" t="s">
        <v>1151</v>
      </c>
      <c r="C301" s="1392" t="s">
        <v>1846</v>
      </c>
      <c r="D301" s="1392" t="s">
        <v>1847</v>
      </c>
      <c r="E301" s="1392" t="s">
        <v>1889</v>
      </c>
      <c r="F301" s="1392" t="s">
        <v>1891</v>
      </c>
      <c r="G301" s="1391">
        <v>1000000</v>
      </c>
    </row>
    <row r="302" spans="1:7" x14ac:dyDescent="0.25">
      <c r="A302" s="1392" t="s">
        <v>2576</v>
      </c>
      <c r="B302" s="1392" t="s">
        <v>1151</v>
      </c>
      <c r="C302" s="1392" t="s">
        <v>1846</v>
      </c>
      <c r="D302" s="1392" t="s">
        <v>1847</v>
      </c>
      <c r="E302" s="1392" t="s">
        <v>1889</v>
      </c>
      <c r="F302" s="1392" t="s">
        <v>1922</v>
      </c>
      <c r="G302" s="1391">
        <v>3681200</v>
      </c>
    </row>
    <row r="303" spans="1:7" x14ac:dyDescent="0.25">
      <c r="A303" s="1392" t="s">
        <v>2576</v>
      </c>
      <c r="B303" s="1392" t="s">
        <v>1151</v>
      </c>
      <c r="C303" s="1392" t="s">
        <v>1846</v>
      </c>
      <c r="D303" s="1392" t="s">
        <v>1847</v>
      </c>
      <c r="E303" s="4536" t="s">
        <v>1896</v>
      </c>
      <c r="F303" s="4538"/>
      <c r="G303" s="1391">
        <v>3000000</v>
      </c>
    </row>
    <row r="304" spans="1:7" x14ac:dyDescent="0.25">
      <c r="A304" s="1392" t="s">
        <v>2576</v>
      </c>
      <c r="B304" s="1392" t="s">
        <v>1151</v>
      </c>
      <c r="C304" s="1392" t="s">
        <v>1846</v>
      </c>
      <c r="D304" s="1392" t="s">
        <v>1847</v>
      </c>
      <c r="E304" s="1392" t="s">
        <v>1896</v>
      </c>
      <c r="F304" s="1392" t="s">
        <v>1900</v>
      </c>
      <c r="G304" s="1391">
        <v>3000000</v>
      </c>
    </row>
    <row r="305" spans="1:7" x14ac:dyDescent="0.25">
      <c r="A305" s="1392" t="s">
        <v>2576</v>
      </c>
      <c r="B305" s="1392" t="s">
        <v>1151</v>
      </c>
      <c r="C305" s="1392" t="s">
        <v>1846</v>
      </c>
      <c r="D305" s="1392" t="s">
        <v>1847</v>
      </c>
      <c r="E305" s="4536" t="s">
        <v>1903</v>
      </c>
      <c r="F305" s="4538"/>
      <c r="G305" s="1391">
        <v>83300000</v>
      </c>
    </row>
    <row r="306" spans="1:7" x14ac:dyDescent="0.25">
      <c r="A306" s="1392" t="s">
        <v>2576</v>
      </c>
      <c r="B306" s="1392" t="s">
        <v>1151</v>
      </c>
      <c r="C306" s="1392" t="s">
        <v>1846</v>
      </c>
      <c r="D306" s="1392" t="s">
        <v>1847</v>
      </c>
      <c r="E306" s="1392" t="s">
        <v>1903</v>
      </c>
      <c r="F306" s="1392" t="s">
        <v>1950</v>
      </c>
      <c r="G306" s="1391">
        <v>69850000</v>
      </c>
    </row>
    <row r="307" spans="1:7" x14ac:dyDescent="0.25">
      <c r="A307" s="1392" t="s">
        <v>2576</v>
      </c>
      <c r="B307" s="1392" t="s">
        <v>1151</v>
      </c>
      <c r="C307" s="1392" t="s">
        <v>1846</v>
      </c>
      <c r="D307" s="1392" t="s">
        <v>1847</v>
      </c>
      <c r="E307" s="1392" t="s">
        <v>1903</v>
      </c>
      <c r="F307" s="1392" t="s">
        <v>1904</v>
      </c>
      <c r="G307" s="1391">
        <v>13450000</v>
      </c>
    </row>
    <row r="308" spans="1:7" x14ac:dyDescent="0.25">
      <c r="A308" s="1392" t="s">
        <v>2576</v>
      </c>
      <c r="B308" s="1392" t="s">
        <v>1151</v>
      </c>
      <c r="C308" s="1392" t="s">
        <v>1846</v>
      </c>
      <c r="D308" s="1392" t="s">
        <v>1847</v>
      </c>
      <c r="E308" s="4536" t="s">
        <v>1906</v>
      </c>
      <c r="F308" s="4538"/>
      <c r="G308" s="1391">
        <v>26530500</v>
      </c>
    </row>
    <row r="309" spans="1:7" x14ac:dyDescent="0.25">
      <c r="A309" s="1392" t="s">
        <v>2576</v>
      </c>
      <c r="B309" s="1392" t="s">
        <v>1151</v>
      </c>
      <c r="C309" s="1392" t="s">
        <v>1846</v>
      </c>
      <c r="D309" s="1392" t="s">
        <v>1847</v>
      </c>
      <c r="E309" s="1392" t="s">
        <v>1906</v>
      </c>
      <c r="F309" s="1392" t="s">
        <v>1909</v>
      </c>
      <c r="G309" s="1391">
        <v>26530500</v>
      </c>
    </row>
    <row r="310" spans="1:7" x14ac:dyDescent="0.25">
      <c r="A310" s="1392" t="s">
        <v>2576</v>
      </c>
      <c r="B310" s="1392" t="s">
        <v>1151</v>
      </c>
      <c r="C310" s="1392" t="s">
        <v>1846</v>
      </c>
      <c r="D310" s="1392" t="s">
        <v>1847</v>
      </c>
      <c r="E310" s="4536" t="s">
        <v>1912</v>
      </c>
      <c r="F310" s="4538"/>
      <c r="G310" s="1391">
        <v>27585000</v>
      </c>
    </row>
    <row r="311" spans="1:7" x14ac:dyDescent="0.25">
      <c r="A311" s="1392" t="s">
        <v>2576</v>
      </c>
      <c r="B311" s="1392" t="s">
        <v>1151</v>
      </c>
      <c r="C311" s="1392" t="s">
        <v>1846</v>
      </c>
      <c r="D311" s="1392" t="s">
        <v>1847</v>
      </c>
      <c r="E311" s="1392" t="s">
        <v>1912</v>
      </c>
      <c r="F311" s="1392" t="s">
        <v>1915</v>
      </c>
      <c r="G311" s="1391">
        <v>24345000</v>
      </c>
    </row>
    <row r="312" spans="1:7" x14ac:dyDescent="0.25">
      <c r="A312" s="1392" t="s">
        <v>2576</v>
      </c>
      <c r="B312" s="1392" t="s">
        <v>1151</v>
      </c>
      <c r="C312" s="1392" t="s">
        <v>1846</v>
      </c>
      <c r="D312" s="1392" t="s">
        <v>1847</v>
      </c>
      <c r="E312" s="1392" t="s">
        <v>1912</v>
      </c>
      <c r="F312" s="1392" t="s">
        <v>1916</v>
      </c>
      <c r="G312" s="1391">
        <v>3240000</v>
      </c>
    </row>
    <row r="313" spans="1:7" x14ac:dyDescent="0.25">
      <c r="A313" s="1392" t="s">
        <v>2576</v>
      </c>
      <c r="B313" s="1392" t="s">
        <v>1151</v>
      </c>
      <c r="C313" s="1392" t="s">
        <v>1846</v>
      </c>
      <c r="D313" s="1392" t="s">
        <v>1847</v>
      </c>
      <c r="E313" s="4536" t="s">
        <v>1983</v>
      </c>
      <c r="F313" s="4538"/>
      <c r="G313" s="1391">
        <v>3600000</v>
      </c>
    </row>
    <row r="314" spans="1:7" x14ac:dyDescent="0.25">
      <c r="A314" s="1392" t="s">
        <v>2576</v>
      </c>
      <c r="B314" s="1392" t="s">
        <v>1151</v>
      </c>
      <c r="C314" s="1392" t="s">
        <v>1846</v>
      </c>
      <c r="D314" s="1392" t="s">
        <v>1847</v>
      </c>
      <c r="E314" s="1392" t="s">
        <v>1983</v>
      </c>
      <c r="F314" s="1392" t="s">
        <v>2240</v>
      </c>
      <c r="G314" s="1391">
        <v>3600000</v>
      </c>
    </row>
    <row r="315" spans="1:7" x14ac:dyDescent="0.25">
      <c r="A315" s="1392" t="s">
        <v>2576</v>
      </c>
      <c r="B315" s="4536" t="s">
        <v>1153</v>
      </c>
      <c r="C315" s="4537"/>
      <c r="D315" s="4537"/>
      <c r="E315" s="4537"/>
      <c r="F315" s="4538"/>
      <c r="G315" s="1391">
        <v>152876570183</v>
      </c>
    </row>
    <row r="316" spans="1:7" x14ac:dyDescent="0.25">
      <c r="A316" s="1392" t="s">
        <v>2576</v>
      </c>
      <c r="B316" s="1392" t="s">
        <v>1153</v>
      </c>
      <c r="C316" s="4536" t="s">
        <v>1933</v>
      </c>
      <c r="D316" s="4537"/>
      <c r="E316" s="4537"/>
      <c r="F316" s="4538"/>
      <c r="G316" s="1391">
        <v>151570260262</v>
      </c>
    </row>
    <row r="317" spans="1:7" x14ac:dyDescent="0.25">
      <c r="A317" s="1392" t="s">
        <v>2576</v>
      </c>
      <c r="B317" s="1392" t="s">
        <v>1153</v>
      </c>
      <c r="C317" s="1392" t="s">
        <v>1933</v>
      </c>
      <c r="D317" s="4536" t="s">
        <v>1934</v>
      </c>
      <c r="E317" s="4537"/>
      <c r="F317" s="4538"/>
      <c r="G317" s="1391">
        <v>43072014552</v>
      </c>
    </row>
    <row r="318" spans="1:7" x14ac:dyDescent="0.25">
      <c r="A318" s="1392" t="s">
        <v>2576</v>
      </c>
      <c r="B318" s="1392" t="s">
        <v>1153</v>
      </c>
      <c r="C318" s="1392" t="s">
        <v>1933</v>
      </c>
      <c r="D318" s="1392" t="s">
        <v>1934</v>
      </c>
      <c r="E318" s="4536" t="s">
        <v>1848</v>
      </c>
      <c r="F318" s="4538"/>
      <c r="G318" s="1391">
        <v>14670820444</v>
      </c>
    </row>
    <row r="319" spans="1:7" x14ac:dyDescent="0.25">
      <c r="A319" s="1392" t="s">
        <v>2576</v>
      </c>
      <c r="B319" s="1392" t="s">
        <v>1153</v>
      </c>
      <c r="C319" s="1392" t="s">
        <v>1933</v>
      </c>
      <c r="D319" s="1392" t="s">
        <v>1934</v>
      </c>
      <c r="E319" s="1392" t="s">
        <v>1848</v>
      </c>
      <c r="F319" s="1392" t="s">
        <v>1849</v>
      </c>
      <c r="G319" s="1391">
        <v>14601827022</v>
      </c>
    </row>
    <row r="320" spans="1:7" x14ac:dyDescent="0.25">
      <c r="A320" s="1392" t="s">
        <v>2576</v>
      </c>
      <c r="B320" s="1392" t="s">
        <v>1153</v>
      </c>
      <c r="C320" s="1392" t="s">
        <v>1933</v>
      </c>
      <c r="D320" s="1392" t="s">
        <v>1934</v>
      </c>
      <c r="E320" s="1392" t="s">
        <v>1848</v>
      </c>
      <c r="F320" s="1392" t="s">
        <v>1850</v>
      </c>
      <c r="G320" s="1391">
        <v>68993422</v>
      </c>
    </row>
    <row r="321" spans="1:7" x14ac:dyDescent="0.25">
      <c r="A321" s="1392" t="s">
        <v>2576</v>
      </c>
      <c r="B321" s="1392" t="s">
        <v>1153</v>
      </c>
      <c r="C321" s="1392" t="s">
        <v>1933</v>
      </c>
      <c r="D321" s="1392" t="s">
        <v>1934</v>
      </c>
      <c r="E321" s="4536" t="s">
        <v>1851</v>
      </c>
      <c r="F321" s="4538"/>
      <c r="G321" s="1391">
        <v>1195558762</v>
      </c>
    </row>
    <row r="322" spans="1:7" x14ac:dyDescent="0.25">
      <c r="A322" s="1392" t="s">
        <v>2576</v>
      </c>
      <c r="B322" s="1392" t="s">
        <v>1153</v>
      </c>
      <c r="C322" s="1392" t="s">
        <v>1933</v>
      </c>
      <c r="D322" s="1392" t="s">
        <v>1934</v>
      </c>
      <c r="E322" s="1392" t="s">
        <v>1851</v>
      </c>
      <c r="F322" s="1392" t="s">
        <v>1852</v>
      </c>
      <c r="G322" s="1391">
        <v>1195558762</v>
      </c>
    </row>
    <row r="323" spans="1:7" x14ac:dyDescent="0.25">
      <c r="A323" s="1392" t="s">
        <v>2576</v>
      </c>
      <c r="B323" s="1392" t="s">
        <v>1153</v>
      </c>
      <c r="C323" s="1392" t="s">
        <v>1933</v>
      </c>
      <c r="D323" s="1392" t="s">
        <v>1934</v>
      </c>
      <c r="E323" s="4536" t="s">
        <v>1853</v>
      </c>
      <c r="F323" s="4538"/>
      <c r="G323" s="1391">
        <v>14917373651</v>
      </c>
    </row>
    <row r="324" spans="1:7" x14ac:dyDescent="0.25">
      <c r="A324" s="1392" t="s">
        <v>2576</v>
      </c>
      <c r="B324" s="1392" t="s">
        <v>1153</v>
      </c>
      <c r="C324" s="1392" t="s">
        <v>1933</v>
      </c>
      <c r="D324" s="1392" t="s">
        <v>1934</v>
      </c>
      <c r="E324" s="1392" t="s">
        <v>1853</v>
      </c>
      <c r="F324" s="1392" t="s">
        <v>1854</v>
      </c>
      <c r="G324" s="1391">
        <v>424093980</v>
      </c>
    </row>
    <row r="325" spans="1:7" x14ac:dyDescent="0.25">
      <c r="A325" s="1392" t="s">
        <v>2576</v>
      </c>
      <c r="B325" s="1392" t="s">
        <v>1153</v>
      </c>
      <c r="C325" s="1392" t="s">
        <v>1933</v>
      </c>
      <c r="D325" s="1392" t="s">
        <v>1934</v>
      </c>
      <c r="E325" s="1392" t="s">
        <v>1853</v>
      </c>
      <c r="F325" s="1392" t="s">
        <v>1855</v>
      </c>
      <c r="G325" s="1391">
        <v>2488875682</v>
      </c>
    </row>
    <row r="326" spans="1:7" x14ac:dyDescent="0.25">
      <c r="A326" s="1392" t="s">
        <v>2576</v>
      </c>
      <c r="B326" s="1392" t="s">
        <v>1153</v>
      </c>
      <c r="C326" s="1392" t="s">
        <v>1933</v>
      </c>
      <c r="D326" s="1392" t="s">
        <v>1934</v>
      </c>
      <c r="E326" s="1392" t="s">
        <v>1853</v>
      </c>
      <c r="F326" s="1392" t="s">
        <v>1935</v>
      </c>
      <c r="G326" s="1391">
        <v>1019960725</v>
      </c>
    </row>
    <row r="327" spans="1:7" x14ac:dyDescent="0.25">
      <c r="A327" s="1392" t="s">
        <v>2576</v>
      </c>
      <c r="B327" s="1392" t="s">
        <v>1153</v>
      </c>
      <c r="C327" s="1392" t="s">
        <v>1933</v>
      </c>
      <c r="D327" s="1392" t="s">
        <v>1934</v>
      </c>
      <c r="E327" s="1392" t="s">
        <v>1853</v>
      </c>
      <c r="F327" s="1392" t="s">
        <v>1856</v>
      </c>
      <c r="G327" s="1391">
        <v>439784223</v>
      </c>
    </row>
    <row r="328" spans="1:7" x14ac:dyDescent="0.25">
      <c r="A328" s="1392" t="s">
        <v>2576</v>
      </c>
      <c r="B328" s="1392" t="s">
        <v>1153</v>
      </c>
      <c r="C328" s="1392" t="s">
        <v>1933</v>
      </c>
      <c r="D328" s="1392" t="s">
        <v>1934</v>
      </c>
      <c r="E328" s="1392" t="s">
        <v>1853</v>
      </c>
      <c r="F328" s="1392" t="s">
        <v>1937</v>
      </c>
      <c r="G328" s="1391">
        <v>8204993843</v>
      </c>
    </row>
    <row r="329" spans="1:7" x14ac:dyDescent="0.25">
      <c r="A329" s="1392" t="s">
        <v>2576</v>
      </c>
      <c r="B329" s="1392" t="s">
        <v>1153</v>
      </c>
      <c r="C329" s="1392" t="s">
        <v>1933</v>
      </c>
      <c r="D329" s="1392" t="s">
        <v>1934</v>
      </c>
      <c r="E329" s="1392" t="s">
        <v>1853</v>
      </c>
      <c r="F329" s="1392" t="s">
        <v>1858</v>
      </c>
      <c r="G329" s="1391">
        <v>43061000</v>
      </c>
    </row>
    <row r="330" spans="1:7" x14ac:dyDescent="0.25">
      <c r="A330" s="1392" t="s">
        <v>2576</v>
      </c>
      <c r="B330" s="1392" t="s">
        <v>1153</v>
      </c>
      <c r="C330" s="1392" t="s">
        <v>1933</v>
      </c>
      <c r="D330" s="1392" t="s">
        <v>1934</v>
      </c>
      <c r="E330" s="1392" t="s">
        <v>1853</v>
      </c>
      <c r="F330" s="1392" t="s">
        <v>1929</v>
      </c>
      <c r="G330" s="1391">
        <v>1866869198</v>
      </c>
    </row>
    <row r="331" spans="1:7" x14ac:dyDescent="0.25">
      <c r="A331" s="1392" t="s">
        <v>2576</v>
      </c>
      <c r="B331" s="1392" t="s">
        <v>1153</v>
      </c>
      <c r="C331" s="1392" t="s">
        <v>1933</v>
      </c>
      <c r="D331" s="1392" t="s">
        <v>1934</v>
      </c>
      <c r="E331" s="1392" t="s">
        <v>1853</v>
      </c>
      <c r="F331" s="1392" t="s">
        <v>1938</v>
      </c>
      <c r="G331" s="1391">
        <v>371010000</v>
      </c>
    </row>
    <row r="332" spans="1:7" x14ac:dyDescent="0.25">
      <c r="A332" s="1392" t="s">
        <v>2576</v>
      </c>
      <c r="B332" s="1392" t="s">
        <v>1153</v>
      </c>
      <c r="C332" s="1392" t="s">
        <v>1933</v>
      </c>
      <c r="D332" s="1392" t="s">
        <v>1934</v>
      </c>
      <c r="E332" s="1392" t="s">
        <v>1853</v>
      </c>
      <c r="F332" s="1392" t="s">
        <v>1939</v>
      </c>
      <c r="G332" s="1391">
        <v>58725000</v>
      </c>
    </row>
    <row r="333" spans="1:7" x14ac:dyDescent="0.25">
      <c r="A333" s="1392" t="s">
        <v>2576</v>
      </c>
      <c r="B333" s="1392" t="s">
        <v>1153</v>
      </c>
      <c r="C333" s="1392" t="s">
        <v>1933</v>
      </c>
      <c r="D333" s="1392" t="s">
        <v>1934</v>
      </c>
      <c r="E333" s="4536" t="s">
        <v>1940</v>
      </c>
      <c r="F333" s="4538"/>
      <c r="G333" s="1391">
        <v>462413500</v>
      </c>
    </row>
    <row r="334" spans="1:7" x14ac:dyDescent="0.25">
      <c r="A334" s="1392" t="s">
        <v>2576</v>
      </c>
      <c r="B334" s="1392" t="s">
        <v>1153</v>
      </c>
      <c r="C334" s="1392" t="s">
        <v>1933</v>
      </c>
      <c r="D334" s="1392" t="s">
        <v>1934</v>
      </c>
      <c r="E334" s="1392" t="s">
        <v>1940</v>
      </c>
      <c r="F334" s="1392" t="s">
        <v>1941</v>
      </c>
      <c r="G334" s="1391">
        <v>20264000</v>
      </c>
    </row>
    <row r="335" spans="1:7" x14ac:dyDescent="0.25">
      <c r="A335" s="1392" t="s">
        <v>2576</v>
      </c>
      <c r="B335" s="1392" t="s">
        <v>1153</v>
      </c>
      <c r="C335" s="1392" t="s">
        <v>1933</v>
      </c>
      <c r="D335" s="1392" t="s">
        <v>1934</v>
      </c>
      <c r="E335" s="1392" t="s">
        <v>1940</v>
      </c>
      <c r="F335" s="1392" t="s">
        <v>1942</v>
      </c>
      <c r="G335" s="1391">
        <v>442149500</v>
      </c>
    </row>
    <row r="336" spans="1:7" x14ac:dyDescent="0.25">
      <c r="A336" s="1392" t="s">
        <v>2576</v>
      </c>
      <c r="B336" s="1392" t="s">
        <v>1153</v>
      </c>
      <c r="C336" s="1392" t="s">
        <v>1933</v>
      </c>
      <c r="D336" s="1392" t="s">
        <v>1934</v>
      </c>
      <c r="E336" s="4536" t="s">
        <v>1860</v>
      </c>
      <c r="F336" s="4538"/>
      <c r="G336" s="1391">
        <v>181030000</v>
      </c>
    </row>
    <row r="337" spans="1:7" x14ac:dyDescent="0.25">
      <c r="A337" s="1392" t="s">
        <v>2576</v>
      </c>
      <c r="B337" s="1392" t="s">
        <v>1153</v>
      </c>
      <c r="C337" s="1392" t="s">
        <v>1933</v>
      </c>
      <c r="D337" s="1392" t="s">
        <v>1934</v>
      </c>
      <c r="E337" s="1392" t="s">
        <v>1860</v>
      </c>
      <c r="F337" s="1392" t="s">
        <v>1861</v>
      </c>
      <c r="G337" s="1391">
        <v>173130000</v>
      </c>
    </row>
    <row r="338" spans="1:7" x14ac:dyDescent="0.25">
      <c r="A338" s="1392" t="s">
        <v>2576</v>
      </c>
      <c r="B338" s="1392" t="s">
        <v>1153</v>
      </c>
      <c r="C338" s="1392" t="s">
        <v>1933</v>
      </c>
      <c r="D338" s="1392" t="s">
        <v>1934</v>
      </c>
      <c r="E338" s="1392" t="s">
        <v>1860</v>
      </c>
      <c r="F338" s="1392" t="s">
        <v>1930</v>
      </c>
      <c r="G338" s="1391">
        <v>7900000</v>
      </c>
    </row>
    <row r="339" spans="1:7" x14ac:dyDescent="0.25">
      <c r="A339" s="1392" t="s">
        <v>2576</v>
      </c>
      <c r="B339" s="1392" t="s">
        <v>1153</v>
      </c>
      <c r="C339" s="1392" t="s">
        <v>1933</v>
      </c>
      <c r="D339" s="1392" t="s">
        <v>1934</v>
      </c>
      <c r="E339" s="4536" t="s">
        <v>1943</v>
      </c>
      <c r="F339" s="4538"/>
      <c r="G339" s="1391">
        <v>1397000</v>
      </c>
    </row>
    <row r="340" spans="1:7" x14ac:dyDescent="0.25">
      <c r="A340" s="1392" t="s">
        <v>2576</v>
      </c>
      <c r="B340" s="1392" t="s">
        <v>1153</v>
      </c>
      <c r="C340" s="1392" t="s">
        <v>1933</v>
      </c>
      <c r="D340" s="1392" t="s">
        <v>1934</v>
      </c>
      <c r="E340" s="1392" t="s">
        <v>1943</v>
      </c>
      <c r="F340" s="1392" t="s">
        <v>1944</v>
      </c>
      <c r="G340" s="1391">
        <v>1397000</v>
      </c>
    </row>
    <row r="341" spans="1:7" x14ac:dyDescent="0.25">
      <c r="A341" s="1392" t="s">
        <v>2576</v>
      </c>
      <c r="B341" s="1392" t="s">
        <v>1153</v>
      </c>
      <c r="C341" s="1392" t="s">
        <v>1933</v>
      </c>
      <c r="D341" s="1392" t="s">
        <v>1934</v>
      </c>
      <c r="E341" s="4536" t="s">
        <v>1862</v>
      </c>
      <c r="F341" s="4538"/>
      <c r="G341" s="1391">
        <v>3976433190</v>
      </c>
    </row>
    <row r="342" spans="1:7" x14ac:dyDescent="0.25">
      <c r="A342" s="1392" t="s">
        <v>2576</v>
      </c>
      <c r="B342" s="1392" t="s">
        <v>1153</v>
      </c>
      <c r="C342" s="1392" t="s">
        <v>1933</v>
      </c>
      <c r="D342" s="1392" t="s">
        <v>1934</v>
      </c>
      <c r="E342" s="1392" t="s">
        <v>1862</v>
      </c>
      <c r="F342" s="1392" t="s">
        <v>1863</v>
      </c>
      <c r="G342" s="1391">
        <v>2900355544</v>
      </c>
    </row>
    <row r="343" spans="1:7" x14ac:dyDescent="0.25">
      <c r="A343" s="1392" t="s">
        <v>2576</v>
      </c>
      <c r="B343" s="1392" t="s">
        <v>1153</v>
      </c>
      <c r="C343" s="1392" t="s">
        <v>1933</v>
      </c>
      <c r="D343" s="1392" t="s">
        <v>1934</v>
      </c>
      <c r="E343" s="1392" t="s">
        <v>1862</v>
      </c>
      <c r="F343" s="1392" t="s">
        <v>1864</v>
      </c>
      <c r="G343" s="1391">
        <v>513588905</v>
      </c>
    </row>
    <row r="344" spans="1:7" x14ac:dyDescent="0.25">
      <c r="A344" s="1392" t="s">
        <v>2576</v>
      </c>
      <c r="B344" s="1392" t="s">
        <v>1153</v>
      </c>
      <c r="C344" s="1392" t="s">
        <v>1933</v>
      </c>
      <c r="D344" s="1392" t="s">
        <v>1934</v>
      </c>
      <c r="E344" s="1392" t="s">
        <v>1862</v>
      </c>
      <c r="F344" s="1392" t="s">
        <v>1865</v>
      </c>
      <c r="G344" s="1391">
        <v>339536771</v>
      </c>
    </row>
    <row r="345" spans="1:7" x14ac:dyDescent="0.25">
      <c r="A345" s="1392" t="s">
        <v>2576</v>
      </c>
      <c r="B345" s="1392" t="s">
        <v>1153</v>
      </c>
      <c r="C345" s="1392" t="s">
        <v>1933</v>
      </c>
      <c r="D345" s="1392" t="s">
        <v>1934</v>
      </c>
      <c r="E345" s="1392" t="s">
        <v>1862</v>
      </c>
      <c r="F345" s="1392" t="s">
        <v>1866</v>
      </c>
      <c r="G345" s="1391">
        <v>152091152</v>
      </c>
    </row>
    <row r="346" spans="1:7" x14ac:dyDescent="0.25">
      <c r="A346" s="1392" t="s">
        <v>2576</v>
      </c>
      <c r="B346" s="1392" t="s">
        <v>1153</v>
      </c>
      <c r="C346" s="1392" t="s">
        <v>1933</v>
      </c>
      <c r="D346" s="1392" t="s">
        <v>1934</v>
      </c>
      <c r="E346" s="1392" t="s">
        <v>1862</v>
      </c>
      <c r="F346" s="1392" t="s">
        <v>1945</v>
      </c>
      <c r="G346" s="1391">
        <v>70860818</v>
      </c>
    </row>
    <row r="347" spans="1:7" x14ac:dyDescent="0.25">
      <c r="A347" s="1392" t="s">
        <v>2576</v>
      </c>
      <c r="B347" s="1392" t="s">
        <v>1153</v>
      </c>
      <c r="C347" s="1392" t="s">
        <v>1933</v>
      </c>
      <c r="D347" s="1392" t="s">
        <v>1934</v>
      </c>
      <c r="E347" s="4536" t="s">
        <v>1867</v>
      </c>
      <c r="F347" s="4538"/>
      <c r="G347" s="1391">
        <v>1723348444</v>
      </c>
    </row>
    <row r="348" spans="1:7" x14ac:dyDescent="0.25">
      <c r="A348" s="1392" t="s">
        <v>2576</v>
      </c>
      <c r="B348" s="1392" t="s">
        <v>1153</v>
      </c>
      <c r="C348" s="1392" t="s">
        <v>1933</v>
      </c>
      <c r="D348" s="1392" t="s">
        <v>1934</v>
      </c>
      <c r="E348" s="1392" t="s">
        <v>1867</v>
      </c>
      <c r="F348" s="1392" t="s">
        <v>1946</v>
      </c>
      <c r="G348" s="1391">
        <v>1229428500</v>
      </c>
    </row>
    <row r="349" spans="1:7" x14ac:dyDescent="0.25">
      <c r="A349" s="1392" t="s">
        <v>2576</v>
      </c>
      <c r="B349" s="1392" t="s">
        <v>1153</v>
      </c>
      <c r="C349" s="1392" t="s">
        <v>1933</v>
      </c>
      <c r="D349" s="1392" t="s">
        <v>1934</v>
      </c>
      <c r="E349" s="1392" t="s">
        <v>1867</v>
      </c>
      <c r="F349" s="1392" t="s">
        <v>1868</v>
      </c>
      <c r="G349" s="1391">
        <v>493919944</v>
      </c>
    </row>
    <row r="350" spans="1:7" x14ac:dyDescent="0.25">
      <c r="A350" s="1392" t="s">
        <v>2576</v>
      </c>
      <c r="B350" s="1392" t="s">
        <v>1153</v>
      </c>
      <c r="C350" s="1392" t="s">
        <v>1933</v>
      </c>
      <c r="D350" s="1392" t="s">
        <v>1934</v>
      </c>
      <c r="E350" s="4536" t="s">
        <v>1869</v>
      </c>
      <c r="F350" s="4538"/>
      <c r="G350" s="1391">
        <v>217687010</v>
      </c>
    </row>
    <row r="351" spans="1:7" x14ac:dyDescent="0.25">
      <c r="A351" s="1392" t="s">
        <v>2576</v>
      </c>
      <c r="B351" s="1392" t="s">
        <v>1153</v>
      </c>
      <c r="C351" s="1392" t="s">
        <v>1933</v>
      </c>
      <c r="D351" s="1392" t="s">
        <v>1934</v>
      </c>
      <c r="E351" s="1392" t="s">
        <v>1869</v>
      </c>
      <c r="F351" s="1392" t="s">
        <v>1870</v>
      </c>
      <c r="G351" s="1391">
        <v>173310247</v>
      </c>
    </row>
    <row r="352" spans="1:7" x14ac:dyDescent="0.25">
      <c r="A352" s="1392" t="s">
        <v>2576</v>
      </c>
      <c r="B352" s="1392" t="s">
        <v>1153</v>
      </c>
      <c r="C352" s="1392" t="s">
        <v>1933</v>
      </c>
      <c r="D352" s="1392" t="s">
        <v>1934</v>
      </c>
      <c r="E352" s="1392" t="s">
        <v>1869</v>
      </c>
      <c r="F352" s="1392" t="s">
        <v>1871</v>
      </c>
      <c r="G352" s="1391">
        <v>42976763</v>
      </c>
    </row>
    <row r="353" spans="1:7" x14ac:dyDescent="0.25">
      <c r="A353" s="1392" t="s">
        <v>2576</v>
      </c>
      <c r="B353" s="1392" t="s">
        <v>1153</v>
      </c>
      <c r="C353" s="1392" t="s">
        <v>1933</v>
      </c>
      <c r="D353" s="1392" t="s">
        <v>1934</v>
      </c>
      <c r="E353" s="1392" t="s">
        <v>1869</v>
      </c>
      <c r="F353" s="1392" t="s">
        <v>1873</v>
      </c>
      <c r="G353" s="1391">
        <v>1400000</v>
      </c>
    </row>
    <row r="354" spans="1:7" x14ac:dyDescent="0.25">
      <c r="A354" s="1392" t="s">
        <v>2576</v>
      </c>
      <c r="B354" s="1392" t="s">
        <v>1153</v>
      </c>
      <c r="C354" s="1392" t="s">
        <v>1933</v>
      </c>
      <c r="D354" s="1392" t="s">
        <v>1934</v>
      </c>
      <c r="E354" s="4536" t="s">
        <v>1874</v>
      </c>
      <c r="F354" s="4538"/>
      <c r="G354" s="1391">
        <v>1817302982</v>
      </c>
    </row>
    <row r="355" spans="1:7" x14ac:dyDescent="0.25">
      <c r="A355" s="1392" t="s">
        <v>2576</v>
      </c>
      <c r="B355" s="1392" t="s">
        <v>1153</v>
      </c>
      <c r="C355" s="1392" t="s">
        <v>1933</v>
      </c>
      <c r="D355" s="1392" t="s">
        <v>1934</v>
      </c>
      <c r="E355" s="1392" t="s">
        <v>1874</v>
      </c>
      <c r="F355" s="1392" t="s">
        <v>1875</v>
      </c>
      <c r="G355" s="1391">
        <v>307421621</v>
      </c>
    </row>
    <row r="356" spans="1:7" x14ac:dyDescent="0.25">
      <c r="A356" s="1392" t="s">
        <v>2576</v>
      </c>
      <c r="B356" s="1392" t="s">
        <v>1153</v>
      </c>
      <c r="C356" s="1392" t="s">
        <v>1933</v>
      </c>
      <c r="D356" s="1392" t="s">
        <v>1934</v>
      </c>
      <c r="E356" s="1392" t="s">
        <v>1874</v>
      </c>
      <c r="F356" s="1392" t="s">
        <v>1876</v>
      </c>
      <c r="G356" s="1391">
        <v>1015777537</v>
      </c>
    </row>
    <row r="357" spans="1:7" x14ac:dyDescent="0.25">
      <c r="A357" s="1392" t="s">
        <v>2576</v>
      </c>
      <c r="B357" s="1392" t="s">
        <v>1153</v>
      </c>
      <c r="C357" s="1392" t="s">
        <v>1933</v>
      </c>
      <c r="D357" s="1392" t="s">
        <v>1934</v>
      </c>
      <c r="E357" s="1392" t="s">
        <v>1874</v>
      </c>
      <c r="F357" s="1392" t="s">
        <v>1877</v>
      </c>
      <c r="G357" s="1391">
        <v>494103824</v>
      </c>
    </row>
    <row r="358" spans="1:7" x14ac:dyDescent="0.25">
      <c r="A358" s="1392" t="s">
        <v>2576</v>
      </c>
      <c r="B358" s="1392" t="s">
        <v>1153</v>
      </c>
      <c r="C358" s="1392" t="s">
        <v>1933</v>
      </c>
      <c r="D358" s="1392" t="s">
        <v>1934</v>
      </c>
      <c r="E358" s="4536" t="s">
        <v>1878</v>
      </c>
      <c r="F358" s="4538"/>
      <c r="G358" s="1391">
        <v>78823792</v>
      </c>
    </row>
    <row r="359" spans="1:7" x14ac:dyDescent="0.25">
      <c r="A359" s="1392" t="s">
        <v>2576</v>
      </c>
      <c r="B359" s="1392" t="s">
        <v>1153</v>
      </c>
      <c r="C359" s="1392" t="s">
        <v>1933</v>
      </c>
      <c r="D359" s="1392" t="s">
        <v>1934</v>
      </c>
      <c r="E359" s="1392" t="s">
        <v>1878</v>
      </c>
      <c r="F359" s="1392" t="s">
        <v>1879</v>
      </c>
      <c r="G359" s="1391">
        <v>35334693</v>
      </c>
    </row>
    <row r="360" spans="1:7" x14ac:dyDescent="0.25">
      <c r="A360" s="1392" t="s">
        <v>2576</v>
      </c>
      <c r="B360" s="1392" t="s">
        <v>1153</v>
      </c>
      <c r="C360" s="1392" t="s">
        <v>1933</v>
      </c>
      <c r="D360" s="1392" t="s">
        <v>1934</v>
      </c>
      <c r="E360" s="1392" t="s">
        <v>1878</v>
      </c>
      <c r="F360" s="1392" t="s">
        <v>1881</v>
      </c>
      <c r="G360" s="1391">
        <v>11846999</v>
      </c>
    </row>
    <row r="361" spans="1:7" x14ac:dyDescent="0.25">
      <c r="A361" s="1392" t="s">
        <v>2576</v>
      </c>
      <c r="B361" s="1392" t="s">
        <v>1153</v>
      </c>
      <c r="C361" s="1392" t="s">
        <v>1933</v>
      </c>
      <c r="D361" s="1392" t="s">
        <v>1934</v>
      </c>
      <c r="E361" s="1392" t="s">
        <v>1878</v>
      </c>
      <c r="F361" s="1392" t="s">
        <v>1882</v>
      </c>
      <c r="G361" s="1391">
        <v>15086000</v>
      </c>
    </row>
    <row r="362" spans="1:7" x14ac:dyDescent="0.25">
      <c r="A362" s="1392" t="s">
        <v>2576</v>
      </c>
      <c r="B362" s="1392" t="s">
        <v>1153</v>
      </c>
      <c r="C362" s="1392" t="s">
        <v>1933</v>
      </c>
      <c r="D362" s="1392" t="s">
        <v>1934</v>
      </c>
      <c r="E362" s="1392" t="s">
        <v>1878</v>
      </c>
      <c r="F362" s="1392" t="s">
        <v>1883</v>
      </c>
      <c r="G362" s="1391">
        <v>6771100</v>
      </c>
    </row>
    <row r="363" spans="1:7" x14ac:dyDescent="0.25">
      <c r="A363" s="1392" t="s">
        <v>2576</v>
      </c>
      <c r="B363" s="1392" t="s">
        <v>1153</v>
      </c>
      <c r="C363" s="1392" t="s">
        <v>1933</v>
      </c>
      <c r="D363" s="1392" t="s">
        <v>1934</v>
      </c>
      <c r="E363" s="1392" t="s">
        <v>1878</v>
      </c>
      <c r="F363" s="1392" t="s">
        <v>1949</v>
      </c>
      <c r="G363" s="1391">
        <v>9785000</v>
      </c>
    </row>
    <row r="364" spans="1:7" x14ac:dyDescent="0.25">
      <c r="A364" s="1392" t="s">
        <v>2576</v>
      </c>
      <c r="B364" s="1392" t="s">
        <v>1153</v>
      </c>
      <c r="C364" s="1392" t="s">
        <v>1933</v>
      </c>
      <c r="D364" s="1392" t="s">
        <v>1934</v>
      </c>
      <c r="E364" s="4536" t="s">
        <v>1885</v>
      </c>
      <c r="F364" s="4538"/>
      <c r="G364" s="1391">
        <v>147358500</v>
      </c>
    </row>
    <row r="365" spans="1:7" x14ac:dyDescent="0.25">
      <c r="A365" s="1392" t="s">
        <v>2576</v>
      </c>
      <c r="B365" s="1392" t="s">
        <v>1153</v>
      </c>
      <c r="C365" s="1392" t="s">
        <v>1933</v>
      </c>
      <c r="D365" s="1392" t="s">
        <v>1934</v>
      </c>
      <c r="E365" s="1392" t="s">
        <v>1885</v>
      </c>
      <c r="F365" s="1392" t="s">
        <v>1925</v>
      </c>
      <c r="G365" s="1391">
        <v>4445000</v>
      </c>
    </row>
    <row r="366" spans="1:7" x14ac:dyDescent="0.25">
      <c r="A366" s="1392" t="s">
        <v>2576</v>
      </c>
      <c r="B366" s="1392" t="s">
        <v>1153</v>
      </c>
      <c r="C366" s="1392" t="s">
        <v>1933</v>
      </c>
      <c r="D366" s="1392" t="s">
        <v>1934</v>
      </c>
      <c r="E366" s="1392" t="s">
        <v>1885</v>
      </c>
      <c r="F366" s="1392" t="s">
        <v>1886</v>
      </c>
      <c r="G366" s="1391">
        <v>5400000</v>
      </c>
    </row>
    <row r="367" spans="1:7" x14ac:dyDescent="0.25">
      <c r="A367" s="1392" t="s">
        <v>2576</v>
      </c>
      <c r="B367" s="1392" t="s">
        <v>1153</v>
      </c>
      <c r="C367" s="1392" t="s">
        <v>1933</v>
      </c>
      <c r="D367" s="1392" t="s">
        <v>1934</v>
      </c>
      <c r="E367" s="1392" t="s">
        <v>1885</v>
      </c>
      <c r="F367" s="1392" t="s">
        <v>1926</v>
      </c>
      <c r="G367" s="1391">
        <v>2400000</v>
      </c>
    </row>
    <row r="368" spans="1:7" x14ac:dyDescent="0.25">
      <c r="A368" s="1392" t="s">
        <v>2576</v>
      </c>
      <c r="B368" s="1392" t="s">
        <v>1153</v>
      </c>
      <c r="C368" s="1392" t="s">
        <v>1933</v>
      </c>
      <c r="D368" s="1392" t="s">
        <v>1934</v>
      </c>
      <c r="E368" s="1392" t="s">
        <v>1885</v>
      </c>
      <c r="F368" s="1392" t="s">
        <v>1927</v>
      </c>
      <c r="G368" s="1391">
        <v>5750000</v>
      </c>
    </row>
    <row r="369" spans="1:7" x14ac:dyDescent="0.25">
      <c r="A369" s="1392" t="s">
        <v>2576</v>
      </c>
      <c r="B369" s="1392" t="s">
        <v>1153</v>
      </c>
      <c r="C369" s="1392" t="s">
        <v>1933</v>
      </c>
      <c r="D369" s="1392" t="s">
        <v>1934</v>
      </c>
      <c r="E369" s="1392" t="s">
        <v>1885</v>
      </c>
      <c r="F369" s="1392" t="s">
        <v>1888</v>
      </c>
      <c r="G369" s="1391">
        <v>129363500</v>
      </c>
    </row>
    <row r="370" spans="1:7" x14ac:dyDescent="0.25">
      <c r="A370" s="1392" t="s">
        <v>2576</v>
      </c>
      <c r="B370" s="1392" t="s">
        <v>1153</v>
      </c>
      <c r="C370" s="1392" t="s">
        <v>1933</v>
      </c>
      <c r="D370" s="1392" t="s">
        <v>1934</v>
      </c>
      <c r="E370" s="4536" t="s">
        <v>1889</v>
      </c>
      <c r="F370" s="4538"/>
      <c r="G370" s="1391">
        <v>321530222</v>
      </c>
    </row>
    <row r="371" spans="1:7" x14ac:dyDescent="0.25">
      <c r="A371" s="1392" t="s">
        <v>2576</v>
      </c>
      <c r="B371" s="1392" t="s">
        <v>1153</v>
      </c>
      <c r="C371" s="1392" t="s">
        <v>1933</v>
      </c>
      <c r="D371" s="1392" t="s">
        <v>1934</v>
      </c>
      <c r="E371" s="1392" t="s">
        <v>1889</v>
      </c>
      <c r="F371" s="1392" t="s">
        <v>1921</v>
      </c>
      <c r="G371" s="1391">
        <v>3475000</v>
      </c>
    </row>
    <row r="372" spans="1:7" x14ac:dyDescent="0.25">
      <c r="A372" s="1392" t="s">
        <v>2576</v>
      </c>
      <c r="B372" s="1392" t="s">
        <v>1153</v>
      </c>
      <c r="C372" s="1392" t="s">
        <v>1933</v>
      </c>
      <c r="D372" s="1392" t="s">
        <v>1934</v>
      </c>
      <c r="E372" s="1392" t="s">
        <v>1889</v>
      </c>
      <c r="F372" s="1392" t="s">
        <v>1890</v>
      </c>
      <c r="G372" s="1391">
        <v>149840000</v>
      </c>
    </row>
    <row r="373" spans="1:7" x14ac:dyDescent="0.25">
      <c r="A373" s="1392" t="s">
        <v>2576</v>
      </c>
      <c r="B373" s="1392" t="s">
        <v>1153</v>
      </c>
      <c r="C373" s="1392" t="s">
        <v>1933</v>
      </c>
      <c r="D373" s="1392" t="s">
        <v>1934</v>
      </c>
      <c r="E373" s="1392" t="s">
        <v>1889</v>
      </c>
      <c r="F373" s="1392" t="s">
        <v>1891</v>
      </c>
      <c r="G373" s="1391">
        <v>66435000</v>
      </c>
    </row>
    <row r="374" spans="1:7" x14ac:dyDescent="0.25">
      <c r="A374" s="1392" t="s">
        <v>2576</v>
      </c>
      <c r="B374" s="1392" t="s">
        <v>1153</v>
      </c>
      <c r="C374" s="1392" t="s">
        <v>1933</v>
      </c>
      <c r="D374" s="1392" t="s">
        <v>1934</v>
      </c>
      <c r="E374" s="1392" t="s">
        <v>1889</v>
      </c>
      <c r="F374" s="1392" t="s">
        <v>1892</v>
      </c>
      <c r="G374" s="1391">
        <v>10550000</v>
      </c>
    </row>
    <row r="375" spans="1:7" x14ac:dyDescent="0.25">
      <c r="A375" s="1392" t="s">
        <v>2576</v>
      </c>
      <c r="B375" s="1392" t="s">
        <v>1153</v>
      </c>
      <c r="C375" s="1392" t="s">
        <v>1933</v>
      </c>
      <c r="D375" s="1392" t="s">
        <v>1934</v>
      </c>
      <c r="E375" s="1392" t="s">
        <v>1889</v>
      </c>
      <c r="F375" s="1392" t="s">
        <v>1922</v>
      </c>
      <c r="G375" s="1391">
        <v>91230222</v>
      </c>
    </row>
    <row r="376" spans="1:7" x14ac:dyDescent="0.25">
      <c r="A376" s="1392" t="s">
        <v>2576</v>
      </c>
      <c r="B376" s="1392" t="s">
        <v>1153</v>
      </c>
      <c r="C376" s="1392" t="s">
        <v>1933</v>
      </c>
      <c r="D376" s="1392" t="s">
        <v>1934</v>
      </c>
      <c r="E376" s="4536" t="s">
        <v>1893</v>
      </c>
      <c r="F376" s="4538"/>
      <c r="G376" s="1391">
        <v>355240000</v>
      </c>
    </row>
    <row r="377" spans="1:7" x14ac:dyDescent="0.25">
      <c r="A377" s="1392" t="s">
        <v>2576</v>
      </c>
      <c r="B377" s="1392" t="s">
        <v>1153</v>
      </c>
      <c r="C377" s="1392" t="s">
        <v>1933</v>
      </c>
      <c r="D377" s="1392" t="s">
        <v>1934</v>
      </c>
      <c r="E377" s="1392" t="s">
        <v>1893</v>
      </c>
      <c r="F377" s="1392" t="s">
        <v>1894</v>
      </c>
      <c r="G377" s="1391">
        <v>3800000</v>
      </c>
    </row>
    <row r="378" spans="1:7" x14ac:dyDescent="0.25">
      <c r="A378" s="1392" t="s">
        <v>2576</v>
      </c>
      <c r="B378" s="1392" t="s">
        <v>1153</v>
      </c>
      <c r="C378" s="1392" t="s">
        <v>1933</v>
      </c>
      <c r="D378" s="1392" t="s">
        <v>1934</v>
      </c>
      <c r="E378" s="1392" t="s">
        <v>1893</v>
      </c>
      <c r="F378" s="1392" t="s">
        <v>2051</v>
      </c>
      <c r="G378" s="1391">
        <v>119130000</v>
      </c>
    </row>
    <row r="379" spans="1:7" x14ac:dyDescent="0.25">
      <c r="A379" s="1392" t="s">
        <v>2576</v>
      </c>
      <c r="B379" s="1392" t="s">
        <v>1153</v>
      </c>
      <c r="C379" s="1392" t="s">
        <v>1933</v>
      </c>
      <c r="D379" s="1392" t="s">
        <v>1934</v>
      </c>
      <c r="E379" s="1392" t="s">
        <v>1893</v>
      </c>
      <c r="F379" s="1392" t="s">
        <v>1895</v>
      </c>
      <c r="G379" s="1391">
        <v>232310000</v>
      </c>
    </row>
    <row r="380" spans="1:7" x14ac:dyDescent="0.25">
      <c r="A380" s="1392" t="s">
        <v>2576</v>
      </c>
      <c r="B380" s="1392" t="s">
        <v>1153</v>
      </c>
      <c r="C380" s="1392" t="s">
        <v>1933</v>
      </c>
      <c r="D380" s="1392" t="s">
        <v>1934</v>
      </c>
      <c r="E380" s="4536" t="s">
        <v>1896</v>
      </c>
      <c r="F380" s="4538"/>
      <c r="G380" s="1391">
        <v>1225977716</v>
      </c>
    </row>
    <row r="381" spans="1:7" x14ac:dyDescent="0.25">
      <c r="A381" s="1392" t="s">
        <v>2576</v>
      </c>
      <c r="B381" s="1392" t="s">
        <v>1153</v>
      </c>
      <c r="C381" s="1392" t="s">
        <v>1933</v>
      </c>
      <c r="D381" s="1392" t="s">
        <v>1934</v>
      </c>
      <c r="E381" s="1392" t="s">
        <v>1896</v>
      </c>
      <c r="F381" s="1392" t="s">
        <v>1899</v>
      </c>
      <c r="G381" s="1391">
        <v>93372971</v>
      </c>
    </row>
    <row r="382" spans="1:7" x14ac:dyDescent="0.25">
      <c r="A382" s="1392" t="s">
        <v>2576</v>
      </c>
      <c r="B382" s="1392" t="s">
        <v>1153</v>
      </c>
      <c r="C382" s="1392" t="s">
        <v>1933</v>
      </c>
      <c r="D382" s="1392" t="s">
        <v>1934</v>
      </c>
      <c r="E382" s="1392" t="s">
        <v>1896</v>
      </c>
      <c r="F382" s="1392" t="s">
        <v>1900</v>
      </c>
      <c r="G382" s="1391">
        <v>421020465</v>
      </c>
    </row>
    <row r="383" spans="1:7" x14ac:dyDescent="0.25">
      <c r="A383" s="1392" t="s">
        <v>2576</v>
      </c>
      <c r="B383" s="1392" t="s">
        <v>1153</v>
      </c>
      <c r="C383" s="1392" t="s">
        <v>1933</v>
      </c>
      <c r="D383" s="1392" t="s">
        <v>1934</v>
      </c>
      <c r="E383" s="1392" t="s">
        <v>1896</v>
      </c>
      <c r="F383" s="1392" t="s">
        <v>1928</v>
      </c>
      <c r="G383" s="1391">
        <v>117849500</v>
      </c>
    </row>
    <row r="384" spans="1:7" x14ac:dyDescent="0.25">
      <c r="A384" s="1392" t="s">
        <v>2576</v>
      </c>
      <c r="B384" s="1392" t="s">
        <v>1153</v>
      </c>
      <c r="C384" s="1392" t="s">
        <v>1933</v>
      </c>
      <c r="D384" s="1392" t="s">
        <v>1934</v>
      </c>
      <c r="E384" s="1392" t="s">
        <v>1896</v>
      </c>
      <c r="F384" s="1392" t="s">
        <v>1902</v>
      </c>
      <c r="G384" s="1391">
        <v>593734780</v>
      </c>
    </row>
    <row r="385" spans="1:7" x14ac:dyDescent="0.25">
      <c r="A385" s="1392" t="s">
        <v>2576</v>
      </c>
      <c r="B385" s="1392" t="s">
        <v>1153</v>
      </c>
      <c r="C385" s="1392" t="s">
        <v>1933</v>
      </c>
      <c r="D385" s="1392" t="s">
        <v>1934</v>
      </c>
      <c r="E385" s="4536" t="s">
        <v>1903</v>
      </c>
      <c r="F385" s="4538"/>
      <c r="G385" s="1391">
        <v>638563000</v>
      </c>
    </row>
    <row r="386" spans="1:7" x14ac:dyDescent="0.25">
      <c r="A386" s="1392" t="s">
        <v>2576</v>
      </c>
      <c r="B386" s="1392" t="s">
        <v>1153</v>
      </c>
      <c r="C386" s="1392" t="s">
        <v>1933</v>
      </c>
      <c r="D386" s="1392" t="s">
        <v>1934</v>
      </c>
      <c r="E386" s="1392" t="s">
        <v>1903</v>
      </c>
      <c r="F386" s="1392" t="s">
        <v>1950</v>
      </c>
      <c r="G386" s="1391">
        <v>36300000</v>
      </c>
    </row>
    <row r="387" spans="1:7" x14ac:dyDescent="0.25">
      <c r="A387" s="1392" t="s">
        <v>2576</v>
      </c>
      <c r="B387" s="1392" t="s">
        <v>1153</v>
      </c>
      <c r="C387" s="1392" t="s">
        <v>1933</v>
      </c>
      <c r="D387" s="1392" t="s">
        <v>1934</v>
      </c>
      <c r="E387" s="1392" t="s">
        <v>1903</v>
      </c>
      <c r="F387" s="1392" t="s">
        <v>1904</v>
      </c>
      <c r="G387" s="1391">
        <v>92946000</v>
      </c>
    </row>
    <row r="388" spans="1:7" x14ac:dyDescent="0.25">
      <c r="A388" s="1392" t="s">
        <v>2576</v>
      </c>
      <c r="B388" s="1392" t="s">
        <v>1153</v>
      </c>
      <c r="C388" s="1392" t="s">
        <v>1933</v>
      </c>
      <c r="D388" s="1392" t="s">
        <v>1934</v>
      </c>
      <c r="E388" s="1392" t="s">
        <v>1903</v>
      </c>
      <c r="F388" s="1392" t="s">
        <v>1905</v>
      </c>
      <c r="G388" s="1391">
        <v>509317000</v>
      </c>
    </row>
    <row r="389" spans="1:7" x14ac:dyDescent="0.25">
      <c r="A389" s="1392" t="s">
        <v>2576</v>
      </c>
      <c r="B389" s="1392" t="s">
        <v>1153</v>
      </c>
      <c r="C389" s="1392" t="s">
        <v>1933</v>
      </c>
      <c r="D389" s="1392" t="s">
        <v>1934</v>
      </c>
      <c r="E389" s="4536" t="s">
        <v>1906</v>
      </c>
      <c r="F389" s="4538"/>
      <c r="G389" s="1391">
        <v>598035564</v>
      </c>
    </row>
    <row r="390" spans="1:7" x14ac:dyDescent="0.25">
      <c r="A390" s="1392" t="s">
        <v>2576</v>
      </c>
      <c r="B390" s="1392" t="s">
        <v>1153</v>
      </c>
      <c r="C390" s="1392" t="s">
        <v>1933</v>
      </c>
      <c r="D390" s="1392" t="s">
        <v>1934</v>
      </c>
      <c r="E390" s="1392" t="s">
        <v>1906</v>
      </c>
      <c r="F390" s="1392" t="s">
        <v>1907</v>
      </c>
      <c r="G390" s="1391">
        <v>196197590</v>
      </c>
    </row>
    <row r="391" spans="1:7" x14ac:dyDescent="0.25">
      <c r="A391" s="1392" t="s">
        <v>2576</v>
      </c>
      <c r="B391" s="1392" t="s">
        <v>1153</v>
      </c>
      <c r="C391" s="1392" t="s">
        <v>1933</v>
      </c>
      <c r="D391" s="1392" t="s">
        <v>1934</v>
      </c>
      <c r="E391" s="1392" t="s">
        <v>1906</v>
      </c>
      <c r="F391" s="1392" t="s">
        <v>1908</v>
      </c>
      <c r="G391" s="1391">
        <v>7370000</v>
      </c>
    </row>
    <row r="392" spans="1:7" x14ac:dyDescent="0.25">
      <c r="A392" s="1392" t="s">
        <v>2576</v>
      </c>
      <c r="B392" s="1392" t="s">
        <v>1153</v>
      </c>
      <c r="C392" s="1392" t="s">
        <v>1933</v>
      </c>
      <c r="D392" s="1392" t="s">
        <v>1934</v>
      </c>
      <c r="E392" s="1392" t="s">
        <v>1906</v>
      </c>
      <c r="F392" s="1392" t="s">
        <v>1909</v>
      </c>
      <c r="G392" s="1391">
        <v>394467974</v>
      </c>
    </row>
    <row r="393" spans="1:7" x14ac:dyDescent="0.25">
      <c r="A393" s="1392" t="s">
        <v>2576</v>
      </c>
      <c r="B393" s="1392" t="s">
        <v>1153</v>
      </c>
      <c r="C393" s="1392" t="s">
        <v>1933</v>
      </c>
      <c r="D393" s="1392" t="s">
        <v>1934</v>
      </c>
      <c r="E393" s="4536" t="s">
        <v>1912</v>
      </c>
      <c r="F393" s="4538"/>
      <c r="G393" s="1391">
        <v>543120775</v>
      </c>
    </row>
    <row r="394" spans="1:7" x14ac:dyDescent="0.25">
      <c r="A394" s="1392" t="s">
        <v>2576</v>
      </c>
      <c r="B394" s="1392" t="s">
        <v>1153</v>
      </c>
      <c r="C394" s="1392" t="s">
        <v>1933</v>
      </c>
      <c r="D394" s="1392" t="s">
        <v>1934</v>
      </c>
      <c r="E394" s="1392" t="s">
        <v>1912</v>
      </c>
      <c r="F394" s="1392" t="s">
        <v>1913</v>
      </c>
      <c r="G394" s="1391">
        <v>6120600</v>
      </c>
    </row>
    <row r="395" spans="1:7" x14ac:dyDescent="0.25">
      <c r="A395" s="1392" t="s">
        <v>2576</v>
      </c>
      <c r="B395" s="1392" t="s">
        <v>1153</v>
      </c>
      <c r="C395" s="1392" t="s">
        <v>1933</v>
      </c>
      <c r="D395" s="1392" t="s">
        <v>1934</v>
      </c>
      <c r="E395" s="1392" t="s">
        <v>1912</v>
      </c>
      <c r="F395" s="1392" t="s">
        <v>1915</v>
      </c>
      <c r="G395" s="1391">
        <v>18600000</v>
      </c>
    </row>
    <row r="396" spans="1:7" x14ac:dyDescent="0.25">
      <c r="A396" s="1392" t="s">
        <v>2576</v>
      </c>
      <c r="B396" s="1392" t="s">
        <v>1153</v>
      </c>
      <c r="C396" s="1392" t="s">
        <v>1933</v>
      </c>
      <c r="D396" s="1392" t="s">
        <v>1934</v>
      </c>
      <c r="E396" s="1392" t="s">
        <v>1912</v>
      </c>
      <c r="F396" s="1392" t="s">
        <v>1951</v>
      </c>
      <c r="G396" s="1391">
        <v>108246060</v>
      </c>
    </row>
    <row r="397" spans="1:7" x14ac:dyDescent="0.25">
      <c r="A397" s="1392" t="s">
        <v>2576</v>
      </c>
      <c r="B397" s="1392" t="s">
        <v>1153</v>
      </c>
      <c r="C397" s="1392" t="s">
        <v>1933</v>
      </c>
      <c r="D397" s="1392" t="s">
        <v>1934</v>
      </c>
      <c r="E397" s="1392" t="s">
        <v>1912</v>
      </c>
      <c r="F397" s="1392" t="s">
        <v>1916</v>
      </c>
      <c r="G397" s="1391">
        <v>410154115</v>
      </c>
    </row>
    <row r="398" spans="1:7" x14ac:dyDescent="0.25">
      <c r="A398" s="1392" t="s">
        <v>2576</v>
      </c>
      <c r="B398" s="1392" t="s">
        <v>1153</v>
      </c>
      <c r="C398" s="1392" t="s">
        <v>1933</v>
      </c>
      <c r="D398" s="4536" t="s">
        <v>1952</v>
      </c>
      <c r="E398" s="4537"/>
      <c r="F398" s="4538"/>
      <c r="G398" s="1391">
        <v>51265053172</v>
      </c>
    </row>
    <row r="399" spans="1:7" x14ac:dyDescent="0.25">
      <c r="A399" s="1392" t="s">
        <v>2576</v>
      </c>
      <c r="B399" s="1392" t="s">
        <v>1153</v>
      </c>
      <c r="C399" s="1392" t="s">
        <v>1933</v>
      </c>
      <c r="D399" s="1392" t="s">
        <v>1952</v>
      </c>
      <c r="E399" s="4536" t="s">
        <v>1848</v>
      </c>
      <c r="F399" s="4538"/>
      <c r="G399" s="1391">
        <v>16978651100</v>
      </c>
    </row>
    <row r="400" spans="1:7" x14ac:dyDescent="0.25">
      <c r="A400" s="1392" t="s">
        <v>2576</v>
      </c>
      <c r="B400" s="1392" t="s">
        <v>1153</v>
      </c>
      <c r="C400" s="1392" t="s">
        <v>1933</v>
      </c>
      <c r="D400" s="1392" t="s">
        <v>1952</v>
      </c>
      <c r="E400" s="1392" t="s">
        <v>1848</v>
      </c>
      <c r="F400" s="1392" t="s">
        <v>1849</v>
      </c>
      <c r="G400" s="1391">
        <v>16906089245</v>
      </c>
    </row>
    <row r="401" spans="1:7" x14ac:dyDescent="0.25">
      <c r="A401" s="1392" t="s">
        <v>2576</v>
      </c>
      <c r="B401" s="1392" t="s">
        <v>1153</v>
      </c>
      <c r="C401" s="1392" t="s">
        <v>1933</v>
      </c>
      <c r="D401" s="1392" t="s">
        <v>1952</v>
      </c>
      <c r="E401" s="1392" t="s">
        <v>1848</v>
      </c>
      <c r="F401" s="1392" t="s">
        <v>1850</v>
      </c>
      <c r="G401" s="1391">
        <v>72561855</v>
      </c>
    </row>
    <row r="402" spans="1:7" x14ac:dyDescent="0.25">
      <c r="A402" s="1392" t="s">
        <v>2576</v>
      </c>
      <c r="B402" s="1392" t="s">
        <v>1153</v>
      </c>
      <c r="C402" s="1392" t="s">
        <v>1933</v>
      </c>
      <c r="D402" s="1392" t="s">
        <v>1952</v>
      </c>
      <c r="E402" s="4536" t="s">
        <v>1851</v>
      </c>
      <c r="F402" s="4538"/>
      <c r="G402" s="1391">
        <v>2104987179</v>
      </c>
    </row>
    <row r="403" spans="1:7" x14ac:dyDescent="0.25">
      <c r="A403" s="1392" t="s">
        <v>2576</v>
      </c>
      <c r="B403" s="1392" t="s">
        <v>1153</v>
      </c>
      <c r="C403" s="1392" t="s">
        <v>1933</v>
      </c>
      <c r="D403" s="1392" t="s">
        <v>1952</v>
      </c>
      <c r="E403" s="1392" t="s">
        <v>1851</v>
      </c>
      <c r="F403" s="1392" t="s">
        <v>1852</v>
      </c>
      <c r="G403" s="1391">
        <v>2104987179</v>
      </c>
    </row>
    <row r="404" spans="1:7" x14ac:dyDescent="0.25">
      <c r="A404" s="1392" t="s">
        <v>2576</v>
      </c>
      <c r="B404" s="1392" t="s">
        <v>1153</v>
      </c>
      <c r="C404" s="1392" t="s">
        <v>1933</v>
      </c>
      <c r="D404" s="1392" t="s">
        <v>1952</v>
      </c>
      <c r="E404" s="4536" t="s">
        <v>1853</v>
      </c>
      <c r="F404" s="4538"/>
      <c r="G404" s="1391">
        <v>17838968880</v>
      </c>
    </row>
    <row r="405" spans="1:7" x14ac:dyDescent="0.25">
      <c r="A405" s="1392" t="s">
        <v>2576</v>
      </c>
      <c r="B405" s="1392" t="s">
        <v>1153</v>
      </c>
      <c r="C405" s="1392" t="s">
        <v>1933</v>
      </c>
      <c r="D405" s="1392" t="s">
        <v>1952</v>
      </c>
      <c r="E405" s="1392" t="s">
        <v>1853</v>
      </c>
      <c r="F405" s="1392" t="s">
        <v>1854</v>
      </c>
      <c r="G405" s="1391">
        <v>373274727</v>
      </c>
    </row>
    <row r="406" spans="1:7" x14ac:dyDescent="0.25">
      <c r="A406" s="1392" t="s">
        <v>2576</v>
      </c>
      <c r="B406" s="1392" t="s">
        <v>1153</v>
      </c>
      <c r="C406" s="1392" t="s">
        <v>1933</v>
      </c>
      <c r="D406" s="1392" t="s">
        <v>1952</v>
      </c>
      <c r="E406" s="1392" t="s">
        <v>1853</v>
      </c>
      <c r="F406" s="1392" t="s">
        <v>1855</v>
      </c>
      <c r="G406" s="1391">
        <v>2410583090</v>
      </c>
    </row>
    <row r="407" spans="1:7" x14ac:dyDescent="0.25">
      <c r="A407" s="1392" t="s">
        <v>2576</v>
      </c>
      <c r="B407" s="1392" t="s">
        <v>1153</v>
      </c>
      <c r="C407" s="1392" t="s">
        <v>1933</v>
      </c>
      <c r="D407" s="1392" t="s">
        <v>1952</v>
      </c>
      <c r="E407" s="1392" t="s">
        <v>1853</v>
      </c>
      <c r="F407" s="1392" t="s">
        <v>1935</v>
      </c>
      <c r="G407" s="1391">
        <v>730421691</v>
      </c>
    </row>
    <row r="408" spans="1:7" x14ac:dyDescent="0.25">
      <c r="A408" s="1392" t="s">
        <v>2576</v>
      </c>
      <c r="B408" s="1392" t="s">
        <v>1153</v>
      </c>
      <c r="C408" s="1392" t="s">
        <v>1933</v>
      </c>
      <c r="D408" s="1392" t="s">
        <v>1952</v>
      </c>
      <c r="E408" s="1392" t="s">
        <v>1853</v>
      </c>
      <c r="F408" s="1392" t="s">
        <v>1856</v>
      </c>
      <c r="G408" s="1391">
        <v>517133299</v>
      </c>
    </row>
    <row r="409" spans="1:7" x14ac:dyDescent="0.25">
      <c r="A409" s="1392" t="s">
        <v>2576</v>
      </c>
      <c r="B409" s="1392" t="s">
        <v>1153</v>
      </c>
      <c r="C409" s="1392" t="s">
        <v>1933</v>
      </c>
      <c r="D409" s="1392" t="s">
        <v>1952</v>
      </c>
      <c r="E409" s="1392" t="s">
        <v>1853</v>
      </c>
      <c r="F409" s="1392" t="s">
        <v>1936</v>
      </c>
      <c r="G409" s="1391">
        <v>146514680</v>
      </c>
    </row>
    <row r="410" spans="1:7" x14ac:dyDescent="0.25">
      <c r="A410" s="1392" t="s">
        <v>2576</v>
      </c>
      <c r="B410" s="1392" t="s">
        <v>1153</v>
      </c>
      <c r="C410" s="1392" t="s">
        <v>1933</v>
      </c>
      <c r="D410" s="1392" t="s">
        <v>1952</v>
      </c>
      <c r="E410" s="1392" t="s">
        <v>1853</v>
      </c>
      <c r="F410" s="1392" t="s">
        <v>1937</v>
      </c>
      <c r="G410" s="1391">
        <v>9003484976</v>
      </c>
    </row>
    <row r="411" spans="1:7" x14ac:dyDescent="0.25">
      <c r="A411" s="1392" t="s">
        <v>2576</v>
      </c>
      <c r="B411" s="1392" t="s">
        <v>1153</v>
      </c>
      <c r="C411" s="1392" t="s">
        <v>1933</v>
      </c>
      <c r="D411" s="1392" t="s">
        <v>1952</v>
      </c>
      <c r="E411" s="1392" t="s">
        <v>1853</v>
      </c>
      <c r="F411" s="1392" t="s">
        <v>1858</v>
      </c>
      <c r="G411" s="1391">
        <v>104970500</v>
      </c>
    </row>
    <row r="412" spans="1:7" x14ac:dyDescent="0.25">
      <c r="A412" s="1392" t="s">
        <v>2576</v>
      </c>
      <c r="B412" s="1392" t="s">
        <v>1153</v>
      </c>
      <c r="C412" s="1392" t="s">
        <v>1933</v>
      </c>
      <c r="D412" s="1392" t="s">
        <v>1952</v>
      </c>
      <c r="E412" s="1392" t="s">
        <v>1853</v>
      </c>
      <c r="F412" s="1392" t="s">
        <v>1929</v>
      </c>
      <c r="G412" s="1391">
        <v>3377810439</v>
      </c>
    </row>
    <row r="413" spans="1:7" x14ac:dyDescent="0.25">
      <c r="A413" s="1392" t="s">
        <v>2576</v>
      </c>
      <c r="B413" s="1392" t="s">
        <v>1153</v>
      </c>
      <c r="C413" s="1392" t="s">
        <v>1933</v>
      </c>
      <c r="D413" s="1392" t="s">
        <v>1952</v>
      </c>
      <c r="E413" s="1392" t="s">
        <v>1853</v>
      </c>
      <c r="F413" s="1392" t="s">
        <v>1953</v>
      </c>
      <c r="G413" s="1391">
        <v>69022164</v>
      </c>
    </row>
    <row r="414" spans="1:7" x14ac:dyDescent="0.25">
      <c r="A414" s="1392" t="s">
        <v>2576</v>
      </c>
      <c r="B414" s="1392" t="s">
        <v>1153</v>
      </c>
      <c r="C414" s="1392" t="s">
        <v>1933</v>
      </c>
      <c r="D414" s="1392" t="s">
        <v>1952</v>
      </c>
      <c r="E414" s="1392" t="s">
        <v>1853</v>
      </c>
      <c r="F414" s="1392" t="s">
        <v>1938</v>
      </c>
      <c r="G414" s="1391">
        <v>708819373</v>
      </c>
    </row>
    <row r="415" spans="1:7" x14ac:dyDescent="0.25">
      <c r="A415" s="1392" t="s">
        <v>2576</v>
      </c>
      <c r="B415" s="1392" t="s">
        <v>1153</v>
      </c>
      <c r="C415" s="1392" t="s">
        <v>1933</v>
      </c>
      <c r="D415" s="1392" t="s">
        <v>1952</v>
      </c>
      <c r="E415" s="1392" t="s">
        <v>1853</v>
      </c>
      <c r="F415" s="1392" t="s">
        <v>1939</v>
      </c>
      <c r="G415" s="1391">
        <v>396933941</v>
      </c>
    </row>
    <row r="416" spans="1:7" x14ac:dyDescent="0.25">
      <c r="A416" s="1392" t="s">
        <v>2576</v>
      </c>
      <c r="B416" s="1392" t="s">
        <v>1153</v>
      </c>
      <c r="C416" s="1392" t="s">
        <v>1933</v>
      </c>
      <c r="D416" s="1392" t="s">
        <v>1952</v>
      </c>
      <c r="E416" s="4536" t="s">
        <v>1940</v>
      </c>
      <c r="F416" s="4538"/>
      <c r="G416" s="1391">
        <v>582076000</v>
      </c>
    </row>
    <row r="417" spans="1:7" x14ac:dyDescent="0.25">
      <c r="A417" s="1392" t="s">
        <v>2576</v>
      </c>
      <c r="B417" s="1392" t="s">
        <v>1153</v>
      </c>
      <c r="C417" s="1392" t="s">
        <v>1933</v>
      </c>
      <c r="D417" s="1392" t="s">
        <v>1952</v>
      </c>
      <c r="E417" s="1392" t="s">
        <v>1940</v>
      </c>
      <c r="F417" s="1392" t="s">
        <v>1941</v>
      </c>
      <c r="G417" s="1391">
        <v>27916000</v>
      </c>
    </row>
    <row r="418" spans="1:7" x14ac:dyDescent="0.25">
      <c r="A418" s="1392" t="s">
        <v>2576</v>
      </c>
      <c r="B418" s="1392" t="s">
        <v>1153</v>
      </c>
      <c r="C418" s="1392" t="s">
        <v>1933</v>
      </c>
      <c r="D418" s="1392" t="s">
        <v>1952</v>
      </c>
      <c r="E418" s="1392" t="s">
        <v>1940</v>
      </c>
      <c r="F418" s="1392" t="s">
        <v>1942</v>
      </c>
      <c r="G418" s="1391">
        <v>554160000</v>
      </c>
    </row>
    <row r="419" spans="1:7" x14ac:dyDescent="0.25">
      <c r="A419" s="1392" t="s">
        <v>2576</v>
      </c>
      <c r="B419" s="1392" t="s">
        <v>1153</v>
      </c>
      <c r="C419" s="1392" t="s">
        <v>1933</v>
      </c>
      <c r="D419" s="1392" t="s">
        <v>1952</v>
      </c>
      <c r="E419" s="4536" t="s">
        <v>1860</v>
      </c>
      <c r="F419" s="4538"/>
      <c r="G419" s="1391">
        <v>190275000</v>
      </c>
    </row>
    <row r="420" spans="1:7" x14ac:dyDescent="0.25">
      <c r="A420" s="1392" t="s">
        <v>2576</v>
      </c>
      <c r="B420" s="1392" t="s">
        <v>1153</v>
      </c>
      <c r="C420" s="1392" t="s">
        <v>1933</v>
      </c>
      <c r="D420" s="1392" t="s">
        <v>1952</v>
      </c>
      <c r="E420" s="1392" t="s">
        <v>1860</v>
      </c>
      <c r="F420" s="1392" t="s">
        <v>1861</v>
      </c>
      <c r="G420" s="1391">
        <v>175330000</v>
      </c>
    </row>
    <row r="421" spans="1:7" x14ac:dyDescent="0.25">
      <c r="A421" s="1392" t="s">
        <v>2576</v>
      </c>
      <c r="B421" s="1392" t="s">
        <v>1153</v>
      </c>
      <c r="C421" s="1392" t="s">
        <v>1933</v>
      </c>
      <c r="D421" s="1392" t="s">
        <v>1952</v>
      </c>
      <c r="E421" s="1392" t="s">
        <v>1860</v>
      </c>
      <c r="F421" s="1392" t="s">
        <v>1930</v>
      </c>
      <c r="G421" s="1391">
        <v>14945000</v>
      </c>
    </row>
    <row r="422" spans="1:7" x14ac:dyDescent="0.25">
      <c r="A422" s="1392" t="s">
        <v>2576</v>
      </c>
      <c r="B422" s="1392" t="s">
        <v>1153</v>
      </c>
      <c r="C422" s="1392" t="s">
        <v>1933</v>
      </c>
      <c r="D422" s="1392" t="s">
        <v>1952</v>
      </c>
      <c r="E422" s="4536" t="s">
        <v>1943</v>
      </c>
      <c r="F422" s="4538"/>
      <c r="G422" s="1391">
        <v>1129000</v>
      </c>
    </row>
    <row r="423" spans="1:7" x14ac:dyDescent="0.25">
      <c r="A423" s="1392" t="s">
        <v>2576</v>
      </c>
      <c r="B423" s="1392" t="s">
        <v>1153</v>
      </c>
      <c r="C423" s="1392" t="s">
        <v>1933</v>
      </c>
      <c r="D423" s="1392" t="s">
        <v>1952</v>
      </c>
      <c r="E423" s="1392" t="s">
        <v>1943</v>
      </c>
      <c r="F423" s="1392" t="s">
        <v>1944</v>
      </c>
      <c r="G423" s="1391">
        <v>1129000</v>
      </c>
    </row>
    <row r="424" spans="1:7" x14ac:dyDescent="0.25">
      <c r="A424" s="1392" t="s">
        <v>2576</v>
      </c>
      <c r="B424" s="1392" t="s">
        <v>1153</v>
      </c>
      <c r="C424" s="1392" t="s">
        <v>1933</v>
      </c>
      <c r="D424" s="1392" t="s">
        <v>1952</v>
      </c>
      <c r="E424" s="4536" t="s">
        <v>1862</v>
      </c>
      <c r="F424" s="4538"/>
      <c r="G424" s="1391">
        <v>4865551967</v>
      </c>
    </row>
    <row r="425" spans="1:7" x14ac:dyDescent="0.25">
      <c r="A425" s="1392" t="s">
        <v>2576</v>
      </c>
      <c r="B425" s="1392" t="s">
        <v>1153</v>
      </c>
      <c r="C425" s="1392" t="s">
        <v>1933</v>
      </c>
      <c r="D425" s="1392" t="s">
        <v>1952</v>
      </c>
      <c r="E425" s="1392" t="s">
        <v>1862</v>
      </c>
      <c r="F425" s="1392" t="s">
        <v>1863</v>
      </c>
      <c r="G425" s="1391">
        <v>3540958499</v>
      </c>
    </row>
    <row r="426" spans="1:7" x14ac:dyDescent="0.25">
      <c r="A426" s="1392" t="s">
        <v>2576</v>
      </c>
      <c r="B426" s="1392" t="s">
        <v>1153</v>
      </c>
      <c r="C426" s="1392" t="s">
        <v>1933</v>
      </c>
      <c r="D426" s="1392" t="s">
        <v>1952</v>
      </c>
      <c r="E426" s="1392" t="s">
        <v>1862</v>
      </c>
      <c r="F426" s="1392" t="s">
        <v>1864</v>
      </c>
      <c r="G426" s="1391">
        <v>620416243</v>
      </c>
    </row>
    <row r="427" spans="1:7" x14ac:dyDescent="0.25">
      <c r="A427" s="1392" t="s">
        <v>2576</v>
      </c>
      <c r="B427" s="1392" t="s">
        <v>1153</v>
      </c>
      <c r="C427" s="1392" t="s">
        <v>1933</v>
      </c>
      <c r="D427" s="1392" t="s">
        <v>1952</v>
      </c>
      <c r="E427" s="1392" t="s">
        <v>1862</v>
      </c>
      <c r="F427" s="1392" t="s">
        <v>1865</v>
      </c>
      <c r="G427" s="1391">
        <v>417122695</v>
      </c>
    </row>
    <row r="428" spans="1:7" x14ac:dyDescent="0.25">
      <c r="A428" s="1392" t="s">
        <v>2576</v>
      </c>
      <c r="B428" s="1392" t="s">
        <v>1153</v>
      </c>
      <c r="C428" s="1392" t="s">
        <v>1933</v>
      </c>
      <c r="D428" s="1392" t="s">
        <v>1952</v>
      </c>
      <c r="E428" s="1392" t="s">
        <v>1862</v>
      </c>
      <c r="F428" s="1392" t="s">
        <v>1866</v>
      </c>
      <c r="G428" s="1391">
        <v>193944196</v>
      </c>
    </row>
    <row r="429" spans="1:7" x14ac:dyDescent="0.25">
      <c r="A429" s="1392" t="s">
        <v>2576</v>
      </c>
      <c r="B429" s="1392" t="s">
        <v>1153</v>
      </c>
      <c r="C429" s="1392" t="s">
        <v>1933</v>
      </c>
      <c r="D429" s="1392" t="s">
        <v>1952</v>
      </c>
      <c r="E429" s="1392" t="s">
        <v>1862</v>
      </c>
      <c r="F429" s="1392" t="s">
        <v>1945</v>
      </c>
      <c r="G429" s="1391">
        <v>93110334</v>
      </c>
    </row>
    <row r="430" spans="1:7" x14ac:dyDescent="0.25">
      <c r="A430" s="1392" t="s">
        <v>2576</v>
      </c>
      <c r="B430" s="1392" t="s">
        <v>1153</v>
      </c>
      <c r="C430" s="1392" t="s">
        <v>1933</v>
      </c>
      <c r="D430" s="1392" t="s">
        <v>1952</v>
      </c>
      <c r="E430" s="4536" t="s">
        <v>1867</v>
      </c>
      <c r="F430" s="4538"/>
      <c r="G430" s="1391">
        <v>375107201</v>
      </c>
    </row>
    <row r="431" spans="1:7" x14ac:dyDescent="0.25">
      <c r="A431" s="1392" t="s">
        <v>2576</v>
      </c>
      <c r="B431" s="1392" t="s">
        <v>1153</v>
      </c>
      <c r="C431" s="1392" t="s">
        <v>1933</v>
      </c>
      <c r="D431" s="1392" t="s">
        <v>1952</v>
      </c>
      <c r="E431" s="1392" t="s">
        <v>1867</v>
      </c>
      <c r="F431" s="1392" t="s">
        <v>1868</v>
      </c>
      <c r="G431" s="1391">
        <v>375107201</v>
      </c>
    </row>
    <row r="432" spans="1:7" x14ac:dyDescent="0.25">
      <c r="A432" s="1392" t="s">
        <v>2576</v>
      </c>
      <c r="B432" s="1392" t="s">
        <v>1153</v>
      </c>
      <c r="C432" s="1392" t="s">
        <v>1933</v>
      </c>
      <c r="D432" s="1392" t="s">
        <v>1952</v>
      </c>
      <c r="E432" s="4536" t="s">
        <v>1869</v>
      </c>
      <c r="F432" s="4538"/>
      <c r="G432" s="1391">
        <v>164532766</v>
      </c>
    </row>
    <row r="433" spans="1:7" x14ac:dyDescent="0.25">
      <c r="A433" s="1392" t="s">
        <v>2576</v>
      </c>
      <c r="B433" s="1392" t="s">
        <v>1153</v>
      </c>
      <c r="C433" s="1392" t="s">
        <v>1933</v>
      </c>
      <c r="D433" s="1392" t="s">
        <v>1952</v>
      </c>
      <c r="E433" s="1392" t="s">
        <v>1869</v>
      </c>
      <c r="F433" s="1392" t="s">
        <v>1870</v>
      </c>
      <c r="G433" s="1391">
        <v>149368992</v>
      </c>
    </row>
    <row r="434" spans="1:7" x14ac:dyDescent="0.25">
      <c r="A434" s="1392" t="s">
        <v>2576</v>
      </c>
      <c r="B434" s="1392" t="s">
        <v>1153</v>
      </c>
      <c r="C434" s="1392" t="s">
        <v>1933</v>
      </c>
      <c r="D434" s="1392" t="s">
        <v>1952</v>
      </c>
      <c r="E434" s="1392" t="s">
        <v>1869</v>
      </c>
      <c r="F434" s="1392" t="s">
        <v>1871</v>
      </c>
      <c r="G434" s="1391">
        <v>15163774</v>
      </c>
    </row>
    <row r="435" spans="1:7" x14ac:dyDescent="0.25">
      <c r="A435" s="1392" t="s">
        <v>2576</v>
      </c>
      <c r="B435" s="1392" t="s">
        <v>1153</v>
      </c>
      <c r="C435" s="1392" t="s">
        <v>1933</v>
      </c>
      <c r="D435" s="1392" t="s">
        <v>1952</v>
      </c>
      <c r="E435" s="4536" t="s">
        <v>1874</v>
      </c>
      <c r="F435" s="4538"/>
      <c r="G435" s="1391">
        <v>1231485226</v>
      </c>
    </row>
    <row r="436" spans="1:7" x14ac:dyDescent="0.25">
      <c r="A436" s="1392" t="s">
        <v>2576</v>
      </c>
      <c r="B436" s="1392" t="s">
        <v>1153</v>
      </c>
      <c r="C436" s="1392" t="s">
        <v>1933</v>
      </c>
      <c r="D436" s="1392" t="s">
        <v>1952</v>
      </c>
      <c r="E436" s="1392" t="s">
        <v>1874</v>
      </c>
      <c r="F436" s="1392" t="s">
        <v>1875</v>
      </c>
      <c r="G436" s="1391">
        <v>296677318</v>
      </c>
    </row>
    <row r="437" spans="1:7" x14ac:dyDescent="0.25">
      <c r="A437" s="1392" t="s">
        <v>2576</v>
      </c>
      <c r="B437" s="1392" t="s">
        <v>1153</v>
      </c>
      <c r="C437" s="1392" t="s">
        <v>1933</v>
      </c>
      <c r="D437" s="1392" t="s">
        <v>1952</v>
      </c>
      <c r="E437" s="1392" t="s">
        <v>1874</v>
      </c>
      <c r="F437" s="1392" t="s">
        <v>1876</v>
      </c>
      <c r="G437" s="1391">
        <v>658640908</v>
      </c>
    </row>
    <row r="438" spans="1:7" x14ac:dyDescent="0.25">
      <c r="A438" s="1392" t="s">
        <v>2576</v>
      </c>
      <c r="B438" s="1392" t="s">
        <v>1153</v>
      </c>
      <c r="C438" s="1392" t="s">
        <v>1933</v>
      </c>
      <c r="D438" s="1392" t="s">
        <v>1952</v>
      </c>
      <c r="E438" s="1392" t="s">
        <v>1874</v>
      </c>
      <c r="F438" s="1392" t="s">
        <v>1877</v>
      </c>
      <c r="G438" s="1391">
        <v>276167000</v>
      </c>
    </row>
    <row r="439" spans="1:7" x14ac:dyDescent="0.25">
      <c r="A439" s="1392" t="s">
        <v>2576</v>
      </c>
      <c r="B439" s="1392" t="s">
        <v>1153</v>
      </c>
      <c r="C439" s="1392" t="s">
        <v>1933</v>
      </c>
      <c r="D439" s="1392" t="s">
        <v>1952</v>
      </c>
      <c r="E439" s="4536" t="s">
        <v>1878</v>
      </c>
      <c r="F439" s="4538"/>
      <c r="G439" s="1391">
        <v>94483290</v>
      </c>
    </row>
    <row r="440" spans="1:7" x14ac:dyDescent="0.25">
      <c r="A440" s="1392" t="s">
        <v>2576</v>
      </c>
      <c r="B440" s="1392" t="s">
        <v>1153</v>
      </c>
      <c r="C440" s="1392" t="s">
        <v>1933</v>
      </c>
      <c r="D440" s="1392" t="s">
        <v>1952</v>
      </c>
      <c r="E440" s="1392" t="s">
        <v>1878</v>
      </c>
      <c r="F440" s="1392" t="s">
        <v>1879</v>
      </c>
      <c r="G440" s="1391">
        <v>21545318</v>
      </c>
    </row>
    <row r="441" spans="1:7" x14ac:dyDescent="0.25">
      <c r="A441" s="1392" t="s">
        <v>2576</v>
      </c>
      <c r="B441" s="1392" t="s">
        <v>1153</v>
      </c>
      <c r="C441" s="1392" t="s">
        <v>1933</v>
      </c>
      <c r="D441" s="1392" t="s">
        <v>1952</v>
      </c>
      <c r="E441" s="1392" t="s">
        <v>1878</v>
      </c>
      <c r="F441" s="1392" t="s">
        <v>1881</v>
      </c>
      <c r="G441" s="1391">
        <v>20398272</v>
      </c>
    </row>
    <row r="442" spans="1:7" x14ac:dyDescent="0.25">
      <c r="A442" s="1392" t="s">
        <v>2576</v>
      </c>
      <c r="B442" s="1392" t="s">
        <v>1153</v>
      </c>
      <c r="C442" s="1392" t="s">
        <v>1933</v>
      </c>
      <c r="D442" s="1392" t="s">
        <v>1952</v>
      </c>
      <c r="E442" s="1392" t="s">
        <v>1878</v>
      </c>
      <c r="F442" s="1392" t="s">
        <v>1882</v>
      </c>
      <c r="G442" s="1391">
        <v>6094000</v>
      </c>
    </row>
    <row r="443" spans="1:7" x14ac:dyDescent="0.25">
      <c r="A443" s="1392" t="s">
        <v>2576</v>
      </c>
      <c r="B443" s="1392" t="s">
        <v>1153</v>
      </c>
      <c r="C443" s="1392" t="s">
        <v>1933</v>
      </c>
      <c r="D443" s="1392" t="s">
        <v>1952</v>
      </c>
      <c r="E443" s="1392" t="s">
        <v>1878</v>
      </c>
      <c r="F443" s="1392" t="s">
        <v>1883</v>
      </c>
      <c r="G443" s="1391">
        <v>39660700</v>
      </c>
    </row>
    <row r="444" spans="1:7" x14ac:dyDescent="0.25">
      <c r="A444" s="1392" t="s">
        <v>2576</v>
      </c>
      <c r="B444" s="1392" t="s">
        <v>1153</v>
      </c>
      <c r="C444" s="1392" t="s">
        <v>1933</v>
      </c>
      <c r="D444" s="1392" t="s">
        <v>1952</v>
      </c>
      <c r="E444" s="1392" t="s">
        <v>1878</v>
      </c>
      <c r="F444" s="1392" t="s">
        <v>1949</v>
      </c>
      <c r="G444" s="1391">
        <v>6785000</v>
      </c>
    </row>
    <row r="445" spans="1:7" x14ac:dyDescent="0.25">
      <c r="A445" s="1392" t="s">
        <v>2576</v>
      </c>
      <c r="B445" s="1392" t="s">
        <v>1153</v>
      </c>
      <c r="C445" s="1392" t="s">
        <v>1933</v>
      </c>
      <c r="D445" s="1392" t="s">
        <v>1952</v>
      </c>
      <c r="E445" s="4536" t="s">
        <v>1885</v>
      </c>
      <c r="F445" s="4538"/>
      <c r="G445" s="1391">
        <v>142505000</v>
      </c>
    </row>
    <row r="446" spans="1:7" x14ac:dyDescent="0.25">
      <c r="A446" s="1392" t="s">
        <v>2576</v>
      </c>
      <c r="B446" s="1392" t="s">
        <v>1153</v>
      </c>
      <c r="C446" s="1392" t="s">
        <v>1933</v>
      </c>
      <c r="D446" s="1392" t="s">
        <v>1952</v>
      </c>
      <c r="E446" s="1392" t="s">
        <v>1885</v>
      </c>
      <c r="F446" s="1392" t="s">
        <v>1886</v>
      </c>
      <c r="G446" s="1391">
        <v>10900000</v>
      </c>
    </row>
    <row r="447" spans="1:7" x14ac:dyDescent="0.25">
      <c r="A447" s="1392" t="s">
        <v>2576</v>
      </c>
      <c r="B447" s="1392" t="s">
        <v>1153</v>
      </c>
      <c r="C447" s="1392" t="s">
        <v>1933</v>
      </c>
      <c r="D447" s="1392" t="s">
        <v>1952</v>
      </c>
      <c r="E447" s="1392" t="s">
        <v>1885</v>
      </c>
      <c r="F447" s="1392" t="s">
        <v>1926</v>
      </c>
      <c r="G447" s="1391">
        <v>3000000</v>
      </c>
    </row>
    <row r="448" spans="1:7" x14ac:dyDescent="0.25">
      <c r="A448" s="1392" t="s">
        <v>2576</v>
      </c>
      <c r="B448" s="1392" t="s">
        <v>1153</v>
      </c>
      <c r="C448" s="1392" t="s">
        <v>1933</v>
      </c>
      <c r="D448" s="1392" t="s">
        <v>1952</v>
      </c>
      <c r="E448" s="1392" t="s">
        <v>1885</v>
      </c>
      <c r="F448" s="1392" t="s">
        <v>1927</v>
      </c>
      <c r="G448" s="1391">
        <v>20520000</v>
      </c>
    </row>
    <row r="449" spans="1:7" x14ac:dyDescent="0.25">
      <c r="A449" s="1392" t="s">
        <v>2576</v>
      </c>
      <c r="B449" s="1392" t="s">
        <v>1153</v>
      </c>
      <c r="C449" s="1392" t="s">
        <v>1933</v>
      </c>
      <c r="D449" s="1392" t="s">
        <v>1952</v>
      </c>
      <c r="E449" s="1392" t="s">
        <v>1885</v>
      </c>
      <c r="F449" s="1392" t="s">
        <v>1888</v>
      </c>
      <c r="G449" s="1391">
        <v>108085000</v>
      </c>
    </row>
    <row r="450" spans="1:7" x14ac:dyDescent="0.25">
      <c r="A450" s="1392" t="s">
        <v>2576</v>
      </c>
      <c r="B450" s="1392" t="s">
        <v>1153</v>
      </c>
      <c r="C450" s="1392" t="s">
        <v>1933</v>
      </c>
      <c r="D450" s="1392" t="s">
        <v>1952</v>
      </c>
      <c r="E450" s="4536" t="s">
        <v>1889</v>
      </c>
      <c r="F450" s="4538"/>
      <c r="G450" s="1391">
        <v>723252561</v>
      </c>
    </row>
    <row r="451" spans="1:7" x14ac:dyDescent="0.25">
      <c r="A451" s="1392" t="s">
        <v>2576</v>
      </c>
      <c r="B451" s="1392" t="s">
        <v>1153</v>
      </c>
      <c r="C451" s="1392" t="s">
        <v>1933</v>
      </c>
      <c r="D451" s="1392" t="s">
        <v>1952</v>
      </c>
      <c r="E451" s="1392" t="s">
        <v>1889</v>
      </c>
      <c r="F451" s="1392" t="s">
        <v>1921</v>
      </c>
      <c r="G451" s="1391">
        <v>1315000</v>
      </c>
    </row>
    <row r="452" spans="1:7" x14ac:dyDescent="0.25">
      <c r="A452" s="1392" t="s">
        <v>2576</v>
      </c>
      <c r="B452" s="1392" t="s">
        <v>1153</v>
      </c>
      <c r="C452" s="1392" t="s">
        <v>1933</v>
      </c>
      <c r="D452" s="1392" t="s">
        <v>1952</v>
      </c>
      <c r="E452" s="1392" t="s">
        <v>1889</v>
      </c>
      <c r="F452" s="1392" t="s">
        <v>1890</v>
      </c>
      <c r="G452" s="1391">
        <v>313115000</v>
      </c>
    </row>
    <row r="453" spans="1:7" x14ac:dyDescent="0.25">
      <c r="A453" s="1392" t="s">
        <v>2576</v>
      </c>
      <c r="B453" s="1392" t="s">
        <v>1153</v>
      </c>
      <c r="C453" s="1392" t="s">
        <v>1933</v>
      </c>
      <c r="D453" s="1392" t="s">
        <v>1952</v>
      </c>
      <c r="E453" s="1392" t="s">
        <v>1889</v>
      </c>
      <c r="F453" s="1392" t="s">
        <v>1891</v>
      </c>
      <c r="G453" s="1391">
        <v>179860000</v>
      </c>
    </row>
    <row r="454" spans="1:7" x14ac:dyDescent="0.25">
      <c r="A454" s="1392" t="s">
        <v>2576</v>
      </c>
      <c r="B454" s="1392" t="s">
        <v>1153</v>
      </c>
      <c r="C454" s="1392" t="s">
        <v>1933</v>
      </c>
      <c r="D454" s="1392" t="s">
        <v>1952</v>
      </c>
      <c r="E454" s="1392" t="s">
        <v>1889</v>
      </c>
      <c r="F454" s="1392" t="s">
        <v>1892</v>
      </c>
      <c r="G454" s="1391">
        <v>36694000</v>
      </c>
    </row>
    <row r="455" spans="1:7" x14ac:dyDescent="0.25">
      <c r="A455" s="1392" t="s">
        <v>2576</v>
      </c>
      <c r="B455" s="1392" t="s">
        <v>1153</v>
      </c>
      <c r="C455" s="1392" t="s">
        <v>1933</v>
      </c>
      <c r="D455" s="1392" t="s">
        <v>1952</v>
      </c>
      <c r="E455" s="1392" t="s">
        <v>1889</v>
      </c>
      <c r="F455" s="1392" t="s">
        <v>1922</v>
      </c>
      <c r="G455" s="1391">
        <v>192268561</v>
      </c>
    </row>
    <row r="456" spans="1:7" x14ac:dyDescent="0.25">
      <c r="A456" s="1392" t="s">
        <v>2576</v>
      </c>
      <c r="B456" s="1392" t="s">
        <v>1153</v>
      </c>
      <c r="C456" s="1392" t="s">
        <v>1933</v>
      </c>
      <c r="D456" s="1392" t="s">
        <v>1952</v>
      </c>
      <c r="E456" s="4536" t="s">
        <v>1893</v>
      </c>
      <c r="F456" s="4538"/>
      <c r="G456" s="1391">
        <v>406567035</v>
      </c>
    </row>
    <row r="457" spans="1:7" x14ac:dyDescent="0.25">
      <c r="A457" s="1392" t="s">
        <v>2576</v>
      </c>
      <c r="B457" s="1392" t="s">
        <v>1153</v>
      </c>
      <c r="C457" s="1392" t="s">
        <v>1933</v>
      </c>
      <c r="D457" s="1392" t="s">
        <v>1952</v>
      </c>
      <c r="E457" s="1392" t="s">
        <v>1893</v>
      </c>
      <c r="F457" s="1392" t="s">
        <v>1894</v>
      </c>
      <c r="G457" s="1391">
        <v>60350000</v>
      </c>
    </row>
    <row r="458" spans="1:7" x14ac:dyDescent="0.25">
      <c r="A458" s="1392" t="s">
        <v>2576</v>
      </c>
      <c r="B458" s="1392" t="s">
        <v>1153</v>
      </c>
      <c r="C458" s="1392" t="s">
        <v>1933</v>
      </c>
      <c r="D458" s="1392" t="s">
        <v>1952</v>
      </c>
      <c r="E458" s="1392" t="s">
        <v>1893</v>
      </c>
      <c r="F458" s="1392" t="s">
        <v>2051</v>
      </c>
      <c r="G458" s="1391">
        <v>74890000</v>
      </c>
    </row>
    <row r="459" spans="1:7" x14ac:dyDescent="0.25">
      <c r="A459" s="1392" t="s">
        <v>2576</v>
      </c>
      <c r="B459" s="1392" t="s">
        <v>1153</v>
      </c>
      <c r="C459" s="1392" t="s">
        <v>1933</v>
      </c>
      <c r="D459" s="1392" t="s">
        <v>1952</v>
      </c>
      <c r="E459" s="1392" t="s">
        <v>1893</v>
      </c>
      <c r="F459" s="1392" t="s">
        <v>1895</v>
      </c>
      <c r="G459" s="1391">
        <v>271327035</v>
      </c>
    </row>
    <row r="460" spans="1:7" x14ac:dyDescent="0.25">
      <c r="A460" s="1392" t="s">
        <v>2576</v>
      </c>
      <c r="B460" s="1392" t="s">
        <v>1153</v>
      </c>
      <c r="C460" s="1392" t="s">
        <v>1933</v>
      </c>
      <c r="D460" s="1392" t="s">
        <v>1952</v>
      </c>
      <c r="E460" s="4536" t="s">
        <v>1896</v>
      </c>
      <c r="F460" s="4538"/>
      <c r="G460" s="1391">
        <v>2675913962</v>
      </c>
    </row>
    <row r="461" spans="1:7" x14ac:dyDescent="0.25">
      <c r="A461" s="1392" t="s">
        <v>2576</v>
      </c>
      <c r="B461" s="1392" t="s">
        <v>1153</v>
      </c>
      <c r="C461" s="1392" t="s">
        <v>1933</v>
      </c>
      <c r="D461" s="1392" t="s">
        <v>1952</v>
      </c>
      <c r="E461" s="1392" t="s">
        <v>1896</v>
      </c>
      <c r="F461" s="1392" t="s">
        <v>1899</v>
      </c>
      <c r="G461" s="1391">
        <v>1112762729</v>
      </c>
    </row>
    <row r="462" spans="1:7" x14ac:dyDescent="0.25">
      <c r="A462" s="1392" t="s">
        <v>2576</v>
      </c>
      <c r="B462" s="1392" t="s">
        <v>1153</v>
      </c>
      <c r="C462" s="1392" t="s">
        <v>1933</v>
      </c>
      <c r="D462" s="1392" t="s">
        <v>1952</v>
      </c>
      <c r="E462" s="1392" t="s">
        <v>1896</v>
      </c>
      <c r="F462" s="1392" t="s">
        <v>1900</v>
      </c>
      <c r="G462" s="1391">
        <v>404656321</v>
      </c>
    </row>
    <row r="463" spans="1:7" x14ac:dyDescent="0.25">
      <c r="A463" s="1392" t="s">
        <v>2576</v>
      </c>
      <c r="B463" s="1392" t="s">
        <v>1153</v>
      </c>
      <c r="C463" s="1392" t="s">
        <v>1933</v>
      </c>
      <c r="D463" s="1392" t="s">
        <v>1952</v>
      </c>
      <c r="E463" s="1392" t="s">
        <v>1896</v>
      </c>
      <c r="F463" s="1392" t="s">
        <v>1901</v>
      </c>
      <c r="G463" s="1391">
        <v>4300000</v>
      </c>
    </row>
    <row r="464" spans="1:7" x14ac:dyDescent="0.25">
      <c r="A464" s="1392" t="s">
        <v>2576</v>
      </c>
      <c r="B464" s="1392" t="s">
        <v>1153</v>
      </c>
      <c r="C464" s="1392" t="s">
        <v>1933</v>
      </c>
      <c r="D464" s="1392" t="s">
        <v>1952</v>
      </c>
      <c r="E464" s="1392" t="s">
        <v>1896</v>
      </c>
      <c r="F464" s="1392" t="s">
        <v>1928</v>
      </c>
      <c r="G464" s="1391">
        <v>161484500</v>
      </c>
    </row>
    <row r="465" spans="1:7" x14ac:dyDescent="0.25">
      <c r="A465" s="1392" t="s">
        <v>2576</v>
      </c>
      <c r="B465" s="1392" t="s">
        <v>1153</v>
      </c>
      <c r="C465" s="1392" t="s">
        <v>1933</v>
      </c>
      <c r="D465" s="1392" t="s">
        <v>1952</v>
      </c>
      <c r="E465" s="1392" t="s">
        <v>1896</v>
      </c>
      <c r="F465" s="1392" t="s">
        <v>1902</v>
      </c>
      <c r="G465" s="1391">
        <v>992710412</v>
      </c>
    </row>
    <row r="466" spans="1:7" x14ac:dyDescent="0.25">
      <c r="A466" s="1392" t="s">
        <v>2576</v>
      </c>
      <c r="B466" s="1392" t="s">
        <v>1153</v>
      </c>
      <c r="C466" s="1392" t="s">
        <v>1933</v>
      </c>
      <c r="D466" s="1392" t="s">
        <v>1952</v>
      </c>
      <c r="E466" s="4536" t="s">
        <v>1903</v>
      </c>
      <c r="F466" s="4538"/>
      <c r="G466" s="1391">
        <v>293416000</v>
      </c>
    </row>
    <row r="467" spans="1:7" x14ac:dyDescent="0.25">
      <c r="A467" s="1392" t="s">
        <v>2576</v>
      </c>
      <c r="B467" s="1392" t="s">
        <v>1153</v>
      </c>
      <c r="C467" s="1392" t="s">
        <v>1933</v>
      </c>
      <c r="D467" s="1392" t="s">
        <v>1952</v>
      </c>
      <c r="E467" s="1392" t="s">
        <v>1903</v>
      </c>
      <c r="F467" s="1392" t="s">
        <v>1950</v>
      </c>
      <c r="G467" s="1391">
        <v>108590000</v>
      </c>
    </row>
    <row r="468" spans="1:7" x14ac:dyDescent="0.25">
      <c r="A468" s="1392" t="s">
        <v>2576</v>
      </c>
      <c r="B468" s="1392" t="s">
        <v>1153</v>
      </c>
      <c r="C468" s="1392" t="s">
        <v>1933</v>
      </c>
      <c r="D468" s="1392" t="s">
        <v>1952</v>
      </c>
      <c r="E468" s="1392" t="s">
        <v>1903</v>
      </c>
      <c r="F468" s="1392" t="s">
        <v>1904</v>
      </c>
      <c r="G468" s="1391">
        <v>50950000</v>
      </c>
    </row>
    <row r="469" spans="1:7" x14ac:dyDescent="0.25">
      <c r="A469" s="1392" t="s">
        <v>2576</v>
      </c>
      <c r="B469" s="1392" t="s">
        <v>1153</v>
      </c>
      <c r="C469" s="1392" t="s">
        <v>1933</v>
      </c>
      <c r="D469" s="1392" t="s">
        <v>1952</v>
      </c>
      <c r="E469" s="1392" t="s">
        <v>1903</v>
      </c>
      <c r="F469" s="1392" t="s">
        <v>1905</v>
      </c>
      <c r="G469" s="1391">
        <v>133876000</v>
      </c>
    </row>
    <row r="470" spans="1:7" x14ac:dyDescent="0.25">
      <c r="A470" s="1392" t="s">
        <v>2576</v>
      </c>
      <c r="B470" s="1392" t="s">
        <v>1153</v>
      </c>
      <c r="C470" s="1392" t="s">
        <v>1933</v>
      </c>
      <c r="D470" s="1392" t="s">
        <v>1952</v>
      </c>
      <c r="E470" s="4536" t="s">
        <v>1906</v>
      </c>
      <c r="F470" s="4538"/>
      <c r="G470" s="1391">
        <v>821884184</v>
      </c>
    </row>
    <row r="471" spans="1:7" x14ac:dyDescent="0.25">
      <c r="A471" s="1392" t="s">
        <v>2576</v>
      </c>
      <c r="B471" s="1392" t="s">
        <v>1153</v>
      </c>
      <c r="C471" s="1392" t="s">
        <v>1933</v>
      </c>
      <c r="D471" s="1392" t="s">
        <v>1952</v>
      </c>
      <c r="E471" s="1392" t="s">
        <v>1906</v>
      </c>
      <c r="F471" s="1392" t="s">
        <v>1907</v>
      </c>
      <c r="G471" s="1391">
        <v>301097900</v>
      </c>
    </row>
    <row r="472" spans="1:7" x14ac:dyDescent="0.25">
      <c r="A472" s="1392" t="s">
        <v>2576</v>
      </c>
      <c r="B472" s="1392" t="s">
        <v>1153</v>
      </c>
      <c r="C472" s="1392" t="s">
        <v>1933</v>
      </c>
      <c r="D472" s="1392" t="s">
        <v>1952</v>
      </c>
      <c r="E472" s="1392" t="s">
        <v>1906</v>
      </c>
      <c r="F472" s="1392" t="s">
        <v>1908</v>
      </c>
      <c r="G472" s="1391">
        <v>14900000</v>
      </c>
    </row>
    <row r="473" spans="1:7" x14ac:dyDescent="0.25">
      <c r="A473" s="1392" t="s">
        <v>2576</v>
      </c>
      <c r="B473" s="1392" t="s">
        <v>1153</v>
      </c>
      <c r="C473" s="1392" t="s">
        <v>1933</v>
      </c>
      <c r="D473" s="1392" t="s">
        <v>1952</v>
      </c>
      <c r="E473" s="1392" t="s">
        <v>1906</v>
      </c>
      <c r="F473" s="1392" t="s">
        <v>1909</v>
      </c>
      <c r="G473" s="1391">
        <v>505886284</v>
      </c>
    </row>
    <row r="474" spans="1:7" x14ac:dyDescent="0.25">
      <c r="A474" s="1392" t="s">
        <v>2576</v>
      </c>
      <c r="B474" s="1392" t="s">
        <v>1153</v>
      </c>
      <c r="C474" s="1392" t="s">
        <v>1933</v>
      </c>
      <c r="D474" s="1392" t="s">
        <v>1952</v>
      </c>
      <c r="E474" s="4536" t="s">
        <v>1912</v>
      </c>
      <c r="F474" s="4538"/>
      <c r="G474" s="1391">
        <v>1774266821</v>
      </c>
    </row>
    <row r="475" spans="1:7" x14ac:dyDescent="0.25">
      <c r="A475" s="1392" t="s">
        <v>2576</v>
      </c>
      <c r="B475" s="1392" t="s">
        <v>1153</v>
      </c>
      <c r="C475" s="1392" t="s">
        <v>1933</v>
      </c>
      <c r="D475" s="1392" t="s">
        <v>1952</v>
      </c>
      <c r="E475" s="1392" t="s">
        <v>1912</v>
      </c>
      <c r="F475" s="1392" t="s">
        <v>1913</v>
      </c>
      <c r="G475" s="1391">
        <v>5020600</v>
      </c>
    </row>
    <row r="476" spans="1:7" x14ac:dyDescent="0.25">
      <c r="A476" s="1392" t="s">
        <v>2576</v>
      </c>
      <c r="B476" s="1392" t="s">
        <v>1153</v>
      </c>
      <c r="C476" s="1392" t="s">
        <v>1933</v>
      </c>
      <c r="D476" s="1392" t="s">
        <v>1952</v>
      </c>
      <c r="E476" s="1392" t="s">
        <v>1912</v>
      </c>
      <c r="F476" s="1392" t="s">
        <v>1915</v>
      </c>
      <c r="G476" s="1391">
        <v>6800000</v>
      </c>
    </row>
    <row r="477" spans="1:7" x14ac:dyDescent="0.25">
      <c r="A477" s="1392" t="s">
        <v>2576</v>
      </c>
      <c r="B477" s="1392" t="s">
        <v>1153</v>
      </c>
      <c r="C477" s="1392" t="s">
        <v>1933</v>
      </c>
      <c r="D477" s="1392" t="s">
        <v>1952</v>
      </c>
      <c r="E477" s="1392" t="s">
        <v>1912</v>
      </c>
      <c r="F477" s="1392" t="s">
        <v>1916</v>
      </c>
      <c r="G477" s="1391">
        <v>1762446221</v>
      </c>
    </row>
    <row r="478" spans="1:7" x14ac:dyDescent="0.25">
      <c r="A478" s="1392" t="s">
        <v>2576</v>
      </c>
      <c r="B478" s="1392" t="s">
        <v>1153</v>
      </c>
      <c r="C478" s="1392" t="s">
        <v>1933</v>
      </c>
      <c r="D478" s="4536" t="s">
        <v>1954</v>
      </c>
      <c r="E478" s="4537"/>
      <c r="F478" s="4538"/>
      <c r="G478" s="1391">
        <v>57233192538</v>
      </c>
    </row>
    <row r="479" spans="1:7" x14ac:dyDescent="0.25">
      <c r="A479" s="1392" t="s">
        <v>2576</v>
      </c>
      <c r="B479" s="1392" t="s">
        <v>1153</v>
      </c>
      <c r="C479" s="1392" t="s">
        <v>1933</v>
      </c>
      <c r="D479" s="1392" t="s">
        <v>1954</v>
      </c>
      <c r="E479" s="4536" t="s">
        <v>1848</v>
      </c>
      <c r="F479" s="4538"/>
      <c r="G479" s="1391">
        <v>18859391492</v>
      </c>
    </row>
    <row r="480" spans="1:7" x14ac:dyDescent="0.25">
      <c r="A480" s="1392" t="s">
        <v>2576</v>
      </c>
      <c r="B480" s="1392" t="s">
        <v>1153</v>
      </c>
      <c r="C480" s="1392" t="s">
        <v>1933</v>
      </c>
      <c r="D480" s="1392" t="s">
        <v>1954</v>
      </c>
      <c r="E480" s="1392" t="s">
        <v>1848</v>
      </c>
      <c r="F480" s="1392" t="s">
        <v>1849</v>
      </c>
      <c r="G480" s="1391">
        <v>18764447642</v>
      </c>
    </row>
    <row r="481" spans="1:7" x14ac:dyDescent="0.25">
      <c r="A481" s="1392" t="s">
        <v>2576</v>
      </c>
      <c r="B481" s="1392" t="s">
        <v>1153</v>
      </c>
      <c r="C481" s="1392" t="s">
        <v>1933</v>
      </c>
      <c r="D481" s="1392" t="s">
        <v>1954</v>
      </c>
      <c r="E481" s="1392" t="s">
        <v>1848</v>
      </c>
      <c r="F481" s="1392" t="s">
        <v>1850</v>
      </c>
      <c r="G481" s="1391">
        <v>94943850</v>
      </c>
    </row>
    <row r="482" spans="1:7" x14ac:dyDescent="0.25">
      <c r="A482" s="1392" t="s">
        <v>2576</v>
      </c>
      <c r="B482" s="1392" t="s">
        <v>1153</v>
      </c>
      <c r="C482" s="1392" t="s">
        <v>1933</v>
      </c>
      <c r="D482" s="1392" t="s">
        <v>1954</v>
      </c>
      <c r="E482" s="4536" t="s">
        <v>1851</v>
      </c>
      <c r="F482" s="4538"/>
      <c r="G482" s="1391">
        <v>2053148865</v>
      </c>
    </row>
    <row r="483" spans="1:7" x14ac:dyDescent="0.25">
      <c r="A483" s="1392" t="s">
        <v>2576</v>
      </c>
      <c r="B483" s="1392" t="s">
        <v>1153</v>
      </c>
      <c r="C483" s="1392" t="s">
        <v>1933</v>
      </c>
      <c r="D483" s="1392" t="s">
        <v>1954</v>
      </c>
      <c r="E483" s="1392" t="s">
        <v>1851</v>
      </c>
      <c r="F483" s="1392" t="s">
        <v>1852</v>
      </c>
      <c r="G483" s="1391">
        <v>2053148865</v>
      </c>
    </row>
    <row r="484" spans="1:7" x14ac:dyDescent="0.25">
      <c r="A484" s="1392" t="s">
        <v>2576</v>
      </c>
      <c r="B484" s="1392" t="s">
        <v>1153</v>
      </c>
      <c r="C484" s="1392" t="s">
        <v>1933</v>
      </c>
      <c r="D484" s="1392" t="s">
        <v>1954</v>
      </c>
      <c r="E484" s="4536" t="s">
        <v>1853</v>
      </c>
      <c r="F484" s="4538"/>
      <c r="G484" s="1391">
        <v>17494085399</v>
      </c>
    </row>
    <row r="485" spans="1:7" x14ac:dyDescent="0.25">
      <c r="A485" s="1392" t="s">
        <v>2576</v>
      </c>
      <c r="B485" s="1392" t="s">
        <v>1153</v>
      </c>
      <c r="C485" s="1392" t="s">
        <v>1933</v>
      </c>
      <c r="D485" s="1392" t="s">
        <v>1954</v>
      </c>
      <c r="E485" s="1392" t="s">
        <v>1853</v>
      </c>
      <c r="F485" s="1392" t="s">
        <v>1854</v>
      </c>
      <c r="G485" s="1391">
        <v>383246623</v>
      </c>
    </row>
    <row r="486" spans="1:7" x14ac:dyDescent="0.25">
      <c r="A486" s="1392" t="s">
        <v>2576</v>
      </c>
      <c r="B486" s="1392" t="s">
        <v>1153</v>
      </c>
      <c r="C486" s="1392" t="s">
        <v>1933</v>
      </c>
      <c r="D486" s="1392" t="s">
        <v>1954</v>
      </c>
      <c r="E486" s="1392" t="s">
        <v>1853</v>
      </c>
      <c r="F486" s="1392" t="s">
        <v>1855</v>
      </c>
      <c r="G486" s="1391">
        <v>2668260990</v>
      </c>
    </row>
    <row r="487" spans="1:7" x14ac:dyDescent="0.25">
      <c r="A487" s="1392" t="s">
        <v>2576</v>
      </c>
      <c r="B487" s="1392" t="s">
        <v>1153</v>
      </c>
      <c r="C487" s="1392" t="s">
        <v>1933</v>
      </c>
      <c r="D487" s="1392" t="s">
        <v>1954</v>
      </c>
      <c r="E487" s="1392" t="s">
        <v>1853</v>
      </c>
      <c r="F487" s="1392" t="s">
        <v>1935</v>
      </c>
      <c r="G487" s="1391">
        <v>521642742</v>
      </c>
    </row>
    <row r="488" spans="1:7" x14ac:dyDescent="0.25">
      <c r="A488" s="1392" t="s">
        <v>2576</v>
      </c>
      <c r="B488" s="1392" t="s">
        <v>1153</v>
      </c>
      <c r="C488" s="1392" t="s">
        <v>1933</v>
      </c>
      <c r="D488" s="1392" t="s">
        <v>1954</v>
      </c>
      <c r="E488" s="1392" t="s">
        <v>1853</v>
      </c>
      <c r="F488" s="1392" t="s">
        <v>1856</v>
      </c>
      <c r="G488" s="1391">
        <v>561274930</v>
      </c>
    </row>
    <row r="489" spans="1:7" x14ac:dyDescent="0.25">
      <c r="A489" s="1392" t="s">
        <v>2576</v>
      </c>
      <c r="B489" s="1392" t="s">
        <v>1153</v>
      </c>
      <c r="C489" s="1392" t="s">
        <v>1933</v>
      </c>
      <c r="D489" s="1392" t="s">
        <v>1954</v>
      </c>
      <c r="E489" s="1392" t="s">
        <v>1853</v>
      </c>
      <c r="F489" s="1392" t="s">
        <v>1936</v>
      </c>
      <c r="G489" s="1391">
        <v>29204000</v>
      </c>
    </row>
    <row r="490" spans="1:7" x14ac:dyDescent="0.25">
      <c r="A490" s="1392" t="s">
        <v>2576</v>
      </c>
      <c r="B490" s="1392" t="s">
        <v>1153</v>
      </c>
      <c r="C490" s="1392" t="s">
        <v>1933</v>
      </c>
      <c r="D490" s="1392" t="s">
        <v>1954</v>
      </c>
      <c r="E490" s="1392" t="s">
        <v>1853</v>
      </c>
      <c r="F490" s="1392" t="s">
        <v>1937</v>
      </c>
      <c r="G490" s="1391">
        <v>8642387951</v>
      </c>
    </row>
    <row r="491" spans="1:7" x14ac:dyDescent="0.25">
      <c r="A491" s="1392" t="s">
        <v>2576</v>
      </c>
      <c r="B491" s="1392" t="s">
        <v>1153</v>
      </c>
      <c r="C491" s="1392" t="s">
        <v>1933</v>
      </c>
      <c r="D491" s="1392" t="s">
        <v>1954</v>
      </c>
      <c r="E491" s="1392" t="s">
        <v>1853</v>
      </c>
      <c r="F491" s="1392" t="s">
        <v>1858</v>
      </c>
      <c r="G491" s="1391">
        <v>161116680</v>
      </c>
    </row>
    <row r="492" spans="1:7" x14ac:dyDescent="0.25">
      <c r="A492" s="1392" t="s">
        <v>2576</v>
      </c>
      <c r="B492" s="1392" t="s">
        <v>1153</v>
      </c>
      <c r="C492" s="1392" t="s">
        <v>1933</v>
      </c>
      <c r="D492" s="1392" t="s">
        <v>1954</v>
      </c>
      <c r="E492" s="1392" t="s">
        <v>1853</v>
      </c>
      <c r="F492" s="1392" t="s">
        <v>1929</v>
      </c>
      <c r="G492" s="1391">
        <v>3709258853</v>
      </c>
    </row>
    <row r="493" spans="1:7" x14ac:dyDescent="0.25">
      <c r="A493" s="1392" t="s">
        <v>2576</v>
      </c>
      <c r="B493" s="1392" t="s">
        <v>1153</v>
      </c>
      <c r="C493" s="1392" t="s">
        <v>1933</v>
      </c>
      <c r="D493" s="1392" t="s">
        <v>1954</v>
      </c>
      <c r="E493" s="1392" t="s">
        <v>1853</v>
      </c>
      <c r="F493" s="1392" t="s">
        <v>1953</v>
      </c>
      <c r="G493" s="1391">
        <v>13648400</v>
      </c>
    </row>
    <row r="494" spans="1:7" x14ac:dyDescent="0.25">
      <c r="A494" s="1392" t="s">
        <v>2576</v>
      </c>
      <c r="B494" s="1392" t="s">
        <v>1153</v>
      </c>
      <c r="C494" s="1392" t="s">
        <v>1933</v>
      </c>
      <c r="D494" s="1392" t="s">
        <v>1954</v>
      </c>
      <c r="E494" s="1392" t="s">
        <v>1853</v>
      </c>
      <c r="F494" s="1392" t="s">
        <v>1938</v>
      </c>
      <c r="G494" s="1391">
        <v>756085600</v>
      </c>
    </row>
    <row r="495" spans="1:7" x14ac:dyDescent="0.25">
      <c r="A495" s="1392" t="s">
        <v>2576</v>
      </c>
      <c r="B495" s="1392" t="s">
        <v>1153</v>
      </c>
      <c r="C495" s="1392" t="s">
        <v>1933</v>
      </c>
      <c r="D495" s="1392" t="s">
        <v>1954</v>
      </c>
      <c r="E495" s="1392" t="s">
        <v>1853</v>
      </c>
      <c r="F495" s="1392" t="s">
        <v>1977</v>
      </c>
      <c r="G495" s="1391">
        <v>3474680</v>
      </c>
    </row>
    <row r="496" spans="1:7" x14ac:dyDescent="0.25">
      <c r="A496" s="1392" t="s">
        <v>2576</v>
      </c>
      <c r="B496" s="1392" t="s">
        <v>1153</v>
      </c>
      <c r="C496" s="1392" t="s">
        <v>1933</v>
      </c>
      <c r="D496" s="1392" t="s">
        <v>1954</v>
      </c>
      <c r="E496" s="1392" t="s">
        <v>1853</v>
      </c>
      <c r="F496" s="1392" t="s">
        <v>1939</v>
      </c>
      <c r="G496" s="1391">
        <v>44483950</v>
      </c>
    </row>
    <row r="497" spans="1:7" x14ac:dyDescent="0.25">
      <c r="A497" s="1392" t="s">
        <v>2576</v>
      </c>
      <c r="B497" s="1392" t="s">
        <v>1153</v>
      </c>
      <c r="C497" s="1392" t="s">
        <v>1933</v>
      </c>
      <c r="D497" s="1392" t="s">
        <v>1954</v>
      </c>
      <c r="E497" s="4536" t="s">
        <v>1940</v>
      </c>
      <c r="F497" s="4538"/>
      <c r="G497" s="1391">
        <v>1598811520</v>
      </c>
    </row>
    <row r="498" spans="1:7" x14ac:dyDescent="0.25">
      <c r="A498" s="1392" t="s">
        <v>2576</v>
      </c>
      <c r="B498" s="1392" t="s">
        <v>1153</v>
      </c>
      <c r="C498" s="1392" t="s">
        <v>1933</v>
      </c>
      <c r="D498" s="1392" t="s">
        <v>1954</v>
      </c>
      <c r="E498" s="1392" t="s">
        <v>1940</v>
      </c>
      <c r="F498" s="1392" t="s">
        <v>1941</v>
      </c>
      <c r="G498" s="1391">
        <v>121584000</v>
      </c>
    </row>
    <row r="499" spans="1:7" x14ac:dyDescent="0.25">
      <c r="A499" s="1392" t="s">
        <v>2576</v>
      </c>
      <c r="B499" s="1392" t="s">
        <v>1153</v>
      </c>
      <c r="C499" s="1392" t="s">
        <v>1933</v>
      </c>
      <c r="D499" s="1392" t="s">
        <v>1954</v>
      </c>
      <c r="E499" s="1392" t="s">
        <v>1940</v>
      </c>
      <c r="F499" s="1392" t="s">
        <v>2242</v>
      </c>
      <c r="G499" s="1391">
        <v>999809520</v>
      </c>
    </row>
    <row r="500" spans="1:7" x14ac:dyDescent="0.25">
      <c r="A500" s="1392" t="s">
        <v>2576</v>
      </c>
      <c r="B500" s="1392" t="s">
        <v>1153</v>
      </c>
      <c r="C500" s="1392" t="s">
        <v>1933</v>
      </c>
      <c r="D500" s="1392" t="s">
        <v>1954</v>
      </c>
      <c r="E500" s="1392" t="s">
        <v>1940</v>
      </c>
      <c r="F500" s="1392" t="s">
        <v>1942</v>
      </c>
      <c r="G500" s="1391">
        <v>477418000</v>
      </c>
    </row>
    <row r="501" spans="1:7" x14ac:dyDescent="0.25">
      <c r="A501" s="1392" t="s">
        <v>2576</v>
      </c>
      <c r="B501" s="1392" t="s">
        <v>1153</v>
      </c>
      <c r="C501" s="1392" t="s">
        <v>1933</v>
      </c>
      <c r="D501" s="1392" t="s">
        <v>1954</v>
      </c>
      <c r="E501" s="4536" t="s">
        <v>1860</v>
      </c>
      <c r="F501" s="4538"/>
      <c r="G501" s="1391">
        <v>182737000</v>
      </c>
    </row>
    <row r="502" spans="1:7" x14ac:dyDescent="0.25">
      <c r="A502" s="1392" t="s">
        <v>2576</v>
      </c>
      <c r="B502" s="1392" t="s">
        <v>1153</v>
      </c>
      <c r="C502" s="1392" t="s">
        <v>1933</v>
      </c>
      <c r="D502" s="1392" t="s">
        <v>1954</v>
      </c>
      <c r="E502" s="1392" t="s">
        <v>1860</v>
      </c>
      <c r="F502" s="1392" t="s">
        <v>1861</v>
      </c>
      <c r="G502" s="1391">
        <v>177047000</v>
      </c>
    </row>
    <row r="503" spans="1:7" x14ac:dyDescent="0.25">
      <c r="A503" s="1392" t="s">
        <v>2576</v>
      </c>
      <c r="B503" s="1392" t="s">
        <v>1153</v>
      </c>
      <c r="C503" s="1392" t="s">
        <v>1933</v>
      </c>
      <c r="D503" s="1392" t="s">
        <v>1954</v>
      </c>
      <c r="E503" s="1392" t="s">
        <v>1860</v>
      </c>
      <c r="F503" s="1392" t="s">
        <v>1930</v>
      </c>
      <c r="G503" s="1391">
        <v>5690000</v>
      </c>
    </row>
    <row r="504" spans="1:7" x14ac:dyDescent="0.25">
      <c r="A504" s="1392" t="s">
        <v>2576</v>
      </c>
      <c r="B504" s="1392" t="s">
        <v>1153</v>
      </c>
      <c r="C504" s="1392" t="s">
        <v>1933</v>
      </c>
      <c r="D504" s="1392" t="s">
        <v>1954</v>
      </c>
      <c r="E504" s="4536" t="s">
        <v>1943</v>
      </c>
      <c r="F504" s="4538"/>
      <c r="G504" s="1391">
        <v>33635000</v>
      </c>
    </row>
    <row r="505" spans="1:7" x14ac:dyDescent="0.25">
      <c r="A505" s="1392" t="s">
        <v>2576</v>
      </c>
      <c r="B505" s="1392" t="s">
        <v>1153</v>
      </c>
      <c r="C505" s="1392" t="s">
        <v>1933</v>
      </c>
      <c r="D505" s="1392" t="s">
        <v>1954</v>
      </c>
      <c r="E505" s="1392" t="s">
        <v>1943</v>
      </c>
      <c r="F505" s="1392" t="s">
        <v>1944</v>
      </c>
      <c r="G505" s="1391">
        <v>33635000</v>
      </c>
    </row>
    <row r="506" spans="1:7" x14ac:dyDescent="0.25">
      <c r="A506" s="1392" t="s">
        <v>2576</v>
      </c>
      <c r="B506" s="1392" t="s">
        <v>1153</v>
      </c>
      <c r="C506" s="1392" t="s">
        <v>1933</v>
      </c>
      <c r="D506" s="1392" t="s">
        <v>1954</v>
      </c>
      <c r="E506" s="4536" t="s">
        <v>1862</v>
      </c>
      <c r="F506" s="4538"/>
      <c r="G506" s="1391">
        <v>5396439132</v>
      </c>
    </row>
    <row r="507" spans="1:7" x14ac:dyDescent="0.25">
      <c r="A507" s="1392" t="s">
        <v>2576</v>
      </c>
      <c r="B507" s="1392" t="s">
        <v>1153</v>
      </c>
      <c r="C507" s="1392" t="s">
        <v>1933</v>
      </c>
      <c r="D507" s="1392" t="s">
        <v>1954</v>
      </c>
      <c r="E507" s="1392" t="s">
        <v>1862</v>
      </c>
      <c r="F507" s="1392" t="s">
        <v>1863</v>
      </c>
      <c r="G507" s="1391">
        <v>3924338247</v>
      </c>
    </row>
    <row r="508" spans="1:7" x14ac:dyDescent="0.25">
      <c r="A508" s="1392" t="s">
        <v>2576</v>
      </c>
      <c r="B508" s="1392" t="s">
        <v>1153</v>
      </c>
      <c r="C508" s="1392" t="s">
        <v>1933</v>
      </c>
      <c r="D508" s="1392" t="s">
        <v>1954</v>
      </c>
      <c r="E508" s="1392" t="s">
        <v>1862</v>
      </c>
      <c r="F508" s="1392" t="s">
        <v>1864</v>
      </c>
      <c r="G508" s="1391">
        <v>690471730</v>
      </c>
    </row>
    <row r="509" spans="1:7" x14ac:dyDescent="0.25">
      <c r="A509" s="1392" t="s">
        <v>2576</v>
      </c>
      <c r="B509" s="1392" t="s">
        <v>1153</v>
      </c>
      <c r="C509" s="1392" t="s">
        <v>1933</v>
      </c>
      <c r="D509" s="1392" t="s">
        <v>1954</v>
      </c>
      <c r="E509" s="1392" t="s">
        <v>1862</v>
      </c>
      <c r="F509" s="1392" t="s">
        <v>1865</v>
      </c>
      <c r="G509" s="1391">
        <v>468464495</v>
      </c>
    </row>
    <row r="510" spans="1:7" x14ac:dyDescent="0.25">
      <c r="A510" s="1392" t="s">
        <v>2576</v>
      </c>
      <c r="B510" s="1392" t="s">
        <v>1153</v>
      </c>
      <c r="C510" s="1392" t="s">
        <v>1933</v>
      </c>
      <c r="D510" s="1392" t="s">
        <v>1954</v>
      </c>
      <c r="E510" s="1392" t="s">
        <v>1862</v>
      </c>
      <c r="F510" s="1392" t="s">
        <v>1866</v>
      </c>
      <c r="G510" s="1391">
        <v>214869240</v>
      </c>
    </row>
    <row r="511" spans="1:7" x14ac:dyDescent="0.25">
      <c r="A511" s="1392" t="s">
        <v>2576</v>
      </c>
      <c r="B511" s="1392" t="s">
        <v>1153</v>
      </c>
      <c r="C511" s="1392" t="s">
        <v>1933</v>
      </c>
      <c r="D511" s="1392" t="s">
        <v>1954</v>
      </c>
      <c r="E511" s="1392" t="s">
        <v>1862</v>
      </c>
      <c r="F511" s="1392" t="s">
        <v>1945</v>
      </c>
      <c r="G511" s="1391">
        <v>98295420</v>
      </c>
    </row>
    <row r="512" spans="1:7" x14ac:dyDescent="0.25">
      <c r="A512" s="1392" t="s">
        <v>2576</v>
      </c>
      <c r="B512" s="1392" t="s">
        <v>1153</v>
      </c>
      <c r="C512" s="1392" t="s">
        <v>1933</v>
      </c>
      <c r="D512" s="1392" t="s">
        <v>1954</v>
      </c>
      <c r="E512" s="4536" t="s">
        <v>1867</v>
      </c>
      <c r="F512" s="4538"/>
      <c r="G512" s="1391">
        <v>362030415</v>
      </c>
    </row>
    <row r="513" spans="1:7" x14ac:dyDescent="0.25">
      <c r="A513" s="1392" t="s">
        <v>2576</v>
      </c>
      <c r="B513" s="1392" t="s">
        <v>1153</v>
      </c>
      <c r="C513" s="1392" t="s">
        <v>1933</v>
      </c>
      <c r="D513" s="1392" t="s">
        <v>1954</v>
      </c>
      <c r="E513" s="1392" t="s">
        <v>1867</v>
      </c>
      <c r="F513" s="1392" t="s">
        <v>1868</v>
      </c>
      <c r="G513" s="1391">
        <v>355087015</v>
      </c>
    </row>
    <row r="514" spans="1:7" x14ac:dyDescent="0.25">
      <c r="A514" s="1392" t="s">
        <v>2576</v>
      </c>
      <c r="B514" s="1392" t="s">
        <v>1153</v>
      </c>
      <c r="C514" s="1392" t="s">
        <v>1933</v>
      </c>
      <c r="D514" s="1392" t="s">
        <v>1954</v>
      </c>
      <c r="E514" s="1392" t="s">
        <v>1867</v>
      </c>
      <c r="F514" s="1392" t="s">
        <v>1947</v>
      </c>
      <c r="G514" s="1391">
        <v>6943400</v>
      </c>
    </row>
    <row r="515" spans="1:7" x14ac:dyDescent="0.25">
      <c r="A515" s="1392" t="s">
        <v>2576</v>
      </c>
      <c r="B515" s="1392" t="s">
        <v>1153</v>
      </c>
      <c r="C515" s="1392" t="s">
        <v>1933</v>
      </c>
      <c r="D515" s="1392" t="s">
        <v>1954</v>
      </c>
      <c r="E515" s="4536" t="s">
        <v>1869</v>
      </c>
      <c r="F515" s="4538"/>
      <c r="G515" s="1391">
        <v>231499861</v>
      </c>
    </row>
    <row r="516" spans="1:7" x14ac:dyDescent="0.25">
      <c r="A516" s="1392" t="s">
        <v>2576</v>
      </c>
      <c r="B516" s="1392" t="s">
        <v>1153</v>
      </c>
      <c r="C516" s="1392" t="s">
        <v>1933</v>
      </c>
      <c r="D516" s="1392" t="s">
        <v>1954</v>
      </c>
      <c r="E516" s="1392" t="s">
        <v>1869</v>
      </c>
      <c r="F516" s="1392" t="s">
        <v>1870</v>
      </c>
      <c r="G516" s="1391">
        <v>200504477</v>
      </c>
    </row>
    <row r="517" spans="1:7" x14ac:dyDescent="0.25">
      <c r="A517" s="1392" t="s">
        <v>2576</v>
      </c>
      <c r="B517" s="1392" t="s">
        <v>1153</v>
      </c>
      <c r="C517" s="1392" t="s">
        <v>1933</v>
      </c>
      <c r="D517" s="1392" t="s">
        <v>1954</v>
      </c>
      <c r="E517" s="1392" t="s">
        <v>1869</v>
      </c>
      <c r="F517" s="1392" t="s">
        <v>1871</v>
      </c>
      <c r="G517" s="1391">
        <v>29425384</v>
      </c>
    </row>
    <row r="518" spans="1:7" x14ac:dyDescent="0.25">
      <c r="A518" s="1392" t="s">
        <v>2576</v>
      </c>
      <c r="B518" s="1392" t="s">
        <v>1153</v>
      </c>
      <c r="C518" s="1392" t="s">
        <v>1933</v>
      </c>
      <c r="D518" s="1392" t="s">
        <v>1954</v>
      </c>
      <c r="E518" s="1392" t="s">
        <v>1869</v>
      </c>
      <c r="F518" s="1392" t="s">
        <v>1873</v>
      </c>
      <c r="G518" s="1391">
        <v>1570000</v>
      </c>
    </row>
    <row r="519" spans="1:7" x14ac:dyDescent="0.25">
      <c r="A519" s="1392" t="s">
        <v>2576</v>
      </c>
      <c r="B519" s="1392" t="s">
        <v>1153</v>
      </c>
      <c r="C519" s="1392" t="s">
        <v>1933</v>
      </c>
      <c r="D519" s="1392" t="s">
        <v>1954</v>
      </c>
      <c r="E519" s="4536" t="s">
        <v>1874</v>
      </c>
      <c r="F519" s="4538"/>
      <c r="G519" s="1391">
        <v>1565674876</v>
      </c>
    </row>
    <row r="520" spans="1:7" x14ac:dyDescent="0.25">
      <c r="A520" s="1392" t="s">
        <v>2576</v>
      </c>
      <c r="B520" s="1392" t="s">
        <v>1153</v>
      </c>
      <c r="C520" s="1392" t="s">
        <v>1933</v>
      </c>
      <c r="D520" s="1392" t="s">
        <v>1954</v>
      </c>
      <c r="E520" s="1392" t="s">
        <v>1874</v>
      </c>
      <c r="F520" s="1392" t="s">
        <v>1875</v>
      </c>
      <c r="G520" s="1391">
        <v>363934873</v>
      </c>
    </row>
    <row r="521" spans="1:7" x14ac:dyDescent="0.25">
      <c r="A521" s="1392" t="s">
        <v>2576</v>
      </c>
      <c r="B521" s="1392" t="s">
        <v>1153</v>
      </c>
      <c r="C521" s="1392" t="s">
        <v>1933</v>
      </c>
      <c r="D521" s="1392" t="s">
        <v>1954</v>
      </c>
      <c r="E521" s="1392" t="s">
        <v>1874</v>
      </c>
      <c r="F521" s="1392" t="s">
        <v>1876</v>
      </c>
      <c r="G521" s="1391">
        <v>902082796</v>
      </c>
    </row>
    <row r="522" spans="1:7" x14ac:dyDescent="0.25">
      <c r="A522" s="1392" t="s">
        <v>2576</v>
      </c>
      <c r="B522" s="1392" t="s">
        <v>1153</v>
      </c>
      <c r="C522" s="1392" t="s">
        <v>1933</v>
      </c>
      <c r="D522" s="1392" t="s">
        <v>1954</v>
      </c>
      <c r="E522" s="1392" t="s">
        <v>1874</v>
      </c>
      <c r="F522" s="1392" t="s">
        <v>2062</v>
      </c>
      <c r="G522" s="1391">
        <v>4328000</v>
      </c>
    </row>
    <row r="523" spans="1:7" x14ac:dyDescent="0.25">
      <c r="A523" s="1392" t="s">
        <v>2576</v>
      </c>
      <c r="B523" s="1392" t="s">
        <v>1153</v>
      </c>
      <c r="C523" s="1392" t="s">
        <v>1933</v>
      </c>
      <c r="D523" s="1392" t="s">
        <v>1954</v>
      </c>
      <c r="E523" s="1392" t="s">
        <v>1874</v>
      </c>
      <c r="F523" s="1392" t="s">
        <v>1877</v>
      </c>
      <c r="G523" s="1391">
        <v>295329207</v>
      </c>
    </row>
    <row r="524" spans="1:7" x14ac:dyDescent="0.25">
      <c r="A524" s="1392" t="s">
        <v>2576</v>
      </c>
      <c r="B524" s="1392" t="s">
        <v>1153</v>
      </c>
      <c r="C524" s="1392" t="s">
        <v>1933</v>
      </c>
      <c r="D524" s="1392" t="s">
        <v>1954</v>
      </c>
      <c r="E524" s="4536" t="s">
        <v>1878</v>
      </c>
      <c r="F524" s="4538"/>
      <c r="G524" s="1391">
        <v>103935158</v>
      </c>
    </row>
    <row r="525" spans="1:7" x14ac:dyDescent="0.25">
      <c r="A525" s="1392" t="s">
        <v>2576</v>
      </c>
      <c r="B525" s="1392" t="s">
        <v>1153</v>
      </c>
      <c r="C525" s="1392" t="s">
        <v>1933</v>
      </c>
      <c r="D525" s="1392" t="s">
        <v>1954</v>
      </c>
      <c r="E525" s="1392" t="s">
        <v>1878</v>
      </c>
      <c r="F525" s="1392" t="s">
        <v>1879</v>
      </c>
      <c r="G525" s="1391">
        <v>20345675</v>
      </c>
    </row>
    <row r="526" spans="1:7" x14ac:dyDescent="0.25">
      <c r="A526" s="1392" t="s">
        <v>2576</v>
      </c>
      <c r="B526" s="1392" t="s">
        <v>1153</v>
      </c>
      <c r="C526" s="1392" t="s">
        <v>1933</v>
      </c>
      <c r="D526" s="1392" t="s">
        <v>1954</v>
      </c>
      <c r="E526" s="1392" t="s">
        <v>1878</v>
      </c>
      <c r="F526" s="1392" t="s">
        <v>1881</v>
      </c>
      <c r="G526" s="1391">
        <v>16794083</v>
      </c>
    </row>
    <row r="527" spans="1:7" x14ac:dyDescent="0.25">
      <c r="A527" s="1392" t="s">
        <v>2576</v>
      </c>
      <c r="B527" s="1392" t="s">
        <v>1153</v>
      </c>
      <c r="C527" s="1392" t="s">
        <v>1933</v>
      </c>
      <c r="D527" s="1392" t="s">
        <v>1954</v>
      </c>
      <c r="E527" s="1392" t="s">
        <v>1878</v>
      </c>
      <c r="F527" s="1392" t="s">
        <v>1882</v>
      </c>
      <c r="G527" s="1391">
        <v>11135000</v>
      </c>
    </row>
    <row r="528" spans="1:7" x14ac:dyDescent="0.25">
      <c r="A528" s="1392" t="s">
        <v>2576</v>
      </c>
      <c r="B528" s="1392" t="s">
        <v>1153</v>
      </c>
      <c r="C528" s="1392" t="s">
        <v>1933</v>
      </c>
      <c r="D528" s="1392" t="s">
        <v>1954</v>
      </c>
      <c r="E528" s="1392" t="s">
        <v>1878</v>
      </c>
      <c r="F528" s="1392" t="s">
        <v>1883</v>
      </c>
      <c r="G528" s="1391">
        <v>37140400</v>
      </c>
    </row>
    <row r="529" spans="1:7" x14ac:dyDescent="0.25">
      <c r="A529" s="1392" t="s">
        <v>2576</v>
      </c>
      <c r="B529" s="1392" t="s">
        <v>1153</v>
      </c>
      <c r="C529" s="1392" t="s">
        <v>1933</v>
      </c>
      <c r="D529" s="1392" t="s">
        <v>1954</v>
      </c>
      <c r="E529" s="1392" t="s">
        <v>1878</v>
      </c>
      <c r="F529" s="1392" t="s">
        <v>1884</v>
      </c>
      <c r="G529" s="1391">
        <v>760000</v>
      </c>
    </row>
    <row r="530" spans="1:7" x14ac:dyDescent="0.25">
      <c r="A530" s="1392" t="s">
        <v>2576</v>
      </c>
      <c r="B530" s="1392" t="s">
        <v>1153</v>
      </c>
      <c r="C530" s="1392" t="s">
        <v>1933</v>
      </c>
      <c r="D530" s="1392" t="s">
        <v>1954</v>
      </c>
      <c r="E530" s="1392" t="s">
        <v>1878</v>
      </c>
      <c r="F530" s="1392" t="s">
        <v>1949</v>
      </c>
      <c r="G530" s="1391">
        <v>17760000</v>
      </c>
    </row>
    <row r="531" spans="1:7" x14ac:dyDescent="0.25">
      <c r="A531" s="1392" t="s">
        <v>2576</v>
      </c>
      <c r="B531" s="1392" t="s">
        <v>1153</v>
      </c>
      <c r="C531" s="1392" t="s">
        <v>1933</v>
      </c>
      <c r="D531" s="1392" t="s">
        <v>1954</v>
      </c>
      <c r="E531" s="4536" t="s">
        <v>1885</v>
      </c>
      <c r="F531" s="4538"/>
      <c r="G531" s="1391">
        <v>104069000</v>
      </c>
    </row>
    <row r="532" spans="1:7" x14ac:dyDescent="0.25">
      <c r="A532" s="1392" t="s">
        <v>2576</v>
      </c>
      <c r="B532" s="1392" t="s">
        <v>1153</v>
      </c>
      <c r="C532" s="1392" t="s">
        <v>1933</v>
      </c>
      <c r="D532" s="1392" t="s">
        <v>1954</v>
      </c>
      <c r="E532" s="1392" t="s">
        <v>1885</v>
      </c>
      <c r="F532" s="1392" t="s">
        <v>1886</v>
      </c>
      <c r="G532" s="1391">
        <v>8100000</v>
      </c>
    </row>
    <row r="533" spans="1:7" x14ac:dyDescent="0.25">
      <c r="A533" s="1392" t="s">
        <v>2576</v>
      </c>
      <c r="B533" s="1392" t="s">
        <v>1153</v>
      </c>
      <c r="C533" s="1392" t="s">
        <v>1933</v>
      </c>
      <c r="D533" s="1392" t="s">
        <v>1954</v>
      </c>
      <c r="E533" s="1392" t="s">
        <v>1885</v>
      </c>
      <c r="F533" s="1392" t="s">
        <v>1926</v>
      </c>
      <c r="G533" s="1391">
        <v>3000000</v>
      </c>
    </row>
    <row r="534" spans="1:7" x14ac:dyDescent="0.25">
      <c r="A534" s="1392" t="s">
        <v>2576</v>
      </c>
      <c r="B534" s="1392" t="s">
        <v>1153</v>
      </c>
      <c r="C534" s="1392" t="s">
        <v>1933</v>
      </c>
      <c r="D534" s="1392" t="s">
        <v>1954</v>
      </c>
      <c r="E534" s="1392" t="s">
        <v>1885</v>
      </c>
      <c r="F534" s="1392" t="s">
        <v>1927</v>
      </c>
      <c r="G534" s="1391">
        <v>9100000</v>
      </c>
    </row>
    <row r="535" spans="1:7" x14ac:dyDescent="0.25">
      <c r="A535" s="1392" t="s">
        <v>2576</v>
      </c>
      <c r="B535" s="1392" t="s">
        <v>1153</v>
      </c>
      <c r="C535" s="1392" t="s">
        <v>1933</v>
      </c>
      <c r="D535" s="1392" t="s">
        <v>1954</v>
      </c>
      <c r="E535" s="1392" t="s">
        <v>1885</v>
      </c>
      <c r="F535" s="1392" t="s">
        <v>1888</v>
      </c>
      <c r="G535" s="1391">
        <v>83869000</v>
      </c>
    </row>
    <row r="536" spans="1:7" x14ac:dyDescent="0.25">
      <c r="A536" s="1392" t="s">
        <v>2576</v>
      </c>
      <c r="B536" s="1392" t="s">
        <v>1153</v>
      </c>
      <c r="C536" s="1392" t="s">
        <v>1933</v>
      </c>
      <c r="D536" s="1392" t="s">
        <v>1954</v>
      </c>
      <c r="E536" s="4536" t="s">
        <v>1889</v>
      </c>
      <c r="F536" s="4538"/>
      <c r="G536" s="1391">
        <v>976572551</v>
      </c>
    </row>
    <row r="537" spans="1:7" x14ac:dyDescent="0.25">
      <c r="A537" s="1392" t="s">
        <v>2576</v>
      </c>
      <c r="B537" s="1392" t="s">
        <v>1153</v>
      </c>
      <c r="C537" s="1392" t="s">
        <v>1933</v>
      </c>
      <c r="D537" s="1392" t="s">
        <v>1954</v>
      </c>
      <c r="E537" s="1392" t="s">
        <v>1889</v>
      </c>
      <c r="F537" s="1392" t="s">
        <v>1921</v>
      </c>
      <c r="G537" s="1391">
        <v>10081800</v>
      </c>
    </row>
    <row r="538" spans="1:7" x14ac:dyDescent="0.25">
      <c r="A538" s="1392" t="s">
        <v>2576</v>
      </c>
      <c r="B538" s="1392" t="s">
        <v>1153</v>
      </c>
      <c r="C538" s="1392" t="s">
        <v>1933</v>
      </c>
      <c r="D538" s="1392" t="s">
        <v>1954</v>
      </c>
      <c r="E538" s="1392" t="s">
        <v>1889</v>
      </c>
      <c r="F538" s="1392" t="s">
        <v>1890</v>
      </c>
      <c r="G538" s="1391">
        <v>436500000</v>
      </c>
    </row>
    <row r="539" spans="1:7" x14ac:dyDescent="0.25">
      <c r="A539" s="1392" t="s">
        <v>2576</v>
      </c>
      <c r="B539" s="1392" t="s">
        <v>1153</v>
      </c>
      <c r="C539" s="1392" t="s">
        <v>1933</v>
      </c>
      <c r="D539" s="1392" t="s">
        <v>1954</v>
      </c>
      <c r="E539" s="1392" t="s">
        <v>1889</v>
      </c>
      <c r="F539" s="1392" t="s">
        <v>1891</v>
      </c>
      <c r="G539" s="1391">
        <v>282074000</v>
      </c>
    </row>
    <row r="540" spans="1:7" x14ac:dyDescent="0.25">
      <c r="A540" s="1392" t="s">
        <v>2576</v>
      </c>
      <c r="B540" s="1392" t="s">
        <v>1153</v>
      </c>
      <c r="C540" s="1392" t="s">
        <v>1933</v>
      </c>
      <c r="D540" s="1392" t="s">
        <v>1954</v>
      </c>
      <c r="E540" s="1392" t="s">
        <v>1889</v>
      </c>
      <c r="F540" s="1392" t="s">
        <v>1892</v>
      </c>
      <c r="G540" s="1391">
        <v>11400000</v>
      </c>
    </row>
    <row r="541" spans="1:7" x14ac:dyDescent="0.25">
      <c r="A541" s="1392" t="s">
        <v>2576</v>
      </c>
      <c r="B541" s="1392" t="s">
        <v>1153</v>
      </c>
      <c r="C541" s="1392" t="s">
        <v>1933</v>
      </c>
      <c r="D541" s="1392" t="s">
        <v>1954</v>
      </c>
      <c r="E541" s="1392" t="s">
        <v>1889</v>
      </c>
      <c r="F541" s="1392" t="s">
        <v>1922</v>
      </c>
      <c r="G541" s="1391">
        <v>236516751</v>
      </c>
    </row>
    <row r="542" spans="1:7" x14ac:dyDescent="0.25">
      <c r="A542" s="1392" t="s">
        <v>2576</v>
      </c>
      <c r="B542" s="1392" t="s">
        <v>1153</v>
      </c>
      <c r="C542" s="1392" t="s">
        <v>1933</v>
      </c>
      <c r="D542" s="1392" t="s">
        <v>1954</v>
      </c>
      <c r="E542" s="4536" t="s">
        <v>1893</v>
      </c>
      <c r="F542" s="4538"/>
      <c r="G542" s="1391">
        <v>499336950</v>
      </c>
    </row>
    <row r="543" spans="1:7" x14ac:dyDescent="0.25">
      <c r="A543" s="1392" t="s">
        <v>2576</v>
      </c>
      <c r="B543" s="1392" t="s">
        <v>1153</v>
      </c>
      <c r="C543" s="1392" t="s">
        <v>1933</v>
      </c>
      <c r="D543" s="1392" t="s">
        <v>1954</v>
      </c>
      <c r="E543" s="1392" t="s">
        <v>1893</v>
      </c>
      <c r="F543" s="1392" t="s">
        <v>1894</v>
      </c>
      <c r="G543" s="1391">
        <v>42560000</v>
      </c>
    </row>
    <row r="544" spans="1:7" x14ac:dyDescent="0.25">
      <c r="A544" s="1392" t="s">
        <v>2576</v>
      </c>
      <c r="B544" s="1392" t="s">
        <v>1153</v>
      </c>
      <c r="C544" s="1392" t="s">
        <v>1933</v>
      </c>
      <c r="D544" s="1392" t="s">
        <v>1954</v>
      </c>
      <c r="E544" s="1392" t="s">
        <v>1893</v>
      </c>
      <c r="F544" s="1392" t="s">
        <v>2051</v>
      </c>
      <c r="G544" s="1391">
        <v>108200000</v>
      </c>
    </row>
    <row r="545" spans="1:7" x14ac:dyDescent="0.25">
      <c r="A545" s="1392" t="s">
        <v>2576</v>
      </c>
      <c r="B545" s="1392" t="s">
        <v>1153</v>
      </c>
      <c r="C545" s="1392" t="s">
        <v>1933</v>
      </c>
      <c r="D545" s="1392" t="s">
        <v>1954</v>
      </c>
      <c r="E545" s="1392" t="s">
        <v>1893</v>
      </c>
      <c r="F545" s="1392" t="s">
        <v>1895</v>
      </c>
      <c r="G545" s="1391">
        <v>348576950</v>
      </c>
    </row>
    <row r="546" spans="1:7" x14ac:dyDescent="0.25">
      <c r="A546" s="1392" t="s">
        <v>2576</v>
      </c>
      <c r="B546" s="1392" t="s">
        <v>1153</v>
      </c>
      <c r="C546" s="1392" t="s">
        <v>1933</v>
      </c>
      <c r="D546" s="1392" t="s">
        <v>1954</v>
      </c>
      <c r="E546" s="4536" t="s">
        <v>1896</v>
      </c>
      <c r="F546" s="4538"/>
      <c r="G546" s="1391">
        <v>2418673427</v>
      </c>
    </row>
    <row r="547" spans="1:7" x14ac:dyDescent="0.25">
      <c r="A547" s="1392" t="s">
        <v>2576</v>
      </c>
      <c r="B547" s="1392" t="s">
        <v>1153</v>
      </c>
      <c r="C547" s="1392" t="s">
        <v>1933</v>
      </c>
      <c r="D547" s="1392" t="s">
        <v>1954</v>
      </c>
      <c r="E547" s="1392" t="s">
        <v>1896</v>
      </c>
      <c r="F547" s="1392" t="s">
        <v>1899</v>
      </c>
      <c r="G547" s="1391">
        <v>1633279340</v>
      </c>
    </row>
    <row r="548" spans="1:7" x14ac:dyDescent="0.25">
      <c r="A548" s="1392" t="s">
        <v>2576</v>
      </c>
      <c r="B548" s="1392" t="s">
        <v>1153</v>
      </c>
      <c r="C548" s="1392" t="s">
        <v>1933</v>
      </c>
      <c r="D548" s="1392" t="s">
        <v>1954</v>
      </c>
      <c r="E548" s="1392" t="s">
        <v>1896</v>
      </c>
      <c r="F548" s="1392" t="s">
        <v>1900</v>
      </c>
      <c r="G548" s="1391">
        <v>371275400</v>
      </c>
    </row>
    <row r="549" spans="1:7" x14ac:dyDescent="0.25">
      <c r="A549" s="1392" t="s">
        <v>2576</v>
      </c>
      <c r="B549" s="1392" t="s">
        <v>1153</v>
      </c>
      <c r="C549" s="1392" t="s">
        <v>1933</v>
      </c>
      <c r="D549" s="1392" t="s">
        <v>1954</v>
      </c>
      <c r="E549" s="1392" t="s">
        <v>1896</v>
      </c>
      <c r="F549" s="1392" t="s">
        <v>1901</v>
      </c>
      <c r="G549" s="1391">
        <v>31600000</v>
      </c>
    </row>
    <row r="550" spans="1:7" x14ac:dyDescent="0.25">
      <c r="A550" s="1392" t="s">
        <v>2576</v>
      </c>
      <c r="B550" s="1392" t="s">
        <v>1153</v>
      </c>
      <c r="C550" s="1392" t="s">
        <v>1933</v>
      </c>
      <c r="D550" s="1392" t="s">
        <v>1954</v>
      </c>
      <c r="E550" s="1392" t="s">
        <v>1896</v>
      </c>
      <c r="F550" s="1392" t="s">
        <v>1928</v>
      </c>
      <c r="G550" s="1391">
        <v>116597091</v>
      </c>
    </row>
    <row r="551" spans="1:7" x14ac:dyDescent="0.25">
      <c r="A551" s="1392" t="s">
        <v>2576</v>
      </c>
      <c r="B551" s="1392" t="s">
        <v>1153</v>
      </c>
      <c r="C551" s="1392" t="s">
        <v>1933</v>
      </c>
      <c r="D551" s="1392" t="s">
        <v>1954</v>
      </c>
      <c r="E551" s="1392" t="s">
        <v>1896</v>
      </c>
      <c r="F551" s="1392" t="s">
        <v>1902</v>
      </c>
      <c r="G551" s="1391">
        <v>265921596</v>
      </c>
    </row>
    <row r="552" spans="1:7" x14ac:dyDescent="0.25">
      <c r="A552" s="1392" t="s">
        <v>2576</v>
      </c>
      <c r="B552" s="1392" t="s">
        <v>1153</v>
      </c>
      <c r="C552" s="1392" t="s">
        <v>1933</v>
      </c>
      <c r="D552" s="1392" t="s">
        <v>1954</v>
      </c>
      <c r="E552" s="4536" t="s">
        <v>1903</v>
      </c>
      <c r="F552" s="4538"/>
      <c r="G552" s="1391">
        <v>971881636</v>
      </c>
    </row>
    <row r="553" spans="1:7" x14ac:dyDescent="0.25">
      <c r="A553" s="1392" t="s">
        <v>2576</v>
      </c>
      <c r="B553" s="1392" t="s">
        <v>1153</v>
      </c>
      <c r="C553" s="1392" t="s">
        <v>1933</v>
      </c>
      <c r="D553" s="1392" t="s">
        <v>1954</v>
      </c>
      <c r="E553" s="1392" t="s">
        <v>1903</v>
      </c>
      <c r="F553" s="1392" t="s">
        <v>1950</v>
      </c>
      <c r="G553" s="1391">
        <v>142485000</v>
      </c>
    </row>
    <row r="554" spans="1:7" x14ac:dyDescent="0.25">
      <c r="A554" s="1392" t="s">
        <v>2576</v>
      </c>
      <c r="B554" s="1392" t="s">
        <v>1153</v>
      </c>
      <c r="C554" s="1392" t="s">
        <v>1933</v>
      </c>
      <c r="D554" s="1392" t="s">
        <v>1954</v>
      </c>
      <c r="E554" s="1392" t="s">
        <v>1903</v>
      </c>
      <c r="F554" s="1392" t="s">
        <v>1904</v>
      </c>
      <c r="G554" s="1391">
        <v>555060000</v>
      </c>
    </row>
    <row r="555" spans="1:7" x14ac:dyDescent="0.25">
      <c r="A555" s="1392" t="s">
        <v>2576</v>
      </c>
      <c r="B555" s="1392" t="s">
        <v>1153</v>
      </c>
      <c r="C555" s="1392" t="s">
        <v>1933</v>
      </c>
      <c r="D555" s="1392" t="s">
        <v>1954</v>
      </c>
      <c r="E555" s="1392" t="s">
        <v>1903</v>
      </c>
      <c r="F555" s="1392" t="s">
        <v>1905</v>
      </c>
      <c r="G555" s="1391">
        <v>274336636</v>
      </c>
    </row>
    <row r="556" spans="1:7" x14ac:dyDescent="0.25">
      <c r="A556" s="1392" t="s">
        <v>2576</v>
      </c>
      <c r="B556" s="1392" t="s">
        <v>1153</v>
      </c>
      <c r="C556" s="1392" t="s">
        <v>1933</v>
      </c>
      <c r="D556" s="1392" t="s">
        <v>1954</v>
      </c>
      <c r="E556" s="4536" t="s">
        <v>1906</v>
      </c>
      <c r="F556" s="4538"/>
      <c r="G556" s="1391">
        <v>1444691165</v>
      </c>
    </row>
    <row r="557" spans="1:7" x14ac:dyDescent="0.25">
      <c r="A557" s="1392" t="s">
        <v>2576</v>
      </c>
      <c r="B557" s="1392" t="s">
        <v>1153</v>
      </c>
      <c r="C557" s="1392" t="s">
        <v>1933</v>
      </c>
      <c r="D557" s="1392" t="s">
        <v>1954</v>
      </c>
      <c r="E557" s="1392" t="s">
        <v>1906</v>
      </c>
      <c r="F557" s="1392" t="s">
        <v>1907</v>
      </c>
      <c r="G557" s="1391">
        <v>472834100</v>
      </c>
    </row>
    <row r="558" spans="1:7" x14ac:dyDescent="0.25">
      <c r="A558" s="1392" t="s">
        <v>2576</v>
      </c>
      <c r="B558" s="1392" t="s">
        <v>1153</v>
      </c>
      <c r="C558" s="1392" t="s">
        <v>1933</v>
      </c>
      <c r="D558" s="1392" t="s">
        <v>1954</v>
      </c>
      <c r="E558" s="1392" t="s">
        <v>1906</v>
      </c>
      <c r="F558" s="1392" t="s">
        <v>1908</v>
      </c>
      <c r="G558" s="1391">
        <v>30819000</v>
      </c>
    </row>
    <row r="559" spans="1:7" x14ac:dyDescent="0.25">
      <c r="A559" s="1392" t="s">
        <v>2576</v>
      </c>
      <c r="B559" s="1392" t="s">
        <v>1153</v>
      </c>
      <c r="C559" s="1392" t="s">
        <v>1933</v>
      </c>
      <c r="D559" s="1392" t="s">
        <v>1954</v>
      </c>
      <c r="E559" s="1392" t="s">
        <v>1906</v>
      </c>
      <c r="F559" s="1392" t="s">
        <v>1909</v>
      </c>
      <c r="G559" s="1391">
        <v>941038065</v>
      </c>
    </row>
    <row r="560" spans="1:7" x14ac:dyDescent="0.25">
      <c r="A560" s="1392" t="s">
        <v>2576</v>
      </c>
      <c r="B560" s="1392" t="s">
        <v>1153</v>
      </c>
      <c r="C560" s="1392" t="s">
        <v>1933</v>
      </c>
      <c r="D560" s="1392" t="s">
        <v>1954</v>
      </c>
      <c r="E560" s="4536" t="s">
        <v>1912</v>
      </c>
      <c r="F560" s="4538"/>
      <c r="G560" s="1391">
        <v>2923979091</v>
      </c>
    </row>
    <row r="561" spans="1:7" x14ac:dyDescent="0.25">
      <c r="A561" s="1392" t="s">
        <v>2576</v>
      </c>
      <c r="B561" s="1392" t="s">
        <v>1153</v>
      </c>
      <c r="C561" s="1392" t="s">
        <v>1933</v>
      </c>
      <c r="D561" s="1392" t="s">
        <v>1954</v>
      </c>
      <c r="E561" s="1392" t="s">
        <v>1912</v>
      </c>
      <c r="F561" s="1392" t="s">
        <v>1913</v>
      </c>
      <c r="G561" s="1391">
        <v>15380000</v>
      </c>
    </row>
    <row r="562" spans="1:7" x14ac:dyDescent="0.25">
      <c r="A562" s="1392" t="s">
        <v>2576</v>
      </c>
      <c r="B562" s="1392" t="s">
        <v>1153</v>
      </c>
      <c r="C562" s="1392" t="s">
        <v>1933</v>
      </c>
      <c r="D562" s="1392" t="s">
        <v>1954</v>
      </c>
      <c r="E562" s="1392" t="s">
        <v>1912</v>
      </c>
      <c r="F562" s="1392" t="s">
        <v>1915</v>
      </c>
      <c r="G562" s="1391">
        <v>8755000</v>
      </c>
    </row>
    <row r="563" spans="1:7" x14ac:dyDescent="0.25">
      <c r="A563" s="1392" t="s">
        <v>2576</v>
      </c>
      <c r="B563" s="1392" t="s">
        <v>1153</v>
      </c>
      <c r="C563" s="1392" t="s">
        <v>1933</v>
      </c>
      <c r="D563" s="1392" t="s">
        <v>1954</v>
      </c>
      <c r="E563" s="1392" t="s">
        <v>1912</v>
      </c>
      <c r="F563" s="1392" t="s">
        <v>1951</v>
      </c>
      <c r="G563" s="1391">
        <v>112202400</v>
      </c>
    </row>
    <row r="564" spans="1:7" x14ac:dyDescent="0.25">
      <c r="A564" s="1392" t="s">
        <v>2576</v>
      </c>
      <c r="B564" s="1392" t="s">
        <v>1153</v>
      </c>
      <c r="C564" s="1392" t="s">
        <v>1933</v>
      </c>
      <c r="D564" s="1392" t="s">
        <v>1954</v>
      </c>
      <c r="E564" s="1392" t="s">
        <v>1912</v>
      </c>
      <c r="F564" s="1392" t="s">
        <v>1916</v>
      </c>
      <c r="G564" s="1391">
        <v>2787641691</v>
      </c>
    </row>
    <row r="565" spans="1:7" x14ac:dyDescent="0.25">
      <c r="A565" s="1392" t="s">
        <v>2576</v>
      </c>
      <c r="B565" s="1392" t="s">
        <v>1153</v>
      </c>
      <c r="C565" s="1392" t="s">
        <v>1933</v>
      </c>
      <c r="D565" s="1392" t="s">
        <v>1954</v>
      </c>
      <c r="E565" s="4536" t="s">
        <v>1983</v>
      </c>
      <c r="F565" s="4538"/>
      <c r="G565" s="1391">
        <v>12600000</v>
      </c>
    </row>
    <row r="566" spans="1:7" x14ac:dyDescent="0.25">
      <c r="A566" s="1392" t="s">
        <v>2576</v>
      </c>
      <c r="B566" s="1392" t="s">
        <v>1153</v>
      </c>
      <c r="C566" s="1392" t="s">
        <v>1933</v>
      </c>
      <c r="D566" s="1392" t="s">
        <v>1954</v>
      </c>
      <c r="E566" s="1392" t="s">
        <v>1983</v>
      </c>
      <c r="F566" s="1392" t="s">
        <v>2240</v>
      </c>
      <c r="G566" s="1391">
        <v>12600000</v>
      </c>
    </row>
    <row r="567" spans="1:7" x14ac:dyDescent="0.25">
      <c r="A567" s="1392" t="s">
        <v>2576</v>
      </c>
      <c r="B567" s="1392" t="s">
        <v>1153</v>
      </c>
      <c r="C567" s="4536" t="s">
        <v>1846</v>
      </c>
      <c r="D567" s="4537"/>
      <c r="E567" s="4537"/>
      <c r="F567" s="4538"/>
      <c r="G567" s="1391">
        <v>1306309921</v>
      </c>
    </row>
    <row r="568" spans="1:7" x14ac:dyDescent="0.25">
      <c r="A568" s="1392" t="s">
        <v>2576</v>
      </c>
      <c r="B568" s="1392" t="s">
        <v>1153</v>
      </c>
      <c r="C568" s="1392" t="s">
        <v>1846</v>
      </c>
      <c r="D568" s="4536" t="s">
        <v>1847</v>
      </c>
      <c r="E568" s="4537"/>
      <c r="F568" s="4538"/>
      <c r="G568" s="1391">
        <v>1306309921</v>
      </c>
    </row>
    <row r="569" spans="1:7" x14ac:dyDescent="0.25">
      <c r="A569" s="1392" t="s">
        <v>2576</v>
      </c>
      <c r="B569" s="1392" t="s">
        <v>1153</v>
      </c>
      <c r="C569" s="1392" t="s">
        <v>1846</v>
      </c>
      <c r="D569" s="1392" t="s">
        <v>1847</v>
      </c>
      <c r="E569" s="4536" t="s">
        <v>1848</v>
      </c>
      <c r="F569" s="4538"/>
      <c r="G569" s="1391">
        <v>580355476</v>
      </c>
    </row>
    <row r="570" spans="1:7" x14ac:dyDescent="0.25">
      <c r="A570" s="1392" t="s">
        <v>2576</v>
      </c>
      <c r="B570" s="1392" t="s">
        <v>1153</v>
      </c>
      <c r="C570" s="1392" t="s">
        <v>1846</v>
      </c>
      <c r="D570" s="1392" t="s">
        <v>1847</v>
      </c>
      <c r="E570" s="1392" t="s">
        <v>1848</v>
      </c>
      <c r="F570" s="1392" t="s">
        <v>1849</v>
      </c>
      <c r="G570" s="1391">
        <v>580355476</v>
      </c>
    </row>
    <row r="571" spans="1:7" x14ac:dyDescent="0.25">
      <c r="A571" s="1392" t="s">
        <v>2576</v>
      </c>
      <c r="B571" s="1392" t="s">
        <v>1153</v>
      </c>
      <c r="C571" s="1392" t="s">
        <v>1846</v>
      </c>
      <c r="D571" s="1392" t="s">
        <v>1847</v>
      </c>
      <c r="E571" s="4536" t="s">
        <v>1853</v>
      </c>
      <c r="F571" s="4538"/>
      <c r="G571" s="1391">
        <v>253810769</v>
      </c>
    </row>
    <row r="572" spans="1:7" x14ac:dyDescent="0.25">
      <c r="A572" s="1392" t="s">
        <v>2576</v>
      </c>
      <c r="B572" s="1392" t="s">
        <v>1153</v>
      </c>
      <c r="C572" s="1392" t="s">
        <v>1846</v>
      </c>
      <c r="D572" s="1392" t="s">
        <v>1847</v>
      </c>
      <c r="E572" s="1392" t="s">
        <v>1853</v>
      </c>
      <c r="F572" s="1392" t="s">
        <v>1854</v>
      </c>
      <c r="G572" s="1391">
        <v>11622000</v>
      </c>
    </row>
    <row r="573" spans="1:7" x14ac:dyDescent="0.25">
      <c r="A573" s="1392" t="s">
        <v>2576</v>
      </c>
      <c r="B573" s="1392" t="s">
        <v>1153</v>
      </c>
      <c r="C573" s="1392" t="s">
        <v>1846</v>
      </c>
      <c r="D573" s="1392" t="s">
        <v>1847</v>
      </c>
      <c r="E573" s="1392" t="s">
        <v>1853</v>
      </c>
      <c r="F573" s="1392" t="s">
        <v>1855</v>
      </c>
      <c r="G573" s="1391">
        <v>69285000</v>
      </c>
    </row>
    <row r="574" spans="1:7" x14ac:dyDescent="0.25">
      <c r="A574" s="1392" t="s">
        <v>2576</v>
      </c>
      <c r="B574" s="1392" t="s">
        <v>1153</v>
      </c>
      <c r="C574" s="1392" t="s">
        <v>1846</v>
      </c>
      <c r="D574" s="1392" t="s">
        <v>1847</v>
      </c>
      <c r="E574" s="1392" t="s">
        <v>1853</v>
      </c>
      <c r="F574" s="1392" t="s">
        <v>1856</v>
      </c>
      <c r="G574" s="1391">
        <v>24915032</v>
      </c>
    </row>
    <row r="575" spans="1:7" x14ac:dyDescent="0.25">
      <c r="A575" s="1392" t="s">
        <v>2576</v>
      </c>
      <c r="B575" s="1392" t="s">
        <v>1153</v>
      </c>
      <c r="C575" s="1392" t="s">
        <v>1846</v>
      </c>
      <c r="D575" s="1392" t="s">
        <v>1847</v>
      </c>
      <c r="E575" s="1392" t="s">
        <v>1853</v>
      </c>
      <c r="F575" s="1392" t="s">
        <v>1858</v>
      </c>
      <c r="G575" s="1391">
        <v>1192000</v>
      </c>
    </row>
    <row r="576" spans="1:7" x14ac:dyDescent="0.25">
      <c r="A576" s="1392" t="s">
        <v>2576</v>
      </c>
      <c r="B576" s="1392" t="s">
        <v>1153</v>
      </c>
      <c r="C576" s="1392" t="s">
        <v>1846</v>
      </c>
      <c r="D576" s="1392" t="s">
        <v>1847</v>
      </c>
      <c r="E576" s="1392" t="s">
        <v>1853</v>
      </c>
      <c r="F576" s="1392" t="s">
        <v>1929</v>
      </c>
      <c r="G576" s="1391">
        <v>6678180</v>
      </c>
    </row>
    <row r="577" spans="1:7" x14ac:dyDescent="0.25">
      <c r="A577" s="1392" t="s">
        <v>2576</v>
      </c>
      <c r="B577" s="1392" t="s">
        <v>1153</v>
      </c>
      <c r="C577" s="1392" t="s">
        <v>1846</v>
      </c>
      <c r="D577" s="1392" t="s">
        <v>1847</v>
      </c>
      <c r="E577" s="1392" t="s">
        <v>1853</v>
      </c>
      <c r="F577" s="1392" t="s">
        <v>1859</v>
      </c>
      <c r="G577" s="1391">
        <v>140118557</v>
      </c>
    </row>
    <row r="578" spans="1:7" x14ac:dyDescent="0.25">
      <c r="A578" s="1392" t="s">
        <v>2576</v>
      </c>
      <c r="B578" s="1392" t="s">
        <v>1153</v>
      </c>
      <c r="C578" s="1392" t="s">
        <v>1846</v>
      </c>
      <c r="D578" s="1392" t="s">
        <v>1847</v>
      </c>
      <c r="E578" s="4536" t="s">
        <v>1860</v>
      </c>
      <c r="F578" s="4538"/>
      <c r="G578" s="1391">
        <v>6440000</v>
      </c>
    </row>
    <row r="579" spans="1:7" x14ac:dyDescent="0.25">
      <c r="A579" s="1392" t="s">
        <v>2576</v>
      </c>
      <c r="B579" s="1392" t="s">
        <v>1153</v>
      </c>
      <c r="C579" s="1392" t="s">
        <v>1846</v>
      </c>
      <c r="D579" s="1392" t="s">
        <v>1847</v>
      </c>
      <c r="E579" s="1392" t="s">
        <v>1860</v>
      </c>
      <c r="F579" s="1392" t="s">
        <v>1861</v>
      </c>
      <c r="G579" s="1391">
        <v>6440000</v>
      </c>
    </row>
    <row r="580" spans="1:7" x14ac:dyDescent="0.25">
      <c r="A580" s="1392" t="s">
        <v>2576</v>
      </c>
      <c r="B580" s="1392" t="s">
        <v>1153</v>
      </c>
      <c r="C580" s="1392" t="s">
        <v>1846</v>
      </c>
      <c r="D580" s="1392" t="s">
        <v>1847</v>
      </c>
      <c r="E580" s="4536" t="s">
        <v>1862</v>
      </c>
      <c r="F580" s="4538"/>
      <c r="G580" s="1391">
        <v>132585487</v>
      </c>
    </row>
    <row r="581" spans="1:7" x14ac:dyDescent="0.25">
      <c r="A581" s="1392" t="s">
        <v>2576</v>
      </c>
      <c r="B581" s="1392" t="s">
        <v>1153</v>
      </c>
      <c r="C581" s="1392" t="s">
        <v>1846</v>
      </c>
      <c r="D581" s="1392" t="s">
        <v>1847</v>
      </c>
      <c r="E581" s="1392" t="s">
        <v>1862</v>
      </c>
      <c r="F581" s="1392" t="s">
        <v>1863</v>
      </c>
      <c r="G581" s="1391">
        <v>101462376</v>
      </c>
    </row>
    <row r="582" spans="1:7" x14ac:dyDescent="0.25">
      <c r="A582" s="1392" t="s">
        <v>2576</v>
      </c>
      <c r="B582" s="1392" t="s">
        <v>1153</v>
      </c>
      <c r="C582" s="1392" t="s">
        <v>1846</v>
      </c>
      <c r="D582" s="1392" t="s">
        <v>1847</v>
      </c>
      <c r="E582" s="1392" t="s">
        <v>1862</v>
      </c>
      <c r="F582" s="1392" t="s">
        <v>1864</v>
      </c>
      <c r="G582" s="1391">
        <v>17905125</v>
      </c>
    </row>
    <row r="583" spans="1:7" x14ac:dyDescent="0.25">
      <c r="A583" s="1392" t="s">
        <v>2576</v>
      </c>
      <c r="B583" s="1392" t="s">
        <v>1153</v>
      </c>
      <c r="C583" s="1392" t="s">
        <v>1846</v>
      </c>
      <c r="D583" s="1392" t="s">
        <v>1847</v>
      </c>
      <c r="E583" s="1392" t="s">
        <v>1862</v>
      </c>
      <c r="F583" s="1392" t="s">
        <v>1865</v>
      </c>
      <c r="G583" s="1391">
        <v>9872618</v>
      </c>
    </row>
    <row r="584" spans="1:7" x14ac:dyDescent="0.25">
      <c r="A584" s="1392" t="s">
        <v>2576</v>
      </c>
      <c r="B584" s="1392" t="s">
        <v>1153</v>
      </c>
      <c r="C584" s="1392" t="s">
        <v>1846</v>
      </c>
      <c r="D584" s="1392" t="s">
        <v>1847</v>
      </c>
      <c r="E584" s="1392" t="s">
        <v>1862</v>
      </c>
      <c r="F584" s="1392" t="s">
        <v>1866</v>
      </c>
      <c r="G584" s="1391">
        <v>361176</v>
      </c>
    </row>
    <row r="585" spans="1:7" x14ac:dyDescent="0.25">
      <c r="A585" s="1392" t="s">
        <v>2576</v>
      </c>
      <c r="B585" s="1392" t="s">
        <v>1153</v>
      </c>
      <c r="C585" s="1392" t="s">
        <v>1846</v>
      </c>
      <c r="D585" s="1392" t="s">
        <v>1847</v>
      </c>
      <c r="E585" s="1392" t="s">
        <v>1862</v>
      </c>
      <c r="F585" s="1392" t="s">
        <v>1945</v>
      </c>
      <c r="G585" s="1391">
        <v>2984192</v>
      </c>
    </row>
    <row r="586" spans="1:7" x14ac:dyDescent="0.25">
      <c r="A586" s="1392" t="s">
        <v>2576</v>
      </c>
      <c r="B586" s="1392" t="s">
        <v>1153</v>
      </c>
      <c r="C586" s="1392" t="s">
        <v>1846</v>
      </c>
      <c r="D586" s="1392" t="s">
        <v>1847</v>
      </c>
      <c r="E586" s="4536" t="s">
        <v>1867</v>
      </c>
      <c r="F586" s="4538"/>
      <c r="G586" s="1391">
        <v>27900000</v>
      </c>
    </row>
    <row r="587" spans="1:7" x14ac:dyDescent="0.25">
      <c r="A587" s="1392" t="s">
        <v>2576</v>
      </c>
      <c r="B587" s="1392" t="s">
        <v>1153</v>
      </c>
      <c r="C587" s="1392" t="s">
        <v>1846</v>
      </c>
      <c r="D587" s="1392" t="s">
        <v>1847</v>
      </c>
      <c r="E587" s="1392" t="s">
        <v>1867</v>
      </c>
      <c r="F587" s="1392" t="s">
        <v>1868</v>
      </c>
      <c r="G587" s="1391">
        <v>27900000</v>
      </c>
    </row>
    <row r="588" spans="1:7" x14ac:dyDescent="0.25">
      <c r="A588" s="1392" t="s">
        <v>2576</v>
      </c>
      <c r="B588" s="1392" t="s">
        <v>1153</v>
      </c>
      <c r="C588" s="1392" t="s">
        <v>1846</v>
      </c>
      <c r="D588" s="1392" t="s">
        <v>1847</v>
      </c>
      <c r="E588" s="4536" t="s">
        <v>1869</v>
      </c>
      <c r="F588" s="4538"/>
      <c r="G588" s="1391">
        <v>26343044</v>
      </c>
    </row>
    <row r="589" spans="1:7" x14ac:dyDescent="0.25">
      <c r="A589" s="1392" t="s">
        <v>2576</v>
      </c>
      <c r="B589" s="1392" t="s">
        <v>1153</v>
      </c>
      <c r="C589" s="1392" t="s">
        <v>1846</v>
      </c>
      <c r="D589" s="1392" t="s">
        <v>1847</v>
      </c>
      <c r="E589" s="1392" t="s">
        <v>1869</v>
      </c>
      <c r="F589" s="1392" t="s">
        <v>1870</v>
      </c>
      <c r="G589" s="1391">
        <v>23116762</v>
      </c>
    </row>
    <row r="590" spans="1:7" x14ac:dyDescent="0.25">
      <c r="A590" s="1392" t="s">
        <v>2576</v>
      </c>
      <c r="B590" s="1392" t="s">
        <v>1153</v>
      </c>
      <c r="C590" s="1392" t="s">
        <v>1846</v>
      </c>
      <c r="D590" s="1392" t="s">
        <v>1847</v>
      </c>
      <c r="E590" s="1392" t="s">
        <v>1869</v>
      </c>
      <c r="F590" s="1392" t="s">
        <v>1871</v>
      </c>
      <c r="G590" s="1391">
        <v>2146282</v>
      </c>
    </row>
    <row r="591" spans="1:7" x14ac:dyDescent="0.25">
      <c r="A591" s="1392" t="s">
        <v>2576</v>
      </c>
      <c r="B591" s="1392" t="s">
        <v>1153</v>
      </c>
      <c r="C591" s="1392" t="s">
        <v>1846</v>
      </c>
      <c r="D591" s="1392" t="s">
        <v>1847</v>
      </c>
      <c r="E591" s="1392" t="s">
        <v>1869</v>
      </c>
      <c r="F591" s="1392" t="s">
        <v>1873</v>
      </c>
      <c r="G591" s="1391">
        <v>1080000</v>
      </c>
    </row>
    <row r="592" spans="1:7" x14ac:dyDescent="0.25">
      <c r="A592" s="1392" t="s">
        <v>2576</v>
      </c>
      <c r="B592" s="1392" t="s">
        <v>1153</v>
      </c>
      <c r="C592" s="1392" t="s">
        <v>1846</v>
      </c>
      <c r="D592" s="1392" t="s">
        <v>1847</v>
      </c>
      <c r="E592" s="4536" t="s">
        <v>1874</v>
      </c>
      <c r="F592" s="4538"/>
      <c r="G592" s="1391">
        <v>51448680</v>
      </c>
    </row>
    <row r="593" spans="1:7" x14ac:dyDescent="0.25">
      <c r="A593" s="1392" t="s">
        <v>2576</v>
      </c>
      <c r="B593" s="1392" t="s">
        <v>1153</v>
      </c>
      <c r="C593" s="1392" t="s">
        <v>1846</v>
      </c>
      <c r="D593" s="1392" t="s">
        <v>1847</v>
      </c>
      <c r="E593" s="1392" t="s">
        <v>1874</v>
      </c>
      <c r="F593" s="1392" t="s">
        <v>1875</v>
      </c>
      <c r="G593" s="1391">
        <v>15111680</v>
      </c>
    </row>
    <row r="594" spans="1:7" x14ac:dyDescent="0.25">
      <c r="A594" s="1392" t="s">
        <v>2576</v>
      </c>
      <c r="B594" s="1392" t="s">
        <v>1153</v>
      </c>
      <c r="C594" s="1392" t="s">
        <v>1846</v>
      </c>
      <c r="D594" s="1392" t="s">
        <v>1847</v>
      </c>
      <c r="E594" s="1392" t="s">
        <v>1874</v>
      </c>
      <c r="F594" s="1392" t="s">
        <v>1876</v>
      </c>
      <c r="G594" s="1391">
        <v>30900000</v>
      </c>
    </row>
    <row r="595" spans="1:7" x14ac:dyDescent="0.25">
      <c r="A595" s="1392" t="s">
        <v>2576</v>
      </c>
      <c r="B595" s="1392" t="s">
        <v>1153</v>
      </c>
      <c r="C595" s="1392" t="s">
        <v>1846</v>
      </c>
      <c r="D595" s="1392" t="s">
        <v>1847</v>
      </c>
      <c r="E595" s="1392" t="s">
        <v>1874</v>
      </c>
      <c r="F595" s="1392" t="s">
        <v>1877</v>
      </c>
      <c r="G595" s="1391">
        <v>5437000</v>
      </c>
    </row>
    <row r="596" spans="1:7" x14ac:dyDescent="0.25">
      <c r="A596" s="1392" t="s">
        <v>2576</v>
      </c>
      <c r="B596" s="1392" t="s">
        <v>1153</v>
      </c>
      <c r="C596" s="1392" t="s">
        <v>1846</v>
      </c>
      <c r="D596" s="1392" t="s">
        <v>1847</v>
      </c>
      <c r="E596" s="4536" t="s">
        <v>1878</v>
      </c>
      <c r="F596" s="4538"/>
      <c r="G596" s="1391">
        <v>21037465</v>
      </c>
    </row>
    <row r="597" spans="1:7" x14ac:dyDescent="0.25">
      <c r="A597" s="1392" t="s">
        <v>2576</v>
      </c>
      <c r="B597" s="1392" t="s">
        <v>1153</v>
      </c>
      <c r="C597" s="1392" t="s">
        <v>1846</v>
      </c>
      <c r="D597" s="1392" t="s">
        <v>1847</v>
      </c>
      <c r="E597" s="1392" t="s">
        <v>1878</v>
      </c>
      <c r="F597" s="1392" t="s">
        <v>1879</v>
      </c>
      <c r="G597" s="1391">
        <v>2378693</v>
      </c>
    </row>
    <row r="598" spans="1:7" x14ac:dyDescent="0.25">
      <c r="A598" s="1392" t="s">
        <v>2576</v>
      </c>
      <c r="B598" s="1392" t="s">
        <v>1153</v>
      </c>
      <c r="C598" s="1392" t="s">
        <v>1846</v>
      </c>
      <c r="D598" s="1392" t="s">
        <v>1847</v>
      </c>
      <c r="E598" s="1392" t="s">
        <v>1878</v>
      </c>
      <c r="F598" s="1392" t="s">
        <v>1881</v>
      </c>
      <c r="G598" s="1391">
        <v>17063672</v>
      </c>
    </row>
    <row r="599" spans="1:7" x14ac:dyDescent="0.25">
      <c r="A599" s="1392" t="s">
        <v>2576</v>
      </c>
      <c r="B599" s="1392" t="s">
        <v>1153</v>
      </c>
      <c r="C599" s="1392" t="s">
        <v>1846</v>
      </c>
      <c r="D599" s="1392" t="s">
        <v>1847</v>
      </c>
      <c r="E599" s="1392" t="s">
        <v>1878</v>
      </c>
      <c r="F599" s="1392" t="s">
        <v>1882</v>
      </c>
      <c r="G599" s="1391">
        <v>300000</v>
      </c>
    </row>
    <row r="600" spans="1:7" x14ac:dyDescent="0.25">
      <c r="A600" s="1392" t="s">
        <v>2576</v>
      </c>
      <c r="B600" s="1392" t="s">
        <v>1153</v>
      </c>
      <c r="C600" s="1392" t="s">
        <v>1846</v>
      </c>
      <c r="D600" s="1392" t="s">
        <v>1847</v>
      </c>
      <c r="E600" s="1392" t="s">
        <v>1878</v>
      </c>
      <c r="F600" s="1392" t="s">
        <v>1883</v>
      </c>
      <c r="G600" s="1391">
        <v>1295100</v>
      </c>
    </row>
    <row r="601" spans="1:7" x14ac:dyDescent="0.25">
      <c r="A601" s="1392" t="s">
        <v>2576</v>
      </c>
      <c r="B601" s="1392" t="s">
        <v>1153</v>
      </c>
      <c r="C601" s="1392" t="s">
        <v>1846</v>
      </c>
      <c r="D601" s="1392" t="s">
        <v>1847</v>
      </c>
      <c r="E601" s="4536" t="s">
        <v>1885</v>
      </c>
      <c r="F601" s="4538"/>
      <c r="G601" s="1391">
        <v>7560000</v>
      </c>
    </row>
    <row r="602" spans="1:7" x14ac:dyDescent="0.25">
      <c r="A602" s="1392" t="s">
        <v>2576</v>
      </c>
      <c r="B602" s="1392" t="s">
        <v>1153</v>
      </c>
      <c r="C602" s="1392" t="s">
        <v>1846</v>
      </c>
      <c r="D602" s="1392" t="s">
        <v>1847</v>
      </c>
      <c r="E602" s="1392" t="s">
        <v>1885</v>
      </c>
      <c r="F602" s="1392" t="s">
        <v>1886</v>
      </c>
      <c r="G602" s="1391">
        <v>600000</v>
      </c>
    </row>
    <row r="603" spans="1:7" x14ac:dyDescent="0.25">
      <c r="A603" s="1392" t="s">
        <v>2576</v>
      </c>
      <c r="B603" s="1392" t="s">
        <v>1153</v>
      </c>
      <c r="C603" s="1392" t="s">
        <v>1846</v>
      </c>
      <c r="D603" s="1392" t="s">
        <v>1847</v>
      </c>
      <c r="E603" s="1392" t="s">
        <v>1885</v>
      </c>
      <c r="F603" s="1392" t="s">
        <v>1888</v>
      </c>
      <c r="G603" s="1391">
        <v>6960000</v>
      </c>
    </row>
    <row r="604" spans="1:7" x14ac:dyDescent="0.25">
      <c r="A604" s="1392" t="s">
        <v>2576</v>
      </c>
      <c r="B604" s="1392" t="s">
        <v>1153</v>
      </c>
      <c r="C604" s="1392" t="s">
        <v>1846</v>
      </c>
      <c r="D604" s="1392" t="s">
        <v>1847</v>
      </c>
      <c r="E604" s="4536" t="s">
        <v>1889</v>
      </c>
      <c r="F604" s="4538"/>
      <c r="G604" s="1391">
        <v>111598000</v>
      </c>
    </row>
    <row r="605" spans="1:7" x14ac:dyDescent="0.25">
      <c r="A605" s="1392" t="s">
        <v>2576</v>
      </c>
      <c r="B605" s="1392" t="s">
        <v>1153</v>
      </c>
      <c r="C605" s="1392" t="s">
        <v>1846</v>
      </c>
      <c r="D605" s="1392" t="s">
        <v>1847</v>
      </c>
      <c r="E605" s="1392" t="s">
        <v>1889</v>
      </c>
      <c r="F605" s="1392" t="s">
        <v>1890</v>
      </c>
      <c r="G605" s="1391">
        <v>17650000</v>
      </c>
    </row>
    <row r="606" spans="1:7" x14ac:dyDescent="0.25">
      <c r="A606" s="1392" t="s">
        <v>2576</v>
      </c>
      <c r="B606" s="1392" t="s">
        <v>1153</v>
      </c>
      <c r="C606" s="1392" t="s">
        <v>1846</v>
      </c>
      <c r="D606" s="1392" t="s">
        <v>1847</v>
      </c>
      <c r="E606" s="1392" t="s">
        <v>1889</v>
      </c>
      <c r="F606" s="1392" t="s">
        <v>1891</v>
      </c>
      <c r="G606" s="1391">
        <v>15760000</v>
      </c>
    </row>
    <row r="607" spans="1:7" x14ac:dyDescent="0.25">
      <c r="A607" s="1392" t="s">
        <v>2576</v>
      </c>
      <c r="B607" s="1392" t="s">
        <v>1153</v>
      </c>
      <c r="C607" s="1392" t="s">
        <v>1846</v>
      </c>
      <c r="D607" s="1392" t="s">
        <v>1847</v>
      </c>
      <c r="E607" s="1392" t="s">
        <v>1889</v>
      </c>
      <c r="F607" s="1392" t="s">
        <v>1892</v>
      </c>
      <c r="G607" s="1391">
        <v>66000000</v>
      </c>
    </row>
    <row r="608" spans="1:7" x14ac:dyDescent="0.25">
      <c r="A608" s="1392" t="s">
        <v>2576</v>
      </c>
      <c r="B608" s="1392" t="s">
        <v>1153</v>
      </c>
      <c r="C608" s="1392" t="s">
        <v>1846</v>
      </c>
      <c r="D608" s="1392" t="s">
        <v>1847</v>
      </c>
      <c r="E608" s="1392" t="s">
        <v>1889</v>
      </c>
      <c r="F608" s="1392" t="s">
        <v>1922</v>
      </c>
      <c r="G608" s="1391">
        <v>12188000</v>
      </c>
    </row>
    <row r="609" spans="1:7" x14ac:dyDescent="0.25">
      <c r="A609" s="1392" t="s">
        <v>2576</v>
      </c>
      <c r="B609" s="1392" t="s">
        <v>1153</v>
      </c>
      <c r="C609" s="1392" t="s">
        <v>1846</v>
      </c>
      <c r="D609" s="1392" t="s">
        <v>1847</v>
      </c>
      <c r="E609" s="4536" t="s">
        <v>1893</v>
      </c>
      <c r="F609" s="4538"/>
      <c r="G609" s="1391">
        <v>400000</v>
      </c>
    </row>
    <row r="610" spans="1:7" x14ac:dyDescent="0.25">
      <c r="A610" s="1392" t="s">
        <v>2576</v>
      </c>
      <c r="B610" s="1392" t="s">
        <v>1153</v>
      </c>
      <c r="C610" s="1392" t="s">
        <v>1846</v>
      </c>
      <c r="D610" s="1392" t="s">
        <v>1847</v>
      </c>
      <c r="E610" s="1392" t="s">
        <v>1893</v>
      </c>
      <c r="F610" s="1392" t="s">
        <v>1895</v>
      </c>
      <c r="G610" s="1391">
        <v>400000</v>
      </c>
    </row>
    <row r="611" spans="1:7" x14ac:dyDescent="0.25">
      <c r="A611" s="1392" t="s">
        <v>2576</v>
      </c>
      <c r="B611" s="1392" t="s">
        <v>1153</v>
      </c>
      <c r="C611" s="1392" t="s">
        <v>1846</v>
      </c>
      <c r="D611" s="1392" t="s">
        <v>1847</v>
      </c>
      <c r="E611" s="4536" t="s">
        <v>1896</v>
      </c>
      <c r="F611" s="4538"/>
      <c r="G611" s="1391">
        <v>45541000</v>
      </c>
    </row>
    <row r="612" spans="1:7" x14ac:dyDescent="0.25">
      <c r="A612" s="1392" t="s">
        <v>2576</v>
      </c>
      <c r="B612" s="1392" t="s">
        <v>1153</v>
      </c>
      <c r="C612" s="1392" t="s">
        <v>1846</v>
      </c>
      <c r="D612" s="1392" t="s">
        <v>1847</v>
      </c>
      <c r="E612" s="1392" t="s">
        <v>1896</v>
      </c>
      <c r="F612" s="1392" t="s">
        <v>1900</v>
      </c>
      <c r="G612" s="1391">
        <v>43552000</v>
      </c>
    </row>
    <row r="613" spans="1:7" x14ac:dyDescent="0.25">
      <c r="A613" s="1392" t="s">
        <v>2576</v>
      </c>
      <c r="B613" s="1392" t="s">
        <v>1153</v>
      </c>
      <c r="C613" s="1392" t="s">
        <v>1846</v>
      </c>
      <c r="D613" s="1392" t="s">
        <v>1847</v>
      </c>
      <c r="E613" s="1392" t="s">
        <v>1896</v>
      </c>
      <c r="F613" s="1392" t="s">
        <v>1928</v>
      </c>
      <c r="G613" s="1391">
        <v>1989000</v>
      </c>
    </row>
    <row r="614" spans="1:7" x14ac:dyDescent="0.25">
      <c r="A614" s="1392" t="s">
        <v>2576</v>
      </c>
      <c r="B614" s="1392" t="s">
        <v>1153</v>
      </c>
      <c r="C614" s="1392" t="s">
        <v>1846</v>
      </c>
      <c r="D614" s="1392" t="s">
        <v>1847</v>
      </c>
      <c r="E614" s="4536" t="s">
        <v>1903</v>
      </c>
      <c r="F614" s="4538"/>
      <c r="G614" s="1391">
        <v>11430000</v>
      </c>
    </row>
    <row r="615" spans="1:7" x14ac:dyDescent="0.25">
      <c r="A615" s="1392" t="s">
        <v>2576</v>
      </c>
      <c r="B615" s="1392" t="s">
        <v>1153</v>
      </c>
      <c r="C615" s="1392" t="s">
        <v>1846</v>
      </c>
      <c r="D615" s="1392" t="s">
        <v>1847</v>
      </c>
      <c r="E615" s="1392" t="s">
        <v>1903</v>
      </c>
      <c r="F615" s="1392" t="s">
        <v>1904</v>
      </c>
      <c r="G615" s="1391">
        <v>11430000</v>
      </c>
    </row>
    <row r="616" spans="1:7" x14ac:dyDescent="0.25">
      <c r="A616" s="1392" t="s">
        <v>2576</v>
      </c>
      <c r="B616" s="1392" t="s">
        <v>1153</v>
      </c>
      <c r="C616" s="1392" t="s">
        <v>1846</v>
      </c>
      <c r="D616" s="1392" t="s">
        <v>1847</v>
      </c>
      <c r="E616" s="4536" t="s">
        <v>1906</v>
      </c>
      <c r="F616" s="4538"/>
      <c r="G616" s="1391">
        <v>5225000</v>
      </c>
    </row>
    <row r="617" spans="1:7" x14ac:dyDescent="0.25">
      <c r="A617" s="1392" t="s">
        <v>2576</v>
      </c>
      <c r="B617" s="1392" t="s">
        <v>1153</v>
      </c>
      <c r="C617" s="1392" t="s">
        <v>1846</v>
      </c>
      <c r="D617" s="1392" t="s">
        <v>1847</v>
      </c>
      <c r="E617" s="1392" t="s">
        <v>1906</v>
      </c>
      <c r="F617" s="1392" t="s">
        <v>1907</v>
      </c>
      <c r="G617" s="1391">
        <v>1145000</v>
      </c>
    </row>
    <row r="618" spans="1:7" x14ac:dyDescent="0.25">
      <c r="A618" s="1392" t="s">
        <v>2576</v>
      </c>
      <c r="B618" s="1392" t="s">
        <v>1153</v>
      </c>
      <c r="C618" s="1392" t="s">
        <v>1846</v>
      </c>
      <c r="D618" s="1392" t="s">
        <v>1847</v>
      </c>
      <c r="E618" s="1392" t="s">
        <v>1906</v>
      </c>
      <c r="F618" s="1392" t="s">
        <v>1909</v>
      </c>
      <c r="G618" s="1391">
        <v>4080000</v>
      </c>
    </row>
    <row r="619" spans="1:7" x14ac:dyDescent="0.25">
      <c r="A619" s="1392" t="s">
        <v>2576</v>
      </c>
      <c r="B619" s="1392" t="s">
        <v>1153</v>
      </c>
      <c r="C619" s="1392" t="s">
        <v>1846</v>
      </c>
      <c r="D619" s="1392" t="s">
        <v>1847</v>
      </c>
      <c r="E619" s="4536" t="s">
        <v>1912</v>
      </c>
      <c r="F619" s="4538"/>
      <c r="G619" s="1391">
        <v>17435000</v>
      </c>
    </row>
    <row r="620" spans="1:7" x14ac:dyDescent="0.25">
      <c r="A620" s="1392" t="s">
        <v>2576</v>
      </c>
      <c r="B620" s="1392" t="s">
        <v>1153</v>
      </c>
      <c r="C620" s="1392" t="s">
        <v>1846</v>
      </c>
      <c r="D620" s="1392" t="s">
        <v>1847</v>
      </c>
      <c r="E620" s="1392" t="s">
        <v>1912</v>
      </c>
      <c r="F620" s="1392" t="s">
        <v>1915</v>
      </c>
      <c r="G620" s="1391">
        <v>9000000</v>
      </c>
    </row>
    <row r="621" spans="1:7" x14ac:dyDescent="0.25">
      <c r="A621" s="1392" t="s">
        <v>2576</v>
      </c>
      <c r="B621" s="1392" t="s">
        <v>1153</v>
      </c>
      <c r="C621" s="1392" t="s">
        <v>1846</v>
      </c>
      <c r="D621" s="1392" t="s">
        <v>1847</v>
      </c>
      <c r="E621" s="1392" t="s">
        <v>1912</v>
      </c>
      <c r="F621" s="1392" t="s">
        <v>1916</v>
      </c>
      <c r="G621" s="1391">
        <v>8435000</v>
      </c>
    </row>
    <row r="622" spans="1:7" x14ac:dyDescent="0.25">
      <c r="A622" s="1392" t="s">
        <v>2576</v>
      </c>
      <c r="B622" s="1392" t="s">
        <v>1153</v>
      </c>
      <c r="C622" s="1392" t="s">
        <v>1846</v>
      </c>
      <c r="D622" s="1392" t="s">
        <v>1847</v>
      </c>
      <c r="E622" s="4536" t="s">
        <v>1983</v>
      </c>
      <c r="F622" s="4538"/>
      <c r="G622" s="1391">
        <v>7200000</v>
      </c>
    </row>
    <row r="623" spans="1:7" x14ac:dyDescent="0.25">
      <c r="A623" s="1392" t="s">
        <v>2576</v>
      </c>
      <c r="B623" s="1392" t="s">
        <v>1153</v>
      </c>
      <c r="C623" s="1392" t="s">
        <v>1846</v>
      </c>
      <c r="D623" s="1392" t="s">
        <v>1847</v>
      </c>
      <c r="E623" s="1392" t="s">
        <v>1983</v>
      </c>
      <c r="F623" s="1392" t="s">
        <v>2240</v>
      </c>
      <c r="G623" s="1391">
        <v>7200000</v>
      </c>
    </row>
    <row r="624" spans="1:7" x14ac:dyDescent="0.25">
      <c r="A624" s="1392" t="s">
        <v>2576</v>
      </c>
      <c r="B624" s="4536" t="s">
        <v>1154</v>
      </c>
      <c r="C624" s="4537"/>
      <c r="D624" s="4537"/>
      <c r="E624" s="4537"/>
      <c r="F624" s="4538"/>
      <c r="G624" s="1391">
        <v>16630024092</v>
      </c>
    </row>
    <row r="625" spans="1:7" x14ac:dyDescent="0.25">
      <c r="A625" s="1392" t="s">
        <v>2576</v>
      </c>
      <c r="B625" s="1392" t="s">
        <v>1154</v>
      </c>
      <c r="C625" s="4536" t="s">
        <v>1933</v>
      </c>
      <c r="D625" s="4537"/>
      <c r="E625" s="4537"/>
      <c r="F625" s="4538"/>
      <c r="G625" s="1391">
        <v>677550000</v>
      </c>
    </row>
    <row r="626" spans="1:7" x14ac:dyDescent="0.25">
      <c r="A626" s="1392" t="s">
        <v>2576</v>
      </c>
      <c r="B626" s="1392" t="s">
        <v>1154</v>
      </c>
      <c r="C626" s="1392" t="s">
        <v>1933</v>
      </c>
      <c r="D626" s="4536" t="s">
        <v>1955</v>
      </c>
      <c r="E626" s="4537"/>
      <c r="F626" s="4538"/>
      <c r="G626" s="1391">
        <v>4350000</v>
      </c>
    </row>
    <row r="627" spans="1:7" x14ac:dyDescent="0.25">
      <c r="A627" s="1392" t="s">
        <v>2576</v>
      </c>
      <c r="B627" s="1392" t="s">
        <v>1154</v>
      </c>
      <c r="C627" s="1392" t="s">
        <v>1933</v>
      </c>
      <c r="D627" s="1392" t="s">
        <v>1955</v>
      </c>
      <c r="E627" s="4536" t="s">
        <v>1940</v>
      </c>
      <c r="F627" s="4538"/>
      <c r="G627" s="1391">
        <v>4350000</v>
      </c>
    </row>
    <row r="628" spans="1:7" x14ac:dyDescent="0.25">
      <c r="A628" s="1392" t="s">
        <v>2576</v>
      </c>
      <c r="B628" s="1392" t="s">
        <v>1154</v>
      </c>
      <c r="C628" s="1392" t="s">
        <v>1933</v>
      </c>
      <c r="D628" s="1392" t="s">
        <v>1955</v>
      </c>
      <c r="E628" s="1392" t="s">
        <v>1940</v>
      </c>
      <c r="F628" s="1392" t="s">
        <v>1956</v>
      </c>
      <c r="G628" s="1391">
        <v>4350000</v>
      </c>
    </row>
    <row r="629" spans="1:7" x14ac:dyDescent="0.25">
      <c r="A629" s="1392" t="s">
        <v>2576</v>
      </c>
      <c r="B629" s="1392" t="s">
        <v>1154</v>
      </c>
      <c r="C629" s="1392" t="s">
        <v>1933</v>
      </c>
      <c r="D629" s="4536" t="s">
        <v>1957</v>
      </c>
      <c r="E629" s="4537"/>
      <c r="F629" s="4538"/>
      <c r="G629" s="1391">
        <v>662300000</v>
      </c>
    </row>
    <row r="630" spans="1:7" x14ac:dyDescent="0.25">
      <c r="A630" s="1392" t="s">
        <v>2576</v>
      </c>
      <c r="B630" s="1392" t="s">
        <v>1154</v>
      </c>
      <c r="C630" s="1392" t="s">
        <v>1933</v>
      </c>
      <c r="D630" s="1392" t="s">
        <v>1957</v>
      </c>
      <c r="E630" s="4536" t="s">
        <v>1940</v>
      </c>
      <c r="F630" s="4538"/>
      <c r="G630" s="1391">
        <v>662300000</v>
      </c>
    </row>
    <row r="631" spans="1:7" x14ac:dyDescent="0.25">
      <c r="A631" s="1392" t="s">
        <v>2576</v>
      </c>
      <c r="B631" s="1392" t="s">
        <v>1154</v>
      </c>
      <c r="C631" s="1392" t="s">
        <v>1933</v>
      </c>
      <c r="D631" s="1392" t="s">
        <v>1957</v>
      </c>
      <c r="E631" s="1392" t="s">
        <v>1940</v>
      </c>
      <c r="F631" s="1392" t="s">
        <v>1956</v>
      </c>
      <c r="G631" s="1391">
        <v>466200000</v>
      </c>
    </row>
    <row r="632" spans="1:7" x14ac:dyDescent="0.25">
      <c r="A632" s="1392" t="s">
        <v>2576</v>
      </c>
      <c r="B632" s="1392" t="s">
        <v>1154</v>
      </c>
      <c r="C632" s="1392" t="s">
        <v>1933</v>
      </c>
      <c r="D632" s="1392" t="s">
        <v>1957</v>
      </c>
      <c r="E632" s="1392" t="s">
        <v>1940</v>
      </c>
      <c r="F632" s="1392" t="s">
        <v>1942</v>
      </c>
      <c r="G632" s="1391">
        <v>196100000</v>
      </c>
    </row>
    <row r="633" spans="1:7" x14ac:dyDescent="0.25">
      <c r="A633" s="1392" t="s">
        <v>2576</v>
      </c>
      <c r="B633" s="1392" t="s">
        <v>1154</v>
      </c>
      <c r="C633" s="1392" t="s">
        <v>1933</v>
      </c>
      <c r="D633" s="4536" t="s">
        <v>2243</v>
      </c>
      <c r="E633" s="4537"/>
      <c r="F633" s="4538"/>
      <c r="G633" s="1391">
        <v>10900000</v>
      </c>
    </row>
    <row r="634" spans="1:7" x14ac:dyDescent="0.25">
      <c r="A634" s="1392" t="s">
        <v>2576</v>
      </c>
      <c r="B634" s="1392" t="s">
        <v>1154</v>
      </c>
      <c r="C634" s="1392" t="s">
        <v>1933</v>
      </c>
      <c r="D634" s="1392" t="s">
        <v>2243</v>
      </c>
      <c r="E634" s="4536" t="s">
        <v>1940</v>
      </c>
      <c r="F634" s="4538"/>
      <c r="G634" s="1391">
        <v>10900000</v>
      </c>
    </row>
    <row r="635" spans="1:7" x14ac:dyDescent="0.25">
      <c r="A635" s="1392" t="s">
        <v>2576</v>
      </c>
      <c r="B635" s="1392" t="s">
        <v>1154</v>
      </c>
      <c r="C635" s="1392" t="s">
        <v>1933</v>
      </c>
      <c r="D635" s="1392" t="s">
        <v>2243</v>
      </c>
      <c r="E635" s="1392" t="s">
        <v>1940</v>
      </c>
      <c r="F635" s="1392" t="s">
        <v>1956</v>
      </c>
      <c r="G635" s="1391">
        <v>10900000</v>
      </c>
    </row>
    <row r="636" spans="1:7" x14ac:dyDescent="0.25">
      <c r="A636" s="1392" t="s">
        <v>2576</v>
      </c>
      <c r="B636" s="1392" t="s">
        <v>1154</v>
      </c>
      <c r="C636" s="4536" t="s">
        <v>1846</v>
      </c>
      <c r="D636" s="4537"/>
      <c r="E636" s="4537"/>
      <c r="F636" s="4538"/>
      <c r="G636" s="1391">
        <v>1262780459</v>
      </c>
    </row>
    <row r="637" spans="1:7" x14ac:dyDescent="0.25">
      <c r="A637" s="1392" t="s">
        <v>2576</v>
      </c>
      <c r="B637" s="1392" t="s">
        <v>1154</v>
      </c>
      <c r="C637" s="1392" t="s">
        <v>1846</v>
      </c>
      <c r="D637" s="4536" t="s">
        <v>1847</v>
      </c>
      <c r="E637" s="4537"/>
      <c r="F637" s="4538"/>
      <c r="G637" s="1391">
        <v>1262780459</v>
      </c>
    </row>
    <row r="638" spans="1:7" x14ac:dyDescent="0.25">
      <c r="A638" s="1392" t="s">
        <v>2576</v>
      </c>
      <c r="B638" s="1392" t="s">
        <v>1154</v>
      </c>
      <c r="C638" s="1392" t="s">
        <v>1846</v>
      </c>
      <c r="D638" s="1392" t="s">
        <v>1847</v>
      </c>
      <c r="E638" s="4536" t="s">
        <v>1848</v>
      </c>
      <c r="F638" s="4538"/>
      <c r="G638" s="1391">
        <v>342745394</v>
      </c>
    </row>
    <row r="639" spans="1:7" x14ac:dyDescent="0.25">
      <c r="A639" s="1392" t="s">
        <v>2576</v>
      </c>
      <c r="B639" s="1392" t="s">
        <v>1154</v>
      </c>
      <c r="C639" s="1392" t="s">
        <v>1846</v>
      </c>
      <c r="D639" s="1392" t="s">
        <v>1847</v>
      </c>
      <c r="E639" s="1392" t="s">
        <v>1848</v>
      </c>
      <c r="F639" s="1392" t="s">
        <v>1849</v>
      </c>
      <c r="G639" s="1391">
        <v>342745394</v>
      </c>
    </row>
    <row r="640" spans="1:7" x14ac:dyDescent="0.25">
      <c r="A640" s="1392" t="s">
        <v>2576</v>
      </c>
      <c r="B640" s="1392" t="s">
        <v>1154</v>
      </c>
      <c r="C640" s="1392" t="s">
        <v>1846</v>
      </c>
      <c r="D640" s="1392" t="s">
        <v>1847</v>
      </c>
      <c r="E640" s="4536" t="s">
        <v>1853</v>
      </c>
      <c r="F640" s="4538"/>
      <c r="G640" s="1391">
        <v>210240091</v>
      </c>
    </row>
    <row r="641" spans="1:7" x14ac:dyDescent="0.25">
      <c r="A641" s="1392" t="s">
        <v>2576</v>
      </c>
      <c r="B641" s="1392" t="s">
        <v>1154</v>
      </c>
      <c r="C641" s="1392" t="s">
        <v>1846</v>
      </c>
      <c r="D641" s="1392" t="s">
        <v>1847</v>
      </c>
      <c r="E641" s="1392" t="s">
        <v>1853</v>
      </c>
      <c r="F641" s="1392" t="s">
        <v>1854</v>
      </c>
      <c r="G641" s="1391">
        <v>8940000</v>
      </c>
    </row>
    <row r="642" spans="1:7" x14ac:dyDescent="0.25">
      <c r="A642" s="1392" t="s">
        <v>2576</v>
      </c>
      <c r="B642" s="1392" t="s">
        <v>1154</v>
      </c>
      <c r="C642" s="1392" t="s">
        <v>1846</v>
      </c>
      <c r="D642" s="1392" t="s">
        <v>1847</v>
      </c>
      <c r="E642" s="1392" t="s">
        <v>1853</v>
      </c>
      <c r="F642" s="1392" t="s">
        <v>1855</v>
      </c>
      <c r="G642" s="1391">
        <v>46190000</v>
      </c>
    </row>
    <row r="643" spans="1:7" x14ac:dyDescent="0.25">
      <c r="A643" s="1392" t="s">
        <v>2576</v>
      </c>
      <c r="B643" s="1392" t="s">
        <v>1154</v>
      </c>
      <c r="C643" s="1392" t="s">
        <v>1846</v>
      </c>
      <c r="D643" s="1392" t="s">
        <v>1847</v>
      </c>
      <c r="E643" s="1392" t="s">
        <v>1853</v>
      </c>
      <c r="F643" s="1392" t="s">
        <v>1856</v>
      </c>
      <c r="G643" s="1391">
        <v>54870952</v>
      </c>
    </row>
    <row r="644" spans="1:7" x14ac:dyDescent="0.25">
      <c r="A644" s="1392" t="s">
        <v>2576</v>
      </c>
      <c r="B644" s="1392" t="s">
        <v>1154</v>
      </c>
      <c r="C644" s="1392" t="s">
        <v>1846</v>
      </c>
      <c r="D644" s="1392" t="s">
        <v>1847</v>
      </c>
      <c r="E644" s="1392" t="s">
        <v>1853</v>
      </c>
      <c r="F644" s="1392" t="s">
        <v>1858</v>
      </c>
      <c r="G644" s="1391">
        <v>298000</v>
      </c>
    </row>
    <row r="645" spans="1:7" x14ac:dyDescent="0.25">
      <c r="A645" s="1392" t="s">
        <v>2576</v>
      </c>
      <c r="B645" s="1392" t="s">
        <v>1154</v>
      </c>
      <c r="C645" s="1392" t="s">
        <v>1846</v>
      </c>
      <c r="D645" s="1392" t="s">
        <v>1847</v>
      </c>
      <c r="E645" s="1392" t="s">
        <v>1853</v>
      </c>
      <c r="F645" s="1392" t="s">
        <v>1929</v>
      </c>
      <c r="G645" s="1391">
        <v>8196796</v>
      </c>
    </row>
    <row r="646" spans="1:7" x14ac:dyDescent="0.25">
      <c r="A646" s="1392" t="s">
        <v>2576</v>
      </c>
      <c r="B646" s="1392" t="s">
        <v>1154</v>
      </c>
      <c r="C646" s="1392" t="s">
        <v>1846</v>
      </c>
      <c r="D646" s="1392" t="s">
        <v>1847</v>
      </c>
      <c r="E646" s="1392" t="s">
        <v>1853</v>
      </c>
      <c r="F646" s="1392" t="s">
        <v>1859</v>
      </c>
      <c r="G646" s="1391">
        <v>89956343</v>
      </c>
    </row>
    <row r="647" spans="1:7" x14ac:dyDescent="0.25">
      <c r="A647" s="1392" t="s">
        <v>2576</v>
      </c>
      <c r="B647" s="1392" t="s">
        <v>1154</v>
      </c>
      <c r="C647" s="1392" t="s">
        <v>1846</v>
      </c>
      <c r="D647" s="1392" t="s">
        <v>1847</v>
      </c>
      <c r="E647" s="1392" t="s">
        <v>1853</v>
      </c>
      <c r="F647" s="1392" t="s">
        <v>1939</v>
      </c>
      <c r="G647" s="1391">
        <v>1788000</v>
      </c>
    </row>
    <row r="648" spans="1:7" x14ac:dyDescent="0.25">
      <c r="A648" s="1392" t="s">
        <v>2576</v>
      </c>
      <c r="B648" s="1392" t="s">
        <v>1154</v>
      </c>
      <c r="C648" s="1392" t="s">
        <v>1846</v>
      </c>
      <c r="D648" s="1392" t="s">
        <v>1847</v>
      </c>
      <c r="E648" s="4536" t="s">
        <v>1860</v>
      </c>
      <c r="F648" s="4538"/>
      <c r="G648" s="1391">
        <v>3450000</v>
      </c>
    </row>
    <row r="649" spans="1:7" x14ac:dyDescent="0.25">
      <c r="A649" s="1392" t="s">
        <v>2576</v>
      </c>
      <c r="B649" s="1392" t="s">
        <v>1154</v>
      </c>
      <c r="C649" s="1392" t="s">
        <v>1846</v>
      </c>
      <c r="D649" s="1392" t="s">
        <v>1847</v>
      </c>
      <c r="E649" s="1392" t="s">
        <v>1860</v>
      </c>
      <c r="F649" s="1392" t="s">
        <v>1861</v>
      </c>
      <c r="G649" s="1391">
        <v>3450000</v>
      </c>
    </row>
    <row r="650" spans="1:7" x14ac:dyDescent="0.25">
      <c r="A650" s="1392" t="s">
        <v>2576</v>
      </c>
      <c r="B650" s="1392" t="s">
        <v>1154</v>
      </c>
      <c r="C650" s="1392" t="s">
        <v>1846</v>
      </c>
      <c r="D650" s="1392" t="s">
        <v>1847</v>
      </c>
      <c r="E650" s="4536" t="s">
        <v>1862</v>
      </c>
      <c r="F650" s="4538"/>
      <c r="G650" s="1391">
        <v>80470406</v>
      </c>
    </row>
    <row r="651" spans="1:7" x14ac:dyDescent="0.25">
      <c r="A651" s="1392" t="s">
        <v>2576</v>
      </c>
      <c r="B651" s="1392" t="s">
        <v>1154</v>
      </c>
      <c r="C651" s="1392" t="s">
        <v>1846</v>
      </c>
      <c r="D651" s="1392" t="s">
        <v>1847</v>
      </c>
      <c r="E651" s="1392" t="s">
        <v>1862</v>
      </c>
      <c r="F651" s="1392" t="s">
        <v>1863</v>
      </c>
      <c r="G651" s="1391">
        <v>62418436</v>
      </c>
    </row>
    <row r="652" spans="1:7" x14ac:dyDescent="0.25">
      <c r="A652" s="1392" t="s">
        <v>2576</v>
      </c>
      <c r="B652" s="1392" t="s">
        <v>1154</v>
      </c>
      <c r="C652" s="1392" t="s">
        <v>1846</v>
      </c>
      <c r="D652" s="1392" t="s">
        <v>1847</v>
      </c>
      <c r="E652" s="1392" t="s">
        <v>1862</v>
      </c>
      <c r="F652" s="1392" t="s">
        <v>1864</v>
      </c>
      <c r="G652" s="1391">
        <v>10700296</v>
      </c>
    </row>
    <row r="653" spans="1:7" x14ac:dyDescent="0.25">
      <c r="A653" s="1392" t="s">
        <v>2576</v>
      </c>
      <c r="B653" s="1392" t="s">
        <v>1154</v>
      </c>
      <c r="C653" s="1392" t="s">
        <v>1846</v>
      </c>
      <c r="D653" s="1392" t="s">
        <v>1847</v>
      </c>
      <c r="E653" s="1392" t="s">
        <v>1862</v>
      </c>
      <c r="F653" s="1392" t="s">
        <v>1865</v>
      </c>
      <c r="G653" s="1391">
        <v>7351674</v>
      </c>
    </row>
    <row r="654" spans="1:7" x14ac:dyDescent="0.25">
      <c r="A654" s="1392" t="s">
        <v>2576</v>
      </c>
      <c r="B654" s="1392" t="s">
        <v>1154</v>
      </c>
      <c r="C654" s="1392" t="s">
        <v>1846</v>
      </c>
      <c r="D654" s="1392" t="s">
        <v>1847</v>
      </c>
      <c r="E654" s="4536" t="s">
        <v>1867</v>
      </c>
      <c r="F654" s="4538"/>
      <c r="G654" s="1391">
        <v>96533530</v>
      </c>
    </row>
    <row r="655" spans="1:7" x14ac:dyDescent="0.25">
      <c r="A655" s="1392" t="s">
        <v>2576</v>
      </c>
      <c r="B655" s="1392" t="s">
        <v>1154</v>
      </c>
      <c r="C655" s="1392" t="s">
        <v>1846</v>
      </c>
      <c r="D655" s="1392" t="s">
        <v>1847</v>
      </c>
      <c r="E655" s="1392" t="s">
        <v>1867</v>
      </c>
      <c r="F655" s="1392" t="s">
        <v>1868</v>
      </c>
      <c r="G655" s="1391">
        <v>96533530</v>
      </c>
    </row>
    <row r="656" spans="1:7" x14ac:dyDescent="0.25">
      <c r="A656" s="1392" t="s">
        <v>2576</v>
      </c>
      <c r="B656" s="1392" t="s">
        <v>1154</v>
      </c>
      <c r="C656" s="1392" t="s">
        <v>1846</v>
      </c>
      <c r="D656" s="1392" t="s">
        <v>1847</v>
      </c>
      <c r="E656" s="4536" t="s">
        <v>1869</v>
      </c>
      <c r="F656" s="4538"/>
      <c r="G656" s="1391">
        <v>17875445</v>
      </c>
    </row>
    <row r="657" spans="1:7" x14ac:dyDescent="0.25">
      <c r="A657" s="1392" t="s">
        <v>2576</v>
      </c>
      <c r="B657" s="1392" t="s">
        <v>1154</v>
      </c>
      <c r="C657" s="1392" t="s">
        <v>1846</v>
      </c>
      <c r="D657" s="1392" t="s">
        <v>1847</v>
      </c>
      <c r="E657" s="1392" t="s">
        <v>1869</v>
      </c>
      <c r="F657" s="1392" t="s">
        <v>1870</v>
      </c>
      <c r="G657" s="1391">
        <v>9845893</v>
      </c>
    </row>
    <row r="658" spans="1:7" x14ac:dyDescent="0.25">
      <c r="A658" s="1392" t="s">
        <v>2576</v>
      </c>
      <c r="B658" s="1392" t="s">
        <v>1154</v>
      </c>
      <c r="C658" s="1392" t="s">
        <v>1846</v>
      </c>
      <c r="D658" s="1392" t="s">
        <v>1847</v>
      </c>
      <c r="E658" s="1392" t="s">
        <v>1869</v>
      </c>
      <c r="F658" s="1392" t="s">
        <v>1871</v>
      </c>
      <c r="G658" s="1391">
        <v>1269997</v>
      </c>
    </row>
    <row r="659" spans="1:7" x14ac:dyDescent="0.25">
      <c r="A659" s="1392" t="s">
        <v>2576</v>
      </c>
      <c r="B659" s="1392" t="s">
        <v>1154</v>
      </c>
      <c r="C659" s="1392" t="s">
        <v>1846</v>
      </c>
      <c r="D659" s="1392" t="s">
        <v>1847</v>
      </c>
      <c r="E659" s="1392" t="s">
        <v>1869</v>
      </c>
      <c r="F659" s="1392" t="s">
        <v>1872</v>
      </c>
      <c r="G659" s="1391">
        <v>6039555</v>
      </c>
    </row>
    <row r="660" spans="1:7" x14ac:dyDescent="0.25">
      <c r="A660" s="1392" t="s">
        <v>2576</v>
      </c>
      <c r="B660" s="1392" t="s">
        <v>1154</v>
      </c>
      <c r="C660" s="1392" t="s">
        <v>1846</v>
      </c>
      <c r="D660" s="1392" t="s">
        <v>1847</v>
      </c>
      <c r="E660" s="1392" t="s">
        <v>1869</v>
      </c>
      <c r="F660" s="1392" t="s">
        <v>1873</v>
      </c>
      <c r="G660" s="1391">
        <v>720000</v>
      </c>
    </row>
    <row r="661" spans="1:7" x14ac:dyDescent="0.25">
      <c r="A661" s="1392" t="s">
        <v>2576</v>
      </c>
      <c r="B661" s="1392" t="s">
        <v>1154</v>
      </c>
      <c r="C661" s="1392" t="s">
        <v>1846</v>
      </c>
      <c r="D661" s="1392" t="s">
        <v>1847</v>
      </c>
      <c r="E661" s="4536" t="s">
        <v>1874</v>
      </c>
      <c r="F661" s="4538"/>
      <c r="G661" s="1391">
        <v>8227000</v>
      </c>
    </row>
    <row r="662" spans="1:7" x14ac:dyDescent="0.25">
      <c r="A662" s="1392" t="s">
        <v>2576</v>
      </c>
      <c r="B662" s="1392" t="s">
        <v>1154</v>
      </c>
      <c r="C662" s="1392" t="s">
        <v>1846</v>
      </c>
      <c r="D662" s="1392" t="s">
        <v>1847</v>
      </c>
      <c r="E662" s="1392" t="s">
        <v>1874</v>
      </c>
      <c r="F662" s="1392" t="s">
        <v>1875</v>
      </c>
      <c r="G662" s="1391">
        <v>5990000</v>
      </c>
    </row>
    <row r="663" spans="1:7" x14ac:dyDescent="0.25">
      <c r="A663" s="1392" t="s">
        <v>2576</v>
      </c>
      <c r="B663" s="1392" t="s">
        <v>1154</v>
      </c>
      <c r="C663" s="1392" t="s">
        <v>1846</v>
      </c>
      <c r="D663" s="1392" t="s">
        <v>1847</v>
      </c>
      <c r="E663" s="1392" t="s">
        <v>1874</v>
      </c>
      <c r="F663" s="1392" t="s">
        <v>1877</v>
      </c>
      <c r="G663" s="1391">
        <v>2237000</v>
      </c>
    </row>
    <row r="664" spans="1:7" x14ac:dyDescent="0.25">
      <c r="A664" s="1392" t="s">
        <v>2576</v>
      </c>
      <c r="B664" s="1392" t="s">
        <v>1154</v>
      </c>
      <c r="C664" s="1392" t="s">
        <v>1846</v>
      </c>
      <c r="D664" s="1392" t="s">
        <v>1847</v>
      </c>
      <c r="E664" s="4536" t="s">
        <v>1878</v>
      </c>
      <c r="F664" s="4538"/>
      <c r="G664" s="1391">
        <v>10004893</v>
      </c>
    </row>
    <row r="665" spans="1:7" x14ac:dyDescent="0.25">
      <c r="A665" s="1392" t="s">
        <v>2576</v>
      </c>
      <c r="B665" s="1392" t="s">
        <v>1154</v>
      </c>
      <c r="C665" s="1392" t="s">
        <v>1846</v>
      </c>
      <c r="D665" s="1392" t="s">
        <v>1847</v>
      </c>
      <c r="E665" s="1392" t="s">
        <v>1878</v>
      </c>
      <c r="F665" s="1392" t="s">
        <v>1879</v>
      </c>
      <c r="G665" s="1391">
        <v>1604893</v>
      </c>
    </row>
    <row r="666" spans="1:7" x14ac:dyDescent="0.25">
      <c r="A666" s="1392" t="s">
        <v>2576</v>
      </c>
      <c r="B666" s="1392" t="s">
        <v>1154</v>
      </c>
      <c r="C666" s="1392" t="s">
        <v>1846</v>
      </c>
      <c r="D666" s="1392" t="s">
        <v>1847</v>
      </c>
      <c r="E666" s="1392" t="s">
        <v>1878</v>
      </c>
      <c r="F666" s="1392" t="s">
        <v>1880</v>
      </c>
      <c r="G666" s="1391">
        <v>4800000</v>
      </c>
    </row>
    <row r="667" spans="1:7" x14ac:dyDescent="0.25">
      <c r="A667" s="1392" t="s">
        <v>2576</v>
      </c>
      <c r="B667" s="1392" t="s">
        <v>1154</v>
      </c>
      <c r="C667" s="1392" t="s">
        <v>1846</v>
      </c>
      <c r="D667" s="1392" t="s">
        <v>1847</v>
      </c>
      <c r="E667" s="1392" t="s">
        <v>1878</v>
      </c>
      <c r="F667" s="1392" t="s">
        <v>1882</v>
      </c>
      <c r="G667" s="1391">
        <v>3600000</v>
      </c>
    </row>
    <row r="668" spans="1:7" x14ac:dyDescent="0.25">
      <c r="A668" s="1392" t="s">
        <v>2576</v>
      </c>
      <c r="B668" s="1392" t="s">
        <v>1154</v>
      </c>
      <c r="C668" s="1392" t="s">
        <v>1846</v>
      </c>
      <c r="D668" s="1392" t="s">
        <v>1847</v>
      </c>
      <c r="E668" s="4536" t="s">
        <v>1885</v>
      </c>
      <c r="F668" s="4538"/>
      <c r="G668" s="1391">
        <v>228410700</v>
      </c>
    </row>
    <row r="669" spans="1:7" x14ac:dyDescent="0.25">
      <c r="A669" s="1392" t="s">
        <v>2576</v>
      </c>
      <c r="B669" s="1392" t="s">
        <v>1154</v>
      </c>
      <c r="C669" s="1392" t="s">
        <v>1846</v>
      </c>
      <c r="D669" s="1392" t="s">
        <v>1847</v>
      </c>
      <c r="E669" s="1392" t="s">
        <v>1885</v>
      </c>
      <c r="F669" s="1392" t="s">
        <v>1925</v>
      </c>
      <c r="G669" s="1391">
        <v>16977700</v>
      </c>
    </row>
    <row r="670" spans="1:7" x14ac:dyDescent="0.25">
      <c r="A670" s="1392" t="s">
        <v>2576</v>
      </c>
      <c r="B670" s="1392" t="s">
        <v>1154</v>
      </c>
      <c r="C670" s="1392" t="s">
        <v>1846</v>
      </c>
      <c r="D670" s="1392" t="s">
        <v>1847</v>
      </c>
      <c r="E670" s="1392" t="s">
        <v>1885</v>
      </c>
      <c r="F670" s="1392" t="s">
        <v>1886</v>
      </c>
      <c r="G670" s="1391">
        <v>7500000</v>
      </c>
    </row>
    <row r="671" spans="1:7" x14ac:dyDescent="0.25">
      <c r="A671" s="1392" t="s">
        <v>2576</v>
      </c>
      <c r="B671" s="1392" t="s">
        <v>1154</v>
      </c>
      <c r="C671" s="1392" t="s">
        <v>1846</v>
      </c>
      <c r="D671" s="1392" t="s">
        <v>1847</v>
      </c>
      <c r="E671" s="1392" t="s">
        <v>1885</v>
      </c>
      <c r="F671" s="1392" t="s">
        <v>1926</v>
      </c>
      <c r="G671" s="1391">
        <v>1600000</v>
      </c>
    </row>
    <row r="672" spans="1:7" x14ac:dyDescent="0.25">
      <c r="A672" s="1392" t="s">
        <v>2576</v>
      </c>
      <c r="B672" s="1392" t="s">
        <v>1154</v>
      </c>
      <c r="C672" s="1392" t="s">
        <v>1846</v>
      </c>
      <c r="D672" s="1392" t="s">
        <v>1847</v>
      </c>
      <c r="E672" s="1392" t="s">
        <v>1885</v>
      </c>
      <c r="F672" s="1392" t="s">
        <v>1887</v>
      </c>
      <c r="G672" s="1391">
        <v>137850000</v>
      </c>
    </row>
    <row r="673" spans="1:7" x14ac:dyDescent="0.25">
      <c r="A673" s="1392" t="s">
        <v>2576</v>
      </c>
      <c r="B673" s="1392" t="s">
        <v>1154</v>
      </c>
      <c r="C673" s="1392" t="s">
        <v>1846</v>
      </c>
      <c r="D673" s="1392" t="s">
        <v>1847</v>
      </c>
      <c r="E673" s="1392" t="s">
        <v>1885</v>
      </c>
      <c r="F673" s="1392" t="s">
        <v>1888</v>
      </c>
      <c r="G673" s="1391">
        <v>64483000</v>
      </c>
    </row>
    <row r="674" spans="1:7" x14ac:dyDescent="0.25">
      <c r="A674" s="1392" t="s">
        <v>2576</v>
      </c>
      <c r="B674" s="1392" t="s">
        <v>1154</v>
      </c>
      <c r="C674" s="1392" t="s">
        <v>1846</v>
      </c>
      <c r="D674" s="1392" t="s">
        <v>1847</v>
      </c>
      <c r="E674" s="4536" t="s">
        <v>1889</v>
      </c>
      <c r="F674" s="4538"/>
      <c r="G674" s="1391">
        <v>61842000</v>
      </c>
    </row>
    <row r="675" spans="1:7" x14ac:dyDescent="0.25">
      <c r="A675" s="1392" t="s">
        <v>2576</v>
      </c>
      <c r="B675" s="1392" t="s">
        <v>1154</v>
      </c>
      <c r="C675" s="1392" t="s">
        <v>1846</v>
      </c>
      <c r="D675" s="1392" t="s">
        <v>1847</v>
      </c>
      <c r="E675" s="1392" t="s">
        <v>1889</v>
      </c>
      <c r="F675" s="1392" t="s">
        <v>1921</v>
      </c>
      <c r="G675" s="1391">
        <v>1401000</v>
      </c>
    </row>
    <row r="676" spans="1:7" x14ac:dyDescent="0.25">
      <c r="A676" s="1392" t="s">
        <v>2576</v>
      </c>
      <c r="B676" s="1392" t="s">
        <v>1154</v>
      </c>
      <c r="C676" s="1392" t="s">
        <v>1846</v>
      </c>
      <c r="D676" s="1392" t="s">
        <v>1847</v>
      </c>
      <c r="E676" s="1392" t="s">
        <v>1889</v>
      </c>
      <c r="F676" s="1392" t="s">
        <v>1890</v>
      </c>
      <c r="G676" s="1391">
        <v>26912000</v>
      </c>
    </row>
    <row r="677" spans="1:7" x14ac:dyDescent="0.25">
      <c r="A677" s="1392" t="s">
        <v>2576</v>
      </c>
      <c r="B677" s="1392" t="s">
        <v>1154</v>
      </c>
      <c r="C677" s="1392" t="s">
        <v>1846</v>
      </c>
      <c r="D677" s="1392" t="s">
        <v>1847</v>
      </c>
      <c r="E677" s="1392" t="s">
        <v>1889</v>
      </c>
      <c r="F677" s="1392" t="s">
        <v>1891</v>
      </c>
      <c r="G677" s="1391">
        <v>300000</v>
      </c>
    </row>
    <row r="678" spans="1:7" x14ac:dyDescent="0.25">
      <c r="A678" s="1392" t="s">
        <v>2576</v>
      </c>
      <c r="B678" s="1392" t="s">
        <v>1154</v>
      </c>
      <c r="C678" s="1392" t="s">
        <v>1846</v>
      </c>
      <c r="D678" s="1392" t="s">
        <v>1847</v>
      </c>
      <c r="E678" s="1392" t="s">
        <v>1889</v>
      </c>
      <c r="F678" s="1392" t="s">
        <v>1892</v>
      </c>
      <c r="G678" s="1391">
        <v>32400000</v>
      </c>
    </row>
    <row r="679" spans="1:7" x14ac:dyDescent="0.25">
      <c r="A679" s="1392" t="s">
        <v>2576</v>
      </c>
      <c r="B679" s="1392" t="s">
        <v>1154</v>
      </c>
      <c r="C679" s="1392" t="s">
        <v>1846</v>
      </c>
      <c r="D679" s="1392" t="s">
        <v>1847</v>
      </c>
      <c r="E679" s="1392" t="s">
        <v>1889</v>
      </c>
      <c r="F679" s="1392" t="s">
        <v>1922</v>
      </c>
      <c r="G679" s="1391">
        <v>829000</v>
      </c>
    </row>
    <row r="680" spans="1:7" x14ac:dyDescent="0.25">
      <c r="A680" s="1392" t="s">
        <v>2576</v>
      </c>
      <c r="B680" s="1392" t="s">
        <v>1154</v>
      </c>
      <c r="C680" s="1392" t="s">
        <v>1846</v>
      </c>
      <c r="D680" s="1392" t="s">
        <v>1847</v>
      </c>
      <c r="E680" s="4536" t="s">
        <v>1893</v>
      </c>
      <c r="F680" s="4538"/>
      <c r="G680" s="1391">
        <v>28750000</v>
      </c>
    </row>
    <row r="681" spans="1:7" x14ac:dyDescent="0.25">
      <c r="A681" s="1392" t="s">
        <v>2576</v>
      </c>
      <c r="B681" s="1392" t="s">
        <v>1154</v>
      </c>
      <c r="C681" s="1392" t="s">
        <v>1846</v>
      </c>
      <c r="D681" s="1392" t="s">
        <v>1847</v>
      </c>
      <c r="E681" s="1392" t="s">
        <v>1893</v>
      </c>
      <c r="F681" s="1392" t="s">
        <v>1894</v>
      </c>
      <c r="G681" s="1391">
        <v>27500000</v>
      </c>
    </row>
    <row r="682" spans="1:7" x14ac:dyDescent="0.25">
      <c r="A682" s="1392" t="s">
        <v>2576</v>
      </c>
      <c r="B682" s="1392" t="s">
        <v>1154</v>
      </c>
      <c r="C682" s="1392" t="s">
        <v>1846</v>
      </c>
      <c r="D682" s="1392" t="s">
        <v>1847</v>
      </c>
      <c r="E682" s="1392" t="s">
        <v>1893</v>
      </c>
      <c r="F682" s="1392" t="s">
        <v>1895</v>
      </c>
      <c r="G682" s="1391">
        <v>1250000</v>
      </c>
    </row>
    <row r="683" spans="1:7" x14ac:dyDescent="0.25">
      <c r="A683" s="1392" t="s">
        <v>2576</v>
      </c>
      <c r="B683" s="1392" t="s">
        <v>1154</v>
      </c>
      <c r="C683" s="1392" t="s">
        <v>1846</v>
      </c>
      <c r="D683" s="1392" t="s">
        <v>1847</v>
      </c>
      <c r="E683" s="4536" t="s">
        <v>1896</v>
      </c>
      <c r="F683" s="4538"/>
      <c r="G683" s="1391">
        <v>11300000</v>
      </c>
    </row>
    <row r="684" spans="1:7" x14ac:dyDescent="0.25">
      <c r="A684" s="1392" t="s">
        <v>2576</v>
      </c>
      <c r="B684" s="1392" t="s">
        <v>1154</v>
      </c>
      <c r="C684" s="1392" t="s">
        <v>1846</v>
      </c>
      <c r="D684" s="1392" t="s">
        <v>1847</v>
      </c>
      <c r="E684" s="1392" t="s">
        <v>1896</v>
      </c>
      <c r="F684" s="1392" t="s">
        <v>1900</v>
      </c>
      <c r="G684" s="1391">
        <v>11300000</v>
      </c>
    </row>
    <row r="685" spans="1:7" x14ac:dyDescent="0.25">
      <c r="A685" s="1392" t="s">
        <v>2576</v>
      </c>
      <c r="B685" s="1392" t="s">
        <v>1154</v>
      </c>
      <c r="C685" s="1392" t="s">
        <v>1846</v>
      </c>
      <c r="D685" s="1392" t="s">
        <v>1847</v>
      </c>
      <c r="E685" s="4536" t="s">
        <v>1906</v>
      </c>
      <c r="F685" s="4538"/>
      <c r="G685" s="1391">
        <v>29285000</v>
      </c>
    </row>
    <row r="686" spans="1:7" x14ac:dyDescent="0.25">
      <c r="A686" s="1392" t="s">
        <v>2576</v>
      </c>
      <c r="B686" s="1392" t="s">
        <v>1154</v>
      </c>
      <c r="C686" s="1392" t="s">
        <v>1846</v>
      </c>
      <c r="D686" s="1392" t="s">
        <v>1847</v>
      </c>
      <c r="E686" s="1392" t="s">
        <v>1906</v>
      </c>
      <c r="F686" s="1392" t="s">
        <v>1907</v>
      </c>
      <c r="G686" s="1391">
        <v>950000</v>
      </c>
    </row>
    <row r="687" spans="1:7" x14ac:dyDescent="0.25">
      <c r="A687" s="1392" t="s">
        <v>2576</v>
      </c>
      <c r="B687" s="1392" t="s">
        <v>1154</v>
      </c>
      <c r="C687" s="1392" t="s">
        <v>1846</v>
      </c>
      <c r="D687" s="1392" t="s">
        <v>1847</v>
      </c>
      <c r="E687" s="1392" t="s">
        <v>1906</v>
      </c>
      <c r="F687" s="1392" t="s">
        <v>1909</v>
      </c>
      <c r="G687" s="1391">
        <v>28335000</v>
      </c>
    </row>
    <row r="688" spans="1:7" x14ac:dyDescent="0.25">
      <c r="A688" s="1392" t="s">
        <v>2576</v>
      </c>
      <c r="B688" s="1392" t="s">
        <v>1154</v>
      </c>
      <c r="C688" s="1392" t="s">
        <v>1846</v>
      </c>
      <c r="D688" s="1392" t="s">
        <v>1847</v>
      </c>
      <c r="E688" s="4536" t="s">
        <v>1912</v>
      </c>
      <c r="F688" s="4538"/>
      <c r="G688" s="1391">
        <v>130046000</v>
      </c>
    </row>
    <row r="689" spans="1:7" x14ac:dyDescent="0.25">
      <c r="A689" s="1392" t="s">
        <v>2576</v>
      </c>
      <c r="B689" s="1392" t="s">
        <v>1154</v>
      </c>
      <c r="C689" s="1392" t="s">
        <v>1846</v>
      </c>
      <c r="D689" s="1392" t="s">
        <v>1847</v>
      </c>
      <c r="E689" s="1392" t="s">
        <v>1912</v>
      </c>
      <c r="F689" s="1392" t="s">
        <v>1915</v>
      </c>
      <c r="G689" s="1391">
        <v>18000000</v>
      </c>
    </row>
    <row r="690" spans="1:7" x14ac:dyDescent="0.25">
      <c r="A690" s="1392" t="s">
        <v>2576</v>
      </c>
      <c r="B690" s="1392" t="s">
        <v>1154</v>
      </c>
      <c r="C690" s="1392" t="s">
        <v>1846</v>
      </c>
      <c r="D690" s="1392" t="s">
        <v>1847</v>
      </c>
      <c r="E690" s="1392" t="s">
        <v>1912</v>
      </c>
      <c r="F690" s="1392" t="s">
        <v>1916</v>
      </c>
      <c r="G690" s="1391">
        <v>112046000</v>
      </c>
    </row>
    <row r="691" spans="1:7" x14ac:dyDescent="0.25">
      <c r="A691" s="1392" t="s">
        <v>2576</v>
      </c>
      <c r="B691" s="1392" t="s">
        <v>1154</v>
      </c>
      <c r="C691" s="1392" t="s">
        <v>1846</v>
      </c>
      <c r="D691" s="1392" t="s">
        <v>1847</v>
      </c>
      <c r="E691" s="4536" t="s">
        <v>1983</v>
      </c>
      <c r="F691" s="4538"/>
      <c r="G691" s="1391">
        <v>3600000</v>
      </c>
    </row>
    <row r="692" spans="1:7" x14ac:dyDescent="0.25">
      <c r="A692" s="1392" t="s">
        <v>2576</v>
      </c>
      <c r="B692" s="1392" t="s">
        <v>1154</v>
      </c>
      <c r="C692" s="1392" t="s">
        <v>1846</v>
      </c>
      <c r="D692" s="1392" t="s">
        <v>1847</v>
      </c>
      <c r="E692" s="1392" t="s">
        <v>1983</v>
      </c>
      <c r="F692" s="1392" t="s">
        <v>2240</v>
      </c>
      <c r="G692" s="1391">
        <v>3600000</v>
      </c>
    </row>
    <row r="693" spans="1:7" x14ac:dyDescent="0.25">
      <c r="A693" s="1392" t="s">
        <v>2576</v>
      </c>
      <c r="B693" s="1392" t="s">
        <v>1154</v>
      </c>
      <c r="C693" s="4536" t="s">
        <v>1958</v>
      </c>
      <c r="D693" s="4537"/>
      <c r="E693" s="4537"/>
      <c r="F693" s="4538"/>
      <c r="G693" s="1391">
        <v>14689693633</v>
      </c>
    </row>
    <row r="694" spans="1:7" x14ac:dyDescent="0.25">
      <c r="A694" s="1392" t="s">
        <v>2576</v>
      </c>
      <c r="B694" s="1392" t="s">
        <v>1154</v>
      </c>
      <c r="C694" s="1392" t="s">
        <v>1958</v>
      </c>
      <c r="D694" s="4536" t="s">
        <v>1997</v>
      </c>
      <c r="E694" s="4537"/>
      <c r="F694" s="4538"/>
      <c r="G694" s="1391">
        <v>190500000</v>
      </c>
    </row>
    <row r="695" spans="1:7" x14ac:dyDescent="0.25">
      <c r="A695" s="1392" t="s">
        <v>2576</v>
      </c>
      <c r="B695" s="1392" t="s">
        <v>1154</v>
      </c>
      <c r="C695" s="1392" t="s">
        <v>1958</v>
      </c>
      <c r="D695" s="1392" t="s">
        <v>1997</v>
      </c>
      <c r="E695" s="4536" t="s">
        <v>1923</v>
      </c>
      <c r="F695" s="4538"/>
      <c r="G695" s="1391">
        <v>190500000</v>
      </c>
    </row>
    <row r="696" spans="1:7" x14ac:dyDescent="0.25">
      <c r="A696" s="1392" t="s">
        <v>2576</v>
      </c>
      <c r="B696" s="1392" t="s">
        <v>1154</v>
      </c>
      <c r="C696" s="1392" t="s">
        <v>1958</v>
      </c>
      <c r="D696" s="1392" t="s">
        <v>1997</v>
      </c>
      <c r="E696" s="1392" t="s">
        <v>1923</v>
      </c>
      <c r="F696" s="1392" t="s">
        <v>1924</v>
      </c>
      <c r="G696" s="1391">
        <v>190500000</v>
      </c>
    </row>
    <row r="697" spans="1:7" x14ac:dyDescent="0.25">
      <c r="A697" s="1392" t="s">
        <v>2576</v>
      </c>
      <c r="B697" s="1392" t="s">
        <v>1154</v>
      </c>
      <c r="C697" s="1392" t="s">
        <v>1958</v>
      </c>
      <c r="D697" s="4536" t="s">
        <v>2234</v>
      </c>
      <c r="E697" s="4537"/>
      <c r="F697" s="4538"/>
      <c r="G697" s="1391">
        <v>83020000</v>
      </c>
    </row>
    <row r="698" spans="1:7" x14ac:dyDescent="0.25">
      <c r="A698" s="1392" t="s">
        <v>2576</v>
      </c>
      <c r="B698" s="1392" t="s">
        <v>1154</v>
      </c>
      <c r="C698" s="1392" t="s">
        <v>1958</v>
      </c>
      <c r="D698" s="1392" t="s">
        <v>2234</v>
      </c>
      <c r="E698" s="4536" t="s">
        <v>1885</v>
      </c>
      <c r="F698" s="4538"/>
      <c r="G698" s="1391">
        <v>11980000</v>
      </c>
    </row>
    <row r="699" spans="1:7" x14ac:dyDescent="0.25">
      <c r="A699" s="1392" t="s">
        <v>2576</v>
      </c>
      <c r="B699" s="1392" t="s">
        <v>1154</v>
      </c>
      <c r="C699" s="1392" t="s">
        <v>1958</v>
      </c>
      <c r="D699" s="1392" t="s">
        <v>2234</v>
      </c>
      <c r="E699" s="1392" t="s">
        <v>1885</v>
      </c>
      <c r="F699" s="1392" t="s">
        <v>1886</v>
      </c>
      <c r="G699" s="1391">
        <v>1000000</v>
      </c>
    </row>
    <row r="700" spans="1:7" x14ac:dyDescent="0.25">
      <c r="A700" s="1392" t="s">
        <v>2576</v>
      </c>
      <c r="B700" s="1392" t="s">
        <v>1154</v>
      </c>
      <c r="C700" s="1392" t="s">
        <v>1958</v>
      </c>
      <c r="D700" s="1392" t="s">
        <v>2234</v>
      </c>
      <c r="E700" s="1392" t="s">
        <v>1885</v>
      </c>
      <c r="F700" s="1392" t="s">
        <v>1887</v>
      </c>
      <c r="G700" s="1391">
        <v>9000000</v>
      </c>
    </row>
    <row r="701" spans="1:7" x14ac:dyDescent="0.25">
      <c r="A701" s="1392" t="s">
        <v>2576</v>
      </c>
      <c r="B701" s="1392" t="s">
        <v>1154</v>
      </c>
      <c r="C701" s="1392" t="s">
        <v>1958</v>
      </c>
      <c r="D701" s="1392" t="s">
        <v>2234</v>
      </c>
      <c r="E701" s="1392" t="s">
        <v>1885</v>
      </c>
      <c r="F701" s="1392" t="s">
        <v>1888</v>
      </c>
      <c r="G701" s="1391">
        <v>1980000</v>
      </c>
    </row>
    <row r="702" spans="1:7" x14ac:dyDescent="0.25">
      <c r="A702" s="1392" t="s">
        <v>2576</v>
      </c>
      <c r="B702" s="1392" t="s">
        <v>1154</v>
      </c>
      <c r="C702" s="1392" t="s">
        <v>1958</v>
      </c>
      <c r="D702" s="1392" t="s">
        <v>2234</v>
      </c>
      <c r="E702" s="4536" t="s">
        <v>1889</v>
      </c>
      <c r="F702" s="4538"/>
      <c r="G702" s="1391">
        <v>1200000</v>
      </c>
    </row>
    <row r="703" spans="1:7" x14ac:dyDescent="0.25">
      <c r="A703" s="1392" t="s">
        <v>2576</v>
      </c>
      <c r="B703" s="1392" t="s">
        <v>1154</v>
      </c>
      <c r="C703" s="1392" t="s">
        <v>1958</v>
      </c>
      <c r="D703" s="1392" t="s">
        <v>2234</v>
      </c>
      <c r="E703" s="1392" t="s">
        <v>1889</v>
      </c>
      <c r="F703" s="1392" t="s">
        <v>1890</v>
      </c>
      <c r="G703" s="1391">
        <v>1200000</v>
      </c>
    </row>
    <row r="704" spans="1:7" x14ac:dyDescent="0.25">
      <c r="A704" s="1392" t="s">
        <v>2576</v>
      </c>
      <c r="B704" s="1392" t="s">
        <v>1154</v>
      </c>
      <c r="C704" s="1392" t="s">
        <v>1958</v>
      </c>
      <c r="D704" s="1392" t="s">
        <v>2234</v>
      </c>
      <c r="E704" s="4536" t="s">
        <v>1912</v>
      </c>
      <c r="F704" s="4538"/>
      <c r="G704" s="1391">
        <v>69840000</v>
      </c>
    </row>
    <row r="705" spans="1:7" x14ac:dyDescent="0.25">
      <c r="A705" s="1392" t="s">
        <v>2576</v>
      </c>
      <c r="B705" s="1392" t="s">
        <v>1154</v>
      </c>
      <c r="C705" s="1392" t="s">
        <v>1958</v>
      </c>
      <c r="D705" s="1392" t="s">
        <v>2234</v>
      </c>
      <c r="E705" s="1392" t="s">
        <v>1912</v>
      </c>
      <c r="F705" s="1392" t="s">
        <v>1916</v>
      </c>
      <c r="G705" s="1391">
        <v>69840000</v>
      </c>
    </row>
    <row r="706" spans="1:7" x14ac:dyDescent="0.25">
      <c r="A706" s="1392" t="s">
        <v>2576</v>
      </c>
      <c r="B706" s="1392" t="s">
        <v>1154</v>
      </c>
      <c r="C706" s="1392" t="s">
        <v>1958</v>
      </c>
      <c r="D706" s="4536" t="s">
        <v>1959</v>
      </c>
      <c r="E706" s="4537"/>
      <c r="F706" s="4538"/>
      <c r="G706" s="1391">
        <v>14416173633</v>
      </c>
    </row>
    <row r="707" spans="1:7" x14ac:dyDescent="0.25">
      <c r="A707" s="1392" t="s">
        <v>2576</v>
      </c>
      <c r="B707" s="1392" t="s">
        <v>1154</v>
      </c>
      <c r="C707" s="1392" t="s">
        <v>1958</v>
      </c>
      <c r="D707" s="1392" t="s">
        <v>1959</v>
      </c>
      <c r="E707" s="4536" t="s">
        <v>1869</v>
      </c>
      <c r="F707" s="4538"/>
      <c r="G707" s="1391">
        <v>3182907</v>
      </c>
    </row>
    <row r="708" spans="1:7" x14ac:dyDescent="0.25">
      <c r="A708" s="1392" t="s">
        <v>2576</v>
      </c>
      <c r="B708" s="1392" t="s">
        <v>1154</v>
      </c>
      <c r="C708" s="1392" t="s">
        <v>1958</v>
      </c>
      <c r="D708" s="1392" t="s">
        <v>1959</v>
      </c>
      <c r="E708" s="1392" t="s">
        <v>1869</v>
      </c>
      <c r="F708" s="1392" t="s">
        <v>1870</v>
      </c>
      <c r="G708" s="1391">
        <v>320107</v>
      </c>
    </row>
    <row r="709" spans="1:7" x14ac:dyDescent="0.25">
      <c r="A709" s="1392" t="s">
        <v>2576</v>
      </c>
      <c r="B709" s="1392" t="s">
        <v>1154</v>
      </c>
      <c r="C709" s="1392" t="s">
        <v>1958</v>
      </c>
      <c r="D709" s="1392" t="s">
        <v>1959</v>
      </c>
      <c r="E709" s="1392" t="s">
        <v>1869</v>
      </c>
      <c r="F709" s="1392" t="s">
        <v>1872</v>
      </c>
      <c r="G709" s="1391">
        <v>2862800</v>
      </c>
    </row>
    <row r="710" spans="1:7" x14ac:dyDescent="0.25">
      <c r="A710" s="1392" t="s">
        <v>2576</v>
      </c>
      <c r="B710" s="1392" t="s">
        <v>1154</v>
      </c>
      <c r="C710" s="1392" t="s">
        <v>1958</v>
      </c>
      <c r="D710" s="1392" t="s">
        <v>1959</v>
      </c>
      <c r="E710" s="4536" t="s">
        <v>1874</v>
      </c>
      <c r="F710" s="4538"/>
      <c r="G710" s="1391">
        <v>10100000</v>
      </c>
    </row>
    <row r="711" spans="1:7" x14ac:dyDescent="0.25">
      <c r="A711" s="1392" t="s">
        <v>2576</v>
      </c>
      <c r="B711" s="1392" t="s">
        <v>1154</v>
      </c>
      <c r="C711" s="1392" t="s">
        <v>1958</v>
      </c>
      <c r="D711" s="1392" t="s">
        <v>1959</v>
      </c>
      <c r="E711" s="1392" t="s">
        <v>1874</v>
      </c>
      <c r="F711" s="1392" t="s">
        <v>1875</v>
      </c>
      <c r="G711" s="1391">
        <v>10100000</v>
      </c>
    </row>
    <row r="712" spans="1:7" x14ac:dyDescent="0.25">
      <c r="A712" s="1392" t="s">
        <v>2576</v>
      </c>
      <c r="B712" s="1392" t="s">
        <v>1154</v>
      </c>
      <c r="C712" s="1392" t="s">
        <v>1958</v>
      </c>
      <c r="D712" s="1392" t="s">
        <v>1959</v>
      </c>
      <c r="E712" s="4536" t="s">
        <v>1889</v>
      </c>
      <c r="F712" s="4538"/>
      <c r="G712" s="1391">
        <v>46200000</v>
      </c>
    </row>
    <row r="713" spans="1:7" x14ac:dyDescent="0.25">
      <c r="A713" s="1392" t="s">
        <v>2576</v>
      </c>
      <c r="B713" s="1392" t="s">
        <v>1154</v>
      </c>
      <c r="C713" s="1392" t="s">
        <v>1958</v>
      </c>
      <c r="D713" s="1392" t="s">
        <v>1959</v>
      </c>
      <c r="E713" s="1392" t="s">
        <v>1889</v>
      </c>
      <c r="F713" s="1392" t="s">
        <v>1890</v>
      </c>
      <c r="G713" s="1391">
        <v>8000000</v>
      </c>
    </row>
    <row r="714" spans="1:7" x14ac:dyDescent="0.25">
      <c r="A714" s="1392" t="s">
        <v>2576</v>
      </c>
      <c r="B714" s="1392" t="s">
        <v>1154</v>
      </c>
      <c r="C714" s="1392" t="s">
        <v>1958</v>
      </c>
      <c r="D714" s="1392" t="s">
        <v>1959</v>
      </c>
      <c r="E714" s="1392" t="s">
        <v>1889</v>
      </c>
      <c r="F714" s="1392" t="s">
        <v>1891</v>
      </c>
      <c r="G714" s="1391">
        <v>38200000</v>
      </c>
    </row>
    <row r="715" spans="1:7" x14ac:dyDescent="0.25">
      <c r="A715" s="1392" t="s">
        <v>2576</v>
      </c>
      <c r="B715" s="1392" t="s">
        <v>1154</v>
      </c>
      <c r="C715" s="1392" t="s">
        <v>1958</v>
      </c>
      <c r="D715" s="1392" t="s">
        <v>1959</v>
      </c>
      <c r="E715" s="4536" t="s">
        <v>1893</v>
      </c>
      <c r="F715" s="4538"/>
      <c r="G715" s="1391">
        <v>56260000</v>
      </c>
    </row>
    <row r="716" spans="1:7" x14ac:dyDescent="0.25">
      <c r="A716" s="1392" t="s">
        <v>2576</v>
      </c>
      <c r="B716" s="1392" t="s">
        <v>1154</v>
      </c>
      <c r="C716" s="1392" t="s">
        <v>1958</v>
      </c>
      <c r="D716" s="1392" t="s">
        <v>1959</v>
      </c>
      <c r="E716" s="1392" t="s">
        <v>1893</v>
      </c>
      <c r="F716" s="1392" t="s">
        <v>1894</v>
      </c>
      <c r="G716" s="1391">
        <v>53500000</v>
      </c>
    </row>
    <row r="717" spans="1:7" x14ac:dyDescent="0.25">
      <c r="A717" s="1392" t="s">
        <v>2576</v>
      </c>
      <c r="B717" s="1392" t="s">
        <v>1154</v>
      </c>
      <c r="C717" s="1392" t="s">
        <v>1958</v>
      </c>
      <c r="D717" s="1392" t="s">
        <v>1959</v>
      </c>
      <c r="E717" s="1392" t="s">
        <v>1893</v>
      </c>
      <c r="F717" s="1392" t="s">
        <v>1895</v>
      </c>
      <c r="G717" s="1391">
        <v>2760000</v>
      </c>
    </row>
    <row r="718" spans="1:7" x14ac:dyDescent="0.25">
      <c r="A718" s="1392" t="s">
        <v>2576</v>
      </c>
      <c r="B718" s="1392" t="s">
        <v>1154</v>
      </c>
      <c r="C718" s="1392" t="s">
        <v>1958</v>
      </c>
      <c r="D718" s="1392" t="s">
        <v>1959</v>
      </c>
      <c r="E718" s="4536" t="s">
        <v>1906</v>
      </c>
      <c r="F718" s="4538"/>
      <c r="G718" s="1391">
        <v>4900000</v>
      </c>
    </row>
    <row r="719" spans="1:7" x14ac:dyDescent="0.25">
      <c r="A719" s="1392" t="s">
        <v>2576</v>
      </c>
      <c r="B719" s="1392" t="s">
        <v>1154</v>
      </c>
      <c r="C719" s="1392" t="s">
        <v>1958</v>
      </c>
      <c r="D719" s="1392" t="s">
        <v>1959</v>
      </c>
      <c r="E719" s="1392" t="s">
        <v>1906</v>
      </c>
      <c r="F719" s="1392" t="s">
        <v>1978</v>
      </c>
      <c r="G719" s="1391">
        <v>4900000</v>
      </c>
    </row>
    <row r="720" spans="1:7" x14ac:dyDescent="0.25">
      <c r="A720" s="1392" t="s">
        <v>2576</v>
      </c>
      <c r="B720" s="1392" t="s">
        <v>1154</v>
      </c>
      <c r="C720" s="1392" t="s">
        <v>1958</v>
      </c>
      <c r="D720" s="1392" t="s">
        <v>1959</v>
      </c>
      <c r="E720" s="4536" t="s">
        <v>1923</v>
      </c>
      <c r="F720" s="4538"/>
      <c r="G720" s="1391">
        <v>3997461000</v>
      </c>
    </row>
    <row r="721" spans="1:7" x14ac:dyDescent="0.25">
      <c r="A721" s="1392" t="s">
        <v>2576</v>
      </c>
      <c r="B721" s="1392" t="s">
        <v>1154</v>
      </c>
      <c r="C721" s="1392" t="s">
        <v>1958</v>
      </c>
      <c r="D721" s="1392" t="s">
        <v>1959</v>
      </c>
      <c r="E721" s="1392" t="s">
        <v>1923</v>
      </c>
      <c r="F721" s="1392" t="s">
        <v>1924</v>
      </c>
      <c r="G721" s="1391">
        <v>2451000000</v>
      </c>
    </row>
    <row r="722" spans="1:7" x14ac:dyDescent="0.25">
      <c r="A722" s="1392" t="s">
        <v>2576</v>
      </c>
      <c r="B722" s="1392" t="s">
        <v>1154</v>
      </c>
      <c r="C722" s="1392" t="s">
        <v>1958</v>
      </c>
      <c r="D722" s="1392" t="s">
        <v>1959</v>
      </c>
      <c r="E722" s="1392" t="s">
        <v>1923</v>
      </c>
      <c r="F722" s="1392" t="s">
        <v>2007</v>
      </c>
      <c r="G722" s="1391">
        <v>1546461000</v>
      </c>
    </row>
    <row r="723" spans="1:7" x14ac:dyDescent="0.25">
      <c r="A723" s="1392" t="s">
        <v>2576</v>
      </c>
      <c r="B723" s="1392" t="s">
        <v>1154</v>
      </c>
      <c r="C723" s="1392" t="s">
        <v>1958</v>
      </c>
      <c r="D723" s="1392" t="s">
        <v>1959</v>
      </c>
      <c r="E723" s="4536" t="s">
        <v>1910</v>
      </c>
      <c r="F723" s="4538"/>
      <c r="G723" s="1391">
        <v>7294000</v>
      </c>
    </row>
    <row r="724" spans="1:7" x14ac:dyDescent="0.25">
      <c r="A724" s="1392" t="s">
        <v>2576</v>
      </c>
      <c r="B724" s="1392" t="s">
        <v>1154</v>
      </c>
      <c r="C724" s="1392" t="s">
        <v>1958</v>
      </c>
      <c r="D724" s="1392" t="s">
        <v>1959</v>
      </c>
      <c r="E724" s="1392" t="s">
        <v>1910</v>
      </c>
      <c r="F724" s="1392" t="s">
        <v>2070</v>
      </c>
      <c r="G724" s="1391">
        <v>2794000</v>
      </c>
    </row>
    <row r="725" spans="1:7" x14ac:dyDescent="0.25">
      <c r="A725" s="1392" t="s">
        <v>2576</v>
      </c>
      <c r="B725" s="1392" t="s">
        <v>1154</v>
      </c>
      <c r="C725" s="1392" t="s">
        <v>1958</v>
      </c>
      <c r="D725" s="1392" t="s">
        <v>1959</v>
      </c>
      <c r="E725" s="1392" t="s">
        <v>1910</v>
      </c>
      <c r="F725" s="1392" t="s">
        <v>1911</v>
      </c>
      <c r="G725" s="1391">
        <v>4500000</v>
      </c>
    </row>
    <row r="726" spans="1:7" x14ac:dyDescent="0.25">
      <c r="A726" s="1392" t="s">
        <v>2576</v>
      </c>
      <c r="B726" s="1392" t="s">
        <v>1154</v>
      </c>
      <c r="C726" s="1392" t="s">
        <v>1958</v>
      </c>
      <c r="D726" s="1392" t="s">
        <v>1959</v>
      </c>
      <c r="E726" s="4536" t="s">
        <v>1962</v>
      </c>
      <c r="F726" s="4538"/>
      <c r="G726" s="1391">
        <v>753100000</v>
      </c>
    </row>
    <row r="727" spans="1:7" x14ac:dyDescent="0.25">
      <c r="A727" s="1392" t="s">
        <v>2576</v>
      </c>
      <c r="B727" s="1392" t="s">
        <v>1154</v>
      </c>
      <c r="C727" s="1392" t="s">
        <v>1958</v>
      </c>
      <c r="D727" s="1392" t="s">
        <v>1959</v>
      </c>
      <c r="E727" s="1392" t="s">
        <v>1962</v>
      </c>
      <c r="F727" s="1392" t="s">
        <v>1963</v>
      </c>
      <c r="G727" s="1391">
        <v>753100000</v>
      </c>
    </row>
    <row r="728" spans="1:7" x14ac:dyDescent="0.25">
      <c r="A728" s="1392" t="s">
        <v>2576</v>
      </c>
      <c r="B728" s="1392" t="s">
        <v>1154</v>
      </c>
      <c r="C728" s="1392" t="s">
        <v>1958</v>
      </c>
      <c r="D728" s="1392" t="s">
        <v>1959</v>
      </c>
      <c r="E728" s="4536" t="s">
        <v>1834</v>
      </c>
      <c r="F728" s="4538"/>
      <c r="G728" s="1391">
        <v>9413847726</v>
      </c>
    </row>
    <row r="729" spans="1:7" x14ac:dyDescent="0.25">
      <c r="A729" s="1392" t="s">
        <v>2576</v>
      </c>
      <c r="B729" s="1392" t="s">
        <v>1154</v>
      </c>
      <c r="C729" s="1392" t="s">
        <v>1958</v>
      </c>
      <c r="D729" s="1392" t="s">
        <v>1959</v>
      </c>
      <c r="E729" s="1392" t="s">
        <v>1834</v>
      </c>
      <c r="F729" s="1392" t="s">
        <v>1964</v>
      </c>
      <c r="G729" s="1391">
        <v>830737726</v>
      </c>
    </row>
    <row r="730" spans="1:7" x14ac:dyDescent="0.25">
      <c r="A730" s="1392" t="s">
        <v>2576</v>
      </c>
      <c r="B730" s="1392" t="s">
        <v>1154</v>
      </c>
      <c r="C730" s="1392" t="s">
        <v>1958</v>
      </c>
      <c r="D730" s="1392" t="s">
        <v>1959</v>
      </c>
      <c r="E730" s="1392" t="s">
        <v>1834</v>
      </c>
      <c r="F730" s="1392" t="s">
        <v>1835</v>
      </c>
      <c r="G730" s="1391">
        <v>8075430000</v>
      </c>
    </row>
    <row r="731" spans="1:7" x14ac:dyDescent="0.25">
      <c r="A731" s="1392" t="s">
        <v>2576</v>
      </c>
      <c r="B731" s="1392" t="s">
        <v>1154</v>
      </c>
      <c r="C731" s="1392" t="s">
        <v>1958</v>
      </c>
      <c r="D731" s="1392" t="s">
        <v>1959</v>
      </c>
      <c r="E731" s="1392" t="s">
        <v>1834</v>
      </c>
      <c r="F731" s="1392" t="s">
        <v>1965</v>
      </c>
      <c r="G731" s="1391">
        <v>166500000</v>
      </c>
    </row>
    <row r="732" spans="1:7" x14ac:dyDescent="0.25">
      <c r="A732" s="1392" t="s">
        <v>2576</v>
      </c>
      <c r="B732" s="1392" t="s">
        <v>1154</v>
      </c>
      <c r="C732" s="1392" t="s">
        <v>1958</v>
      </c>
      <c r="D732" s="1392" t="s">
        <v>1959</v>
      </c>
      <c r="E732" s="1392" t="s">
        <v>1834</v>
      </c>
      <c r="F732" s="1392" t="s">
        <v>1966</v>
      </c>
      <c r="G732" s="1391">
        <v>341180000</v>
      </c>
    </row>
    <row r="733" spans="1:7" x14ac:dyDescent="0.25">
      <c r="A733" s="1392" t="s">
        <v>2576</v>
      </c>
      <c r="B733" s="1392" t="s">
        <v>1154</v>
      </c>
      <c r="C733" s="1392" t="s">
        <v>1958</v>
      </c>
      <c r="D733" s="1392" t="s">
        <v>1959</v>
      </c>
      <c r="E733" s="4536" t="s">
        <v>1912</v>
      </c>
      <c r="F733" s="4538"/>
      <c r="G733" s="1391">
        <v>123828000</v>
      </c>
    </row>
    <row r="734" spans="1:7" x14ac:dyDescent="0.25">
      <c r="A734" s="1392" t="s">
        <v>2576</v>
      </c>
      <c r="B734" s="1392" t="s">
        <v>1154</v>
      </c>
      <c r="C734" s="1392" t="s">
        <v>1958</v>
      </c>
      <c r="D734" s="1392" t="s">
        <v>1959</v>
      </c>
      <c r="E734" s="1392" t="s">
        <v>1912</v>
      </c>
      <c r="F734" s="1392" t="s">
        <v>1913</v>
      </c>
      <c r="G734" s="1391">
        <v>395000</v>
      </c>
    </row>
    <row r="735" spans="1:7" x14ac:dyDescent="0.25">
      <c r="A735" s="1392" t="s">
        <v>2576</v>
      </c>
      <c r="B735" s="1392" t="s">
        <v>1154</v>
      </c>
      <c r="C735" s="1392" t="s">
        <v>1958</v>
      </c>
      <c r="D735" s="1392" t="s">
        <v>1959</v>
      </c>
      <c r="E735" s="1392" t="s">
        <v>1912</v>
      </c>
      <c r="F735" s="1392" t="s">
        <v>1915</v>
      </c>
      <c r="G735" s="1391">
        <v>2520000</v>
      </c>
    </row>
    <row r="736" spans="1:7" x14ac:dyDescent="0.25">
      <c r="A736" s="1392" t="s">
        <v>2576</v>
      </c>
      <c r="B736" s="1392" t="s">
        <v>1154</v>
      </c>
      <c r="C736" s="1392" t="s">
        <v>1958</v>
      </c>
      <c r="D736" s="1392" t="s">
        <v>1959</v>
      </c>
      <c r="E736" s="1392" t="s">
        <v>1912</v>
      </c>
      <c r="F736" s="1392" t="s">
        <v>1916</v>
      </c>
      <c r="G736" s="1391">
        <v>120913000</v>
      </c>
    </row>
    <row r="737" spans="1:7" x14ac:dyDescent="0.25">
      <c r="A737" s="1392" t="s">
        <v>2576</v>
      </c>
      <c r="B737" s="4536" t="s">
        <v>1155</v>
      </c>
      <c r="C737" s="4537"/>
      <c r="D737" s="4537"/>
      <c r="E737" s="4537"/>
      <c r="F737" s="4538"/>
      <c r="G737" s="1391">
        <v>1993190903</v>
      </c>
    </row>
    <row r="738" spans="1:7" x14ac:dyDescent="0.25">
      <c r="A738" s="1392" t="s">
        <v>2576</v>
      </c>
      <c r="B738" s="1392" t="s">
        <v>1155</v>
      </c>
      <c r="C738" s="4536" t="s">
        <v>1919</v>
      </c>
      <c r="D738" s="4537"/>
      <c r="E738" s="4537"/>
      <c r="F738" s="4538"/>
      <c r="G738" s="1391">
        <v>174365603</v>
      </c>
    </row>
    <row r="739" spans="1:7" x14ac:dyDescent="0.25">
      <c r="A739" s="1392" t="s">
        <v>2576</v>
      </c>
      <c r="B739" s="1392" t="s">
        <v>1155</v>
      </c>
      <c r="C739" s="1392" t="s">
        <v>1919</v>
      </c>
      <c r="D739" s="4536" t="s">
        <v>2054</v>
      </c>
      <c r="E739" s="4537"/>
      <c r="F739" s="4538"/>
      <c r="G739" s="1391">
        <v>174365603</v>
      </c>
    </row>
    <row r="740" spans="1:7" x14ac:dyDescent="0.25">
      <c r="A740" s="1392" t="s">
        <v>2576</v>
      </c>
      <c r="B740" s="1392" t="s">
        <v>1155</v>
      </c>
      <c r="C740" s="1392" t="s">
        <v>1919</v>
      </c>
      <c r="D740" s="1392" t="s">
        <v>2054</v>
      </c>
      <c r="E740" s="4536" t="s">
        <v>1896</v>
      </c>
      <c r="F740" s="4538"/>
      <c r="G740" s="1391">
        <v>174365603</v>
      </c>
    </row>
    <row r="741" spans="1:7" x14ac:dyDescent="0.25">
      <c r="A741" s="1392" t="s">
        <v>2576</v>
      </c>
      <c r="B741" s="1392" t="s">
        <v>1155</v>
      </c>
      <c r="C741" s="1392" t="s">
        <v>1919</v>
      </c>
      <c r="D741" s="1392" t="s">
        <v>2054</v>
      </c>
      <c r="E741" s="1392" t="s">
        <v>1896</v>
      </c>
      <c r="F741" s="1392" t="s">
        <v>1902</v>
      </c>
      <c r="G741" s="1391">
        <v>174365603</v>
      </c>
    </row>
    <row r="742" spans="1:7" x14ac:dyDescent="0.25">
      <c r="A742" s="1392" t="s">
        <v>2576</v>
      </c>
      <c r="B742" s="1392" t="s">
        <v>1155</v>
      </c>
      <c r="C742" s="4536" t="s">
        <v>1846</v>
      </c>
      <c r="D742" s="4537"/>
      <c r="E742" s="4537"/>
      <c r="F742" s="4538"/>
      <c r="G742" s="1391">
        <v>1818825300</v>
      </c>
    </row>
    <row r="743" spans="1:7" x14ac:dyDescent="0.25">
      <c r="A743" s="1392" t="s">
        <v>2576</v>
      </c>
      <c r="B743" s="1392" t="s">
        <v>1155</v>
      </c>
      <c r="C743" s="1392" t="s">
        <v>1846</v>
      </c>
      <c r="D743" s="4536" t="s">
        <v>1847</v>
      </c>
      <c r="E743" s="4537"/>
      <c r="F743" s="4538"/>
      <c r="G743" s="1391">
        <v>1818825300</v>
      </c>
    </row>
    <row r="744" spans="1:7" x14ac:dyDescent="0.25">
      <c r="A744" s="1392" t="s">
        <v>2576</v>
      </c>
      <c r="B744" s="1392" t="s">
        <v>1155</v>
      </c>
      <c r="C744" s="1392" t="s">
        <v>1846</v>
      </c>
      <c r="D744" s="1392" t="s">
        <v>1847</v>
      </c>
      <c r="E744" s="4536" t="s">
        <v>1848</v>
      </c>
      <c r="F744" s="4538"/>
      <c r="G744" s="1391">
        <v>199502135</v>
      </c>
    </row>
    <row r="745" spans="1:7" x14ac:dyDescent="0.25">
      <c r="A745" s="1392" t="s">
        <v>2576</v>
      </c>
      <c r="B745" s="1392" t="s">
        <v>1155</v>
      </c>
      <c r="C745" s="1392" t="s">
        <v>1846</v>
      </c>
      <c r="D745" s="1392" t="s">
        <v>1847</v>
      </c>
      <c r="E745" s="1392" t="s">
        <v>1848</v>
      </c>
      <c r="F745" s="1392" t="s">
        <v>1849</v>
      </c>
      <c r="G745" s="1391">
        <v>199502135</v>
      </c>
    </row>
    <row r="746" spans="1:7" x14ac:dyDescent="0.25">
      <c r="A746" s="1392" t="s">
        <v>2576</v>
      </c>
      <c r="B746" s="1392" t="s">
        <v>1155</v>
      </c>
      <c r="C746" s="1392" t="s">
        <v>1846</v>
      </c>
      <c r="D746" s="1392" t="s">
        <v>1847</v>
      </c>
      <c r="E746" s="4536" t="s">
        <v>1853</v>
      </c>
      <c r="F746" s="4538"/>
      <c r="G746" s="1391">
        <v>116598358</v>
      </c>
    </row>
    <row r="747" spans="1:7" x14ac:dyDescent="0.25">
      <c r="A747" s="1392" t="s">
        <v>2576</v>
      </c>
      <c r="B747" s="1392" t="s">
        <v>1155</v>
      </c>
      <c r="C747" s="1392" t="s">
        <v>1846</v>
      </c>
      <c r="D747" s="1392" t="s">
        <v>1847</v>
      </c>
      <c r="E747" s="1392" t="s">
        <v>1853</v>
      </c>
      <c r="F747" s="1392" t="s">
        <v>1854</v>
      </c>
      <c r="G747" s="1391">
        <v>7152000</v>
      </c>
    </row>
    <row r="748" spans="1:7" x14ac:dyDescent="0.25">
      <c r="A748" s="1392" t="s">
        <v>2576</v>
      </c>
      <c r="B748" s="1392" t="s">
        <v>1155</v>
      </c>
      <c r="C748" s="1392" t="s">
        <v>1846</v>
      </c>
      <c r="D748" s="1392" t="s">
        <v>1847</v>
      </c>
      <c r="E748" s="1392" t="s">
        <v>1853</v>
      </c>
      <c r="F748" s="1392" t="s">
        <v>1855</v>
      </c>
      <c r="G748" s="1391">
        <v>28310000</v>
      </c>
    </row>
    <row r="749" spans="1:7" x14ac:dyDescent="0.25">
      <c r="A749" s="1392" t="s">
        <v>2576</v>
      </c>
      <c r="B749" s="1392" t="s">
        <v>1155</v>
      </c>
      <c r="C749" s="1392" t="s">
        <v>1846</v>
      </c>
      <c r="D749" s="1392" t="s">
        <v>1847</v>
      </c>
      <c r="E749" s="1392" t="s">
        <v>1853</v>
      </c>
      <c r="F749" s="1392" t="s">
        <v>1856</v>
      </c>
      <c r="G749" s="1391">
        <v>27351083</v>
      </c>
    </row>
    <row r="750" spans="1:7" x14ac:dyDescent="0.25">
      <c r="A750" s="1392" t="s">
        <v>2576</v>
      </c>
      <c r="B750" s="1392" t="s">
        <v>1155</v>
      </c>
      <c r="C750" s="1392" t="s">
        <v>1846</v>
      </c>
      <c r="D750" s="1392" t="s">
        <v>1847</v>
      </c>
      <c r="E750" s="1392" t="s">
        <v>1853</v>
      </c>
      <c r="F750" s="1392" t="s">
        <v>1858</v>
      </c>
      <c r="G750" s="1391">
        <v>1788000</v>
      </c>
    </row>
    <row r="751" spans="1:7" x14ac:dyDescent="0.25">
      <c r="A751" s="1392" t="s">
        <v>2576</v>
      </c>
      <c r="B751" s="1392" t="s">
        <v>1155</v>
      </c>
      <c r="C751" s="1392" t="s">
        <v>1846</v>
      </c>
      <c r="D751" s="1392" t="s">
        <v>1847</v>
      </c>
      <c r="E751" s="1392" t="s">
        <v>1853</v>
      </c>
      <c r="F751" s="1392" t="s">
        <v>1859</v>
      </c>
      <c r="G751" s="1391">
        <v>51997275</v>
      </c>
    </row>
    <row r="752" spans="1:7" x14ac:dyDescent="0.25">
      <c r="A752" s="1392" t="s">
        <v>2576</v>
      </c>
      <c r="B752" s="1392" t="s">
        <v>1155</v>
      </c>
      <c r="C752" s="1392" t="s">
        <v>1846</v>
      </c>
      <c r="D752" s="1392" t="s">
        <v>1847</v>
      </c>
      <c r="E752" s="4536" t="s">
        <v>1940</v>
      </c>
      <c r="F752" s="4538"/>
      <c r="G752" s="1391">
        <v>4558000</v>
      </c>
    </row>
    <row r="753" spans="1:7" x14ac:dyDescent="0.25">
      <c r="A753" s="1392" t="s">
        <v>2576</v>
      </c>
      <c r="B753" s="1392" t="s">
        <v>1155</v>
      </c>
      <c r="C753" s="1392" t="s">
        <v>1846</v>
      </c>
      <c r="D753" s="1392" t="s">
        <v>1847</v>
      </c>
      <c r="E753" s="1392" t="s">
        <v>1940</v>
      </c>
      <c r="F753" s="1392" t="s">
        <v>1967</v>
      </c>
      <c r="G753" s="1391">
        <v>4558000</v>
      </c>
    </row>
    <row r="754" spans="1:7" x14ac:dyDescent="0.25">
      <c r="A754" s="1392" t="s">
        <v>2576</v>
      </c>
      <c r="B754" s="1392" t="s">
        <v>1155</v>
      </c>
      <c r="C754" s="1392" t="s">
        <v>1846</v>
      </c>
      <c r="D754" s="1392" t="s">
        <v>1847</v>
      </c>
      <c r="E754" s="4536" t="s">
        <v>1860</v>
      </c>
      <c r="F754" s="4538"/>
      <c r="G754" s="1391">
        <v>3140000</v>
      </c>
    </row>
    <row r="755" spans="1:7" x14ac:dyDescent="0.25">
      <c r="A755" s="1392" t="s">
        <v>2576</v>
      </c>
      <c r="B755" s="1392" t="s">
        <v>1155</v>
      </c>
      <c r="C755" s="1392" t="s">
        <v>1846</v>
      </c>
      <c r="D755" s="1392" t="s">
        <v>1847</v>
      </c>
      <c r="E755" s="1392" t="s">
        <v>1860</v>
      </c>
      <c r="F755" s="1392" t="s">
        <v>1861</v>
      </c>
      <c r="G755" s="1391">
        <v>3140000</v>
      </c>
    </row>
    <row r="756" spans="1:7" x14ac:dyDescent="0.25">
      <c r="A756" s="1392" t="s">
        <v>2576</v>
      </c>
      <c r="B756" s="1392" t="s">
        <v>1155</v>
      </c>
      <c r="C756" s="1392" t="s">
        <v>1846</v>
      </c>
      <c r="D756" s="1392" t="s">
        <v>1847</v>
      </c>
      <c r="E756" s="4536" t="s">
        <v>1862</v>
      </c>
      <c r="F756" s="4538"/>
      <c r="G756" s="1391">
        <v>46797548</v>
      </c>
    </row>
    <row r="757" spans="1:7" x14ac:dyDescent="0.25">
      <c r="A757" s="1392" t="s">
        <v>2576</v>
      </c>
      <c r="B757" s="1392" t="s">
        <v>1155</v>
      </c>
      <c r="C757" s="1392" t="s">
        <v>1846</v>
      </c>
      <c r="D757" s="1392" t="s">
        <v>1847</v>
      </c>
      <c r="E757" s="1392" t="s">
        <v>1862</v>
      </c>
      <c r="F757" s="1392" t="s">
        <v>1863</v>
      </c>
      <c r="G757" s="1391">
        <v>36398093</v>
      </c>
    </row>
    <row r="758" spans="1:7" x14ac:dyDescent="0.25">
      <c r="A758" s="1392" t="s">
        <v>2576</v>
      </c>
      <c r="B758" s="1392" t="s">
        <v>1155</v>
      </c>
      <c r="C758" s="1392" t="s">
        <v>1846</v>
      </c>
      <c r="D758" s="1392" t="s">
        <v>1847</v>
      </c>
      <c r="E758" s="1392" t="s">
        <v>1862</v>
      </c>
      <c r="F758" s="1392" t="s">
        <v>1864</v>
      </c>
      <c r="G758" s="1391">
        <v>6239673</v>
      </c>
    </row>
    <row r="759" spans="1:7" x14ac:dyDescent="0.25">
      <c r="A759" s="1392" t="s">
        <v>2576</v>
      </c>
      <c r="B759" s="1392" t="s">
        <v>1155</v>
      </c>
      <c r="C759" s="1392" t="s">
        <v>1846</v>
      </c>
      <c r="D759" s="1392" t="s">
        <v>1847</v>
      </c>
      <c r="E759" s="1392" t="s">
        <v>1862</v>
      </c>
      <c r="F759" s="1392" t="s">
        <v>1865</v>
      </c>
      <c r="G759" s="1391">
        <v>4159782</v>
      </c>
    </row>
    <row r="760" spans="1:7" x14ac:dyDescent="0.25">
      <c r="A760" s="1392" t="s">
        <v>2576</v>
      </c>
      <c r="B760" s="1392" t="s">
        <v>1155</v>
      </c>
      <c r="C760" s="1392" t="s">
        <v>1846</v>
      </c>
      <c r="D760" s="1392" t="s">
        <v>1847</v>
      </c>
      <c r="E760" s="4536" t="s">
        <v>1867</v>
      </c>
      <c r="F760" s="4538"/>
      <c r="G760" s="1391">
        <v>64176374</v>
      </c>
    </row>
    <row r="761" spans="1:7" x14ac:dyDescent="0.25">
      <c r="A761" s="1392" t="s">
        <v>2576</v>
      </c>
      <c r="B761" s="1392" t="s">
        <v>1155</v>
      </c>
      <c r="C761" s="1392" t="s">
        <v>1846</v>
      </c>
      <c r="D761" s="1392" t="s">
        <v>1847</v>
      </c>
      <c r="E761" s="1392" t="s">
        <v>1867</v>
      </c>
      <c r="F761" s="1392" t="s">
        <v>1868</v>
      </c>
      <c r="G761" s="1391">
        <v>64176374</v>
      </c>
    </row>
    <row r="762" spans="1:7" x14ac:dyDescent="0.25">
      <c r="A762" s="1392" t="s">
        <v>2576</v>
      </c>
      <c r="B762" s="1392" t="s">
        <v>1155</v>
      </c>
      <c r="C762" s="1392" t="s">
        <v>1846</v>
      </c>
      <c r="D762" s="1392" t="s">
        <v>1847</v>
      </c>
      <c r="E762" s="4536" t="s">
        <v>1869</v>
      </c>
      <c r="F762" s="4538"/>
      <c r="G762" s="1391">
        <v>3759683</v>
      </c>
    </row>
    <row r="763" spans="1:7" x14ac:dyDescent="0.25">
      <c r="A763" s="1392" t="s">
        <v>2576</v>
      </c>
      <c r="B763" s="1392" t="s">
        <v>1155</v>
      </c>
      <c r="C763" s="1392" t="s">
        <v>1846</v>
      </c>
      <c r="D763" s="1392" t="s">
        <v>1847</v>
      </c>
      <c r="E763" s="1392" t="s">
        <v>1869</v>
      </c>
      <c r="F763" s="1392" t="s">
        <v>1870</v>
      </c>
      <c r="G763" s="1391">
        <v>3759683</v>
      </c>
    </row>
    <row r="764" spans="1:7" x14ac:dyDescent="0.25">
      <c r="A764" s="1392" t="s">
        <v>2576</v>
      </c>
      <c r="B764" s="1392" t="s">
        <v>1155</v>
      </c>
      <c r="C764" s="1392" t="s">
        <v>1846</v>
      </c>
      <c r="D764" s="1392" t="s">
        <v>1847</v>
      </c>
      <c r="E764" s="4536" t="s">
        <v>1874</v>
      </c>
      <c r="F764" s="4538"/>
      <c r="G764" s="1391">
        <v>22321000</v>
      </c>
    </row>
    <row r="765" spans="1:7" x14ac:dyDescent="0.25">
      <c r="A765" s="1392" t="s">
        <v>2576</v>
      </c>
      <c r="B765" s="1392" t="s">
        <v>1155</v>
      </c>
      <c r="C765" s="1392" t="s">
        <v>1846</v>
      </c>
      <c r="D765" s="1392" t="s">
        <v>1847</v>
      </c>
      <c r="E765" s="1392" t="s">
        <v>1874</v>
      </c>
      <c r="F765" s="1392" t="s">
        <v>1875</v>
      </c>
      <c r="G765" s="1391">
        <v>4295000</v>
      </c>
    </row>
    <row r="766" spans="1:7" x14ac:dyDescent="0.25">
      <c r="A766" s="1392" t="s">
        <v>2576</v>
      </c>
      <c r="B766" s="1392" t="s">
        <v>1155</v>
      </c>
      <c r="C766" s="1392" t="s">
        <v>1846</v>
      </c>
      <c r="D766" s="1392" t="s">
        <v>1847</v>
      </c>
      <c r="E766" s="1392" t="s">
        <v>1874</v>
      </c>
      <c r="F766" s="1392" t="s">
        <v>1876</v>
      </c>
      <c r="G766" s="1391">
        <v>10300000</v>
      </c>
    </row>
    <row r="767" spans="1:7" x14ac:dyDescent="0.25">
      <c r="A767" s="1392" t="s">
        <v>2576</v>
      </c>
      <c r="B767" s="1392" t="s">
        <v>1155</v>
      </c>
      <c r="C767" s="1392" t="s">
        <v>1846</v>
      </c>
      <c r="D767" s="1392" t="s">
        <v>1847</v>
      </c>
      <c r="E767" s="1392" t="s">
        <v>1874</v>
      </c>
      <c r="F767" s="1392" t="s">
        <v>1877</v>
      </c>
      <c r="G767" s="1391">
        <v>7726000</v>
      </c>
    </row>
    <row r="768" spans="1:7" x14ac:dyDescent="0.25">
      <c r="A768" s="1392" t="s">
        <v>2576</v>
      </c>
      <c r="B768" s="1392" t="s">
        <v>1155</v>
      </c>
      <c r="C768" s="1392" t="s">
        <v>1846</v>
      </c>
      <c r="D768" s="1392" t="s">
        <v>1847</v>
      </c>
      <c r="E768" s="4536" t="s">
        <v>1878</v>
      </c>
      <c r="F768" s="4538"/>
      <c r="G768" s="1391">
        <v>33835702</v>
      </c>
    </row>
    <row r="769" spans="1:7" x14ac:dyDescent="0.25">
      <c r="A769" s="1392" t="s">
        <v>2576</v>
      </c>
      <c r="B769" s="1392" t="s">
        <v>1155</v>
      </c>
      <c r="C769" s="1392" t="s">
        <v>1846</v>
      </c>
      <c r="D769" s="1392" t="s">
        <v>1847</v>
      </c>
      <c r="E769" s="1392" t="s">
        <v>1878</v>
      </c>
      <c r="F769" s="1392" t="s">
        <v>1879</v>
      </c>
      <c r="G769" s="1391">
        <v>621302</v>
      </c>
    </row>
    <row r="770" spans="1:7" x14ac:dyDescent="0.25">
      <c r="A770" s="1392" t="s">
        <v>2576</v>
      </c>
      <c r="B770" s="1392" t="s">
        <v>1155</v>
      </c>
      <c r="C770" s="1392" t="s">
        <v>1846</v>
      </c>
      <c r="D770" s="1392" t="s">
        <v>1847</v>
      </c>
      <c r="E770" s="1392" t="s">
        <v>1878</v>
      </c>
      <c r="F770" s="1392" t="s">
        <v>1880</v>
      </c>
      <c r="G770" s="1391">
        <v>400000</v>
      </c>
    </row>
    <row r="771" spans="1:7" x14ac:dyDescent="0.25">
      <c r="A771" s="1392" t="s">
        <v>2576</v>
      </c>
      <c r="B771" s="1392" t="s">
        <v>1155</v>
      </c>
      <c r="C771" s="1392" t="s">
        <v>1846</v>
      </c>
      <c r="D771" s="1392" t="s">
        <v>1847</v>
      </c>
      <c r="E771" s="1392" t="s">
        <v>1878</v>
      </c>
      <c r="F771" s="1392" t="s">
        <v>1881</v>
      </c>
      <c r="G771" s="1391">
        <v>24944400</v>
      </c>
    </row>
    <row r="772" spans="1:7" x14ac:dyDescent="0.25">
      <c r="A772" s="1392" t="s">
        <v>2576</v>
      </c>
      <c r="B772" s="1392" t="s">
        <v>1155</v>
      </c>
      <c r="C772" s="1392" t="s">
        <v>1846</v>
      </c>
      <c r="D772" s="1392" t="s">
        <v>1847</v>
      </c>
      <c r="E772" s="1392" t="s">
        <v>1878</v>
      </c>
      <c r="F772" s="1392" t="s">
        <v>1882</v>
      </c>
      <c r="G772" s="1391">
        <v>7870000</v>
      </c>
    </row>
    <row r="773" spans="1:7" x14ac:dyDescent="0.25">
      <c r="A773" s="1392" t="s">
        <v>2576</v>
      </c>
      <c r="B773" s="1392" t="s">
        <v>1155</v>
      </c>
      <c r="C773" s="1392" t="s">
        <v>1846</v>
      </c>
      <c r="D773" s="1392" t="s">
        <v>1847</v>
      </c>
      <c r="E773" s="4536" t="s">
        <v>1885</v>
      </c>
      <c r="F773" s="4538"/>
      <c r="G773" s="1391">
        <v>137159000</v>
      </c>
    </row>
    <row r="774" spans="1:7" x14ac:dyDescent="0.25">
      <c r="A774" s="1392" t="s">
        <v>2576</v>
      </c>
      <c r="B774" s="1392" t="s">
        <v>1155</v>
      </c>
      <c r="C774" s="1392" t="s">
        <v>1846</v>
      </c>
      <c r="D774" s="1392" t="s">
        <v>1847</v>
      </c>
      <c r="E774" s="1392" t="s">
        <v>1885</v>
      </c>
      <c r="F774" s="1392" t="s">
        <v>1925</v>
      </c>
      <c r="G774" s="1391">
        <v>8635000</v>
      </c>
    </row>
    <row r="775" spans="1:7" x14ac:dyDescent="0.25">
      <c r="A775" s="1392" t="s">
        <v>2576</v>
      </c>
      <c r="B775" s="1392" t="s">
        <v>1155</v>
      </c>
      <c r="C775" s="1392" t="s">
        <v>1846</v>
      </c>
      <c r="D775" s="1392" t="s">
        <v>1847</v>
      </c>
      <c r="E775" s="1392" t="s">
        <v>1885</v>
      </c>
      <c r="F775" s="1392" t="s">
        <v>1886</v>
      </c>
      <c r="G775" s="1391">
        <v>7600000</v>
      </c>
    </row>
    <row r="776" spans="1:7" x14ac:dyDescent="0.25">
      <c r="A776" s="1392" t="s">
        <v>2576</v>
      </c>
      <c r="B776" s="1392" t="s">
        <v>1155</v>
      </c>
      <c r="C776" s="1392" t="s">
        <v>1846</v>
      </c>
      <c r="D776" s="1392" t="s">
        <v>1847</v>
      </c>
      <c r="E776" s="1392" t="s">
        <v>1885</v>
      </c>
      <c r="F776" s="1392" t="s">
        <v>2244</v>
      </c>
      <c r="G776" s="1391">
        <v>1730000</v>
      </c>
    </row>
    <row r="777" spans="1:7" x14ac:dyDescent="0.25">
      <c r="A777" s="1392" t="s">
        <v>2576</v>
      </c>
      <c r="B777" s="1392" t="s">
        <v>1155</v>
      </c>
      <c r="C777" s="1392" t="s">
        <v>1846</v>
      </c>
      <c r="D777" s="1392" t="s">
        <v>1847</v>
      </c>
      <c r="E777" s="1392" t="s">
        <v>1885</v>
      </c>
      <c r="F777" s="1392" t="s">
        <v>1988</v>
      </c>
      <c r="G777" s="1391">
        <v>3400000</v>
      </c>
    </row>
    <row r="778" spans="1:7" x14ac:dyDescent="0.25">
      <c r="A778" s="1392" t="s">
        <v>2576</v>
      </c>
      <c r="B778" s="1392" t="s">
        <v>1155</v>
      </c>
      <c r="C778" s="1392" t="s">
        <v>1846</v>
      </c>
      <c r="D778" s="1392" t="s">
        <v>1847</v>
      </c>
      <c r="E778" s="1392" t="s">
        <v>1885</v>
      </c>
      <c r="F778" s="1392" t="s">
        <v>1926</v>
      </c>
      <c r="G778" s="1391">
        <v>3800000</v>
      </c>
    </row>
    <row r="779" spans="1:7" x14ac:dyDescent="0.25">
      <c r="A779" s="1392" t="s">
        <v>2576</v>
      </c>
      <c r="B779" s="1392" t="s">
        <v>1155</v>
      </c>
      <c r="C779" s="1392" t="s">
        <v>1846</v>
      </c>
      <c r="D779" s="1392" t="s">
        <v>1847</v>
      </c>
      <c r="E779" s="1392" t="s">
        <v>1885</v>
      </c>
      <c r="F779" s="1392" t="s">
        <v>1927</v>
      </c>
      <c r="G779" s="1391">
        <v>5450000</v>
      </c>
    </row>
    <row r="780" spans="1:7" x14ac:dyDescent="0.25">
      <c r="A780" s="1392" t="s">
        <v>2576</v>
      </c>
      <c r="B780" s="1392" t="s">
        <v>1155</v>
      </c>
      <c r="C780" s="1392" t="s">
        <v>1846</v>
      </c>
      <c r="D780" s="1392" t="s">
        <v>1847</v>
      </c>
      <c r="E780" s="1392" t="s">
        <v>1885</v>
      </c>
      <c r="F780" s="1392" t="s">
        <v>1887</v>
      </c>
      <c r="G780" s="1391">
        <v>65090000</v>
      </c>
    </row>
    <row r="781" spans="1:7" x14ac:dyDescent="0.25">
      <c r="A781" s="1392" t="s">
        <v>2576</v>
      </c>
      <c r="B781" s="1392" t="s">
        <v>1155</v>
      </c>
      <c r="C781" s="1392" t="s">
        <v>1846</v>
      </c>
      <c r="D781" s="1392" t="s">
        <v>1847</v>
      </c>
      <c r="E781" s="1392" t="s">
        <v>1885</v>
      </c>
      <c r="F781" s="1392" t="s">
        <v>1888</v>
      </c>
      <c r="G781" s="1391">
        <v>41454000</v>
      </c>
    </row>
    <row r="782" spans="1:7" x14ac:dyDescent="0.25">
      <c r="A782" s="1392" t="s">
        <v>2576</v>
      </c>
      <c r="B782" s="1392" t="s">
        <v>1155</v>
      </c>
      <c r="C782" s="1392" t="s">
        <v>1846</v>
      </c>
      <c r="D782" s="1392" t="s">
        <v>1847</v>
      </c>
      <c r="E782" s="4536" t="s">
        <v>1889</v>
      </c>
      <c r="F782" s="4538"/>
      <c r="G782" s="1391">
        <v>49366000</v>
      </c>
    </row>
    <row r="783" spans="1:7" x14ac:dyDescent="0.25">
      <c r="A783" s="1392" t="s">
        <v>2576</v>
      </c>
      <c r="B783" s="1392" t="s">
        <v>1155</v>
      </c>
      <c r="C783" s="1392" t="s">
        <v>1846</v>
      </c>
      <c r="D783" s="1392" t="s">
        <v>1847</v>
      </c>
      <c r="E783" s="1392" t="s">
        <v>1889</v>
      </c>
      <c r="F783" s="1392" t="s">
        <v>1890</v>
      </c>
      <c r="G783" s="1391">
        <v>23400000</v>
      </c>
    </row>
    <row r="784" spans="1:7" x14ac:dyDescent="0.25">
      <c r="A784" s="1392" t="s">
        <v>2576</v>
      </c>
      <c r="B784" s="1392" t="s">
        <v>1155</v>
      </c>
      <c r="C784" s="1392" t="s">
        <v>1846</v>
      </c>
      <c r="D784" s="1392" t="s">
        <v>1847</v>
      </c>
      <c r="E784" s="1392" t="s">
        <v>1889</v>
      </c>
      <c r="F784" s="1392" t="s">
        <v>1891</v>
      </c>
      <c r="G784" s="1391">
        <v>2200000</v>
      </c>
    </row>
    <row r="785" spans="1:7" x14ac:dyDescent="0.25">
      <c r="A785" s="1392" t="s">
        <v>2576</v>
      </c>
      <c r="B785" s="1392" t="s">
        <v>1155</v>
      </c>
      <c r="C785" s="1392" t="s">
        <v>1846</v>
      </c>
      <c r="D785" s="1392" t="s">
        <v>1847</v>
      </c>
      <c r="E785" s="1392" t="s">
        <v>1889</v>
      </c>
      <c r="F785" s="1392" t="s">
        <v>1892</v>
      </c>
      <c r="G785" s="1391">
        <v>19000000</v>
      </c>
    </row>
    <row r="786" spans="1:7" x14ac:dyDescent="0.25">
      <c r="A786" s="1392" t="s">
        <v>2576</v>
      </c>
      <c r="B786" s="1392" t="s">
        <v>1155</v>
      </c>
      <c r="C786" s="1392" t="s">
        <v>1846</v>
      </c>
      <c r="D786" s="1392" t="s">
        <v>1847</v>
      </c>
      <c r="E786" s="1392" t="s">
        <v>1889</v>
      </c>
      <c r="F786" s="1392" t="s">
        <v>1922</v>
      </c>
      <c r="G786" s="1391">
        <v>4766000</v>
      </c>
    </row>
    <row r="787" spans="1:7" x14ac:dyDescent="0.25">
      <c r="A787" s="1392" t="s">
        <v>2576</v>
      </c>
      <c r="B787" s="1392" t="s">
        <v>1155</v>
      </c>
      <c r="C787" s="1392" t="s">
        <v>1846</v>
      </c>
      <c r="D787" s="1392" t="s">
        <v>1847</v>
      </c>
      <c r="E787" s="4536" t="s">
        <v>1893</v>
      </c>
      <c r="F787" s="4538"/>
      <c r="G787" s="1391">
        <v>69700000</v>
      </c>
    </row>
    <row r="788" spans="1:7" x14ac:dyDescent="0.25">
      <c r="A788" s="1392" t="s">
        <v>2576</v>
      </c>
      <c r="B788" s="1392" t="s">
        <v>1155</v>
      </c>
      <c r="C788" s="1392" t="s">
        <v>1846</v>
      </c>
      <c r="D788" s="1392" t="s">
        <v>1847</v>
      </c>
      <c r="E788" s="1392" t="s">
        <v>1893</v>
      </c>
      <c r="F788" s="1392" t="s">
        <v>1894</v>
      </c>
      <c r="G788" s="1391">
        <v>25400000</v>
      </c>
    </row>
    <row r="789" spans="1:7" x14ac:dyDescent="0.25">
      <c r="A789" s="1392" t="s">
        <v>2576</v>
      </c>
      <c r="B789" s="1392" t="s">
        <v>1155</v>
      </c>
      <c r="C789" s="1392" t="s">
        <v>1846</v>
      </c>
      <c r="D789" s="1392" t="s">
        <v>1847</v>
      </c>
      <c r="E789" s="1392" t="s">
        <v>1893</v>
      </c>
      <c r="F789" s="1392" t="s">
        <v>2051</v>
      </c>
      <c r="G789" s="1391">
        <v>40000000</v>
      </c>
    </row>
    <row r="790" spans="1:7" x14ac:dyDescent="0.25">
      <c r="A790" s="1392" t="s">
        <v>2576</v>
      </c>
      <c r="B790" s="1392" t="s">
        <v>1155</v>
      </c>
      <c r="C790" s="1392" t="s">
        <v>1846</v>
      </c>
      <c r="D790" s="1392" t="s">
        <v>1847</v>
      </c>
      <c r="E790" s="1392" t="s">
        <v>1893</v>
      </c>
      <c r="F790" s="1392" t="s">
        <v>1895</v>
      </c>
      <c r="G790" s="1391">
        <v>4300000</v>
      </c>
    </row>
    <row r="791" spans="1:7" x14ac:dyDescent="0.25">
      <c r="A791" s="1392" t="s">
        <v>2576</v>
      </c>
      <c r="B791" s="1392" t="s">
        <v>1155</v>
      </c>
      <c r="C791" s="1392" t="s">
        <v>1846</v>
      </c>
      <c r="D791" s="1392" t="s">
        <v>1847</v>
      </c>
      <c r="E791" s="4536" t="s">
        <v>1896</v>
      </c>
      <c r="F791" s="4538"/>
      <c r="G791" s="1391">
        <v>25736500</v>
      </c>
    </row>
    <row r="792" spans="1:7" x14ac:dyDescent="0.25">
      <c r="A792" s="1392" t="s">
        <v>2576</v>
      </c>
      <c r="B792" s="1392" t="s">
        <v>1155</v>
      </c>
      <c r="C792" s="1392" t="s">
        <v>1846</v>
      </c>
      <c r="D792" s="1392" t="s">
        <v>1847</v>
      </c>
      <c r="E792" s="1392" t="s">
        <v>1896</v>
      </c>
      <c r="F792" s="1392" t="s">
        <v>1900</v>
      </c>
      <c r="G792" s="1391">
        <v>19724000</v>
      </c>
    </row>
    <row r="793" spans="1:7" x14ac:dyDescent="0.25">
      <c r="A793" s="1392" t="s">
        <v>2576</v>
      </c>
      <c r="B793" s="1392" t="s">
        <v>1155</v>
      </c>
      <c r="C793" s="1392" t="s">
        <v>1846</v>
      </c>
      <c r="D793" s="1392" t="s">
        <v>1847</v>
      </c>
      <c r="E793" s="1392" t="s">
        <v>1896</v>
      </c>
      <c r="F793" s="1392" t="s">
        <v>1901</v>
      </c>
      <c r="G793" s="1391">
        <v>3200000</v>
      </c>
    </row>
    <row r="794" spans="1:7" x14ac:dyDescent="0.25">
      <c r="A794" s="1392" t="s">
        <v>2576</v>
      </c>
      <c r="B794" s="1392" t="s">
        <v>1155</v>
      </c>
      <c r="C794" s="1392" t="s">
        <v>1846</v>
      </c>
      <c r="D794" s="1392" t="s">
        <v>1847</v>
      </c>
      <c r="E794" s="1392" t="s">
        <v>1896</v>
      </c>
      <c r="F794" s="1392" t="s">
        <v>1928</v>
      </c>
      <c r="G794" s="1391">
        <v>2812500</v>
      </c>
    </row>
    <row r="795" spans="1:7" x14ac:dyDescent="0.25">
      <c r="A795" s="1392" t="s">
        <v>2576</v>
      </c>
      <c r="B795" s="1392" t="s">
        <v>1155</v>
      </c>
      <c r="C795" s="1392" t="s">
        <v>1846</v>
      </c>
      <c r="D795" s="1392" t="s">
        <v>1847</v>
      </c>
      <c r="E795" s="4536" t="s">
        <v>1903</v>
      </c>
      <c r="F795" s="4538"/>
      <c r="G795" s="1391">
        <v>30960000</v>
      </c>
    </row>
    <row r="796" spans="1:7" x14ac:dyDescent="0.25">
      <c r="A796" s="1392" t="s">
        <v>2576</v>
      </c>
      <c r="B796" s="1392" t="s">
        <v>1155</v>
      </c>
      <c r="C796" s="1392" t="s">
        <v>1846</v>
      </c>
      <c r="D796" s="1392" t="s">
        <v>1847</v>
      </c>
      <c r="E796" s="1392" t="s">
        <v>1903</v>
      </c>
      <c r="F796" s="1392" t="s">
        <v>1904</v>
      </c>
      <c r="G796" s="1391">
        <v>14960000</v>
      </c>
    </row>
    <row r="797" spans="1:7" x14ac:dyDescent="0.25">
      <c r="A797" s="1392" t="s">
        <v>2576</v>
      </c>
      <c r="B797" s="1392" t="s">
        <v>1155</v>
      </c>
      <c r="C797" s="1392" t="s">
        <v>1846</v>
      </c>
      <c r="D797" s="1392" t="s">
        <v>1847</v>
      </c>
      <c r="E797" s="1392" t="s">
        <v>1903</v>
      </c>
      <c r="F797" s="1392" t="s">
        <v>1905</v>
      </c>
      <c r="G797" s="1391">
        <v>16000000</v>
      </c>
    </row>
    <row r="798" spans="1:7" x14ac:dyDescent="0.25">
      <c r="A798" s="1392" t="s">
        <v>2576</v>
      </c>
      <c r="B798" s="1392" t="s">
        <v>1155</v>
      </c>
      <c r="C798" s="1392" t="s">
        <v>1846</v>
      </c>
      <c r="D798" s="1392" t="s">
        <v>1847</v>
      </c>
      <c r="E798" s="4536" t="s">
        <v>1906</v>
      </c>
      <c r="F798" s="4538"/>
      <c r="G798" s="1391">
        <v>757240000</v>
      </c>
    </row>
    <row r="799" spans="1:7" x14ac:dyDescent="0.25">
      <c r="A799" s="1392" t="s">
        <v>2576</v>
      </c>
      <c r="B799" s="1392" t="s">
        <v>1155</v>
      </c>
      <c r="C799" s="1392" t="s">
        <v>1846</v>
      </c>
      <c r="D799" s="1392" t="s">
        <v>1847</v>
      </c>
      <c r="E799" s="1392" t="s">
        <v>1906</v>
      </c>
      <c r="F799" s="1392" t="s">
        <v>1907</v>
      </c>
      <c r="G799" s="1391">
        <v>22700000</v>
      </c>
    </row>
    <row r="800" spans="1:7" x14ac:dyDescent="0.25">
      <c r="A800" s="1392" t="s">
        <v>2576</v>
      </c>
      <c r="B800" s="1392" t="s">
        <v>1155</v>
      </c>
      <c r="C800" s="1392" t="s">
        <v>1846</v>
      </c>
      <c r="D800" s="1392" t="s">
        <v>1847</v>
      </c>
      <c r="E800" s="1392" t="s">
        <v>1906</v>
      </c>
      <c r="F800" s="1392" t="s">
        <v>1909</v>
      </c>
      <c r="G800" s="1391">
        <v>734540000</v>
      </c>
    </row>
    <row r="801" spans="1:7" x14ac:dyDescent="0.25">
      <c r="A801" s="1392" t="s">
        <v>2576</v>
      </c>
      <c r="B801" s="1392" t="s">
        <v>1155</v>
      </c>
      <c r="C801" s="1392" t="s">
        <v>1846</v>
      </c>
      <c r="D801" s="1392" t="s">
        <v>1847</v>
      </c>
      <c r="E801" s="4536" t="s">
        <v>1912</v>
      </c>
      <c r="F801" s="4538"/>
      <c r="G801" s="1391">
        <v>121800000</v>
      </c>
    </row>
    <row r="802" spans="1:7" x14ac:dyDescent="0.25">
      <c r="A802" s="1392" t="s">
        <v>2576</v>
      </c>
      <c r="B802" s="1392" t="s">
        <v>1155</v>
      </c>
      <c r="C802" s="1392" t="s">
        <v>1846</v>
      </c>
      <c r="D802" s="1392" t="s">
        <v>1847</v>
      </c>
      <c r="E802" s="1392" t="s">
        <v>1912</v>
      </c>
      <c r="F802" s="1392" t="s">
        <v>1915</v>
      </c>
      <c r="G802" s="1391">
        <v>8800000</v>
      </c>
    </row>
    <row r="803" spans="1:7" x14ac:dyDescent="0.25">
      <c r="A803" s="1392" t="s">
        <v>2576</v>
      </c>
      <c r="B803" s="1392" t="s">
        <v>1155</v>
      </c>
      <c r="C803" s="1392" t="s">
        <v>1846</v>
      </c>
      <c r="D803" s="1392" t="s">
        <v>1847</v>
      </c>
      <c r="E803" s="1392" t="s">
        <v>1912</v>
      </c>
      <c r="F803" s="1392" t="s">
        <v>1916</v>
      </c>
      <c r="G803" s="1391">
        <v>113000000</v>
      </c>
    </row>
    <row r="804" spans="1:7" x14ac:dyDescent="0.25">
      <c r="A804" s="1392" t="s">
        <v>2576</v>
      </c>
      <c r="B804" s="1392" t="s">
        <v>1155</v>
      </c>
      <c r="C804" s="1392" t="s">
        <v>1846</v>
      </c>
      <c r="D804" s="1392" t="s">
        <v>1847</v>
      </c>
      <c r="E804" s="4536" t="s">
        <v>1983</v>
      </c>
      <c r="F804" s="4538"/>
      <c r="G804" s="1391">
        <v>3600000</v>
      </c>
    </row>
    <row r="805" spans="1:7" x14ac:dyDescent="0.25">
      <c r="A805" s="1392" t="s">
        <v>2576</v>
      </c>
      <c r="B805" s="1392" t="s">
        <v>1155</v>
      </c>
      <c r="C805" s="1392" t="s">
        <v>1846</v>
      </c>
      <c r="D805" s="1392" t="s">
        <v>1847</v>
      </c>
      <c r="E805" s="1392" t="s">
        <v>1983</v>
      </c>
      <c r="F805" s="1392" t="s">
        <v>2240</v>
      </c>
      <c r="G805" s="1391">
        <v>3600000</v>
      </c>
    </row>
    <row r="806" spans="1:7" x14ac:dyDescent="0.25">
      <c r="A806" s="1392" t="s">
        <v>2576</v>
      </c>
      <c r="B806" s="1392" t="s">
        <v>1155</v>
      </c>
      <c r="C806" s="1392" t="s">
        <v>1846</v>
      </c>
      <c r="D806" s="1392" t="s">
        <v>1847</v>
      </c>
      <c r="E806" s="4536" t="s">
        <v>1917</v>
      </c>
      <c r="F806" s="4538"/>
      <c r="G806" s="1391">
        <v>128575000</v>
      </c>
    </row>
    <row r="807" spans="1:7" x14ac:dyDescent="0.25">
      <c r="A807" s="1392" t="s">
        <v>2576</v>
      </c>
      <c r="B807" s="1392" t="s">
        <v>1155</v>
      </c>
      <c r="C807" s="1392" t="s">
        <v>1846</v>
      </c>
      <c r="D807" s="1392" t="s">
        <v>1847</v>
      </c>
      <c r="E807" s="1392" t="s">
        <v>1917</v>
      </c>
      <c r="F807" s="1392" t="s">
        <v>1918</v>
      </c>
      <c r="G807" s="1391">
        <v>128575000</v>
      </c>
    </row>
    <row r="808" spans="1:7" x14ac:dyDescent="0.25">
      <c r="A808" s="1392" t="s">
        <v>2576</v>
      </c>
      <c r="B808" s="4536" t="s">
        <v>1156</v>
      </c>
      <c r="C808" s="4537"/>
      <c r="D808" s="4537"/>
      <c r="E808" s="4537"/>
      <c r="F808" s="4538"/>
      <c r="G808" s="1391">
        <v>3731896338</v>
      </c>
    </row>
    <row r="809" spans="1:7" x14ac:dyDescent="0.25">
      <c r="A809" s="1392" t="s">
        <v>2576</v>
      </c>
      <c r="B809" s="1392" t="s">
        <v>1156</v>
      </c>
      <c r="C809" s="4536" t="s">
        <v>1919</v>
      </c>
      <c r="D809" s="4537"/>
      <c r="E809" s="4537"/>
      <c r="F809" s="4538"/>
      <c r="G809" s="1391">
        <v>3061450297</v>
      </c>
    </row>
    <row r="810" spans="1:7" x14ac:dyDescent="0.25">
      <c r="A810" s="1392" t="s">
        <v>2576</v>
      </c>
      <c r="B810" s="1392" t="s">
        <v>1156</v>
      </c>
      <c r="C810" s="1392" t="s">
        <v>1919</v>
      </c>
      <c r="D810" s="4536" t="s">
        <v>1973</v>
      </c>
      <c r="E810" s="4537"/>
      <c r="F810" s="4538"/>
      <c r="G810" s="1391">
        <v>3061450297</v>
      </c>
    </row>
    <row r="811" spans="1:7" x14ac:dyDescent="0.25">
      <c r="A811" s="1392" t="s">
        <v>2576</v>
      </c>
      <c r="B811" s="1392" t="s">
        <v>1156</v>
      </c>
      <c r="C811" s="1392" t="s">
        <v>1919</v>
      </c>
      <c r="D811" s="1392" t="s">
        <v>1973</v>
      </c>
      <c r="E811" s="4536" t="s">
        <v>1853</v>
      </c>
      <c r="F811" s="4538"/>
      <c r="G811" s="1391">
        <v>19199837</v>
      </c>
    </row>
    <row r="812" spans="1:7" x14ac:dyDescent="0.25">
      <c r="A812" s="1392" t="s">
        <v>2576</v>
      </c>
      <c r="B812" s="1392" t="s">
        <v>1156</v>
      </c>
      <c r="C812" s="1392" t="s">
        <v>1919</v>
      </c>
      <c r="D812" s="1392" t="s">
        <v>1973</v>
      </c>
      <c r="E812" s="1392" t="s">
        <v>1853</v>
      </c>
      <c r="F812" s="1392" t="s">
        <v>1856</v>
      </c>
      <c r="G812" s="1391">
        <v>19199837</v>
      </c>
    </row>
    <row r="813" spans="1:7" x14ac:dyDescent="0.25">
      <c r="A813" s="1392" t="s">
        <v>2576</v>
      </c>
      <c r="B813" s="1392" t="s">
        <v>1156</v>
      </c>
      <c r="C813" s="1392" t="s">
        <v>1919</v>
      </c>
      <c r="D813" s="1392" t="s">
        <v>1973</v>
      </c>
      <c r="E813" s="4536" t="s">
        <v>1874</v>
      </c>
      <c r="F813" s="4538"/>
      <c r="G813" s="1391">
        <v>2670000</v>
      </c>
    </row>
    <row r="814" spans="1:7" x14ac:dyDescent="0.25">
      <c r="A814" s="1392" t="s">
        <v>2576</v>
      </c>
      <c r="B814" s="1392" t="s">
        <v>1156</v>
      </c>
      <c r="C814" s="1392" t="s">
        <v>1919</v>
      </c>
      <c r="D814" s="1392" t="s">
        <v>1973</v>
      </c>
      <c r="E814" s="1392" t="s">
        <v>1874</v>
      </c>
      <c r="F814" s="1392" t="s">
        <v>1875</v>
      </c>
      <c r="G814" s="1391">
        <v>2670000</v>
      </c>
    </row>
    <row r="815" spans="1:7" x14ac:dyDescent="0.25">
      <c r="A815" s="1392" t="s">
        <v>2576</v>
      </c>
      <c r="B815" s="1392" t="s">
        <v>1156</v>
      </c>
      <c r="C815" s="1392" t="s">
        <v>1919</v>
      </c>
      <c r="D815" s="1392" t="s">
        <v>1973</v>
      </c>
      <c r="E815" s="4536" t="s">
        <v>1889</v>
      </c>
      <c r="F815" s="4538"/>
      <c r="G815" s="1391">
        <v>5934460</v>
      </c>
    </row>
    <row r="816" spans="1:7" x14ac:dyDescent="0.25">
      <c r="A816" s="1392" t="s">
        <v>2576</v>
      </c>
      <c r="B816" s="1392" t="s">
        <v>1156</v>
      </c>
      <c r="C816" s="1392" t="s">
        <v>1919</v>
      </c>
      <c r="D816" s="1392" t="s">
        <v>1973</v>
      </c>
      <c r="E816" s="1392" t="s">
        <v>1889</v>
      </c>
      <c r="F816" s="1392" t="s">
        <v>1890</v>
      </c>
      <c r="G816" s="1391">
        <v>3750000</v>
      </c>
    </row>
    <row r="817" spans="1:7" x14ac:dyDescent="0.25">
      <c r="A817" s="1392" t="s">
        <v>2576</v>
      </c>
      <c r="B817" s="1392" t="s">
        <v>1156</v>
      </c>
      <c r="C817" s="1392" t="s">
        <v>1919</v>
      </c>
      <c r="D817" s="1392" t="s">
        <v>1973</v>
      </c>
      <c r="E817" s="1392" t="s">
        <v>1889</v>
      </c>
      <c r="F817" s="1392" t="s">
        <v>1922</v>
      </c>
      <c r="G817" s="1391">
        <v>2184460</v>
      </c>
    </row>
    <row r="818" spans="1:7" x14ac:dyDescent="0.25">
      <c r="A818" s="1392" t="s">
        <v>2576</v>
      </c>
      <c r="B818" s="1392" t="s">
        <v>1156</v>
      </c>
      <c r="C818" s="1392" t="s">
        <v>1919</v>
      </c>
      <c r="D818" s="1392" t="s">
        <v>1973</v>
      </c>
      <c r="E818" s="4536" t="s">
        <v>1906</v>
      </c>
      <c r="F818" s="4538"/>
      <c r="G818" s="1391">
        <v>1358808000</v>
      </c>
    </row>
    <row r="819" spans="1:7" x14ac:dyDescent="0.25">
      <c r="A819" s="1392" t="s">
        <v>2576</v>
      </c>
      <c r="B819" s="1392" t="s">
        <v>1156</v>
      </c>
      <c r="C819" s="1392" t="s">
        <v>1919</v>
      </c>
      <c r="D819" s="1392" t="s">
        <v>1973</v>
      </c>
      <c r="E819" s="1392" t="s">
        <v>1906</v>
      </c>
      <c r="F819" s="1392" t="s">
        <v>1909</v>
      </c>
      <c r="G819" s="1391">
        <v>1358808000</v>
      </c>
    </row>
    <row r="820" spans="1:7" x14ac:dyDescent="0.25">
      <c r="A820" s="1392" t="s">
        <v>2576</v>
      </c>
      <c r="B820" s="1392" t="s">
        <v>1156</v>
      </c>
      <c r="C820" s="1392" t="s">
        <v>1919</v>
      </c>
      <c r="D820" s="1392" t="s">
        <v>1973</v>
      </c>
      <c r="E820" s="4536" t="s">
        <v>1974</v>
      </c>
      <c r="F820" s="4538"/>
      <c r="G820" s="1391">
        <v>580000000</v>
      </c>
    </row>
    <row r="821" spans="1:7" x14ac:dyDescent="0.25">
      <c r="A821" s="1392" t="s">
        <v>2576</v>
      </c>
      <c r="B821" s="1392" t="s">
        <v>1156</v>
      </c>
      <c r="C821" s="1392" t="s">
        <v>1919</v>
      </c>
      <c r="D821" s="1392" t="s">
        <v>1973</v>
      </c>
      <c r="E821" s="1392" t="s">
        <v>1974</v>
      </c>
      <c r="F821" s="1392" t="s">
        <v>1975</v>
      </c>
      <c r="G821" s="1391">
        <v>580000000</v>
      </c>
    </row>
    <row r="822" spans="1:7" x14ac:dyDescent="0.25">
      <c r="A822" s="1392" t="s">
        <v>2576</v>
      </c>
      <c r="B822" s="1392" t="s">
        <v>1156</v>
      </c>
      <c r="C822" s="1392" t="s">
        <v>1919</v>
      </c>
      <c r="D822" s="1392" t="s">
        <v>1973</v>
      </c>
      <c r="E822" s="4536" t="s">
        <v>2024</v>
      </c>
      <c r="F822" s="4538"/>
      <c r="G822" s="1391">
        <v>1044785000</v>
      </c>
    </row>
    <row r="823" spans="1:7" x14ac:dyDescent="0.25">
      <c r="A823" s="1392" t="s">
        <v>2576</v>
      </c>
      <c r="B823" s="1392" t="s">
        <v>1156</v>
      </c>
      <c r="C823" s="1392" t="s">
        <v>1919</v>
      </c>
      <c r="D823" s="1392" t="s">
        <v>1973</v>
      </c>
      <c r="E823" s="1392" t="s">
        <v>2024</v>
      </c>
      <c r="F823" s="1392" t="s">
        <v>2025</v>
      </c>
      <c r="G823" s="1391">
        <v>1044785000</v>
      </c>
    </row>
    <row r="824" spans="1:7" x14ac:dyDescent="0.25">
      <c r="A824" s="1392" t="s">
        <v>2576</v>
      </c>
      <c r="B824" s="1392" t="s">
        <v>1156</v>
      </c>
      <c r="C824" s="1392" t="s">
        <v>1919</v>
      </c>
      <c r="D824" s="1392" t="s">
        <v>1973</v>
      </c>
      <c r="E824" s="4536" t="s">
        <v>2026</v>
      </c>
      <c r="F824" s="4538"/>
      <c r="G824" s="1391">
        <v>50053000</v>
      </c>
    </row>
    <row r="825" spans="1:7" x14ac:dyDescent="0.25">
      <c r="A825" s="1392" t="s">
        <v>2576</v>
      </c>
      <c r="B825" s="1392" t="s">
        <v>1156</v>
      </c>
      <c r="C825" s="1392" t="s">
        <v>1919</v>
      </c>
      <c r="D825" s="1392" t="s">
        <v>1973</v>
      </c>
      <c r="E825" s="1392" t="s">
        <v>2026</v>
      </c>
      <c r="F825" s="1392" t="s">
        <v>2028</v>
      </c>
      <c r="G825" s="1391">
        <v>8298000</v>
      </c>
    </row>
    <row r="826" spans="1:7" x14ac:dyDescent="0.25">
      <c r="A826" s="1392" t="s">
        <v>2576</v>
      </c>
      <c r="B826" s="1392" t="s">
        <v>1156</v>
      </c>
      <c r="C826" s="1392" t="s">
        <v>1919</v>
      </c>
      <c r="D826" s="1392" t="s">
        <v>1973</v>
      </c>
      <c r="E826" s="1392" t="s">
        <v>2026</v>
      </c>
      <c r="F826" s="1392" t="s">
        <v>2029</v>
      </c>
      <c r="G826" s="1391">
        <v>41755000</v>
      </c>
    </row>
    <row r="827" spans="1:7" x14ac:dyDescent="0.25">
      <c r="A827" s="1392" t="s">
        <v>2576</v>
      </c>
      <c r="B827" s="1392" t="s">
        <v>1156</v>
      </c>
      <c r="C827" s="4536" t="s">
        <v>1846</v>
      </c>
      <c r="D827" s="4537"/>
      <c r="E827" s="4537"/>
      <c r="F827" s="4538"/>
      <c r="G827" s="1391">
        <v>670446041</v>
      </c>
    </row>
    <row r="828" spans="1:7" x14ac:dyDescent="0.25">
      <c r="A828" s="1392" t="s">
        <v>2576</v>
      </c>
      <c r="B828" s="1392" t="s">
        <v>1156</v>
      </c>
      <c r="C828" s="1392" t="s">
        <v>1846</v>
      </c>
      <c r="D828" s="4536" t="s">
        <v>1847</v>
      </c>
      <c r="E828" s="4537"/>
      <c r="F828" s="4538"/>
      <c r="G828" s="1391">
        <v>670446041</v>
      </c>
    </row>
    <row r="829" spans="1:7" x14ac:dyDescent="0.25">
      <c r="A829" s="1392" t="s">
        <v>2576</v>
      </c>
      <c r="B829" s="1392" t="s">
        <v>1156</v>
      </c>
      <c r="C829" s="1392" t="s">
        <v>1846</v>
      </c>
      <c r="D829" s="1392" t="s">
        <v>1847</v>
      </c>
      <c r="E829" s="4536" t="s">
        <v>1848</v>
      </c>
      <c r="F829" s="4538"/>
      <c r="G829" s="1391">
        <v>282796564</v>
      </c>
    </row>
    <row r="830" spans="1:7" x14ac:dyDescent="0.25">
      <c r="A830" s="1392" t="s">
        <v>2576</v>
      </c>
      <c r="B830" s="1392" t="s">
        <v>1156</v>
      </c>
      <c r="C830" s="1392" t="s">
        <v>1846</v>
      </c>
      <c r="D830" s="1392" t="s">
        <v>1847</v>
      </c>
      <c r="E830" s="1392" t="s">
        <v>1848</v>
      </c>
      <c r="F830" s="1392" t="s">
        <v>1849</v>
      </c>
      <c r="G830" s="1391">
        <v>282796564</v>
      </c>
    </row>
    <row r="831" spans="1:7" x14ac:dyDescent="0.25">
      <c r="A831" s="1392" t="s">
        <v>2576</v>
      </c>
      <c r="B831" s="1392" t="s">
        <v>1156</v>
      </c>
      <c r="C831" s="1392" t="s">
        <v>1846</v>
      </c>
      <c r="D831" s="1392" t="s">
        <v>1847</v>
      </c>
      <c r="E831" s="4536" t="s">
        <v>1853</v>
      </c>
      <c r="F831" s="4538"/>
      <c r="G831" s="1391">
        <v>147043550</v>
      </c>
    </row>
    <row r="832" spans="1:7" x14ac:dyDescent="0.25">
      <c r="A832" s="1392" t="s">
        <v>2576</v>
      </c>
      <c r="B832" s="1392" t="s">
        <v>1156</v>
      </c>
      <c r="C832" s="1392" t="s">
        <v>1846</v>
      </c>
      <c r="D832" s="1392" t="s">
        <v>1847</v>
      </c>
      <c r="E832" s="1392" t="s">
        <v>1853</v>
      </c>
      <c r="F832" s="1392" t="s">
        <v>1854</v>
      </c>
      <c r="G832" s="1391">
        <v>5960000</v>
      </c>
    </row>
    <row r="833" spans="1:7" x14ac:dyDescent="0.25">
      <c r="A833" s="1392" t="s">
        <v>2576</v>
      </c>
      <c r="B833" s="1392" t="s">
        <v>1156</v>
      </c>
      <c r="C833" s="1392" t="s">
        <v>1846</v>
      </c>
      <c r="D833" s="1392" t="s">
        <v>1847</v>
      </c>
      <c r="E833" s="1392" t="s">
        <v>1853</v>
      </c>
      <c r="F833" s="1392" t="s">
        <v>1855</v>
      </c>
      <c r="G833" s="1391">
        <v>46190000</v>
      </c>
    </row>
    <row r="834" spans="1:7" x14ac:dyDescent="0.25">
      <c r="A834" s="1392" t="s">
        <v>2576</v>
      </c>
      <c r="B834" s="1392" t="s">
        <v>1156</v>
      </c>
      <c r="C834" s="1392" t="s">
        <v>1846</v>
      </c>
      <c r="D834" s="1392" t="s">
        <v>1847</v>
      </c>
      <c r="E834" s="1392" t="s">
        <v>1853</v>
      </c>
      <c r="F834" s="1392" t="s">
        <v>1856</v>
      </c>
      <c r="G834" s="1391">
        <v>18821600</v>
      </c>
    </row>
    <row r="835" spans="1:7" x14ac:dyDescent="0.25">
      <c r="A835" s="1392" t="s">
        <v>2576</v>
      </c>
      <c r="B835" s="1392" t="s">
        <v>1156</v>
      </c>
      <c r="C835" s="1392" t="s">
        <v>1846</v>
      </c>
      <c r="D835" s="1392" t="s">
        <v>1847</v>
      </c>
      <c r="E835" s="1392" t="s">
        <v>1853</v>
      </c>
      <c r="F835" s="1392" t="s">
        <v>1858</v>
      </c>
      <c r="G835" s="1391">
        <v>3576000</v>
      </c>
    </row>
    <row r="836" spans="1:7" x14ac:dyDescent="0.25">
      <c r="A836" s="1392" t="s">
        <v>2576</v>
      </c>
      <c r="B836" s="1392" t="s">
        <v>1156</v>
      </c>
      <c r="C836" s="1392" t="s">
        <v>1846</v>
      </c>
      <c r="D836" s="1392" t="s">
        <v>1847</v>
      </c>
      <c r="E836" s="1392" t="s">
        <v>1853</v>
      </c>
      <c r="F836" s="1392" t="s">
        <v>1859</v>
      </c>
      <c r="G836" s="1391">
        <v>72495950</v>
      </c>
    </row>
    <row r="837" spans="1:7" x14ac:dyDescent="0.25">
      <c r="A837" s="1392" t="s">
        <v>2576</v>
      </c>
      <c r="B837" s="1392" t="s">
        <v>1156</v>
      </c>
      <c r="C837" s="1392" t="s">
        <v>1846</v>
      </c>
      <c r="D837" s="1392" t="s">
        <v>1847</v>
      </c>
      <c r="E837" s="4536" t="s">
        <v>1860</v>
      </c>
      <c r="F837" s="4538"/>
      <c r="G837" s="1391">
        <v>3450000</v>
      </c>
    </row>
    <row r="838" spans="1:7" x14ac:dyDescent="0.25">
      <c r="A838" s="1392" t="s">
        <v>2576</v>
      </c>
      <c r="B838" s="1392" t="s">
        <v>1156</v>
      </c>
      <c r="C838" s="1392" t="s">
        <v>1846</v>
      </c>
      <c r="D838" s="1392" t="s">
        <v>1847</v>
      </c>
      <c r="E838" s="1392" t="s">
        <v>1860</v>
      </c>
      <c r="F838" s="1392" t="s">
        <v>1861</v>
      </c>
      <c r="G838" s="1391">
        <v>3450000</v>
      </c>
    </row>
    <row r="839" spans="1:7" x14ac:dyDescent="0.25">
      <c r="A839" s="1392" t="s">
        <v>2576</v>
      </c>
      <c r="B839" s="1392" t="s">
        <v>1156</v>
      </c>
      <c r="C839" s="1392" t="s">
        <v>1846</v>
      </c>
      <c r="D839" s="1392" t="s">
        <v>1847</v>
      </c>
      <c r="E839" s="4536" t="s">
        <v>1862</v>
      </c>
      <c r="F839" s="4538"/>
      <c r="G839" s="1391">
        <v>62598103</v>
      </c>
    </row>
    <row r="840" spans="1:7" x14ac:dyDescent="0.25">
      <c r="A840" s="1392" t="s">
        <v>2576</v>
      </c>
      <c r="B840" s="1392" t="s">
        <v>1156</v>
      </c>
      <c r="C840" s="1392" t="s">
        <v>1846</v>
      </c>
      <c r="D840" s="1392" t="s">
        <v>1847</v>
      </c>
      <c r="E840" s="1392" t="s">
        <v>1862</v>
      </c>
      <c r="F840" s="1392" t="s">
        <v>1863</v>
      </c>
      <c r="G840" s="1391">
        <v>48486464</v>
      </c>
    </row>
    <row r="841" spans="1:7" x14ac:dyDescent="0.25">
      <c r="A841" s="1392" t="s">
        <v>2576</v>
      </c>
      <c r="B841" s="1392" t="s">
        <v>1156</v>
      </c>
      <c r="C841" s="1392" t="s">
        <v>1846</v>
      </c>
      <c r="D841" s="1392" t="s">
        <v>1847</v>
      </c>
      <c r="E841" s="1392" t="s">
        <v>1862</v>
      </c>
      <c r="F841" s="1392" t="s">
        <v>1864</v>
      </c>
      <c r="G841" s="1391">
        <v>8311963</v>
      </c>
    </row>
    <row r="842" spans="1:7" x14ac:dyDescent="0.25">
      <c r="A842" s="1392" t="s">
        <v>2576</v>
      </c>
      <c r="B842" s="1392" t="s">
        <v>1156</v>
      </c>
      <c r="C842" s="1392" t="s">
        <v>1846</v>
      </c>
      <c r="D842" s="1392" t="s">
        <v>1847</v>
      </c>
      <c r="E842" s="1392" t="s">
        <v>1862</v>
      </c>
      <c r="F842" s="1392" t="s">
        <v>1865</v>
      </c>
      <c r="G842" s="1391">
        <v>5799676</v>
      </c>
    </row>
    <row r="843" spans="1:7" x14ac:dyDescent="0.25">
      <c r="A843" s="1392" t="s">
        <v>2576</v>
      </c>
      <c r="B843" s="1392" t="s">
        <v>1156</v>
      </c>
      <c r="C843" s="1392" t="s">
        <v>1846</v>
      </c>
      <c r="D843" s="1392" t="s">
        <v>1847</v>
      </c>
      <c r="E843" s="4536" t="s">
        <v>1867</v>
      </c>
      <c r="F843" s="4538"/>
      <c r="G843" s="1391">
        <v>77581549</v>
      </c>
    </row>
    <row r="844" spans="1:7" x14ac:dyDescent="0.25">
      <c r="A844" s="1392" t="s">
        <v>2576</v>
      </c>
      <c r="B844" s="1392" t="s">
        <v>1156</v>
      </c>
      <c r="C844" s="1392" t="s">
        <v>1846</v>
      </c>
      <c r="D844" s="1392" t="s">
        <v>1847</v>
      </c>
      <c r="E844" s="1392" t="s">
        <v>1867</v>
      </c>
      <c r="F844" s="1392" t="s">
        <v>1868</v>
      </c>
      <c r="G844" s="1391">
        <v>77581549</v>
      </c>
    </row>
    <row r="845" spans="1:7" x14ac:dyDescent="0.25">
      <c r="A845" s="1392" t="s">
        <v>2576</v>
      </c>
      <c r="B845" s="1392" t="s">
        <v>1156</v>
      </c>
      <c r="C845" s="1392" t="s">
        <v>1846</v>
      </c>
      <c r="D845" s="1392" t="s">
        <v>1847</v>
      </c>
      <c r="E845" s="4536" t="s">
        <v>1869</v>
      </c>
      <c r="F845" s="4538"/>
      <c r="G845" s="1391">
        <v>8494025</v>
      </c>
    </row>
    <row r="846" spans="1:7" x14ac:dyDescent="0.25">
      <c r="A846" s="1392" t="s">
        <v>2576</v>
      </c>
      <c r="B846" s="1392" t="s">
        <v>1156</v>
      </c>
      <c r="C846" s="1392" t="s">
        <v>1846</v>
      </c>
      <c r="D846" s="1392" t="s">
        <v>1847</v>
      </c>
      <c r="E846" s="1392" t="s">
        <v>1869</v>
      </c>
      <c r="F846" s="1392" t="s">
        <v>1870</v>
      </c>
      <c r="G846" s="1391">
        <v>7100926</v>
      </c>
    </row>
    <row r="847" spans="1:7" x14ac:dyDescent="0.25">
      <c r="A847" s="1392" t="s">
        <v>2576</v>
      </c>
      <c r="B847" s="1392" t="s">
        <v>1156</v>
      </c>
      <c r="C847" s="1392" t="s">
        <v>1846</v>
      </c>
      <c r="D847" s="1392" t="s">
        <v>1847</v>
      </c>
      <c r="E847" s="1392" t="s">
        <v>1869</v>
      </c>
      <c r="F847" s="1392" t="s">
        <v>1871</v>
      </c>
      <c r="G847" s="1391">
        <v>673099</v>
      </c>
    </row>
    <row r="848" spans="1:7" x14ac:dyDescent="0.25">
      <c r="A848" s="1392" t="s">
        <v>2576</v>
      </c>
      <c r="B848" s="1392" t="s">
        <v>1156</v>
      </c>
      <c r="C848" s="1392" t="s">
        <v>1846</v>
      </c>
      <c r="D848" s="1392" t="s">
        <v>1847</v>
      </c>
      <c r="E848" s="1392" t="s">
        <v>1869</v>
      </c>
      <c r="F848" s="1392" t="s">
        <v>1873</v>
      </c>
      <c r="G848" s="1391">
        <v>720000</v>
      </c>
    </row>
    <row r="849" spans="1:7" x14ac:dyDescent="0.25">
      <c r="A849" s="1392" t="s">
        <v>2576</v>
      </c>
      <c r="B849" s="1392" t="s">
        <v>1156</v>
      </c>
      <c r="C849" s="1392" t="s">
        <v>1846</v>
      </c>
      <c r="D849" s="1392" t="s">
        <v>1847</v>
      </c>
      <c r="E849" s="4536" t="s">
        <v>1874</v>
      </c>
      <c r="F849" s="4538"/>
      <c r="G849" s="1391">
        <v>9611000</v>
      </c>
    </row>
    <row r="850" spans="1:7" x14ac:dyDescent="0.25">
      <c r="A850" s="1392" t="s">
        <v>2576</v>
      </c>
      <c r="B850" s="1392" t="s">
        <v>1156</v>
      </c>
      <c r="C850" s="1392" t="s">
        <v>1846</v>
      </c>
      <c r="D850" s="1392" t="s">
        <v>1847</v>
      </c>
      <c r="E850" s="1392" t="s">
        <v>1874</v>
      </c>
      <c r="F850" s="1392" t="s">
        <v>1875</v>
      </c>
      <c r="G850" s="1391">
        <v>9251000</v>
      </c>
    </row>
    <row r="851" spans="1:7" x14ac:dyDescent="0.25">
      <c r="A851" s="1392" t="s">
        <v>2576</v>
      </c>
      <c r="B851" s="1392" t="s">
        <v>1156</v>
      </c>
      <c r="C851" s="1392" t="s">
        <v>1846</v>
      </c>
      <c r="D851" s="1392" t="s">
        <v>1847</v>
      </c>
      <c r="E851" s="1392" t="s">
        <v>1874</v>
      </c>
      <c r="F851" s="1392" t="s">
        <v>1877</v>
      </c>
      <c r="G851" s="1391">
        <v>360000</v>
      </c>
    </row>
    <row r="852" spans="1:7" x14ac:dyDescent="0.25">
      <c r="A852" s="1392" t="s">
        <v>2576</v>
      </c>
      <c r="B852" s="1392" t="s">
        <v>1156</v>
      </c>
      <c r="C852" s="1392" t="s">
        <v>1846</v>
      </c>
      <c r="D852" s="1392" t="s">
        <v>1847</v>
      </c>
      <c r="E852" s="4536" t="s">
        <v>1878</v>
      </c>
      <c r="F852" s="4538"/>
      <c r="G852" s="1391">
        <v>1397452</v>
      </c>
    </row>
    <row r="853" spans="1:7" x14ac:dyDescent="0.25">
      <c r="A853" s="1392" t="s">
        <v>2576</v>
      </c>
      <c r="B853" s="1392" t="s">
        <v>1156</v>
      </c>
      <c r="C853" s="1392" t="s">
        <v>1846</v>
      </c>
      <c r="D853" s="1392" t="s">
        <v>1847</v>
      </c>
      <c r="E853" s="1392" t="s">
        <v>1878</v>
      </c>
      <c r="F853" s="1392" t="s">
        <v>1879</v>
      </c>
      <c r="G853" s="1391">
        <v>897452</v>
      </c>
    </row>
    <row r="854" spans="1:7" x14ac:dyDescent="0.25">
      <c r="A854" s="1392" t="s">
        <v>2576</v>
      </c>
      <c r="B854" s="1392" t="s">
        <v>1156</v>
      </c>
      <c r="C854" s="1392" t="s">
        <v>1846</v>
      </c>
      <c r="D854" s="1392" t="s">
        <v>1847</v>
      </c>
      <c r="E854" s="1392" t="s">
        <v>1878</v>
      </c>
      <c r="F854" s="1392" t="s">
        <v>1880</v>
      </c>
      <c r="G854" s="1391">
        <v>500000</v>
      </c>
    </row>
    <row r="855" spans="1:7" x14ac:dyDescent="0.25">
      <c r="A855" s="1392" t="s">
        <v>2576</v>
      </c>
      <c r="B855" s="1392" t="s">
        <v>1156</v>
      </c>
      <c r="C855" s="1392" t="s">
        <v>1846</v>
      </c>
      <c r="D855" s="1392" t="s">
        <v>1847</v>
      </c>
      <c r="E855" s="4536" t="s">
        <v>1889</v>
      </c>
      <c r="F855" s="4538"/>
      <c r="G855" s="1391">
        <v>33199798</v>
      </c>
    </row>
    <row r="856" spans="1:7" x14ac:dyDescent="0.25">
      <c r="A856" s="1392" t="s">
        <v>2576</v>
      </c>
      <c r="B856" s="1392" t="s">
        <v>1156</v>
      </c>
      <c r="C856" s="1392" t="s">
        <v>1846</v>
      </c>
      <c r="D856" s="1392" t="s">
        <v>1847</v>
      </c>
      <c r="E856" s="1392" t="s">
        <v>1889</v>
      </c>
      <c r="F856" s="1392" t="s">
        <v>1890</v>
      </c>
      <c r="G856" s="1391">
        <v>5184000</v>
      </c>
    </row>
    <row r="857" spans="1:7" x14ac:dyDescent="0.25">
      <c r="A857" s="1392" t="s">
        <v>2576</v>
      </c>
      <c r="B857" s="1392" t="s">
        <v>1156</v>
      </c>
      <c r="C857" s="1392" t="s">
        <v>1846</v>
      </c>
      <c r="D857" s="1392" t="s">
        <v>1847</v>
      </c>
      <c r="E857" s="1392" t="s">
        <v>1889</v>
      </c>
      <c r="F857" s="1392" t="s">
        <v>1892</v>
      </c>
      <c r="G857" s="1391">
        <v>24800000</v>
      </c>
    </row>
    <row r="858" spans="1:7" x14ac:dyDescent="0.25">
      <c r="A858" s="1392" t="s">
        <v>2576</v>
      </c>
      <c r="B858" s="1392" t="s">
        <v>1156</v>
      </c>
      <c r="C858" s="1392" t="s">
        <v>1846</v>
      </c>
      <c r="D858" s="1392" t="s">
        <v>1847</v>
      </c>
      <c r="E858" s="1392" t="s">
        <v>1889</v>
      </c>
      <c r="F858" s="1392" t="s">
        <v>1922</v>
      </c>
      <c r="G858" s="1391">
        <v>3215798</v>
      </c>
    </row>
    <row r="859" spans="1:7" x14ac:dyDescent="0.25">
      <c r="A859" s="1392" t="s">
        <v>2576</v>
      </c>
      <c r="B859" s="1392" t="s">
        <v>1156</v>
      </c>
      <c r="C859" s="1392" t="s">
        <v>1846</v>
      </c>
      <c r="D859" s="1392" t="s">
        <v>1847</v>
      </c>
      <c r="E859" s="4536" t="s">
        <v>1896</v>
      </c>
      <c r="F859" s="4538"/>
      <c r="G859" s="1391">
        <v>10909000</v>
      </c>
    </row>
    <row r="860" spans="1:7" x14ac:dyDescent="0.25">
      <c r="A860" s="1392" t="s">
        <v>2576</v>
      </c>
      <c r="B860" s="1392" t="s">
        <v>1156</v>
      </c>
      <c r="C860" s="1392" t="s">
        <v>1846</v>
      </c>
      <c r="D860" s="1392" t="s">
        <v>1847</v>
      </c>
      <c r="E860" s="1392" t="s">
        <v>1896</v>
      </c>
      <c r="F860" s="1392" t="s">
        <v>1900</v>
      </c>
      <c r="G860" s="1391">
        <v>10409000</v>
      </c>
    </row>
    <row r="861" spans="1:7" x14ac:dyDescent="0.25">
      <c r="A861" s="1392" t="s">
        <v>2576</v>
      </c>
      <c r="B861" s="1392" t="s">
        <v>1156</v>
      </c>
      <c r="C861" s="1392" t="s">
        <v>1846</v>
      </c>
      <c r="D861" s="1392" t="s">
        <v>1847</v>
      </c>
      <c r="E861" s="1392" t="s">
        <v>1896</v>
      </c>
      <c r="F861" s="1392" t="s">
        <v>1901</v>
      </c>
      <c r="G861" s="1391">
        <v>500000</v>
      </c>
    </row>
    <row r="862" spans="1:7" x14ac:dyDescent="0.25">
      <c r="A862" s="1392" t="s">
        <v>2576</v>
      </c>
      <c r="B862" s="1392" t="s">
        <v>1156</v>
      </c>
      <c r="C862" s="1392" t="s">
        <v>1846</v>
      </c>
      <c r="D862" s="1392" t="s">
        <v>1847</v>
      </c>
      <c r="E862" s="4536" t="s">
        <v>1906</v>
      </c>
      <c r="F862" s="4538"/>
      <c r="G862" s="1391">
        <v>6555000</v>
      </c>
    </row>
    <row r="863" spans="1:7" x14ac:dyDescent="0.25">
      <c r="A863" s="1392" t="s">
        <v>2576</v>
      </c>
      <c r="B863" s="1392" t="s">
        <v>1156</v>
      </c>
      <c r="C863" s="1392" t="s">
        <v>1846</v>
      </c>
      <c r="D863" s="1392" t="s">
        <v>1847</v>
      </c>
      <c r="E863" s="1392" t="s">
        <v>1906</v>
      </c>
      <c r="F863" s="1392" t="s">
        <v>1908</v>
      </c>
      <c r="G863" s="1391">
        <v>6555000</v>
      </c>
    </row>
    <row r="864" spans="1:7" x14ac:dyDescent="0.25">
      <c r="A864" s="1392" t="s">
        <v>2576</v>
      </c>
      <c r="B864" s="1392" t="s">
        <v>1156</v>
      </c>
      <c r="C864" s="1392" t="s">
        <v>1846</v>
      </c>
      <c r="D864" s="1392" t="s">
        <v>1847</v>
      </c>
      <c r="E864" s="4536" t="s">
        <v>1912</v>
      </c>
      <c r="F864" s="4538"/>
      <c r="G864" s="1391">
        <v>23210000</v>
      </c>
    </row>
    <row r="865" spans="1:7" x14ac:dyDescent="0.25">
      <c r="A865" s="1392" t="s">
        <v>2576</v>
      </c>
      <c r="B865" s="1392" t="s">
        <v>1156</v>
      </c>
      <c r="C865" s="1392" t="s">
        <v>1846</v>
      </c>
      <c r="D865" s="1392" t="s">
        <v>1847</v>
      </c>
      <c r="E865" s="1392" t="s">
        <v>1912</v>
      </c>
      <c r="F865" s="1392" t="s">
        <v>1915</v>
      </c>
      <c r="G865" s="1391">
        <v>17660000</v>
      </c>
    </row>
    <row r="866" spans="1:7" x14ac:dyDescent="0.25">
      <c r="A866" s="1392" t="s">
        <v>2576</v>
      </c>
      <c r="B866" s="1392" t="s">
        <v>1156</v>
      </c>
      <c r="C866" s="1392" t="s">
        <v>1846</v>
      </c>
      <c r="D866" s="1392" t="s">
        <v>1847</v>
      </c>
      <c r="E866" s="1392" t="s">
        <v>1912</v>
      </c>
      <c r="F866" s="1392" t="s">
        <v>1916</v>
      </c>
      <c r="G866" s="1391">
        <v>5550000</v>
      </c>
    </row>
    <row r="867" spans="1:7" x14ac:dyDescent="0.25">
      <c r="A867" s="1392" t="s">
        <v>2576</v>
      </c>
      <c r="B867" s="1392" t="s">
        <v>1156</v>
      </c>
      <c r="C867" s="1392" t="s">
        <v>1846</v>
      </c>
      <c r="D867" s="1392" t="s">
        <v>1847</v>
      </c>
      <c r="E867" s="4536" t="s">
        <v>1983</v>
      </c>
      <c r="F867" s="4538"/>
      <c r="G867" s="1391">
        <v>3600000</v>
      </c>
    </row>
    <row r="868" spans="1:7" x14ac:dyDescent="0.25">
      <c r="A868" s="1392" t="s">
        <v>2576</v>
      </c>
      <c r="B868" s="1392" t="s">
        <v>1156</v>
      </c>
      <c r="C868" s="1392" t="s">
        <v>1846</v>
      </c>
      <c r="D868" s="1392" t="s">
        <v>1847</v>
      </c>
      <c r="E868" s="1392" t="s">
        <v>1983</v>
      </c>
      <c r="F868" s="1392" t="s">
        <v>2240</v>
      </c>
      <c r="G868" s="1391">
        <v>3600000</v>
      </c>
    </row>
    <row r="869" spans="1:7" x14ac:dyDescent="0.25">
      <c r="A869" s="1392" t="s">
        <v>2576</v>
      </c>
      <c r="B869" s="4536" t="s">
        <v>1976</v>
      </c>
      <c r="C869" s="4537"/>
      <c r="D869" s="4537"/>
      <c r="E869" s="4537"/>
      <c r="F869" s="4538"/>
      <c r="G869" s="1391">
        <v>1382614754</v>
      </c>
    </row>
    <row r="870" spans="1:7" x14ac:dyDescent="0.25">
      <c r="A870" s="1392" t="s">
        <v>2576</v>
      </c>
      <c r="B870" s="1392" t="s">
        <v>1976</v>
      </c>
      <c r="C870" s="4536" t="s">
        <v>1846</v>
      </c>
      <c r="D870" s="4537"/>
      <c r="E870" s="4537"/>
      <c r="F870" s="4538"/>
      <c r="G870" s="1391">
        <v>1382614754</v>
      </c>
    </row>
    <row r="871" spans="1:7" x14ac:dyDescent="0.25">
      <c r="A871" s="1392" t="s">
        <v>2576</v>
      </c>
      <c r="B871" s="1392" t="s">
        <v>1976</v>
      </c>
      <c r="C871" s="1392" t="s">
        <v>1846</v>
      </c>
      <c r="D871" s="4536" t="s">
        <v>1847</v>
      </c>
      <c r="E871" s="4537"/>
      <c r="F871" s="4538"/>
      <c r="G871" s="1391">
        <v>1382614754</v>
      </c>
    </row>
    <row r="872" spans="1:7" x14ac:dyDescent="0.25">
      <c r="A872" s="1392" t="s">
        <v>2576</v>
      </c>
      <c r="B872" s="1392" t="s">
        <v>1976</v>
      </c>
      <c r="C872" s="1392" t="s">
        <v>1846</v>
      </c>
      <c r="D872" s="1392" t="s">
        <v>1847</v>
      </c>
      <c r="E872" s="4536" t="s">
        <v>1848</v>
      </c>
      <c r="F872" s="4538"/>
      <c r="G872" s="1391">
        <v>298238406</v>
      </c>
    </row>
    <row r="873" spans="1:7" x14ac:dyDescent="0.25">
      <c r="A873" s="1392" t="s">
        <v>2576</v>
      </c>
      <c r="B873" s="1392" t="s">
        <v>1976</v>
      </c>
      <c r="C873" s="1392" t="s">
        <v>1846</v>
      </c>
      <c r="D873" s="1392" t="s">
        <v>1847</v>
      </c>
      <c r="E873" s="1392" t="s">
        <v>1848</v>
      </c>
      <c r="F873" s="1392" t="s">
        <v>1849</v>
      </c>
      <c r="G873" s="1391">
        <v>298238406</v>
      </c>
    </row>
    <row r="874" spans="1:7" x14ac:dyDescent="0.25">
      <c r="A874" s="1392" t="s">
        <v>2576</v>
      </c>
      <c r="B874" s="1392" t="s">
        <v>1976</v>
      </c>
      <c r="C874" s="1392" t="s">
        <v>1846</v>
      </c>
      <c r="D874" s="1392" t="s">
        <v>1847</v>
      </c>
      <c r="E874" s="4536" t="s">
        <v>1853</v>
      </c>
      <c r="F874" s="4538"/>
      <c r="G874" s="1391">
        <v>214449995</v>
      </c>
    </row>
    <row r="875" spans="1:7" x14ac:dyDescent="0.25">
      <c r="A875" s="1392" t="s">
        <v>2576</v>
      </c>
      <c r="B875" s="1392" t="s">
        <v>1976</v>
      </c>
      <c r="C875" s="1392" t="s">
        <v>1846</v>
      </c>
      <c r="D875" s="1392" t="s">
        <v>1847</v>
      </c>
      <c r="E875" s="1392" t="s">
        <v>1853</v>
      </c>
      <c r="F875" s="1392" t="s">
        <v>1854</v>
      </c>
      <c r="G875" s="1391">
        <v>6854000</v>
      </c>
    </row>
    <row r="876" spans="1:7" x14ac:dyDescent="0.25">
      <c r="A876" s="1392" t="s">
        <v>2576</v>
      </c>
      <c r="B876" s="1392" t="s">
        <v>1976</v>
      </c>
      <c r="C876" s="1392" t="s">
        <v>1846</v>
      </c>
      <c r="D876" s="1392" t="s">
        <v>1847</v>
      </c>
      <c r="E876" s="1392" t="s">
        <v>1853</v>
      </c>
      <c r="F876" s="1392" t="s">
        <v>1855</v>
      </c>
      <c r="G876" s="1391">
        <v>39485000</v>
      </c>
    </row>
    <row r="877" spans="1:7" x14ac:dyDescent="0.25">
      <c r="A877" s="1392" t="s">
        <v>2576</v>
      </c>
      <c r="B877" s="1392" t="s">
        <v>1976</v>
      </c>
      <c r="C877" s="1392" t="s">
        <v>1846</v>
      </c>
      <c r="D877" s="1392" t="s">
        <v>1847</v>
      </c>
      <c r="E877" s="1392" t="s">
        <v>1853</v>
      </c>
      <c r="F877" s="1392" t="s">
        <v>1856</v>
      </c>
      <c r="G877" s="1391">
        <v>80478880</v>
      </c>
    </row>
    <row r="878" spans="1:7" x14ac:dyDescent="0.25">
      <c r="A878" s="1392" t="s">
        <v>2576</v>
      </c>
      <c r="B878" s="1392" t="s">
        <v>1976</v>
      </c>
      <c r="C878" s="1392" t="s">
        <v>1846</v>
      </c>
      <c r="D878" s="1392" t="s">
        <v>1847</v>
      </c>
      <c r="E878" s="1392" t="s">
        <v>1853</v>
      </c>
      <c r="F878" s="1392" t="s">
        <v>1858</v>
      </c>
      <c r="G878" s="1391">
        <v>5364000</v>
      </c>
    </row>
    <row r="879" spans="1:7" x14ac:dyDescent="0.25">
      <c r="A879" s="1392" t="s">
        <v>2576</v>
      </c>
      <c r="B879" s="1392" t="s">
        <v>1976</v>
      </c>
      <c r="C879" s="1392" t="s">
        <v>1846</v>
      </c>
      <c r="D879" s="1392" t="s">
        <v>1847</v>
      </c>
      <c r="E879" s="1392" t="s">
        <v>1853</v>
      </c>
      <c r="F879" s="1392" t="s">
        <v>1929</v>
      </c>
      <c r="G879" s="1391">
        <v>4823130</v>
      </c>
    </row>
    <row r="880" spans="1:7" x14ac:dyDescent="0.25">
      <c r="A880" s="1392" t="s">
        <v>2576</v>
      </c>
      <c r="B880" s="1392" t="s">
        <v>1976</v>
      </c>
      <c r="C880" s="1392" t="s">
        <v>1846</v>
      </c>
      <c r="D880" s="1392" t="s">
        <v>1847</v>
      </c>
      <c r="E880" s="1392" t="s">
        <v>1853</v>
      </c>
      <c r="F880" s="1392" t="s">
        <v>1859</v>
      </c>
      <c r="G880" s="1391">
        <v>77444985</v>
      </c>
    </row>
    <row r="881" spans="1:7" x14ac:dyDescent="0.25">
      <c r="A881" s="1392" t="s">
        <v>2576</v>
      </c>
      <c r="B881" s="1392" t="s">
        <v>1976</v>
      </c>
      <c r="C881" s="1392" t="s">
        <v>1846</v>
      </c>
      <c r="D881" s="1392" t="s">
        <v>1847</v>
      </c>
      <c r="E881" s="4536" t="s">
        <v>1860</v>
      </c>
      <c r="F881" s="4538"/>
      <c r="G881" s="1391">
        <v>192140000</v>
      </c>
    </row>
    <row r="882" spans="1:7" x14ac:dyDescent="0.25">
      <c r="A882" s="1392" t="s">
        <v>2576</v>
      </c>
      <c r="B882" s="1392" t="s">
        <v>1976</v>
      </c>
      <c r="C882" s="1392" t="s">
        <v>1846</v>
      </c>
      <c r="D882" s="1392" t="s">
        <v>1847</v>
      </c>
      <c r="E882" s="1392" t="s">
        <v>1860</v>
      </c>
      <c r="F882" s="1392" t="s">
        <v>1861</v>
      </c>
      <c r="G882" s="1391">
        <v>192140000</v>
      </c>
    </row>
    <row r="883" spans="1:7" x14ac:dyDescent="0.25">
      <c r="A883" s="1392" t="s">
        <v>2576</v>
      </c>
      <c r="B883" s="1392" t="s">
        <v>1976</v>
      </c>
      <c r="C883" s="1392" t="s">
        <v>1846</v>
      </c>
      <c r="D883" s="1392" t="s">
        <v>1847</v>
      </c>
      <c r="E883" s="4536" t="s">
        <v>1862</v>
      </c>
      <c r="F883" s="4538"/>
      <c r="G883" s="1391">
        <v>70234926</v>
      </c>
    </row>
    <row r="884" spans="1:7" x14ac:dyDescent="0.25">
      <c r="A884" s="1392" t="s">
        <v>2576</v>
      </c>
      <c r="B884" s="1392" t="s">
        <v>1976</v>
      </c>
      <c r="C884" s="1392" t="s">
        <v>1846</v>
      </c>
      <c r="D884" s="1392" t="s">
        <v>1847</v>
      </c>
      <c r="E884" s="1392" t="s">
        <v>1862</v>
      </c>
      <c r="F884" s="1392" t="s">
        <v>1863</v>
      </c>
      <c r="G884" s="1391">
        <v>54635223</v>
      </c>
    </row>
    <row r="885" spans="1:7" x14ac:dyDescent="0.25">
      <c r="A885" s="1392" t="s">
        <v>2576</v>
      </c>
      <c r="B885" s="1392" t="s">
        <v>1976</v>
      </c>
      <c r="C885" s="1392" t="s">
        <v>1846</v>
      </c>
      <c r="D885" s="1392" t="s">
        <v>1847</v>
      </c>
      <c r="E885" s="1392" t="s">
        <v>1862</v>
      </c>
      <c r="F885" s="1392" t="s">
        <v>1864</v>
      </c>
      <c r="G885" s="1391">
        <v>9297467</v>
      </c>
    </row>
    <row r="886" spans="1:7" x14ac:dyDescent="0.25">
      <c r="A886" s="1392" t="s">
        <v>2576</v>
      </c>
      <c r="B886" s="1392" t="s">
        <v>1976</v>
      </c>
      <c r="C886" s="1392" t="s">
        <v>1846</v>
      </c>
      <c r="D886" s="1392" t="s">
        <v>1847</v>
      </c>
      <c r="E886" s="1392" t="s">
        <v>1862</v>
      </c>
      <c r="F886" s="1392" t="s">
        <v>1865</v>
      </c>
      <c r="G886" s="1391">
        <v>6302236</v>
      </c>
    </row>
    <row r="887" spans="1:7" x14ac:dyDescent="0.25">
      <c r="A887" s="1392" t="s">
        <v>2576</v>
      </c>
      <c r="B887" s="1392" t="s">
        <v>1976</v>
      </c>
      <c r="C887" s="1392" t="s">
        <v>1846</v>
      </c>
      <c r="D887" s="1392" t="s">
        <v>1847</v>
      </c>
      <c r="E887" s="4536" t="s">
        <v>1867</v>
      </c>
      <c r="F887" s="4538"/>
      <c r="G887" s="1391">
        <v>102226927</v>
      </c>
    </row>
    <row r="888" spans="1:7" x14ac:dyDescent="0.25">
      <c r="A888" s="1392" t="s">
        <v>2576</v>
      </c>
      <c r="B888" s="1392" t="s">
        <v>1976</v>
      </c>
      <c r="C888" s="1392" t="s">
        <v>1846</v>
      </c>
      <c r="D888" s="1392" t="s">
        <v>1847</v>
      </c>
      <c r="E888" s="1392" t="s">
        <v>1867</v>
      </c>
      <c r="F888" s="1392" t="s">
        <v>1868</v>
      </c>
      <c r="G888" s="1391">
        <v>102226927</v>
      </c>
    </row>
    <row r="889" spans="1:7" x14ac:dyDescent="0.25">
      <c r="A889" s="1392" t="s">
        <v>2576</v>
      </c>
      <c r="B889" s="1392" t="s">
        <v>1976</v>
      </c>
      <c r="C889" s="1392" t="s">
        <v>1846</v>
      </c>
      <c r="D889" s="1392" t="s">
        <v>1847</v>
      </c>
      <c r="E889" s="4536" t="s">
        <v>1869</v>
      </c>
      <c r="F889" s="4538"/>
      <c r="G889" s="1391">
        <v>13521478</v>
      </c>
    </row>
    <row r="890" spans="1:7" x14ac:dyDescent="0.25">
      <c r="A890" s="1392" t="s">
        <v>2576</v>
      </c>
      <c r="B890" s="1392" t="s">
        <v>1976</v>
      </c>
      <c r="C890" s="1392" t="s">
        <v>1846</v>
      </c>
      <c r="D890" s="1392" t="s">
        <v>1847</v>
      </c>
      <c r="E890" s="1392" t="s">
        <v>1869</v>
      </c>
      <c r="F890" s="1392" t="s">
        <v>1870</v>
      </c>
      <c r="G890" s="1391">
        <v>7408480</v>
      </c>
    </row>
    <row r="891" spans="1:7" x14ac:dyDescent="0.25">
      <c r="A891" s="1392" t="s">
        <v>2576</v>
      </c>
      <c r="B891" s="1392" t="s">
        <v>1976</v>
      </c>
      <c r="C891" s="1392" t="s">
        <v>1846</v>
      </c>
      <c r="D891" s="1392" t="s">
        <v>1847</v>
      </c>
      <c r="E891" s="1392" t="s">
        <v>1869</v>
      </c>
      <c r="F891" s="1392" t="s">
        <v>1871</v>
      </c>
      <c r="G891" s="1391">
        <v>2171698</v>
      </c>
    </row>
    <row r="892" spans="1:7" x14ac:dyDescent="0.25">
      <c r="A892" s="1392" t="s">
        <v>2576</v>
      </c>
      <c r="B892" s="1392" t="s">
        <v>1976</v>
      </c>
      <c r="C892" s="1392" t="s">
        <v>1846</v>
      </c>
      <c r="D892" s="1392" t="s">
        <v>1847</v>
      </c>
      <c r="E892" s="1392" t="s">
        <v>1869</v>
      </c>
      <c r="F892" s="1392" t="s">
        <v>1872</v>
      </c>
      <c r="G892" s="1391">
        <v>3221300</v>
      </c>
    </row>
    <row r="893" spans="1:7" x14ac:dyDescent="0.25">
      <c r="A893" s="1392" t="s">
        <v>2576</v>
      </c>
      <c r="B893" s="1392" t="s">
        <v>1976</v>
      </c>
      <c r="C893" s="1392" t="s">
        <v>1846</v>
      </c>
      <c r="D893" s="1392" t="s">
        <v>1847</v>
      </c>
      <c r="E893" s="1392" t="s">
        <v>1869</v>
      </c>
      <c r="F893" s="1392" t="s">
        <v>1873</v>
      </c>
      <c r="G893" s="1391">
        <v>720000</v>
      </c>
    </row>
    <row r="894" spans="1:7" x14ac:dyDescent="0.25">
      <c r="A894" s="1392" t="s">
        <v>2576</v>
      </c>
      <c r="B894" s="1392" t="s">
        <v>1976</v>
      </c>
      <c r="C894" s="1392" t="s">
        <v>1846</v>
      </c>
      <c r="D894" s="1392" t="s">
        <v>1847</v>
      </c>
      <c r="E894" s="4536" t="s">
        <v>1874</v>
      </c>
      <c r="F894" s="4538"/>
      <c r="G894" s="1391">
        <v>37473000</v>
      </c>
    </row>
    <row r="895" spans="1:7" x14ac:dyDescent="0.25">
      <c r="A895" s="1392" t="s">
        <v>2576</v>
      </c>
      <c r="B895" s="1392" t="s">
        <v>1976</v>
      </c>
      <c r="C895" s="1392" t="s">
        <v>1846</v>
      </c>
      <c r="D895" s="1392" t="s">
        <v>1847</v>
      </c>
      <c r="E895" s="1392" t="s">
        <v>1874</v>
      </c>
      <c r="F895" s="1392" t="s">
        <v>1875</v>
      </c>
      <c r="G895" s="1391">
        <v>19563000</v>
      </c>
    </row>
    <row r="896" spans="1:7" x14ac:dyDescent="0.25">
      <c r="A896" s="1392" t="s">
        <v>2576</v>
      </c>
      <c r="B896" s="1392" t="s">
        <v>1976</v>
      </c>
      <c r="C896" s="1392" t="s">
        <v>1846</v>
      </c>
      <c r="D896" s="1392" t="s">
        <v>1847</v>
      </c>
      <c r="E896" s="1392" t="s">
        <v>1874</v>
      </c>
      <c r="F896" s="1392" t="s">
        <v>1876</v>
      </c>
      <c r="G896" s="1391">
        <v>11900000</v>
      </c>
    </row>
    <row r="897" spans="1:7" x14ac:dyDescent="0.25">
      <c r="A897" s="1392" t="s">
        <v>2576</v>
      </c>
      <c r="B897" s="1392" t="s">
        <v>1976</v>
      </c>
      <c r="C897" s="1392" t="s">
        <v>1846</v>
      </c>
      <c r="D897" s="1392" t="s">
        <v>1847</v>
      </c>
      <c r="E897" s="1392" t="s">
        <v>1874</v>
      </c>
      <c r="F897" s="1392" t="s">
        <v>1877</v>
      </c>
      <c r="G897" s="1391">
        <v>6010000</v>
      </c>
    </row>
    <row r="898" spans="1:7" x14ac:dyDescent="0.25">
      <c r="A898" s="1392" t="s">
        <v>2576</v>
      </c>
      <c r="B898" s="1392" t="s">
        <v>1976</v>
      </c>
      <c r="C898" s="1392" t="s">
        <v>1846</v>
      </c>
      <c r="D898" s="1392" t="s">
        <v>1847</v>
      </c>
      <c r="E898" s="4536" t="s">
        <v>1878</v>
      </c>
      <c r="F898" s="4538"/>
      <c r="G898" s="1391">
        <v>5752022</v>
      </c>
    </row>
    <row r="899" spans="1:7" x14ac:dyDescent="0.25">
      <c r="A899" s="1392" t="s">
        <v>2576</v>
      </c>
      <c r="B899" s="1392" t="s">
        <v>1976</v>
      </c>
      <c r="C899" s="1392" t="s">
        <v>1846</v>
      </c>
      <c r="D899" s="1392" t="s">
        <v>1847</v>
      </c>
      <c r="E899" s="1392" t="s">
        <v>1878</v>
      </c>
      <c r="F899" s="1392" t="s">
        <v>1879</v>
      </c>
      <c r="G899" s="1391">
        <v>1414422</v>
      </c>
    </row>
    <row r="900" spans="1:7" x14ac:dyDescent="0.25">
      <c r="A900" s="1392" t="s">
        <v>2576</v>
      </c>
      <c r="B900" s="1392" t="s">
        <v>1976</v>
      </c>
      <c r="C900" s="1392" t="s">
        <v>1846</v>
      </c>
      <c r="D900" s="1392" t="s">
        <v>1847</v>
      </c>
      <c r="E900" s="1392" t="s">
        <v>1878</v>
      </c>
      <c r="F900" s="1392" t="s">
        <v>1880</v>
      </c>
      <c r="G900" s="1391">
        <v>4000000</v>
      </c>
    </row>
    <row r="901" spans="1:7" x14ac:dyDescent="0.25">
      <c r="A901" s="1392" t="s">
        <v>2576</v>
      </c>
      <c r="B901" s="1392" t="s">
        <v>1976</v>
      </c>
      <c r="C901" s="1392" t="s">
        <v>1846</v>
      </c>
      <c r="D901" s="1392" t="s">
        <v>1847</v>
      </c>
      <c r="E901" s="1392" t="s">
        <v>1878</v>
      </c>
      <c r="F901" s="1392" t="s">
        <v>1883</v>
      </c>
      <c r="G901" s="1391">
        <v>337600</v>
      </c>
    </row>
    <row r="902" spans="1:7" x14ac:dyDescent="0.25">
      <c r="A902" s="1392" t="s">
        <v>2576</v>
      </c>
      <c r="B902" s="1392" t="s">
        <v>1976</v>
      </c>
      <c r="C902" s="1392" t="s">
        <v>1846</v>
      </c>
      <c r="D902" s="1392" t="s">
        <v>1847</v>
      </c>
      <c r="E902" s="4536" t="s">
        <v>1885</v>
      </c>
      <c r="F902" s="4538"/>
      <c r="G902" s="1391">
        <v>56908000</v>
      </c>
    </row>
    <row r="903" spans="1:7" x14ac:dyDescent="0.25">
      <c r="A903" s="1392" t="s">
        <v>2576</v>
      </c>
      <c r="B903" s="1392" t="s">
        <v>1976</v>
      </c>
      <c r="C903" s="1392" t="s">
        <v>1846</v>
      </c>
      <c r="D903" s="1392" t="s">
        <v>1847</v>
      </c>
      <c r="E903" s="1392" t="s">
        <v>1885</v>
      </c>
      <c r="F903" s="1392" t="s">
        <v>1925</v>
      </c>
      <c r="G903" s="1391">
        <v>6908000</v>
      </c>
    </row>
    <row r="904" spans="1:7" x14ac:dyDescent="0.25">
      <c r="A904" s="1392" t="s">
        <v>2576</v>
      </c>
      <c r="B904" s="1392" t="s">
        <v>1976</v>
      </c>
      <c r="C904" s="1392" t="s">
        <v>1846</v>
      </c>
      <c r="D904" s="1392" t="s">
        <v>1847</v>
      </c>
      <c r="E904" s="1392" t="s">
        <v>1885</v>
      </c>
      <c r="F904" s="1392" t="s">
        <v>1926</v>
      </c>
      <c r="G904" s="1391">
        <v>600000</v>
      </c>
    </row>
    <row r="905" spans="1:7" x14ac:dyDescent="0.25">
      <c r="A905" s="1392" t="s">
        <v>2576</v>
      </c>
      <c r="B905" s="1392" t="s">
        <v>1976</v>
      </c>
      <c r="C905" s="1392" t="s">
        <v>1846</v>
      </c>
      <c r="D905" s="1392" t="s">
        <v>1847</v>
      </c>
      <c r="E905" s="1392" t="s">
        <v>1885</v>
      </c>
      <c r="F905" s="1392" t="s">
        <v>1927</v>
      </c>
      <c r="G905" s="1391">
        <v>7600000</v>
      </c>
    </row>
    <row r="906" spans="1:7" x14ac:dyDescent="0.25">
      <c r="A906" s="1392" t="s">
        <v>2576</v>
      </c>
      <c r="B906" s="1392" t="s">
        <v>1976</v>
      </c>
      <c r="C906" s="1392" t="s">
        <v>1846</v>
      </c>
      <c r="D906" s="1392" t="s">
        <v>1847</v>
      </c>
      <c r="E906" s="1392" t="s">
        <v>1885</v>
      </c>
      <c r="F906" s="1392" t="s">
        <v>1887</v>
      </c>
      <c r="G906" s="1391">
        <v>21300000</v>
      </c>
    </row>
    <row r="907" spans="1:7" x14ac:dyDescent="0.25">
      <c r="A907" s="1392" t="s">
        <v>2576</v>
      </c>
      <c r="B907" s="1392" t="s">
        <v>1976</v>
      </c>
      <c r="C907" s="1392" t="s">
        <v>1846</v>
      </c>
      <c r="D907" s="1392" t="s">
        <v>1847</v>
      </c>
      <c r="E907" s="1392" t="s">
        <v>1885</v>
      </c>
      <c r="F907" s="1392" t="s">
        <v>1888</v>
      </c>
      <c r="G907" s="1391">
        <v>20500000</v>
      </c>
    </row>
    <row r="908" spans="1:7" x14ac:dyDescent="0.25">
      <c r="A908" s="1392" t="s">
        <v>2576</v>
      </c>
      <c r="B908" s="1392" t="s">
        <v>1976</v>
      </c>
      <c r="C908" s="1392" t="s">
        <v>1846</v>
      </c>
      <c r="D908" s="1392" t="s">
        <v>1847</v>
      </c>
      <c r="E908" s="4536" t="s">
        <v>1889</v>
      </c>
      <c r="F908" s="4538"/>
      <c r="G908" s="1391">
        <v>26500000</v>
      </c>
    </row>
    <row r="909" spans="1:7" x14ac:dyDescent="0.25">
      <c r="A909" s="1392" t="s">
        <v>2576</v>
      </c>
      <c r="B909" s="1392" t="s">
        <v>1976</v>
      </c>
      <c r="C909" s="1392" t="s">
        <v>1846</v>
      </c>
      <c r="D909" s="1392" t="s">
        <v>1847</v>
      </c>
      <c r="E909" s="1392" t="s">
        <v>1889</v>
      </c>
      <c r="F909" s="1392" t="s">
        <v>1892</v>
      </c>
      <c r="G909" s="1391">
        <v>26500000</v>
      </c>
    </row>
    <row r="910" spans="1:7" x14ac:dyDescent="0.25">
      <c r="A910" s="1392" t="s">
        <v>2576</v>
      </c>
      <c r="B910" s="1392" t="s">
        <v>1976</v>
      </c>
      <c r="C910" s="1392" t="s">
        <v>1846</v>
      </c>
      <c r="D910" s="1392" t="s">
        <v>1847</v>
      </c>
      <c r="E910" s="4536" t="s">
        <v>1896</v>
      </c>
      <c r="F910" s="4538"/>
      <c r="G910" s="1391">
        <v>44010000</v>
      </c>
    </row>
    <row r="911" spans="1:7" x14ac:dyDescent="0.25">
      <c r="A911" s="1392" t="s">
        <v>2576</v>
      </c>
      <c r="B911" s="1392" t="s">
        <v>1976</v>
      </c>
      <c r="C911" s="1392" t="s">
        <v>1846</v>
      </c>
      <c r="D911" s="1392" t="s">
        <v>1847</v>
      </c>
      <c r="E911" s="1392" t="s">
        <v>1896</v>
      </c>
      <c r="F911" s="1392" t="s">
        <v>1900</v>
      </c>
      <c r="G911" s="1391">
        <v>42540000</v>
      </c>
    </row>
    <row r="912" spans="1:7" x14ac:dyDescent="0.25">
      <c r="A912" s="1392" t="s">
        <v>2576</v>
      </c>
      <c r="B912" s="1392" t="s">
        <v>1976</v>
      </c>
      <c r="C912" s="1392" t="s">
        <v>1846</v>
      </c>
      <c r="D912" s="1392" t="s">
        <v>1847</v>
      </c>
      <c r="E912" s="1392" t="s">
        <v>1896</v>
      </c>
      <c r="F912" s="1392" t="s">
        <v>1901</v>
      </c>
      <c r="G912" s="1391">
        <v>750000</v>
      </c>
    </row>
    <row r="913" spans="1:7" x14ac:dyDescent="0.25">
      <c r="A913" s="1392" t="s">
        <v>2576</v>
      </c>
      <c r="B913" s="1392" t="s">
        <v>1976</v>
      </c>
      <c r="C913" s="1392" t="s">
        <v>1846</v>
      </c>
      <c r="D913" s="1392" t="s">
        <v>1847</v>
      </c>
      <c r="E913" s="1392" t="s">
        <v>1896</v>
      </c>
      <c r="F913" s="1392" t="s">
        <v>1928</v>
      </c>
      <c r="G913" s="1391">
        <v>720000</v>
      </c>
    </row>
    <row r="914" spans="1:7" x14ac:dyDescent="0.25">
      <c r="A914" s="1392" t="s">
        <v>2576</v>
      </c>
      <c r="B914" s="1392" t="s">
        <v>1976</v>
      </c>
      <c r="C914" s="1392" t="s">
        <v>1846</v>
      </c>
      <c r="D914" s="1392" t="s">
        <v>1847</v>
      </c>
      <c r="E914" s="4536" t="s">
        <v>1903</v>
      </c>
      <c r="F914" s="4538"/>
      <c r="G914" s="1391">
        <v>14960000</v>
      </c>
    </row>
    <row r="915" spans="1:7" x14ac:dyDescent="0.25">
      <c r="A915" s="1392" t="s">
        <v>2576</v>
      </c>
      <c r="B915" s="1392" t="s">
        <v>1976</v>
      </c>
      <c r="C915" s="1392" t="s">
        <v>1846</v>
      </c>
      <c r="D915" s="1392" t="s">
        <v>1847</v>
      </c>
      <c r="E915" s="1392" t="s">
        <v>1903</v>
      </c>
      <c r="F915" s="1392" t="s">
        <v>1904</v>
      </c>
      <c r="G915" s="1391">
        <v>14960000</v>
      </c>
    </row>
    <row r="916" spans="1:7" x14ac:dyDescent="0.25">
      <c r="A916" s="1392" t="s">
        <v>2576</v>
      </c>
      <c r="B916" s="1392" t="s">
        <v>1976</v>
      </c>
      <c r="C916" s="1392" t="s">
        <v>1846</v>
      </c>
      <c r="D916" s="1392" t="s">
        <v>1847</v>
      </c>
      <c r="E916" s="4536" t="s">
        <v>1906</v>
      </c>
      <c r="F916" s="4538"/>
      <c r="G916" s="1391">
        <v>55275000</v>
      </c>
    </row>
    <row r="917" spans="1:7" x14ac:dyDescent="0.25">
      <c r="A917" s="1392" t="s">
        <v>2576</v>
      </c>
      <c r="B917" s="1392" t="s">
        <v>1976</v>
      </c>
      <c r="C917" s="1392" t="s">
        <v>1846</v>
      </c>
      <c r="D917" s="1392" t="s">
        <v>1847</v>
      </c>
      <c r="E917" s="1392" t="s">
        <v>1906</v>
      </c>
      <c r="F917" s="1392" t="s">
        <v>1907</v>
      </c>
      <c r="G917" s="1391">
        <v>790000</v>
      </c>
    </row>
    <row r="918" spans="1:7" x14ac:dyDescent="0.25">
      <c r="A918" s="1392" t="s">
        <v>2576</v>
      </c>
      <c r="B918" s="1392" t="s">
        <v>1976</v>
      </c>
      <c r="C918" s="1392" t="s">
        <v>1846</v>
      </c>
      <c r="D918" s="1392" t="s">
        <v>1847</v>
      </c>
      <c r="E918" s="1392" t="s">
        <v>1906</v>
      </c>
      <c r="F918" s="1392" t="s">
        <v>1909</v>
      </c>
      <c r="G918" s="1391">
        <v>54485000</v>
      </c>
    </row>
    <row r="919" spans="1:7" x14ac:dyDescent="0.25">
      <c r="A919" s="1392" t="s">
        <v>2576</v>
      </c>
      <c r="B919" s="1392" t="s">
        <v>1976</v>
      </c>
      <c r="C919" s="1392" t="s">
        <v>1846</v>
      </c>
      <c r="D919" s="1392" t="s">
        <v>1847</v>
      </c>
      <c r="E919" s="4536" t="s">
        <v>1912</v>
      </c>
      <c r="F919" s="4538"/>
      <c r="G919" s="1391">
        <v>113952000</v>
      </c>
    </row>
    <row r="920" spans="1:7" x14ac:dyDescent="0.25">
      <c r="A920" s="1392" t="s">
        <v>2576</v>
      </c>
      <c r="B920" s="1392" t="s">
        <v>1976</v>
      </c>
      <c r="C920" s="1392" t="s">
        <v>1846</v>
      </c>
      <c r="D920" s="1392" t="s">
        <v>1847</v>
      </c>
      <c r="E920" s="1392" t="s">
        <v>1912</v>
      </c>
      <c r="F920" s="1392" t="s">
        <v>1915</v>
      </c>
      <c r="G920" s="1391">
        <v>111175000</v>
      </c>
    </row>
    <row r="921" spans="1:7" x14ac:dyDescent="0.25">
      <c r="A921" s="1392" t="s">
        <v>2576</v>
      </c>
      <c r="B921" s="1392" t="s">
        <v>1976</v>
      </c>
      <c r="C921" s="1392" t="s">
        <v>1846</v>
      </c>
      <c r="D921" s="1392" t="s">
        <v>1847</v>
      </c>
      <c r="E921" s="1392" t="s">
        <v>1912</v>
      </c>
      <c r="F921" s="1392" t="s">
        <v>1916</v>
      </c>
      <c r="G921" s="1391">
        <v>2777000</v>
      </c>
    </row>
    <row r="922" spans="1:7" x14ac:dyDescent="0.25">
      <c r="A922" s="1392" t="s">
        <v>2576</v>
      </c>
      <c r="B922" s="1392" t="s">
        <v>1976</v>
      </c>
      <c r="C922" s="1392" t="s">
        <v>1846</v>
      </c>
      <c r="D922" s="1392" t="s">
        <v>1847</v>
      </c>
      <c r="E922" s="4536" t="s">
        <v>1917</v>
      </c>
      <c r="F922" s="4538"/>
      <c r="G922" s="1391">
        <v>136973000</v>
      </c>
    </row>
    <row r="923" spans="1:7" x14ac:dyDescent="0.25">
      <c r="A923" s="1392" t="s">
        <v>2576</v>
      </c>
      <c r="B923" s="1392" t="s">
        <v>1976</v>
      </c>
      <c r="C923" s="1392" t="s">
        <v>1846</v>
      </c>
      <c r="D923" s="1392" t="s">
        <v>1847</v>
      </c>
      <c r="E923" s="1392" t="s">
        <v>1917</v>
      </c>
      <c r="F923" s="1392" t="s">
        <v>1918</v>
      </c>
      <c r="G923" s="1391">
        <v>136973000</v>
      </c>
    </row>
    <row r="924" spans="1:7" x14ac:dyDescent="0.25">
      <c r="A924" s="1392" t="s">
        <v>2576</v>
      </c>
      <c r="B924" s="4536" t="s">
        <v>1158</v>
      </c>
      <c r="C924" s="4537"/>
      <c r="D924" s="4537"/>
      <c r="E924" s="4537"/>
      <c r="F924" s="4538"/>
      <c r="G924" s="1391">
        <v>732647147</v>
      </c>
    </row>
    <row r="925" spans="1:7" x14ac:dyDescent="0.25">
      <c r="A925" s="1392" t="s">
        <v>2576</v>
      </c>
      <c r="B925" s="1392" t="s">
        <v>1158</v>
      </c>
      <c r="C925" s="4536" t="s">
        <v>1846</v>
      </c>
      <c r="D925" s="4537"/>
      <c r="E925" s="4537"/>
      <c r="F925" s="4538"/>
      <c r="G925" s="1391">
        <v>732647147</v>
      </c>
    </row>
    <row r="926" spans="1:7" x14ac:dyDescent="0.25">
      <c r="A926" s="1392" t="s">
        <v>2576</v>
      </c>
      <c r="B926" s="1392" t="s">
        <v>1158</v>
      </c>
      <c r="C926" s="1392" t="s">
        <v>1846</v>
      </c>
      <c r="D926" s="4536" t="s">
        <v>1847</v>
      </c>
      <c r="E926" s="4537"/>
      <c r="F926" s="4538"/>
      <c r="G926" s="1391">
        <v>732647147</v>
      </c>
    </row>
    <row r="927" spans="1:7" x14ac:dyDescent="0.25">
      <c r="A927" s="1392" t="s">
        <v>2576</v>
      </c>
      <c r="B927" s="1392" t="s">
        <v>1158</v>
      </c>
      <c r="C927" s="1392" t="s">
        <v>1846</v>
      </c>
      <c r="D927" s="1392" t="s">
        <v>1847</v>
      </c>
      <c r="E927" s="4536" t="s">
        <v>1848</v>
      </c>
      <c r="F927" s="4538"/>
      <c r="G927" s="1391">
        <v>249016393</v>
      </c>
    </row>
    <row r="928" spans="1:7" x14ac:dyDescent="0.25">
      <c r="A928" s="1392" t="s">
        <v>2576</v>
      </c>
      <c r="B928" s="1392" t="s">
        <v>1158</v>
      </c>
      <c r="C928" s="1392" t="s">
        <v>1846</v>
      </c>
      <c r="D928" s="1392" t="s">
        <v>1847</v>
      </c>
      <c r="E928" s="1392" t="s">
        <v>1848</v>
      </c>
      <c r="F928" s="1392" t="s">
        <v>1849</v>
      </c>
      <c r="G928" s="1391">
        <v>249016393</v>
      </c>
    </row>
    <row r="929" spans="1:7" x14ac:dyDescent="0.25">
      <c r="A929" s="1392" t="s">
        <v>2576</v>
      </c>
      <c r="B929" s="1392" t="s">
        <v>1158</v>
      </c>
      <c r="C929" s="1392" t="s">
        <v>1846</v>
      </c>
      <c r="D929" s="1392" t="s">
        <v>1847</v>
      </c>
      <c r="E929" s="4536" t="s">
        <v>1853</v>
      </c>
      <c r="F929" s="4538"/>
      <c r="G929" s="1391">
        <v>181724482</v>
      </c>
    </row>
    <row r="930" spans="1:7" x14ac:dyDescent="0.25">
      <c r="A930" s="1392" t="s">
        <v>2576</v>
      </c>
      <c r="B930" s="1392" t="s">
        <v>1158</v>
      </c>
      <c r="C930" s="1392" t="s">
        <v>1846</v>
      </c>
      <c r="D930" s="1392" t="s">
        <v>1847</v>
      </c>
      <c r="E930" s="1392" t="s">
        <v>1853</v>
      </c>
      <c r="F930" s="1392" t="s">
        <v>1854</v>
      </c>
      <c r="G930" s="1391">
        <v>9277031</v>
      </c>
    </row>
    <row r="931" spans="1:7" x14ac:dyDescent="0.25">
      <c r="A931" s="1392" t="s">
        <v>2576</v>
      </c>
      <c r="B931" s="1392" t="s">
        <v>1158</v>
      </c>
      <c r="C931" s="1392" t="s">
        <v>1846</v>
      </c>
      <c r="D931" s="1392" t="s">
        <v>1847</v>
      </c>
      <c r="E931" s="1392" t="s">
        <v>1853</v>
      </c>
      <c r="F931" s="1392" t="s">
        <v>1855</v>
      </c>
      <c r="G931" s="1391">
        <v>31052955</v>
      </c>
    </row>
    <row r="932" spans="1:7" x14ac:dyDescent="0.25">
      <c r="A932" s="1392" t="s">
        <v>2576</v>
      </c>
      <c r="B932" s="1392" t="s">
        <v>1158</v>
      </c>
      <c r="C932" s="1392" t="s">
        <v>1846</v>
      </c>
      <c r="D932" s="1392" t="s">
        <v>1847</v>
      </c>
      <c r="E932" s="1392" t="s">
        <v>1853</v>
      </c>
      <c r="F932" s="1392" t="s">
        <v>1856</v>
      </c>
      <c r="G932" s="1391">
        <v>26787138</v>
      </c>
    </row>
    <row r="933" spans="1:7" x14ac:dyDescent="0.25">
      <c r="A933" s="1392" t="s">
        <v>2576</v>
      </c>
      <c r="B933" s="1392" t="s">
        <v>1158</v>
      </c>
      <c r="C933" s="1392" t="s">
        <v>1846</v>
      </c>
      <c r="D933" s="1392" t="s">
        <v>1847</v>
      </c>
      <c r="E933" s="1392" t="s">
        <v>1853</v>
      </c>
      <c r="F933" s="1392" t="s">
        <v>1858</v>
      </c>
      <c r="G933" s="1391">
        <v>48028660</v>
      </c>
    </row>
    <row r="934" spans="1:7" x14ac:dyDescent="0.25">
      <c r="A934" s="1392" t="s">
        <v>2576</v>
      </c>
      <c r="B934" s="1392" t="s">
        <v>1158</v>
      </c>
      <c r="C934" s="1392" t="s">
        <v>1846</v>
      </c>
      <c r="D934" s="1392" t="s">
        <v>1847</v>
      </c>
      <c r="E934" s="1392" t="s">
        <v>1853</v>
      </c>
      <c r="F934" s="1392" t="s">
        <v>1929</v>
      </c>
      <c r="G934" s="1391">
        <v>2042900</v>
      </c>
    </row>
    <row r="935" spans="1:7" x14ac:dyDescent="0.25">
      <c r="A935" s="1392" t="s">
        <v>2576</v>
      </c>
      <c r="B935" s="1392" t="s">
        <v>1158</v>
      </c>
      <c r="C935" s="1392" t="s">
        <v>1846</v>
      </c>
      <c r="D935" s="1392" t="s">
        <v>1847</v>
      </c>
      <c r="E935" s="1392" t="s">
        <v>1853</v>
      </c>
      <c r="F935" s="1392" t="s">
        <v>1859</v>
      </c>
      <c r="G935" s="1391">
        <v>64535798</v>
      </c>
    </row>
    <row r="936" spans="1:7" x14ac:dyDescent="0.25">
      <c r="A936" s="1392" t="s">
        <v>2576</v>
      </c>
      <c r="B936" s="1392" t="s">
        <v>1158</v>
      </c>
      <c r="C936" s="1392" t="s">
        <v>1846</v>
      </c>
      <c r="D936" s="1392" t="s">
        <v>1847</v>
      </c>
      <c r="E936" s="4536" t="s">
        <v>1860</v>
      </c>
      <c r="F936" s="4538"/>
      <c r="G936" s="1391">
        <v>3000000</v>
      </c>
    </row>
    <row r="937" spans="1:7" x14ac:dyDescent="0.25">
      <c r="A937" s="1392" t="s">
        <v>2576</v>
      </c>
      <c r="B937" s="1392" t="s">
        <v>1158</v>
      </c>
      <c r="C937" s="1392" t="s">
        <v>1846</v>
      </c>
      <c r="D937" s="1392" t="s">
        <v>1847</v>
      </c>
      <c r="E937" s="1392" t="s">
        <v>1860</v>
      </c>
      <c r="F937" s="1392" t="s">
        <v>1861</v>
      </c>
      <c r="G937" s="1391">
        <v>3000000</v>
      </c>
    </row>
    <row r="938" spans="1:7" x14ac:dyDescent="0.25">
      <c r="A938" s="1392" t="s">
        <v>2576</v>
      </c>
      <c r="B938" s="1392" t="s">
        <v>1158</v>
      </c>
      <c r="C938" s="1392" t="s">
        <v>1846</v>
      </c>
      <c r="D938" s="1392" t="s">
        <v>1847</v>
      </c>
      <c r="E938" s="4536" t="s">
        <v>1862</v>
      </c>
      <c r="F938" s="4538"/>
      <c r="G938" s="1391">
        <v>57972850</v>
      </c>
    </row>
    <row r="939" spans="1:7" x14ac:dyDescent="0.25">
      <c r="A939" s="1392" t="s">
        <v>2576</v>
      </c>
      <c r="B939" s="1392" t="s">
        <v>1158</v>
      </c>
      <c r="C939" s="1392" t="s">
        <v>1846</v>
      </c>
      <c r="D939" s="1392" t="s">
        <v>1847</v>
      </c>
      <c r="E939" s="1392" t="s">
        <v>1862</v>
      </c>
      <c r="F939" s="1392" t="s">
        <v>1863</v>
      </c>
      <c r="G939" s="1391">
        <v>45451337</v>
      </c>
    </row>
    <row r="940" spans="1:7" x14ac:dyDescent="0.25">
      <c r="A940" s="1392" t="s">
        <v>2576</v>
      </c>
      <c r="B940" s="1392" t="s">
        <v>1158</v>
      </c>
      <c r="C940" s="1392" t="s">
        <v>1846</v>
      </c>
      <c r="D940" s="1392" t="s">
        <v>1847</v>
      </c>
      <c r="E940" s="1392" t="s">
        <v>1862</v>
      </c>
      <c r="F940" s="1392" t="s">
        <v>1864</v>
      </c>
      <c r="G940" s="1391">
        <v>7791657</v>
      </c>
    </row>
    <row r="941" spans="1:7" x14ac:dyDescent="0.25">
      <c r="A941" s="1392" t="s">
        <v>2576</v>
      </c>
      <c r="B941" s="1392" t="s">
        <v>1158</v>
      </c>
      <c r="C941" s="1392" t="s">
        <v>1846</v>
      </c>
      <c r="D941" s="1392" t="s">
        <v>1847</v>
      </c>
      <c r="E941" s="1392" t="s">
        <v>1862</v>
      </c>
      <c r="F941" s="1392" t="s">
        <v>1865</v>
      </c>
      <c r="G941" s="1391">
        <v>4729856</v>
      </c>
    </row>
    <row r="942" spans="1:7" x14ac:dyDescent="0.25">
      <c r="A942" s="1392" t="s">
        <v>2576</v>
      </c>
      <c r="B942" s="1392" t="s">
        <v>1158</v>
      </c>
      <c r="C942" s="1392" t="s">
        <v>1846</v>
      </c>
      <c r="D942" s="1392" t="s">
        <v>1847</v>
      </c>
      <c r="E942" s="4536" t="s">
        <v>1867</v>
      </c>
      <c r="F942" s="4538"/>
      <c r="G942" s="1391">
        <v>145325128</v>
      </c>
    </row>
    <row r="943" spans="1:7" x14ac:dyDescent="0.25">
      <c r="A943" s="1392" t="s">
        <v>2576</v>
      </c>
      <c r="B943" s="1392" t="s">
        <v>1158</v>
      </c>
      <c r="C943" s="1392" t="s">
        <v>1846</v>
      </c>
      <c r="D943" s="1392" t="s">
        <v>1847</v>
      </c>
      <c r="E943" s="1392" t="s">
        <v>1867</v>
      </c>
      <c r="F943" s="1392" t="s">
        <v>1868</v>
      </c>
      <c r="G943" s="1391">
        <v>145325128</v>
      </c>
    </row>
    <row r="944" spans="1:7" x14ac:dyDescent="0.25">
      <c r="A944" s="1392" t="s">
        <v>2576</v>
      </c>
      <c r="B944" s="1392" t="s">
        <v>1158</v>
      </c>
      <c r="C944" s="1392" t="s">
        <v>1846</v>
      </c>
      <c r="D944" s="1392" t="s">
        <v>1847</v>
      </c>
      <c r="E944" s="4536" t="s">
        <v>1869</v>
      </c>
      <c r="F944" s="4538"/>
      <c r="G944" s="1391">
        <v>8283444</v>
      </c>
    </row>
    <row r="945" spans="1:7" x14ac:dyDescent="0.25">
      <c r="A945" s="1392" t="s">
        <v>2576</v>
      </c>
      <c r="B945" s="1392" t="s">
        <v>1158</v>
      </c>
      <c r="C945" s="1392" t="s">
        <v>1846</v>
      </c>
      <c r="D945" s="1392" t="s">
        <v>1847</v>
      </c>
      <c r="E945" s="1392" t="s">
        <v>1869</v>
      </c>
      <c r="F945" s="1392" t="s">
        <v>1870</v>
      </c>
      <c r="G945" s="1391">
        <v>6826847</v>
      </c>
    </row>
    <row r="946" spans="1:7" x14ac:dyDescent="0.25">
      <c r="A946" s="1392" t="s">
        <v>2576</v>
      </c>
      <c r="B946" s="1392" t="s">
        <v>1158</v>
      </c>
      <c r="C946" s="1392" t="s">
        <v>1846</v>
      </c>
      <c r="D946" s="1392" t="s">
        <v>1847</v>
      </c>
      <c r="E946" s="1392" t="s">
        <v>1869</v>
      </c>
      <c r="F946" s="1392" t="s">
        <v>1871</v>
      </c>
      <c r="G946" s="1391">
        <v>736597</v>
      </c>
    </row>
    <row r="947" spans="1:7" x14ac:dyDescent="0.25">
      <c r="A947" s="1392" t="s">
        <v>2576</v>
      </c>
      <c r="B947" s="1392" t="s">
        <v>1158</v>
      </c>
      <c r="C947" s="1392" t="s">
        <v>1846</v>
      </c>
      <c r="D947" s="1392" t="s">
        <v>1847</v>
      </c>
      <c r="E947" s="1392" t="s">
        <v>1869</v>
      </c>
      <c r="F947" s="1392" t="s">
        <v>1873</v>
      </c>
      <c r="G947" s="1391">
        <v>720000</v>
      </c>
    </row>
    <row r="948" spans="1:7" x14ac:dyDescent="0.25">
      <c r="A948" s="1392" t="s">
        <v>2576</v>
      </c>
      <c r="B948" s="1392" t="s">
        <v>1158</v>
      </c>
      <c r="C948" s="1392" t="s">
        <v>1846</v>
      </c>
      <c r="D948" s="1392" t="s">
        <v>1847</v>
      </c>
      <c r="E948" s="4536" t="s">
        <v>1874</v>
      </c>
      <c r="F948" s="4538"/>
      <c r="G948" s="1391">
        <v>5855000</v>
      </c>
    </row>
    <row r="949" spans="1:7" x14ac:dyDescent="0.25">
      <c r="A949" s="1392" t="s">
        <v>2576</v>
      </c>
      <c r="B949" s="1392" t="s">
        <v>1158</v>
      </c>
      <c r="C949" s="1392" t="s">
        <v>1846</v>
      </c>
      <c r="D949" s="1392" t="s">
        <v>1847</v>
      </c>
      <c r="E949" s="1392" t="s">
        <v>1874</v>
      </c>
      <c r="F949" s="1392" t="s">
        <v>1875</v>
      </c>
      <c r="G949" s="1391">
        <v>4335000</v>
      </c>
    </row>
    <row r="950" spans="1:7" x14ac:dyDescent="0.25">
      <c r="A950" s="1392" t="s">
        <v>2576</v>
      </c>
      <c r="B950" s="1392" t="s">
        <v>1158</v>
      </c>
      <c r="C950" s="1392" t="s">
        <v>1846</v>
      </c>
      <c r="D950" s="1392" t="s">
        <v>1847</v>
      </c>
      <c r="E950" s="1392" t="s">
        <v>1874</v>
      </c>
      <c r="F950" s="1392" t="s">
        <v>1876</v>
      </c>
      <c r="G950" s="1391">
        <v>780000</v>
      </c>
    </row>
    <row r="951" spans="1:7" x14ac:dyDescent="0.25">
      <c r="A951" s="1392" t="s">
        <v>2576</v>
      </c>
      <c r="B951" s="1392" t="s">
        <v>1158</v>
      </c>
      <c r="C951" s="1392" t="s">
        <v>1846</v>
      </c>
      <c r="D951" s="1392" t="s">
        <v>1847</v>
      </c>
      <c r="E951" s="1392" t="s">
        <v>1874</v>
      </c>
      <c r="F951" s="1392" t="s">
        <v>1877</v>
      </c>
      <c r="G951" s="1391">
        <v>740000</v>
      </c>
    </row>
    <row r="952" spans="1:7" x14ac:dyDescent="0.25">
      <c r="A952" s="1392" t="s">
        <v>2576</v>
      </c>
      <c r="B952" s="1392" t="s">
        <v>1158</v>
      </c>
      <c r="C952" s="1392" t="s">
        <v>1846</v>
      </c>
      <c r="D952" s="1392" t="s">
        <v>1847</v>
      </c>
      <c r="E952" s="4536" t="s">
        <v>1878</v>
      </c>
      <c r="F952" s="4538"/>
      <c r="G952" s="1391">
        <v>352000</v>
      </c>
    </row>
    <row r="953" spans="1:7" x14ac:dyDescent="0.25">
      <c r="A953" s="1392" t="s">
        <v>2576</v>
      </c>
      <c r="B953" s="1392" t="s">
        <v>1158</v>
      </c>
      <c r="C953" s="1392" t="s">
        <v>1846</v>
      </c>
      <c r="D953" s="1392" t="s">
        <v>1847</v>
      </c>
      <c r="E953" s="1392" t="s">
        <v>1878</v>
      </c>
      <c r="F953" s="1392" t="s">
        <v>1879</v>
      </c>
      <c r="G953" s="1391">
        <v>242000</v>
      </c>
    </row>
    <row r="954" spans="1:7" x14ac:dyDescent="0.25">
      <c r="A954" s="1392" t="s">
        <v>2576</v>
      </c>
      <c r="B954" s="1392" t="s">
        <v>1158</v>
      </c>
      <c r="C954" s="1392" t="s">
        <v>1846</v>
      </c>
      <c r="D954" s="1392" t="s">
        <v>1847</v>
      </c>
      <c r="E954" s="1392" t="s">
        <v>1878</v>
      </c>
      <c r="F954" s="1392" t="s">
        <v>1880</v>
      </c>
      <c r="G954" s="1391">
        <v>110000</v>
      </c>
    </row>
    <row r="955" spans="1:7" x14ac:dyDescent="0.25">
      <c r="A955" s="1392" t="s">
        <v>2576</v>
      </c>
      <c r="B955" s="1392" t="s">
        <v>1158</v>
      </c>
      <c r="C955" s="1392" t="s">
        <v>1846</v>
      </c>
      <c r="D955" s="1392" t="s">
        <v>1847</v>
      </c>
      <c r="E955" s="4536" t="s">
        <v>1885</v>
      </c>
      <c r="F955" s="4538"/>
      <c r="G955" s="1391">
        <v>17725000</v>
      </c>
    </row>
    <row r="956" spans="1:7" x14ac:dyDescent="0.25">
      <c r="A956" s="1392" t="s">
        <v>2576</v>
      </c>
      <c r="B956" s="1392" t="s">
        <v>1158</v>
      </c>
      <c r="C956" s="1392" t="s">
        <v>1846</v>
      </c>
      <c r="D956" s="1392" t="s">
        <v>1847</v>
      </c>
      <c r="E956" s="1392" t="s">
        <v>1885</v>
      </c>
      <c r="F956" s="1392" t="s">
        <v>1925</v>
      </c>
      <c r="G956" s="1391">
        <v>4070000</v>
      </c>
    </row>
    <row r="957" spans="1:7" x14ac:dyDescent="0.25">
      <c r="A957" s="1392" t="s">
        <v>2576</v>
      </c>
      <c r="B957" s="1392" t="s">
        <v>1158</v>
      </c>
      <c r="C957" s="1392" t="s">
        <v>1846</v>
      </c>
      <c r="D957" s="1392" t="s">
        <v>1847</v>
      </c>
      <c r="E957" s="1392" t="s">
        <v>1885</v>
      </c>
      <c r="F957" s="1392" t="s">
        <v>1886</v>
      </c>
      <c r="G957" s="1391">
        <v>1800000</v>
      </c>
    </row>
    <row r="958" spans="1:7" x14ac:dyDescent="0.25">
      <c r="A958" s="1392" t="s">
        <v>2576</v>
      </c>
      <c r="B958" s="1392" t="s">
        <v>1158</v>
      </c>
      <c r="C958" s="1392" t="s">
        <v>1846</v>
      </c>
      <c r="D958" s="1392" t="s">
        <v>1847</v>
      </c>
      <c r="E958" s="1392" t="s">
        <v>1885</v>
      </c>
      <c r="F958" s="1392" t="s">
        <v>1887</v>
      </c>
      <c r="G958" s="1391">
        <v>8050000</v>
      </c>
    </row>
    <row r="959" spans="1:7" x14ac:dyDescent="0.25">
      <c r="A959" s="1392" t="s">
        <v>2576</v>
      </c>
      <c r="B959" s="1392" t="s">
        <v>1158</v>
      </c>
      <c r="C959" s="1392" t="s">
        <v>1846</v>
      </c>
      <c r="D959" s="1392" t="s">
        <v>1847</v>
      </c>
      <c r="E959" s="1392" t="s">
        <v>1885</v>
      </c>
      <c r="F959" s="1392" t="s">
        <v>1888</v>
      </c>
      <c r="G959" s="1391">
        <v>3805000</v>
      </c>
    </row>
    <row r="960" spans="1:7" x14ac:dyDescent="0.25">
      <c r="A960" s="1392" t="s">
        <v>2576</v>
      </c>
      <c r="B960" s="1392" t="s">
        <v>1158</v>
      </c>
      <c r="C960" s="1392" t="s">
        <v>1846</v>
      </c>
      <c r="D960" s="1392" t="s">
        <v>1847</v>
      </c>
      <c r="E960" s="4536" t="s">
        <v>1889</v>
      </c>
      <c r="F960" s="4538"/>
      <c r="G960" s="1391">
        <v>13904200</v>
      </c>
    </row>
    <row r="961" spans="1:7" x14ac:dyDescent="0.25">
      <c r="A961" s="1392" t="s">
        <v>2576</v>
      </c>
      <c r="B961" s="1392" t="s">
        <v>1158</v>
      </c>
      <c r="C961" s="1392" t="s">
        <v>1846</v>
      </c>
      <c r="D961" s="1392" t="s">
        <v>1847</v>
      </c>
      <c r="E961" s="1392" t="s">
        <v>1889</v>
      </c>
      <c r="F961" s="1392" t="s">
        <v>1921</v>
      </c>
      <c r="G961" s="1391">
        <v>918018</v>
      </c>
    </row>
    <row r="962" spans="1:7" x14ac:dyDescent="0.25">
      <c r="A962" s="1392" t="s">
        <v>2576</v>
      </c>
      <c r="B962" s="1392" t="s">
        <v>1158</v>
      </c>
      <c r="C962" s="1392" t="s">
        <v>1846</v>
      </c>
      <c r="D962" s="1392" t="s">
        <v>1847</v>
      </c>
      <c r="E962" s="1392" t="s">
        <v>1889</v>
      </c>
      <c r="F962" s="1392" t="s">
        <v>1890</v>
      </c>
      <c r="G962" s="1391">
        <v>7750000</v>
      </c>
    </row>
    <row r="963" spans="1:7" x14ac:dyDescent="0.25">
      <c r="A963" s="1392" t="s">
        <v>2576</v>
      </c>
      <c r="B963" s="1392" t="s">
        <v>1158</v>
      </c>
      <c r="C963" s="1392" t="s">
        <v>1846</v>
      </c>
      <c r="D963" s="1392" t="s">
        <v>1847</v>
      </c>
      <c r="E963" s="1392" t="s">
        <v>1889</v>
      </c>
      <c r="F963" s="1392" t="s">
        <v>1891</v>
      </c>
      <c r="G963" s="1391">
        <v>400000</v>
      </c>
    </row>
    <row r="964" spans="1:7" x14ac:dyDescent="0.25">
      <c r="A964" s="1392" t="s">
        <v>2576</v>
      </c>
      <c r="B964" s="1392" t="s">
        <v>1158</v>
      </c>
      <c r="C964" s="1392" t="s">
        <v>1846</v>
      </c>
      <c r="D964" s="1392" t="s">
        <v>1847</v>
      </c>
      <c r="E964" s="1392" t="s">
        <v>1889</v>
      </c>
      <c r="F964" s="1392" t="s">
        <v>1922</v>
      </c>
      <c r="G964" s="1391">
        <v>4836182</v>
      </c>
    </row>
    <row r="965" spans="1:7" x14ac:dyDescent="0.25">
      <c r="A965" s="1392" t="s">
        <v>2576</v>
      </c>
      <c r="B965" s="1392" t="s">
        <v>1158</v>
      </c>
      <c r="C965" s="1392" t="s">
        <v>1846</v>
      </c>
      <c r="D965" s="1392" t="s">
        <v>1847</v>
      </c>
      <c r="E965" s="4536" t="s">
        <v>1896</v>
      </c>
      <c r="F965" s="4538"/>
      <c r="G965" s="1391">
        <v>3250000</v>
      </c>
    </row>
    <row r="966" spans="1:7" x14ac:dyDescent="0.25">
      <c r="A966" s="1392" t="s">
        <v>2576</v>
      </c>
      <c r="B966" s="1392" t="s">
        <v>1158</v>
      </c>
      <c r="C966" s="1392" t="s">
        <v>1846</v>
      </c>
      <c r="D966" s="1392" t="s">
        <v>1847</v>
      </c>
      <c r="E966" s="1392" t="s">
        <v>1896</v>
      </c>
      <c r="F966" s="1392" t="s">
        <v>1900</v>
      </c>
      <c r="G966" s="1391">
        <v>3250000</v>
      </c>
    </row>
    <row r="967" spans="1:7" x14ac:dyDescent="0.25">
      <c r="A967" s="1392" t="s">
        <v>2576</v>
      </c>
      <c r="B967" s="1392" t="s">
        <v>1158</v>
      </c>
      <c r="C967" s="1392" t="s">
        <v>1846</v>
      </c>
      <c r="D967" s="1392" t="s">
        <v>1847</v>
      </c>
      <c r="E967" s="4536" t="s">
        <v>1906</v>
      </c>
      <c r="F967" s="4538"/>
      <c r="G967" s="1391">
        <v>14910000</v>
      </c>
    </row>
    <row r="968" spans="1:7" x14ac:dyDescent="0.25">
      <c r="A968" s="1392" t="s">
        <v>2576</v>
      </c>
      <c r="B968" s="1392" t="s">
        <v>1158</v>
      </c>
      <c r="C968" s="1392" t="s">
        <v>1846</v>
      </c>
      <c r="D968" s="1392" t="s">
        <v>1847</v>
      </c>
      <c r="E968" s="1392" t="s">
        <v>1906</v>
      </c>
      <c r="F968" s="1392" t="s">
        <v>1908</v>
      </c>
      <c r="G968" s="1391">
        <v>14910000</v>
      </c>
    </row>
    <row r="969" spans="1:7" x14ac:dyDescent="0.25">
      <c r="A969" s="1392" t="s">
        <v>2576</v>
      </c>
      <c r="B969" s="1392" t="s">
        <v>1158</v>
      </c>
      <c r="C969" s="1392" t="s">
        <v>1846</v>
      </c>
      <c r="D969" s="1392" t="s">
        <v>1847</v>
      </c>
      <c r="E969" s="4536" t="s">
        <v>1912</v>
      </c>
      <c r="F969" s="4538"/>
      <c r="G969" s="1391">
        <v>27728650</v>
      </c>
    </row>
    <row r="970" spans="1:7" x14ac:dyDescent="0.25">
      <c r="A970" s="1392" t="s">
        <v>2576</v>
      </c>
      <c r="B970" s="1392" t="s">
        <v>1158</v>
      </c>
      <c r="C970" s="1392" t="s">
        <v>1846</v>
      </c>
      <c r="D970" s="1392" t="s">
        <v>1847</v>
      </c>
      <c r="E970" s="1392" t="s">
        <v>1912</v>
      </c>
      <c r="F970" s="1392" t="s">
        <v>1915</v>
      </c>
      <c r="G970" s="1391">
        <v>5200000</v>
      </c>
    </row>
    <row r="971" spans="1:7" x14ac:dyDescent="0.25">
      <c r="A971" s="1392" t="s">
        <v>2576</v>
      </c>
      <c r="B971" s="1392" t="s">
        <v>1158</v>
      </c>
      <c r="C971" s="1392" t="s">
        <v>1846</v>
      </c>
      <c r="D971" s="1392" t="s">
        <v>1847</v>
      </c>
      <c r="E971" s="1392" t="s">
        <v>1912</v>
      </c>
      <c r="F971" s="1392" t="s">
        <v>1916</v>
      </c>
      <c r="G971" s="1391">
        <v>22528650</v>
      </c>
    </row>
    <row r="972" spans="1:7" x14ac:dyDescent="0.25">
      <c r="A972" s="1392" t="s">
        <v>2576</v>
      </c>
      <c r="B972" s="1392" t="s">
        <v>1158</v>
      </c>
      <c r="C972" s="1392" t="s">
        <v>1846</v>
      </c>
      <c r="D972" s="1392" t="s">
        <v>1847</v>
      </c>
      <c r="E972" s="4536" t="s">
        <v>1983</v>
      </c>
      <c r="F972" s="4538"/>
      <c r="G972" s="1391">
        <v>3600000</v>
      </c>
    </row>
    <row r="973" spans="1:7" x14ac:dyDescent="0.25">
      <c r="A973" s="1392" t="s">
        <v>2576</v>
      </c>
      <c r="B973" s="1392" t="s">
        <v>1158</v>
      </c>
      <c r="C973" s="1392" t="s">
        <v>1846</v>
      </c>
      <c r="D973" s="1392" t="s">
        <v>1847</v>
      </c>
      <c r="E973" s="1392" t="s">
        <v>1983</v>
      </c>
      <c r="F973" s="1392" t="s">
        <v>2240</v>
      </c>
      <c r="G973" s="1391">
        <v>3600000</v>
      </c>
    </row>
    <row r="974" spans="1:7" x14ac:dyDescent="0.25">
      <c r="A974" s="1392" t="s">
        <v>2576</v>
      </c>
      <c r="B974" s="4536" t="s">
        <v>1826</v>
      </c>
      <c r="C974" s="4537"/>
      <c r="D974" s="4537"/>
      <c r="E974" s="4537"/>
      <c r="F974" s="4538"/>
      <c r="G974" s="1391">
        <v>8583395946</v>
      </c>
    </row>
    <row r="975" spans="1:7" x14ac:dyDescent="0.25">
      <c r="A975" s="1392" t="s">
        <v>2576</v>
      </c>
      <c r="B975" s="1392" t="s">
        <v>1826</v>
      </c>
      <c r="C975" s="4536" t="s">
        <v>1846</v>
      </c>
      <c r="D975" s="4537"/>
      <c r="E975" s="4537"/>
      <c r="F975" s="4538"/>
      <c r="G975" s="1391">
        <v>8583395946</v>
      </c>
    </row>
    <row r="976" spans="1:7" x14ac:dyDescent="0.25">
      <c r="A976" s="1392" t="s">
        <v>2576</v>
      </c>
      <c r="B976" s="1392" t="s">
        <v>1826</v>
      </c>
      <c r="C976" s="1392" t="s">
        <v>1846</v>
      </c>
      <c r="D976" s="4536" t="s">
        <v>1979</v>
      </c>
      <c r="E976" s="4537"/>
      <c r="F976" s="4538"/>
      <c r="G976" s="1391">
        <v>8583395946</v>
      </c>
    </row>
    <row r="977" spans="1:7" x14ac:dyDescent="0.25">
      <c r="A977" s="1392" t="s">
        <v>2576</v>
      </c>
      <c r="B977" s="1392" t="s">
        <v>1826</v>
      </c>
      <c r="C977" s="1392" t="s">
        <v>1846</v>
      </c>
      <c r="D977" s="1392" t="s">
        <v>1979</v>
      </c>
      <c r="E977" s="4536" t="s">
        <v>1848</v>
      </c>
      <c r="F977" s="4538"/>
      <c r="G977" s="1391">
        <v>1962004743</v>
      </c>
    </row>
    <row r="978" spans="1:7" x14ac:dyDescent="0.25">
      <c r="A978" s="1392" t="s">
        <v>2576</v>
      </c>
      <c r="B978" s="1392" t="s">
        <v>1826</v>
      </c>
      <c r="C978" s="1392" t="s">
        <v>1846</v>
      </c>
      <c r="D978" s="1392" t="s">
        <v>1979</v>
      </c>
      <c r="E978" s="1392" t="s">
        <v>1848</v>
      </c>
      <c r="F978" s="1392" t="s">
        <v>1849</v>
      </c>
      <c r="G978" s="1391">
        <v>1851106142</v>
      </c>
    </row>
    <row r="979" spans="1:7" x14ac:dyDescent="0.25">
      <c r="A979" s="1392" t="s">
        <v>2576</v>
      </c>
      <c r="B979" s="1392" t="s">
        <v>1826</v>
      </c>
      <c r="C979" s="1392" t="s">
        <v>1846</v>
      </c>
      <c r="D979" s="1392" t="s">
        <v>1979</v>
      </c>
      <c r="E979" s="1392" t="s">
        <v>1848</v>
      </c>
      <c r="F979" s="1392" t="s">
        <v>1850</v>
      </c>
      <c r="G979" s="1391">
        <v>110898601</v>
      </c>
    </row>
    <row r="980" spans="1:7" x14ac:dyDescent="0.25">
      <c r="A980" s="1392" t="s">
        <v>2576</v>
      </c>
      <c r="B980" s="1392" t="s">
        <v>1826</v>
      </c>
      <c r="C980" s="1392" t="s">
        <v>1846</v>
      </c>
      <c r="D980" s="1392" t="s">
        <v>1979</v>
      </c>
      <c r="E980" s="4536" t="s">
        <v>1853</v>
      </c>
      <c r="F980" s="4538"/>
      <c r="G980" s="1391">
        <v>1827540109</v>
      </c>
    </row>
    <row r="981" spans="1:7" x14ac:dyDescent="0.25">
      <c r="A981" s="1392" t="s">
        <v>2576</v>
      </c>
      <c r="B981" s="1392" t="s">
        <v>1826</v>
      </c>
      <c r="C981" s="1392" t="s">
        <v>1846</v>
      </c>
      <c r="D981" s="1392" t="s">
        <v>1979</v>
      </c>
      <c r="E981" s="1392" t="s">
        <v>1853</v>
      </c>
      <c r="F981" s="1392" t="s">
        <v>1854</v>
      </c>
      <c r="G981" s="1391">
        <v>104001988</v>
      </c>
    </row>
    <row r="982" spans="1:7" x14ac:dyDescent="0.25">
      <c r="A982" s="1392" t="s">
        <v>2576</v>
      </c>
      <c r="B982" s="1392" t="s">
        <v>1826</v>
      </c>
      <c r="C982" s="1392" t="s">
        <v>1846</v>
      </c>
      <c r="D982" s="1392" t="s">
        <v>1979</v>
      </c>
      <c r="E982" s="1392" t="s">
        <v>1853</v>
      </c>
      <c r="F982" s="1392" t="s">
        <v>1855</v>
      </c>
      <c r="G982" s="1391">
        <v>248762273</v>
      </c>
    </row>
    <row r="983" spans="1:7" x14ac:dyDescent="0.25">
      <c r="A983" s="1392" t="s">
        <v>2576</v>
      </c>
      <c r="B983" s="1392" t="s">
        <v>1826</v>
      </c>
      <c r="C983" s="1392" t="s">
        <v>1846</v>
      </c>
      <c r="D983" s="1392" t="s">
        <v>1979</v>
      </c>
      <c r="E983" s="1392" t="s">
        <v>1853</v>
      </c>
      <c r="F983" s="1392" t="s">
        <v>1856</v>
      </c>
      <c r="G983" s="1391">
        <v>78516863</v>
      </c>
    </row>
    <row r="984" spans="1:7" x14ac:dyDescent="0.25">
      <c r="A984" s="1392" t="s">
        <v>2576</v>
      </c>
      <c r="B984" s="1392" t="s">
        <v>1826</v>
      </c>
      <c r="C984" s="1392" t="s">
        <v>1846</v>
      </c>
      <c r="D984" s="1392" t="s">
        <v>1979</v>
      </c>
      <c r="E984" s="1392" t="s">
        <v>1853</v>
      </c>
      <c r="F984" s="1392" t="s">
        <v>1937</v>
      </c>
      <c r="G984" s="1391">
        <v>59182800</v>
      </c>
    </row>
    <row r="985" spans="1:7" x14ac:dyDescent="0.25">
      <c r="A985" s="1392" t="s">
        <v>2576</v>
      </c>
      <c r="B985" s="1392" t="s">
        <v>1826</v>
      </c>
      <c r="C985" s="1392" t="s">
        <v>1846</v>
      </c>
      <c r="D985" s="1392" t="s">
        <v>1979</v>
      </c>
      <c r="E985" s="1392" t="s">
        <v>1853</v>
      </c>
      <c r="F985" s="1392" t="s">
        <v>1858</v>
      </c>
      <c r="G985" s="1391">
        <v>87835500</v>
      </c>
    </row>
    <row r="986" spans="1:7" x14ac:dyDescent="0.25">
      <c r="A986" s="1392" t="s">
        <v>2576</v>
      </c>
      <c r="B986" s="1392" t="s">
        <v>1826</v>
      </c>
      <c r="C986" s="1392" t="s">
        <v>1846</v>
      </c>
      <c r="D986" s="1392" t="s">
        <v>1979</v>
      </c>
      <c r="E986" s="1392" t="s">
        <v>1853</v>
      </c>
      <c r="F986" s="1392" t="s">
        <v>1929</v>
      </c>
      <c r="G986" s="1391">
        <v>38952290</v>
      </c>
    </row>
    <row r="987" spans="1:7" x14ac:dyDescent="0.25">
      <c r="A987" s="1392" t="s">
        <v>2576</v>
      </c>
      <c r="B987" s="1392" t="s">
        <v>1826</v>
      </c>
      <c r="C987" s="1392" t="s">
        <v>1846</v>
      </c>
      <c r="D987" s="1392" t="s">
        <v>1979</v>
      </c>
      <c r="E987" s="1392" t="s">
        <v>1853</v>
      </c>
      <c r="F987" s="1392" t="s">
        <v>1953</v>
      </c>
      <c r="G987" s="1391">
        <v>95280082</v>
      </c>
    </row>
    <row r="988" spans="1:7" x14ac:dyDescent="0.25">
      <c r="A988" s="1392" t="s">
        <v>2576</v>
      </c>
      <c r="B988" s="1392" t="s">
        <v>1826</v>
      </c>
      <c r="C988" s="1392" t="s">
        <v>1846</v>
      </c>
      <c r="D988" s="1392" t="s">
        <v>1979</v>
      </c>
      <c r="E988" s="1392" t="s">
        <v>1853</v>
      </c>
      <c r="F988" s="1392" t="s">
        <v>1977</v>
      </c>
      <c r="G988" s="1391">
        <v>542148690</v>
      </c>
    </row>
    <row r="989" spans="1:7" x14ac:dyDescent="0.25">
      <c r="A989" s="1392" t="s">
        <v>2576</v>
      </c>
      <c r="B989" s="1392" t="s">
        <v>1826</v>
      </c>
      <c r="C989" s="1392" t="s">
        <v>1846</v>
      </c>
      <c r="D989" s="1392" t="s">
        <v>1979</v>
      </c>
      <c r="E989" s="1392" t="s">
        <v>1853</v>
      </c>
      <c r="F989" s="1392" t="s">
        <v>1859</v>
      </c>
      <c r="G989" s="1391">
        <v>517252823</v>
      </c>
    </row>
    <row r="990" spans="1:7" x14ac:dyDescent="0.25">
      <c r="A990" s="1392" t="s">
        <v>2576</v>
      </c>
      <c r="B990" s="1392" t="s">
        <v>1826</v>
      </c>
      <c r="C990" s="1392" t="s">
        <v>1846</v>
      </c>
      <c r="D990" s="1392" t="s">
        <v>1979</v>
      </c>
      <c r="E990" s="1392" t="s">
        <v>1853</v>
      </c>
      <c r="F990" s="1392" t="s">
        <v>1939</v>
      </c>
      <c r="G990" s="1391">
        <v>55606800</v>
      </c>
    </row>
    <row r="991" spans="1:7" x14ac:dyDescent="0.25">
      <c r="A991" s="1392" t="s">
        <v>2576</v>
      </c>
      <c r="B991" s="1392" t="s">
        <v>1826</v>
      </c>
      <c r="C991" s="1392" t="s">
        <v>1846</v>
      </c>
      <c r="D991" s="1392" t="s">
        <v>1979</v>
      </c>
      <c r="E991" s="4536" t="s">
        <v>1940</v>
      </c>
      <c r="F991" s="4538"/>
      <c r="G991" s="1391">
        <v>1350000</v>
      </c>
    </row>
    <row r="992" spans="1:7" x14ac:dyDescent="0.25">
      <c r="A992" s="1392" t="s">
        <v>2576</v>
      </c>
      <c r="B992" s="1392" t="s">
        <v>1826</v>
      </c>
      <c r="C992" s="1392" t="s">
        <v>1846</v>
      </c>
      <c r="D992" s="1392" t="s">
        <v>1979</v>
      </c>
      <c r="E992" s="1392" t="s">
        <v>1940</v>
      </c>
      <c r="F992" s="1392" t="s">
        <v>1967</v>
      </c>
      <c r="G992" s="1391">
        <v>1350000</v>
      </c>
    </row>
    <row r="993" spans="1:7" x14ac:dyDescent="0.25">
      <c r="A993" s="1392" t="s">
        <v>2576</v>
      </c>
      <c r="B993" s="1392" t="s">
        <v>1826</v>
      </c>
      <c r="C993" s="1392" t="s">
        <v>1846</v>
      </c>
      <c r="D993" s="1392" t="s">
        <v>1979</v>
      </c>
      <c r="E993" s="4536" t="s">
        <v>1860</v>
      </c>
      <c r="F993" s="4538"/>
      <c r="G993" s="1391">
        <v>65930000</v>
      </c>
    </row>
    <row r="994" spans="1:7" x14ac:dyDescent="0.25">
      <c r="A994" s="1392" t="s">
        <v>2576</v>
      </c>
      <c r="B994" s="1392" t="s">
        <v>1826</v>
      </c>
      <c r="C994" s="1392" t="s">
        <v>1846</v>
      </c>
      <c r="D994" s="1392" t="s">
        <v>1979</v>
      </c>
      <c r="E994" s="1392" t="s">
        <v>1860</v>
      </c>
      <c r="F994" s="1392" t="s">
        <v>1861</v>
      </c>
      <c r="G994" s="1391">
        <v>48380000</v>
      </c>
    </row>
    <row r="995" spans="1:7" x14ac:dyDescent="0.25">
      <c r="A995" s="1392" t="s">
        <v>2576</v>
      </c>
      <c r="B995" s="1392" t="s">
        <v>1826</v>
      </c>
      <c r="C995" s="1392" t="s">
        <v>1846</v>
      </c>
      <c r="D995" s="1392" t="s">
        <v>1979</v>
      </c>
      <c r="E995" s="1392" t="s">
        <v>1860</v>
      </c>
      <c r="F995" s="1392" t="s">
        <v>1930</v>
      </c>
      <c r="G995" s="1391">
        <v>17550000</v>
      </c>
    </row>
    <row r="996" spans="1:7" x14ac:dyDescent="0.25">
      <c r="A996" s="1392" t="s">
        <v>2576</v>
      </c>
      <c r="B996" s="1392" t="s">
        <v>1826</v>
      </c>
      <c r="C996" s="1392" t="s">
        <v>1846</v>
      </c>
      <c r="D996" s="1392" t="s">
        <v>1979</v>
      </c>
      <c r="E996" s="4536" t="s">
        <v>1943</v>
      </c>
      <c r="F996" s="4538"/>
      <c r="G996" s="1391">
        <v>4898000</v>
      </c>
    </row>
    <row r="997" spans="1:7" x14ac:dyDescent="0.25">
      <c r="A997" s="1392" t="s">
        <v>2576</v>
      </c>
      <c r="B997" s="1392" t="s">
        <v>1826</v>
      </c>
      <c r="C997" s="1392" t="s">
        <v>1846</v>
      </c>
      <c r="D997" s="1392" t="s">
        <v>1979</v>
      </c>
      <c r="E997" s="1392" t="s">
        <v>1943</v>
      </c>
      <c r="F997" s="1392" t="s">
        <v>1980</v>
      </c>
      <c r="G997" s="1391">
        <v>4898000</v>
      </c>
    </row>
    <row r="998" spans="1:7" x14ac:dyDescent="0.25">
      <c r="A998" s="1392" t="s">
        <v>2576</v>
      </c>
      <c r="B998" s="1392" t="s">
        <v>1826</v>
      </c>
      <c r="C998" s="1392" t="s">
        <v>1846</v>
      </c>
      <c r="D998" s="1392" t="s">
        <v>1979</v>
      </c>
      <c r="E998" s="4536" t="s">
        <v>1862</v>
      </c>
      <c r="F998" s="4538"/>
      <c r="G998" s="1391">
        <v>475082832</v>
      </c>
    </row>
    <row r="999" spans="1:7" x14ac:dyDescent="0.25">
      <c r="A999" s="1392" t="s">
        <v>2576</v>
      </c>
      <c r="B999" s="1392" t="s">
        <v>1826</v>
      </c>
      <c r="C999" s="1392" t="s">
        <v>1846</v>
      </c>
      <c r="D999" s="1392" t="s">
        <v>1979</v>
      </c>
      <c r="E999" s="1392" t="s">
        <v>1862</v>
      </c>
      <c r="F999" s="1392" t="s">
        <v>1863</v>
      </c>
      <c r="G999" s="1391">
        <v>368345946</v>
      </c>
    </row>
    <row r="1000" spans="1:7" x14ac:dyDescent="0.25">
      <c r="A1000" s="1392" t="s">
        <v>2576</v>
      </c>
      <c r="B1000" s="1392" t="s">
        <v>1826</v>
      </c>
      <c r="C1000" s="1392" t="s">
        <v>1846</v>
      </c>
      <c r="D1000" s="1392" t="s">
        <v>1979</v>
      </c>
      <c r="E1000" s="1392" t="s">
        <v>1862</v>
      </c>
      <c r="F1000" s="1392" t="s">
        <v>1864</v>
      </c>
      <c r="G1000" s="1391">
        <v>63413208</v>
      </c>
    </row>
    <row r="1001" spans="1:7" x14ac:dyDescent="0.25">
      <c r="A1001" s="1392" t="s">
        <v>2576</v>
      </c>
      <c r="B1001" s="1392" t="s">
        <v>1826</v>
      </c>
      <c r="C1001" s="1392" t="s">
        <v>1846</v>
      </c>
      <c r="D1001" s="1392" t="s">
        <v>1979</v>
      </c>
      <c r="E1001" s="1392" t="s">
        <v>1862</v>
      </c>
      <c r="F1001" s="1392" t="s">
        <v>1865</v>
      </c>
      <c r="G1001" s="1391">
        <v>42096216</v>
      </c>
    </row>
    <row r="1002" spans="1:7" x14ac:dyDescent="0.25">
      <c r="A1002" s="1392" t="s">
        <v>2576</v>
      </c>
      <c r="B1002" s="1392" t="s">
        <v>1826</v>
      </c>
      <c r="C1002" s="1392" t="s">
        <v>1846</v>
      </c>
      <c r="D1002" s="1392" t="s">
        <v>1979</v>
      </c>
      <c r="E1002" s="1392" t="s">
        <v>1862</v>
      </c>
      <c r="F1002" s="1392" t="s">
        <v>1866</v>
      </c>
      <c r="G1002" s="1391">
        <v>1227462</v>
      </c>
    </row>
    <row r="1003" spans="1:7" x14ac:dyDescent="0.25">
      <c r="A1003" s="1392" t="s">
        <v>2576</v>
      </c>
      <c r="B1003" s="1392" t="s">
        <v>1826</v>
      </c>
      <c r="C1003" s="1392" t="s">
        <v>1846</v>
      </c>
      <c r="D1003" s="1392" t="s">
        <v>1979</v>
      </c>
      <c r="E1003" s="4536" t="s">
        <v>1867</v>
      </c>
      <c r="F1003" s="4538"/>
      <c r="G1003" s="1391">
        <v>265133779</v>
      </c>
    </row>
    <row r="1004" spans="1:7" x14ac:dyDescent="0.25">
      <c r="A1004" s="1392" t="s">
        <v>2576</v>
      </c>
      <c r="B1004" s="1392" t="s">
        <v>1826</v>
      </c>
      <c r="C1004" s="1392" t="s">
        <v>1846</v>
      </c>
      <c r="D1004" s="1392" t="s">
        <v>1979</v>
      </c>
      <c r="E1004" s="1392" t="s">
        <v>1867</v>
      </c>
      <c r="F1004" s="1392" t="s">
        <v>1946</v>
      </c>
      <c r="G1004" s="1391">
        <v>10767000</v>
      </c>
    </row>
    <row r="1005" spans="1:7" x14ac:dyDescent="0.25">
      <c r="A1005" s="1392" t="s">
        <v>2576</v>
      </c>
      <c r="B1005" s="1392" t="s">
        <v>1826</v>
      </c>
      <c r="C1005" s="1392" t="s">
        <v>1846</v>
      </c>
      <c r="D1005" s="1392" t="s">
        <v>1979</v>
      </c>
      <c r="E1005" s="1392" t="s">
        <v>1867</v>
      </c>
      <c r="F1005" s="1392" t="s">
        <v>1868</v>
      </c>
      <c r="G1005" s="1391">
        <v>236406779</v>
      </c>
    </row>
    <row r="1006" spans="1:7" x14ac:dyDescent="0.25">
      <c r="A1006" s="1392" t="s">
        <v>2576</v>
      </c>
      <c r="B1006" s="1392" t="s">
        <v>1826</v>
      </c>
      <c r="C1006" s="1392" t="s">
        <v>1846</v>
      </c>
      <c r="D1006" s="1392" t="s">
        <v>1979</v>
      </c>
      <c r="E1006" s="1392" t="s">
        <v>1867</v>
      </c>
      <c r="F1006" s="1392" t="s">
        <v>1947</v>
      </c>
      <c r="G1006" s="1391">
        <v>17960000</v>
      </c>
    </row>
    <row r="1007" spans="1:7" x14ac:dyDescent="0.25">
      <c r="A1007" s="1392" t="s">
        <v>2576</v>
      </c>
      <c r="B1007" s="1392" t="s">
        <v>1826</v>
      </c>
      <c r="C1007" s="1392" t="s">
        <v>1846</v>
      </c>
      <c r="D1007" s="1392" t="s">
        <v>1979</v>
      </c>
      <c r="E1007" s="4536" t="s">
        <v>1869</v>
      </c>
      <c r="F1007" s="4538"/>
      <c r="G1007" s="1391">
        <v>270321930</v>
      </c>
    </row>
    <row r="1008" spans="1:7" x14ac:dyDescent="0.25">
      <c r="A1008" s="1392" t="s">
        <v>2576</v>
      </c>
      <c r="B1008" s="1392" t="s">
        <v>1826</v>
      </c>
      <c r="C1008" s="1392" t="s">
        <v>1846</v>
      </c>
      <c r="D1008" s="1392" t="s">
        <v>1979</v>
      </c>
      <c r="E1008" s="1392" t="s">
        <v>1869</v>
      </c>
      <c r="F1008" s="1392" t="s">
        <v>1870</v>
      </c>
      <c r="G1008" s="1391">
        <v>45119100</v>
      </c>
    </row>
    <row r="1009" spans="1:7" x14ac:dyDescent="0.25">
      <c r="A1009" s="1392" t="s">
        <v>2576</v>
      </c>
      <c r="B1009" s="1392" t="s">
        <v>1826</v>
      </c>
      <c r="C1009" s="1392" t="s">
        <v>1846</v>
      </c>
      <c r="D1009" s="1392" t="s">
        <v>1979</v>
      </c>
      <c r="E1009" s="1392" t="s">
        <v>1869</v>
      </c>
      <c r="F1009" s="1392" t="s">
        <v>1871</v>
      </c>
      <c r="G1009" s="1391">
        <v>54530300</v>
      </c>
    </row>
    <row r="1010" spans="1:7" x14ac:dyDescent="0.25">
      <c r="A1010" s="1392" t="s">
        <v>2576</v>
      </c>
      <c r="B1010" s="1392" t="s">
        <v>1826</v>
      </c>
      <c r="C1010" s="1392" t="s">
        <v>1846</v>
      </c>
      <c r="D1010" s="1392" t="s">
        <v>1979</v>
      </c>
      <c r="E1010" s="1392" t="s">
        <v>1869</v>
      </c>
      <c r="F1010" s="1392" t="s">
        <v>1872</v>
      </c>
      <c r="G1010" s="1391">
        <v>169352530</v>
      </c>
    </row>
    <row r="1011" spans="1:7" x14ac:dyDescent="0.25">
      <c r="A1011" s="1392" t="s">
        <v>2576</v>
      </c>
      <c r="B1011" s="1392" t="s">
        <v>1826</v>
      </c>
      <c r="C1011" s="1392" t="s">
        <v>1846</v>
      </c>
      <c r="D1011" s="1392" t="s">
        <v>1979</v>
      </c>
      <c r="E1011" s="1392" t="s">
        <v>1869</v>
      </c>
      <c r="F1011" s="1392" t="s">
        <v>1873</v>
      </c>
      <c r="G1011" s="1391">
        <v>1320000</v>
      </c>
    </row>
    <row r="1012" spans="1:7" x14ac:dyDescent="0.25">
      <c r="A1012" s="1392" t="s">
        <v>2576</v>
      </c>
      <c r="B1012" s="1392" t="s">
        <v>1826</v>
      </c>
      <c r="C1012" s="1392" t="s">
        <v>1846</v>
      </c>
      <c r="D1012" s="1392" t="s">
        <v>1979</v>
      </c>
      <c r="E1012" s="4536" t="s">
        <v>1874</v>
      </c>
      <c r="F1012" s="4538"/>
      <c r="G1012" s="1391">
        <v>113730625</v>
      </c>
    </row>
    <row r="1013" spans="1:7" x14ac:dyDescent="0.25">
      <c r="A1013" s="1392" t="s">
        <v>2576</v>
      </c>
      <c r="B1013" s="1392" t="s">
        <v>1826</v>
      </c>
      <c r="C1013" s="1392" t="s">
        <v>1846</v>
      </c>
      <c r="D1013" s="1392" t="s">
        <v>1979</v>
      </c>
      <c r="E1013" s="1392" t="s">
        <v>1874</v>
      </c>
      <c r="F1013" s="1392" t="s">
        <v>1875</v>
      </c>
      <c r="G1013" s="1391">
        <v>92665000</v>
      </c>
    </row>
    <row r="1014" spans="1:7" x14ac:dyDescent="0.25">
      <c r="A1014" s="1392" t="s">
        <v>2576</v>
      </c>
      <c r="B1014" s="1392" t="s">
        <v>1826</v>
      </c>
      <c r="C1014" s="1392" t="s">
        <v>1846</v>
      </c>
      <c r="D1014" s="1392" t="s">
        <v>1979</v>
      </c>
      <c r="E1014" s="1392" t="s">
        <v>1874</v>
      </c>
      <c r="F1014" s="1392" t="s">
        <v>1876</v>
      </c>
      <c r="G1014" s="1391">
        <v>3000000</v>
      </c>
    </row>
    <row r="1015" spans="1:7" x14ac:dyDescent="0.25">
      <c r="A1015" s="1392" t="s">
        <v>2576</v>
      </c>
      <c r="B1015" s="1392" t="s">
        <v>1826</v>
      </c>
      <c r="C1015" s="1392" t="s">
        <v>1846</v>
      </c>
      <c r="D1015" s="1392" t="s">
        <v>1979</v>
      </c>
      <c r="E1015" s="1392" t="s">
        <v>1874</v>
      </c>
      <c r="F1015" s="1392" t="s">
        <v>1877</v>
      </c>
      <c r="G1015" s="1391">
        <v>18065625</v>
      </c>
    </row>
    <row r="1016" spans="1:7" x14ac:dyDescent="0.25">
      <c r="A1016" s="1392" t="s">
        <v>2576</v>
      </c>
      <c r="B1016" s="1392" t="s">
        <v>1826</v>
      </c>
      <c r="C1016" s="1392" t="s">
        <v>1846</v>
      </c>
      <c r="D1016" s="1392" t="s">
        <v>1979</v>
      </c>
      <c r="E1016" s="4536" t="s">
        <v>1878</v>
      </c>
      <c r="F1016" s="4538"/>
      <c r="G1016" s="1391">
        <v>100112900</v>
      </c>
    </row>
    <row r="1017" spans="1:7" x14ac:dyDescent="0.25">
      <c r="A1017" s="1392" t="s">
        <v>2576</v>
      </c>
      <c r="B1017" s="1392" t="s">
        <v>1826</v>
      </c>
      <c r="C1017" s="1392" t="s">
        <v>1846</v>
      </c>
      <c r="D1017" s="1392" t="s">
        <v>1979</v>
      </c>
      <c r="E1017" s="1392" t="s">
        <v>1878</v>
      </c>
      <c r="F1017" s="1392" t="s">
        <v>1879</v>
      </c>
      <c r="G1017" s="1391">
        <v>6200600</v>
      </c>
    </row>
    <row r="1018" spans="1:7" x14ac:dyDescent="0.25">
      <c r="A1018" s="1392" t="s">
        <v>2576</v>
      </c>
      <c r="B1018" s="1392" t="s">
        <v>1826</v>
      </c>
      <c r="C1018" s="1392" t="s">
        <v>1846</v>
      </c>
      <c r="D1018" s="1392" t="s">
        <v>1979</v>
      </c>
      <c r="E1018" s="1392" t="s">
        <v>1878</v>
      </c>
      <c r="F1018" s="1392" t="s">
        <v>1880</v>
      </c>
      <c r="G1018" s="1391">
        <v>32903500</v>
      </c>
    </row>
    <row r="1019" spans="1:7" x14ac:dyDescent="0.25">
      <c r="A1019" s="1392" t="s">
        <v>2576</v>
      </c>
      <c r="B1019" s="1392" t="s">
        <v>1826</v>
      </c>
      <c r="C1019" s="1392" t="s">
        <v>1846</v>
      </c>
      <c r="D1019" s="1392" t="s">
        <v>1979</v>
      </c>
      <c r="E1019" s="1392" t="s">
        <v>1878</v>
      </c>
      <c r="F1019" s="1392" t="s">
        <v>1881</v>
      </c>
      <c r="G1019" s="1391">
        <v>29047600</v>
      </c>
    </row>
    <row r="1020" spans="1:7" x14ac:dyDescent="0.25">
      <c r="A1020" s="1392" t="s">
        <v>2576</v>
      </c>
      <c r="B1020" s="1392" t="s">
        <v>1826</v>
      </c>
      <c r="C1020" s="1392" t="s">
        <v>1846</v>
      </c>
      <c r="D1020" s="1392" t="s">
        <v>1979</v>
      </c>
      <c r="E1020" s="1392" t="s">
        <v>1878</v>
      </c>
      <c r="F1020" s="1392" t="s">
        <v>1883</v>
      </c>
      <c r="G1020" s="1391">
        <v>19821200</v>
      </c>
    </row>
    <row r="1021" spans="1:7" x14ac:dyDescent="0.25">
      <c r="A1021" s="1392" t="s">
        <v>2576</v>
      </c>
      <c r="B1021" s="1392" t="s">
        <v>1826</v>
      </c>
      <c r="C1021" s="1392" t="s">
        <v>1846</v>
      </c>
      <c r="D1021" s="1392" t="s">
        <v>1979</v>
      </c>
      <c r="E1021" s="1392" t="s">
        <v>1878</v>
      </c>
      <c r="F1021" s="1392" t="s">
        <v>1884</v>
      </c>
      <c r="G1021" s="1391">
        <v>6000000</v>
      </c>
    </row>
    <row r="1022" spans="1:7" x14ac:dyDescent="0.25">
      <c r="A1022" s="1392" t="s">
        <v>2576</v>
      </c>
      <c r="B1022" s="1392" t="s">
        <v>1826</v>
      </c>
      <c r="C1022" s="1392" t="s">
        <v>1846</v>
      </c>
      <c r="D1022" s="1392" t="s">
        <v>1979</v>
      </c>
      <c r="E1022" s="1392" t="s">
        <v>1878</v>
      </c>
      <c r="F1022" s="1392" t="s">
        <v>1949</v>
      </c>
      <c r="G1022" s="1391">
        <v>6140000</v>
      </c>
    </row>
    <row r="1023" spans="1:7" x14ac:dyDescent="0.25">
      <c r="A1023" s="1392" t="s">
        <v>2576</v>
      </c>
      <c r="B1023" s="1392" t="s">
        <v>1826</v>
      </c>
      <c r="C1023" s="1392" t="s">
        <v>1846</v>
      </c>
      <c r="D1023" s="1392" t="s">
        <v>1979</v>
      </c>
      <c r="E1023" s="4536" t="s">
        <v>1885</v>
      </c>
      <c r="F1023" s="4538"/>
      <c r="G1023" s="1391">
        <v>206580356</v>
      </c>
    </row>
    <row r="1024" spans="1:7" x14ac:dyDescent="0.25">
      <c r="A1024" s="1392" t="s">
        <v>2576</v>
      </c>
      <c r="B1024" s="1392" t="s">
        <v>1826</v>
      </c>
      <c r="C1024" s="1392" t="s">
        <v>1846</v>
      </c>
      <c r="D1024" s="1392" t="s">
        <v>1979</v>
      </c>
      <c r="E1024" s="1392" t="s">
        <v>1885</v>
      </c>
      <c r="F1024" s="1392" t="s">
        <v>1925</v>
      </c>
      <c r="G1024" s="1391">
        <v>4425000</v>
      </c>
    </row>
    <row r="1025" spans="1:7" x14ac:dyDescent="0.25">
      <c r="A1025" s="1392" t="s">
        <v>2576</v>
      </c>
      <c r="B1025" s="1392" t="s">
        <v>1826</v>
      </c>
      <c r="C1025" s="1392" t="s">
        <v>1846</v>
      </c>
      <c r="D1025" s="1392" t="s">
        <v>1979</v>
      </c>
      <c r="E1025" s="1392" t="s">
        <v>1885</v>
      </c>
      <c r="F1025" s="1392" t="s">
        <v>1886</v>
      </c>
      <c r="G1025" s="1391">
        <v>3080000</v>
      </c>
    </row>
    <row r="1026" spans="1:7" x14ac:dyDescent="0.25">
      <c r="A1026" s="1392" t="s">
        <v>2576</v>
      </c>
      <c r="B1026" s="1392" t="s">
        <v>1826</v>
      </c>
      <c r="C1026" s="1392" t="s">
        <v>1846</v>
      </c>
      <c r="D1026" s="1392" t="s">
        <v>1979</v>
      </c>
      <c r="E1026" s="1392" t="s">
        <v>1885</v>
      </c>
      <c r="F1026" s="1392" t="s">
        <v>1927</v>
      </c>
      <c r="G1026" s="1391">
        <v>2950000</v>
      </c>
    </row>
    <row r="1027" spans="1:7" x14ac:dyDescent="0.25">
      <c r="A1027" s="1392" t="s">
        <v>2576</v>
      </c>
      <c r="B1027" s="1392" t="s">
        <v>1826</v>
      </c>
      <c r="C1027" s="1392" t="s">
        <v>1846</v>
      </c>
      <c r="D1027" s="1392" t="s">
        <v>1979</v>
      </c>
      <c r="E1027" s="1392" t="s">
        <v>1885</v>
      </c>
      <c r="F1027" s="1392" t="s">
        <v>1887</v>
      </c>
      <c r="G1027" s="1391">
        <v>122235000</v>
      </c>
    </row>
    <row r="1028" spans="1:7" x14ac:dyDescent="0.25">
      <c r="A1028" s="1392" t="s">
        <v>2576</v>
      </c>
      <c r="B1028" s="1392" t="s">
        <v>1826</v>
      </c>
      <c r="C1028" s="1392" t="s">
        <v>1846</v>
      </c>
      <c r="D1028" s="1392" t="s">
        <v>1979</v>
      </c>
      <c r="E1028" s="1392" t="s">
        <v>1885</v>
      </c>
      <c r="F1028" s="1392" t="s">
        <v>1888</v>
      </c>
      <c r="G1028" s="1391">
        <v>73890356</v>
      </c>
    </row>
    <row r="1029" spans="1:7" x14ac:dyDescent="0.25">
      <c r="A1029" s="1392" t="s">
        <v>2576</v>
      </c>
      <c r="B1029" s="1392" t="s">
        <v>1826</v>
      </c>
      <c r="C1029" s="1392" t="s">
        <v>1846</v>
      </c>
      <c r="D1029" s="1392" t="s">
        <v>1979</v>
      </c>
      <c r="E1029" s="4536" t="s">
        <v>1889</v>
      </c>
      <c r="F1029" s="4538"/>
      <c r="G1029" s="1391">
        <v>178457000</v>
      </c>
    </row>
    <row r="1030" spans="1:7" x14ac:dyDescent="0.25">
      <c r="A1030" s="1392" t="s">
        <v>2576</v>
      </c>
      <c r="B1030" s="1392" t="s">
        <v>1826</v>
      </c>
      <c r="C1030" s="1392" t="s">
        <v>1846</v>
      </c>
      <c r="D1030" s="1392" t="s">
        <v>1979</v>
      </c>
      <c r="E1030" s="1392" t="s">
        <v>1889</v>
      </c>
      <c r="F1030" s="1392" t="s">
        <v>1890</v>
      </c>
      <c r="G1030" s="1391">
        <v>22968000</v>
      </c>
    </row>
    <row r="1031" spans="1:7" x14ac:dyDescent="0.25">
      <c r="A1031" s="1392" t="s">
        <v>2576</v>
      </c>
      <c r="B1031" s="1392" t="s">
        <v>1826</v>
      </c>
      <c r="C1031" s="1392" t="s">
        <v>1846</v>
      </c>
      <c r="D1031" s="1392" t="s">
        <v>1979</v>
      </c>
      <c r="E1031" s="1392" t="s">
        <v>1889</v>
      </c>
      <c r="F1031" s="1392" t="s">
        <v>1891</v>
      </c>
      <c r="G1031" s="1391">
        <v>15500000</v>
      </c>
    </row>
    <row r="1032" spans="1:7" x14ac:dyDescent="0.25">
      <c r="A1032" s="1392" t="s">
        <v>2576</v>
      </c>
      <c r="B1032" s="1392" t="s">
        <v>1826</v>
      </c>
      <c r="C1032" s="1392" t="s">
        <v>1846</v>
      </c>
      <c r="D1032" s="1392" t="s">
        <v>1979</v>
      </c>
      <c r="E1032" s="1392" t="s">
        <v>1889</v>
      </c>
      <c r="F1032" s="1392" t="s">
        <v>1892</v>
      </c>
      <c r="G1032" s="1391">
        <v>138600000</v>
      </c>
    </row>
    <row r="1033" spans="1:7" x14ac:dyDescent="0.25">
      <c r="A1033" s="1392" t="s">
        <v>2576</v>
      </c>
      <c r="B1033" s="1392" t="s">
        <v>1826</v>
      </c>
      <c r="C1033" s="1392" t="s">
        <v>1846</v>
      </c>
      <c r="D1033" s="1392" t="s">
        <v>1979</v>
      </c>
      <c r="E1033" s="1392" t="s">
        <v>1889</v>
      </c>
      <c r="F1033" s="1392" t="s">
        <v>1922</v>
      </c>
      <c r="G1033" s="1391">
        <v>1389000</v>
      </c>
    </row>
    <row r="1034" spans="1:7" x14ac:dyDescent="0.25">
      <c r="A1034" s="1392" t="s">
        <v>2576</v>
      </c>
      <c r="B1034" s="1392" t="s">
        <v>1826</v>
      </c>
      <c r="C1034" s="1392" t="s">
        <v>1846</v>
      </c>
      <c r="D1034" s="1392" t="s">
        <v>1979</v>
      </c>
      <c r="E1034" s="4536" t="s">
        <v>1893</v>
      </c>
      <c r="F1034" s="4538"/>
      <c r="G1034" s="1391">
        <v>96240000</v>
      </c>
    </row>
    <row r="1035" spans="1:7" x14ac:dyDescent="0.25">
      <c r="A1035" s="1392" t="s">
        <v>2576</v>
      </c>
      <c r="B1035" s="1392" t="s">
        <v>1826</v>
      </c>
      <c r="C1035" s="1392" t="s">
        <v>1846</v>
      </c>
      <c r="D1035" s="1392" t="s">
        <v>1979</v>
      </c>
      <c r="E1035" s="1392" t="s">
        <v>1893</v>
      </c>
      <c r="F1035" s="1392" t="s">
        <v>1894</v>
      </c>
      <c r="G1035" s="1391">
        <v>20100000</v>
      </c>
    </row>
    <row r="1036" spans="1:7" x14ac:dyDescent="0.25">
      <c r="A1036" s="1392" t="s">
        <v>2576</v>
      </c>
      <c r="B1036" s="1392" t="s">
        <v>1826</v>
      </c>
      <c r="C1036" s="1392" t="s">
        <v>1846</v>
      </c>
      <c r="D1036" s="1392" t="s">
        <v>1979</v>
      </c>
      <c r="E1036" s="1392" t="s">
        <v>1893</v>
      </c>
      <c r="F1036" s="1392" t="s">
        <v>1895</v>
      </c>
      <c r="G1036" s="1391">
        <v>76140000</v>
      </c>
    </row>
    <row r="1037" spans="1:7" x14ac:dyDescent="0.25">
      <c r="A1037" s="1392" t="s">
        <v>2576</v>
      </c>
      <c r="B1037" s="1392" t="s">
        <v>1826</v>
      </c>
      <c r="C1037" s="1392" t="s">
        <v>1846</v>
      </c>
      <c r="D1037" s="1392" t="s">
        <v>1979</v>
      </c>
      <c r="E1037" s="4536" t="s">
        <v>1896</v>
      </c>
      <c r="F1037" s="4538"/>
      <c r="G1037" s="1391">
        <v>159113000</v>
      </c>
    </row>
    <row r="1038" spans="1:7" x14ac:dyDescent="0.25">
      <c r="A1038" s="1392" t="s">
        <v>2576</v>
      </c>
      <c r="B1038" s="1392" t="s">
        <v>1826</v>
      </c>
      <c r="C1038" s="1392" t="s">
        <v>1846</v>
      </c>
      <c r="D1038" s="1392" t="s">
        <v>1979</v>
      </c>
      <c r="E1038" s="1392" t="s">
        <v>1896</v>
      </c>
      <c r="F1038" s="1392" t="s">
        <v>1897</v>
      </c>
      <c r="G1038" s="1391">
        <v>30210000</v>
      </c>
    </row>
    <row r="1039" spans="1:7" x14ac:dyDescent="0.25">
      <c r="A1039" s="1392" t="s">
        <v>2576</v>
      </c>
      <c r="B1039" s="1392" t="s">
        <v>1826</v>
      </c>
      <c r="C1039" s="1392" t="s">
        <v>1846</v>
      </c>
      <c r="D1039" s="1392" t="s">
        <v>1979</v>
      </c>
      <c r="E1039" s="1392" t="s">
        <v>1896</v>
      </c>
      <c r="F1039" s="1392" t="s">
        <v>1982</v>
      </c>
      <c r="G1039" s="1391">
        <v>52875000</v>
      </c>
    </row>
    <row r="1040" spans="1:7" x14ac:dyDescent="0.25">
      <c r="A1040" s="1392" t="s">
        <v>2576</v>
      </c>
      <c r="B1040" s="1392" t="s">
        <v>1826</v>
      </c>
      <c r="C1040" s="1392" t="s">
        <v>1846</v>
      </c>
      <c r="D1040" s="1392" t="s">
        <v>1979</v>
      </c>
      <c r="E1040" s="1392" t="s">
        <v>1896</v>
      </c>
      <c r="F1040" s="1392" t="s">
        <v>1900</v>
      </c>
      <c r="G1040" s="1391">
        <v>27160000</v>
      </c>
    </row>
    <row r="1041" spans="1:7" x14ac:dyDescent="0.25">
      <c r="A1041" s="1392" t="s">
        <v>2576</v>
      </c>
      <c r="B1041" s="1392" t="s">
        <v>1826</v>
      </c>
      <c r="C1041" s="1392" t="s">
        <v>1846</v>
      </c>
      <c r="D1041" s="1392" t="s">
        <v>1979</v>
      </c>
      <c r="E1041" s="1392" t="s">
        <v>1896</v>
      </c>
      <c r="F1041" s="1392" t="s">
        <v>1901</v>
      </c>
      <c r="G1041" s="1391">
        <v>25000000</v>
      </c>
    </row>
    <row r="1042" spans="1:7" x14ac:dyDescent="0.25">
      <c r="A1042" s="1392" t="s">
        <v>2576</v>
      </c>
      <c r="B1042" s="1392" t="s">
        <v>1826</v>
      </c>
      <c r="C1042" s="1392" t="s">
        <v>1846</v>
      </c>
      <c r="D1042" s="1392" t="s">
        <v>1979</v>
      </c>
      <c r="E1042" s="1392" t="s">
        <v>1896</v>
      </c>
      <c r="F1042" s="1392" t="s">
        <v>1902</v>
      </c>
      <c r="G1042" s="1391">
        <v>23868000</v>
      </c>
    </row>
    <row r="1043" spans="1:7" x14ac:dyDescent="0.25">
      <c r="A1043" s="1392" t="s">
        <v>2576</v>
      </c>
      <c r="B1043" s="1392" t="s">
        <v>1826</v>
      </c>
      <c r="C1043" s="1392" t="s">
        <v>1846</v>
      </c>
      <c r="D1043" s="1392" t="s">
        <v>1979</v>
      </c>
      <c r="E1043" s="4536" t="s">
        <v>1903</v>
      </c>
      <c r="F1043" s="4538"/>
      <c r="G1043" s="1391">
        <v>119500000</v>
      </c>
    </row>
    <row r="1044" spans="1:7" x14ac:dyDescent="0.25">
      <c r="A1044" s="1392" t="s">
        <v>2576</v>
      </c>
      <c r="B1044" s="1392" t="s">
        <v>1826</v>
      </c>
      <c r="C1044" s="1392" t="s">
        <v>1846</v>
      </c>
      <c r="D1044" s="1392" t="s">
        <v>1979</v>
      </c>
      <c r="E1044" s="1392" t="s">
        <v>1903</v>
      </c>
      <c r="F1044" s="1392" t="s">
        <v>1950</v>
      </c>
      <c r="G1044" s="1391">
        <v>80000000</v>
      </c>
    </row>
    <row r="1045" spans="1:7" x14ac:dyDescent="0.25">
      <c r="A1045" s="1392" t="s">
        <v>2576</v>
      </c>
      <c r="B1045" s="1392" t="s">
        <v>1826</v>
      </c>
      <c r="C1045" s="1392" t="s">
        <v>1846</v>
      </c>
      <c r="D1045" s="1392" t="s">
        <v>1979</v>
      </c>
      <c r="E1045" s="1392" t="s">
        <v>1903</v>
      </c>
      <c r="F1045" s="1392" t="s">
        <v>1905</v>
      </c>
      <c r="G1045" s="1391">
        <v>39500000</v>
      </c>
    </row>
    <row r="1046" spans="1:7" x14ac:dyDescent="0.25">
      <c r="A1046" s="1392" t="s">
        <v>2576</v>
      </c>
      <c r="B1046" s="1392" t="s">
        <v>1826</v>
      </c>
      <c r="C1046" s="1392" t="s">
        <v>1846</v>
      </c>
      <c r="D1046" s="1392" t="s">
        <v>1979</v>
      </c>
      <c r="E1046" s="4536" t="s">
        <v>1906</v>
      </c>
      <c r="F1046" s="4538"/>
      <c r="G1046" s="1391">
        <v>214336800</v>
      </c>
    </row>
    <row r="1047" spans="1:7" x14ac:dyDescent="0.25">
      <c r="A1047" s="1392" t="s">
        <v>2576</v>
      </c>
      <c r="B1047" s="1392" t="s">
        <v>1826</v>
      </c>
      <c r="C1047" s="1392" t="s">
        <v>1846</v>
      </c>
      <c r="D1047" s="1392" t="s">
        <v>1979</v>
      </c>
      <c r="E1047" s="1392" t="s">
        <v>1906</v>
      </c>
      <c r="F1047" s="1392" t="s">
        <v>1907</v>
      </c>
      <c r="G1047" s="1391">
        <v>24825000</v>
      </c>
    </row>
    <row r="1048" spans="1:7" x14ac:dyDescent="0.25">
      <c r="A1048" s="1392" t="s">
        <v>2576</v>
      </c>
      <c r="B1048" s="1392" t="s">
        <v>1826</v>
      </c>
      <c r="C1048" s="1392" t="s">
        <v>1846</v>
      </c>
      <c r="D1048" s="1392" t="s">
        <v>1979</v>
      </c>
      <c r="E1048" s="1392" t="s">
        <v>1906</v>
      </c>
      <c r="F1048" s="1392" t="s">
        <v>1908</v>
      </c>
      <c r="G1048" s="1391">
        <v>61871800</v>
      </c>
    </row>
    <row r="1049" spans="1:7" x14ac:dyDescent="0.25">
      <c r="A1049" s="1392" t="s">
        <v>2576</v>
      </c>
      <c r="B1049" s="1392" t="s">
        <v>1826</v>
      </c>
      <c r="C1049" s="1392" t="s">
        <v>1846</v>
      </c>
      <c r="D1049" s="1392" t="s">
        <v>1979</v>
      </c>
      <c r="E1049" s="1392" t="s">
        <v>1906</v>
      </c>
      <c r="F1049" s="1392" t="s">
        <v>1978</v>
      </c>
      <c r="G1049" s="1391">
        <v>9230000</v>
      </c>
    </row>
    <row r="1050" spans="1:7" x14ac:dyDescent="0.25">
      <c r="A1050" s="1392" t="s">
        <v>2576</v>
      </c>
      <c r="B1050" s="1392" t="s">
        <v>1826</v>
      </c>
      <c r="C1050" s="1392" t="s">
        <v>1846</v>
      </c>
      <c r="D1050" s="1392" t="s">
        <v>1979</v>
      </c>
      <c r="E1050" s="1392" t="s">
        <v>1906</v>
      </c>
      <c r="F1050" s="1392" t="s">
        <v>1909</v>
      </c>
      <c r="G1050" s="1391">
        <v>118410000</v>
      </c>
    </row>
    <row r="1051" spans="1:7" x14ac:dyDescent="0.25">
      <c r="A1051" s="1392" t="s">
        <v>2576</v>
      </c>
      <c r="B1051" s="1392" t="s">
        <v>1826</v>
      </c>
      <c r="C1051" s="1392" t="s">
        <v>1846</v>
      </c>
      <c r="D1051" s="1392" t="s">
        <v>1979</v>
      </c>
      <c r="E1051" s="4536" t="s">
        <v>1912</v>
      </c>
      <c r="F1051" s="4538"/>
      <c r="G1051" s="1391">
        <v>622624700</v>
      </c>
    </row>
    <row r="1052" spans="1:7" x14ac:dyDescent="0.25">
      <c r="A1052" s="1392" t="s">
        <v>2576</v>
      </c>
      <c r="B1052" s="1392" t="s">
        <v>1826</v>
      </c>
      <c r="C1052" s="1392" t="s">
        <v>1846</v>
      </c>
      <c r="D1052" s="1392" t="s">
        <v>1979</v>
      </c>
      <c r="E1052" s="1392" t="s">
        <v>1912</v>
      </c>
      <c r="F1052" s="1392" t="s">
        <v>1913</v>
      </c>
      <c r="G1052" s="1391">
        <v>5506000</v>
      </c>
    </row>
    <row r="1053" spans="1:7" x14ac:dyDescent="0.25">
      <c r="A1053" s="1392" t="s">
        <v>2576</v>
      </c>
      <c r="B1053" s="1392" t="s">
        <v>1826</v>
      </c>
      <c r="C1053" s="1392" t="s">
        <v>1846</v>
      </c>
      <c r="D1053" s="1392" t="s">
        <v>1979</v>
      </c>
      <c r="E1053" s="1392" t="s">
        <v>1912</v>
      </c>
      <c r="F1053" s="1392" t="s">
        <v>1915</v>
      </c>
      <c r="G1053" s="1391">
        <v>283125000</v>
      </c>
    </row>
    <row r="1054" spans="1:7" x14ac:dyDescent="0.25">
      <c r="A1054" s="1392" t="s">
        <v>2576</v>
      </c>
      <c r="B1054" s="1392" t="s">
        <v>1826</v>
      </c>
      <c r="C1054" s="1392" t="s">
        <v>1846</v>
      </c>
      <c r="D1054" s="1392" t="s">
        <v>1979</v>
      </c>
      <c r="E1054" s="1392" t="s">
        <v>1912</v>
      </c>
      <c r="F1054" s="1392" t="s">
        <v>1916</v>
      </c>
      <c r="G1054" s="1391">
        <v>333993700</v>
      </c>
    </row>
    <row r="1055" spans="1:7" x14ac:dyDescent="0.25">
      <c r="A1055" s="1392" t="s">
        <v>2576</v>
      </c>
      <c r="B1055" s="1392" t="s">
        <v>1826</v>
      </c>
      <c r="C1055" s="1392" t="s">
        <v>1846</v>
      </c>
      <c r="D1055" s="1392" t="s">
        <v>1979</v>
      </c>
      <c r="E1055" s="4536" t="s">
        <v>1983</v>
      </c>
      <c r="F1055" s="4538"/>
      <c r="G1055" s="1391">
        <v>1858309172</v>
      </c>
    </row>
    <row r="1056" spans="1:7" x14ac:dyDescent="0.25">
      <c r="A1056" s="1392" t="s">
        <v>2576</v>
      </c>
      <c r="B1056" s="1392" t="s">
        <v>1826</v>
      </c>
      <c r="C1056" s="1392" t="s">
        <v>1846</v>
      </c>
      <c r="D1056" s="1392" t="s">
        <v>1979</v>
      </c>
      <c r="E1056" s="1392" t="s">
        <v>1983</v>
      </c>
      <c r="F1056" s="1392" t="s">
        <v>2240</v>
      </c>
      <c r="G1056" s="1391">
        <v>1443537172</v>
      </c>
    </row>
    <row r="1057" spans="1:7" x14ac:dyDescent="0.25">
      <c r="A1057" s="1392" t="s">
        <v>2576</v>
      </c>
      <c r="B1057" s="1392" t="s">
        <v>1826</v>
      </c>
      <c r="C1057" s="1392" t="s">
        <v>1846</v>
      </c>
      <c r="D1057" s="1392" t="s">
        <v>1979</v>
      </c>
      <c r="E1057" s="1392" t="s">
        <v>1983</v>
      </c>
      <c r="F1057" s="1392" t="s">
        <v>1984</v>
      </c>
      <c r="G1057" s="1391">
        <v>414379000</v>
      </c>
    </row>
    <row r="1058" spans="1:7" x14ac:dyDescent="0.25">
      <c r="A1058" s="1392" t="s">
        <v>2576</v>
      </c>
      <c r="B1058" s="1392" t="s">
        <v>1826</v>
      </c>
      <c r="C1058" s="1392" t="s">
        <v>1846</v>
      </c>
      <c r="D1058" s="1392" t="s">
        <v>1979</v>
      </c>
      <c r="E1058" s="1392" t="s">
        <v>1983</v>
      </c>
      <c r="F1058" s="1392" t="s">
        <v>2068</v>
      </c>
      <c r="G1058" s="1391">
        <v>393000</v>
      </c>
    </row>
    <row r="1059" spans="1:7" x14ac:dyDescent="0.25">
      <c r="A1059" s="1392" t="s">
        <v>2576</v>
      </c>
      <c r="B1059" s="1392" t="s">
        <v>1826</v>
      </c>
      <c r="C1059" s="1392" t="s">
        <v>1846</v>
      </c>
      <c r="D1059" s="1392" t="s">
        <v>1979</v>
      </c>
      <c r="E1059" s="4536" t="s">
        <v>2245</v>
      </c>
      <c r="F1059" s="4538"/>
      <c r="G1059" s="1391">
        <v>42130000</v>
      </c>
    </row>
    <row r="1060" spans="1:7" x14ac:dyDescent="0.25">
      <c r="A1060" s="1392" t="s">
        <v>2576</v>
      </c>
      <c r="B1060" s="1392" t="s">
        <v>1826</v>
      </c>
      <c r="C1060" s="1392" t="s">
        <v>1846</v>
      </c>
      <c r="D1060" s="1392" t="s">
        <v>1979</v>
      </c>
      <c r="E1060" s="1392" t="s">
        <v>2245</v>
      </c>
      <c r="F1060" s="1392" t="s">
        <v>2246</v>
      </c>
      <c r="G1060" s="1391">
        <v>42130000</v>
      </c>
    </row>
    <row r="1061" spans="1:7" x14ac:dyDescent="0.25">
      <c r="A1061" s="1392" t="s">
        <v>2576</v>
      </c>
      <c r="B1061" s="4536" t="s">
        <v>1985</v>
      </c>
      <c r="C1061" s="4537"/>
      <c r="D1061" s="4537"/>
      <c r="E1061" s="4537"/>
      <c r="F1061" s="4538"/>
      <c r="G1061" s="1391">
        <v>834992780</v>
      </c>
    </row>
    <row r="1062" spans="1:7" x14ac:dyDescent="0.25">
      <c r="A1062" s="1392" t="s">
        <v>2576</v>
      </c>
      <c r="B1062" s="1392" t="s">
        <v>1985</v>
      </c>
      <c r="C1062" s="4536" t="s">
        <v>1846</v>
      </c>
      <c r="D1062" s="4537"/>
      <c r="E1062" s="4537"/>
      <c r="F1062" s="4538"/>
      <c r="G1062" s="1391">
        <v>834992780</v>
      </c>
    </row>
    <row r="1063" spans="1:7" x14ac:dyDescent="0.25">
      <c r="A1063" s="1392" t="s">
        <v>2576</v>
      </c>
      <c r="B1063" s="1392" t="s">
        <v>1985</v>
      </c>
      <c r="C1063" s="1392" t="s">
        <v>1846</v>
      </c>
      <c r="D1063" s="4536" t="s">
        <v>1986</v>
      </c>
      <c r="E1063" s="4537"/>
      <c r="F1063" s="4538"/>
      <c r="G1063" s="1391">
        <v>834992780</v>
      </c>
    </row>
    <row r="1064" spans="1:7" x14ac:dyDescent="0.25">
      <c r="A1064" s="1392" t="s">
        <v>2576</v>
      </c>
      <c r="B1064" s="1392" t="s">
        <v>1985</v>
      </c>
      <c r="C1064" s="1392" t="s">
        <v>1846</v>
      </c>
      <c r="D1064" s="1392" t="s">
        <v>1986</v>
      </c>
      <c r="E1064" s="4536" t="s">
        <v>1848</v>
      </c>
      <c r="F1064" s="4538"/>
      <c r="G1064" s="1391">
        <v>232127095</v>
      </c>
    </row>
    <row r="1065" spans="1:7" x14ac:dyDescent="0.25">
      <c r="A1065" s="1392" t="s">
        <v>2576</v>
      </c>
      <c r="B1065" s="1392" t="s">
        <v>1985</v>
      </c>
      <c r="C1065" s="1392" t="s">
        <v>1846</v>
      </c>
      <c r="D1065" s="1392" t="s">
        <v>1986</v>
      </c>
      <c r="E1065" s="1392" t="s">
        <v>1848</v>
      </c>
      <c r="F1065" s="1392" t="s">
        <v>1849</v>
      </c>
      <c r="G1065" s="1391">
        <v>232127095</v>
      </c>
    </row>
    <row r="1066" spans="1:7" x14ac:dyDescent="0.25">
      <c r="A1066" s="1392" t="s">
        <v>2576</v>
      </c>
      <c r="B1066" s="1392" t="s">
        <v>1985</v>
      </c>
      <c r="C1066" s="1392" t="s">
        <v>1846</v>
      </c>
      <c r="D1066" s="1392" t="s">
        <v>1986</v>
      </c>
      <c r="E1066" s="4536" t="s">
        <v>1853</v>
      </c>
      <c r="F1066" s="4538"/>
      <c r="G1066" s="1391">
        <v>191485973</v>
      </c>
    </row>
    <row r="1067" spans="1:7" x14ac:dyDescent="0.25">
      <c r="A1067" s="1392" t="s">
        <v>2576</v>
      </c>
      <c r="B1067" s="1392" t="s">
        <v>1985</v>
      </c>
      <c r="C1067" s="1392" t="s">
        <v>1846</v>
      </c>
      <c r="D1067" s="1392" t="s">
        <v>1986</v>
      </c>
      <c r="E1067" s="1392" t="s">
        <v>1853</v>
      </c>
      <c r="F1067" s="1392" t="s">
        <v>1854</v>
      </c>
      <c r="G1067" s="1391">
        <v>7748000</v>
      </c>
    </row>
    <row r="1068" spans="1:7" x14ac:dyDescent="0.25">
      <c r="A1068" s="1392" t="s">
        <v>2576</v>
      </c>
      <c r="B1068" s="1392" t="s">
        <v>1985</v>
      </c>
      <c r="C1068" s="1392" t="s">
        <v>1846</v>
      </c>
      <c r="D1068" s="1392" t="s">
        <v>1986</v>
      </c>
      <c r="E1068" s="1392" t="s">
        <v>1853</v>
      </c>
      <c r="F1068" s="1392" t="s">
        <v>1855</v>
      </c>
      <c r="G1068" s="1391">
        <v>33525000</v>
      </c>
    </row>
    <row r="1069" spans="1:7" x14ac:dyDescent="0.25">
      <c r="A1069" s="1392" t="s">
        <v>2576</v>
      </c>
      <c r="B1069" s="1392" t="s">
        <v>1985</v>
      </c>
      <c r="C1069" s="1392" t="s">
        <v>1846</v>
      </c>
      <c r="D1069" s="1392" t="s">
        <v>1986</v>
      </c>
      <c r="E1069" s="1392" t="s">
        <v>1853</v>
      </c>
      <c r="F1069" s="1392" t="s">
        <v>1856</v>
      </c>
      <c r="G1069" s="1391">
        <v>14288092</v>
      </c>
    </row>
    <row r="1070" spans="1:7" x14ac:dyDescent="0.25">
      <c r="A1070" s="1392" t="s">
        <v>2576</v>
      </c>
      <c r="B1070" s="1392" t="s">
        <v>1985</v>
      </c>
      <c r="C1070" s="1392" t="s">
        <v>1846</v>
      </c>
      <c r="D1070" s="1392" t="s">
        <v>1986</v>
      </c>
      <c r="E1070" s="1392" t="s">
        <v>1853</v>
      </c>
      <c r="F1070" s="1392" t="s">
        <v>1929</v>
      </c>
      <c r="G1070" s="1391">
        <v>2614581</v>
      </c>
    </row>
    <row r="1071" spans="1:7" x14ac:dyDescent="0.25">
      <c r="A1071" s="1392" t="s">
        <v>2576</v>
      </c>
      <c r="B1071" s="1392" t="s">
        <v>1985</v>
      </c>
      <c r="C1071" s="1392" t="s">
        <v>1846</v>
      </c>
      <c r="D1071" s="1392" t="s">
        <v>1986</v>
      </c>
      <c r="E1071" s="1392" t="s">
        <v>1853</v>
      </c>
      <c r="F1071" s="1392" t="s">
        <v>1977</v>
      </c>
      <c r="G1071" s="1391">
        <v>72622600</v>
      </c>
    </row>
    <row r="1072" spans="1:7" x14ac:dyDescent="0.25">
      <c r="A1072" s="1392" t="s">
        <v>2576</v>
      </c>
      <c r="B1072" s="1392" t="s">
        <v>1985</v>
      </c>
      <c r="C1072" s="1392" t="s">
        <v>1846</v>
      </c>
      <c r="D1072" s="1392" t="s">
        <v>1986</v>
      </c>
      <c r="E1072" s="1392" t="s">
        <v>1853</v>
      </c>
      <c r="F1072" s="1392" t="s">
        <v>1859</v>
      </c>
      <c r="G1072" s="1391">
        <v>60687700</v>
      </c>
    </row>
    <row r="1073" spans="1:7" x14ac:dyDescent="0.25">
      <c r="A1073" s="1392" t="s">
        <v>2576</v>
      </c>
      <c r="B1073" s="1392" t="s">
        <v>1985</v>
      </c>
      <c r="C1073" s="1392" t="s">
        <v>1846</v>
      </c>
      <c r="D1073" s="1392" t="s">
        <v>1986</v>
      </c>
      <c r="E1073" s="4536" t="s">
        <v>1860</v>
      </c>
      <c r="F1073" s="4538"/>
      <c r="G1073" s="1391">
        <v>11560000</v>
      </c>
    </row>
    <row r="1074" spans="1:7" x14ac:dyDescent="0.25">
      <c r="A1074" s="1392" t="s">
        <v>2576</v>
      </c>
      <c r="B1074" s="1392" t="s">
        <v>1985</v>
      </c>
      <c r="C1074" s="1392" t="s">
        <v>1846</v>
      </c>
      <c r="D1074" s="1392" t="s">
        <v>1986</v>
      </c>
      <c r="E1074" s="1392" t="s">
        <v>1860</v>
      </c>
      <c r="F1074" s="1392" t="s">
        <v>1861</v>
      </c>
      <c r="G1074" s="1391">
        <v>11560000</v>
      </c>
    </row>
    <row r="1075" spans="1:7" x14ac:dyDescent="0.25">
      <c r="A1075" s="1392" t="s">
        <v>2576</v>
      </c>
      <c r="B1075" s="1392" t="s">
        <v>1985</v>
      </c>
      <c r="C1075" s="1392" t="s">
        <v>1846</v>
      </c>
      <c r="D1075" s="1392" t="s">
        <v>1986</v>
      </c>
      <c r="E1075" s="4536" t="s">
        <v>1943</v>
      </c>
      <c r="F1075" s="4538"/>
      <c r="G1075" s="1391">
        <v>3443600</v>
      </c>
    </row>
    <row r="1076" spans="1:7" x14ac:dyDescent="0.25">
      <c r="A1076" s="1392" t="s">
        <v>2576</v>
      </c>
      <c r="B1076" s="1392" t="s">
        <v>1985</v>
      </c>
      <c r="C1076" s="1392" t="s">
        <v>1846</v>
      </c>
      <c r="D1076" s="1392" t="s">
        <v>1986</v>
      </c>
      <c r="E1076" s="1392" t="s">
        <v>1943</v>
      </c>
      <c r="F1076" s="1392" t="s">
        <v>1980</v>
      </c>
      <c r="G1076" s="1391">
        <v>3443600</v>
      </c>
    </row>
    <row r="1077" spans="1:7" x14ac:dyDescent="0.25">
      <c r="A1077" s="1392" t="s">
        <v>2576</v>
      </c>
      <c r="B1077" s="1392" t="s">
        <v>1985</v>
      </c>
      <c r="C1077" s="1392" t="s">
        <v>1846</v>
      </c>
      <c r="D1077" s="1392" t="s">
        <v>1986</v>
      </c>
      <c r="E1077" s="4536" t="s">
        <v>1862</v>
      </c>
      <c r="F1077" s="4538"/>
      <c r="G1077" s="1391">
        <v>54575164</v>
      </c>
    </row>
    <row r="1078" spans="1:7" x14ac:dyDescent="0.25">
      <c r="A1078" s="1392" t="s">
        <v>2576</v>
      </c>
      <c r="B1078" s="1392" t="s">
        <v>1985</v>
      </c>
      <c r="C1078" s="1392" t="s">
        <v>1846</v>
      </c>
      <c r="D1078" s="1392" t="s">
        <v>1986</v>
      </c>
      <c r="E1078" s="1392" t="s">
        <v>1862</v>
      </c>
      <c r="F1078" s="1392" t="s">
        <v>1863</v>
      </c>
      <c r="G1078" s="1391">
        <v>42447497</v>
      </c>
    </row>
    <row r="1079" spans="1:7" x14ac:dyDescent="0.25">
      <c r="A1079" s="1392" t="s">
        <v>2576</v>
      </c>
      <c r="B1079" s="1392" t="s">
        <v>1985</v>
      </c>
      <c r="C1079" s="1392" t="s">
        <v>1846</v>
      </c>
      <c r="D1079" s="1392" t="s">
        <v>1986</v>
      </c>
      <c r="E1079" s="1392" t="s">
        <v>1862</v>
      </c>
      <c r="F1079" s="1392" t="s">
        <v>1864</v>
      </c>
      <c r="G1079" s="1391">
        <v>7276709</v>
      </c>
    </row>
    <row r="1080" spans="1:7" x14ac:dyDescent="0.25">
      <c r="A1080" s="1392" t="s">
        <v>2576</v>
      </c>
      <c r="B1080" s="1392" t="s">
        <v>1985</v>
      </c>
      <c r="C1080" s="1392" t="s">
        <v>1846</v>
      </c>
      <c r="D1080" s="1392" t="s">
        <v>1986</v>
      </c>
      <c r="E1080" s="1392" t="s">
        <v>1862</v>
      </c>
      <c r="F1080" s="1392" t="s">
        <v>1865</v>
      </c>
      <c r="G1080" s="1391">
        <v>4850958</v>
      </c>
    </row>
    <row r="1081" spans="1:7" x14ac:dyDescent="0.25">
      <c r="A1081" s="1392" t="s">
        <v>2576</v>
      </c>
      <c r="B1081" s="1392" t="s">
        <v>1985</v>
      </c>
      <c r="C1081" s="1392" t="s">
        <v>1846</v>
      </c>
      <c r="D1081" s="1392" t="s">
        <v>1986</v>
      </c>
      <c r="E1081" s="4536" t="s">
        <v>1867</v>
      </c>
      <c r="F1081" s="4538"/>
      <c r="G1081" s="1391">
        <v>56402908</v>
      </c>
    </row>
    <row r="1082" spans="1:7" x14ac:dyDescent="0.25">
      <c r="A1082" s="1392" t="s">
        <v>2576</v>
      </c>
      <c r="B1082" s="1392" t="s">
        <v>1985</v>
      </c>
      <c r="C1082" s="1392" t="s">
        <v>1846</v>
      </c>
      <c r="D1082" s="1392" t="s">
        <v>1986</v>
      </c>
      <c r="E1082" s="1392" t="s">
        <v>1867</v>
      </c>
      <c r="F1082" s="1392" t="s">
        <v>1868</v>
      </c>
      <c r="G1082" s="1391">
        <v>56402908</v>
      </c>
    </row>
    <row r="1083" spans="1:7" x14ac:dyDescent="0.25">
      <c r="A1083" s="1392" t="s">
        <v>2576</v>
      </c>
      <c r="B1083" s="1392" t="s">
        <v>1985</v>
      </c>
      <c r="C1083" s="1392" t="s">
        <v>1846</v>
      </c>
      <c r="D1083" s="1392" t="s">
        <v>1986</v>
      </c>
      <c r="E1083" s="4536" t="s">
        <v>1869</v>
      </c>
      <c r="F1083" s="4538"/>
      <c r="G1083" s="1391">
        <v>5864600</v>
      </c>
    </row>
    <row r="1084" spans="1:7" x14ac:dyDescent="0.25">
      <c r="A1084" s="1392" t="s">
        <v>2576</v>
      </c>
      <c r="B1084" s="1392" t="s">
        <v>1985</v>
      </c>
      <c r="C1084" s="1392" t="s">
        <v>1846</v>
      </c>
      <c r="D1084" s="1392" t="s">
        <v>1986</v>
      </c>
      <c r="E1084" s="1392" t="s">
        <v>1869</v>
      </c>
      <c r="F1084" s="1392" t="s">
        <v>1870</v>
      </c>
      <c r="G1084" s="1391">
        <v>3341200</v>
      </c>
    </row>
    <row r="1085" spans="1:7" x14ac:dyDescent="0.25">
      <c r="A1085" s="1392" t="s">
        <v>2576</v>
      </c>
      <c r="B1085" s="1392" t="s">
        <v>1985</v>
      </c>
      <c r="C1085" s="1392" t="s">
        <v>1846</v>
      </c>
      <c r="D1085" s="1392" t="s">
        <v>1986</v>
      </c>
      <c r="E1085" s="1392" t="s">
        <v>1869</v>
      </c>
      <c r="F1085" s="1392" t="s">
        <v>1871</v>
      </c>
      <c r="G1085" s="1391">
        <v>279200</v>
      </c>
    </row>
    <row r="1086" spans="1:7" x14ac:dyDescent="0.25">
      <c r="A1086" s="1392" t="s">
        <v>2576</v>
      </c>
      <c r="B1086" s="1392" t="s">
        <v>1985</v>
      </c>
      <c r="C1086" s="1392" t="s">
        <v>1846</v>
      </c>
      <c r="D1086" s="1392" t="s">
        <v>1986</v>
      </c>
      <c r="E1086" s="1392" t="s">
        <v>1869</v>
      </c>
      <c r="F1086" s="1392" t="s">
        <v>1872</v>
      </c>
      <c r="G1086" s="1391">
        <v>2244200</v>
      </c>
    </row>
    <row r="1087" spans="1:7" x14ac:dyDescent="0.25">
      <c r="A1087" s="1392" t="s">
        <v>2576</v>
      </c>
      <c r="B1087" s="1392" t="s">
        <v>1985</v>
      </c>
      <c r="C1087" s="1392" t="s">
        <v>1846</v>
      </c>
      <c r="D1087" s="1392" t="s">
        <v>1986</v>
      </c>
      <c r="E1087" s="4536" t="s">
        <v>1874</v>
      </c>
      <c r="F1087" s="4538"/>
      <c r="G1087" s="1391">
        <v>14519000</v>
      </c>
    </row>
    <row r="1088" spans="1:7" x14ac:dyDescent="0.25">
      <c r="A1088" s="1392" t="s">
        <v>2576</v>
      </c>
      <c r="B1088" s="1392" t="s">
        <v>1985</v>
      </c>
      <c r="C1088" s="1392" t="s">
        <v>1846</v>
      </c>
      <c r="D1088" s="1392" t="s">
        <v>1986</v>
      </c>
      <c r="E1088" s="1392" t="s">
        <v>1874</v>
      </c>
      <c r="F1088" s="1392" t="s">
        <v>1875</v>
      </c>
      <c r="G1088" s="1391">
        <v>13615000</v>
      </c>
    </row>
    <row r="1089" spans="1:7" x14ac:dyDescent="0.25">
      <c r="A1089" s="1392" t="s">
        <v>2576</v>
      </c>
      <c r="B1089" s="1392" t="s">
        <v>1985</v>
      </c>
      <c r="C1089" s="1392" t="s">
        <v>1846</v>
      </c>
      <c r="D1089" s="1392" t="s">
        <v>1986</v>
      </c>
      <c r="E1089" s="1392" t="s">
        <v>1874</v>
      </c>
      <c r="F1089" s="1392" t="s">
        <v>1876</v>
      </c>
      <c r="G1089" s="1391">
        <v>250000</v>
      </c>
    </row>
    <row r="1090" spans="1:7" x14ac:dyDescent="0.25">
      <c r="A1090" s="1392" t="s">
        <v>2576</v>
      </c>
      <c r="B1090" s="1392" t="s">
        <v>1985</v>
      </c>
      <c r="C1090" s="1392" t="s">
        <v>1846</v>
      </c>
      <c r="D1090" s="1392" t="s">
        <v>1986</v>
      </c>
      <c r="E1090" s="1392" t="s">
        <v>1874</v>
      </c>
      <c r="F1090" s="1392" t="s">
        <v>1877</v>
      </c>
      <c r="G1090" s="1391">
        <v>654000</v>
      </c>
    </row>
    <row r="1091" spans="1:7" x14ac:dyDescent="0.25">
      <c r="A1091" s="1392" t="s">
        <v>2576</v>
      </c>
      <c r="B1091" s="1392" t="s">
        <v>1985</v>
      </c>
      <c r="C1091" s="1392" t="s">
        <v>1846</v>
      </c>
      <c r="D1091" s="1392" t="s">
        <v>1986</v>
      </c>
      <c r="E1091" s="4536" t="s">
        <v>1878</v>
      </c>
      <c r="F1091" s="4538"/>
      <c r="G1091" s="1391">
        <v>12823000</v>
      </c>
    </row>
    <row r="1092" spans="1:7" x14ac:dyDescent="0.25">
      <c r="A1092" s="1392" t="s">
        <v>2576</v>
      </c>
      <c r="B1092" s="1392" t="s">
        <v>1985</v>
      </c>
      <c r="C1092" s="1392" t="s">
        <v>1846</v>
      </c>
      <c r="D1092" s="1392" t="s">
        <v>1986</v>
      </c>
      <c r="E1092" s="1392" t="s">
        <v>1878</v>
      </c>
      <c r="F1092" s="1392" t="s">
        <v>1879</v>
      </c>
      <c r="G1092" s="1391">
        <v>1159900</v>
      </c>
    </row>
    <row r="1093" spans="1:7" x14ac:dyDescent="0.25">
      <c r="A1093" s="1392" t="s">
        <v>2576</v>
      </c>
      <c r="B1093" s="1392" t="s">
        <v>1985</v>
      </c>
      <c r="C1093" s="1392" t="s">
        <v>1846</v>
      </c>
      <c r="D1093" s="1392" t="s">
        <v>1986</v>
      </c>
      <c r="E1093" s="1392" t="s">
        <v>1878</v>
      </c>
      <c r="F1093" s="1392" t="s">
        <v>1880</v>
      </c>
      <c r="G1093" s="1391">
        <v>4000000</v>
      </c>
    </row>
    <row r="1094" spans="1:7" x14ac:dyDescent="0.25">
      <c r="A1094" s="1392" t="s">
        <v>2576</v>
      </c>
      <c r="B1094" s="1392" t="s">
        <v>1985</v>
      </c>
      <c r="C1094" s="1392" t="s">
        <v>1846</v>
      </c>
      <c r="D1094" s="1392" t="s">
        <v>1986</v>
      </c>
      <c r="E1094" s="1392" t="s">
        <v>1878</v>
      </c>
      <c r="F1094" s="1392" t="s">
        <v>1881</v>
      </c>
      <c r="G1094" s="1391">
        <v>2585500</v>
      </c>
    </row>
    <row r="1095" spans="1:7" x14ac:dyDescent="0.25">
      <c r="A1095" s="1392" t="s">
        <v>2576</v>
      </c>
      <c r="B1095" s="1392" t="s">
        <v>1985</v>
      </c>
      <c r="C1095" s="1392" t="s">
        <v>1846</v>
      </c>
      <c r="D1095" s="1392" t="s">
        <v>1986</v>
      </c>
      <c r="E1095" s="1392" t="s">
        <v>1878</v>
      </c>
      <c r="F1095" s="1392" t="s">
        <v>1882</v>
      </c>
      <c r="G1095" s="1391">
        <v>4740000</v>
      </c>
    </row>
    <row r="1096" spans="1:7" x14ac:dyDescent="0.25">
      <c r="A1096" s="1392" t="s">
        <v>2576</v>
      </c>
      <c r="B1096" s="1392" t="s">
        <v>1985</v>
      </c>
      <c r="C1096" s="1392" t="s">
        <v>1846</v>
      </c>
      <c r="D1096" s="1392" t="s">
        <v>1986</v>
      </c>
      <c r="E1096" s="1392" t="s">
        <v>1878</v>
      </c>
      <c r="F1096" s="1392" t="s">
        <v>1883</v>
      </c>
      <c r="G1096" s="1391">
        <v>337600</v>
      </c>
    </row>
    <row r="1097" spans="1:7" x14ac:dyDescent="0.25">
      <c r="A1097" s="1392" t="s">
        <v>2576</v>
      </c>
      <c r="B1097" s="1392" t="s">
        <v>1985</v>
      </c>
      <c r="C1097" s="1392" t="s">
        <v>1846</v>
      </c>
      <c r="D1097" s="1392" t="s">
        <v>1986</v>
      </c>
      <c r="E1097" s="4536" t="s">
        <v>1885</v>
      </c>
      <c r="F1097" s="4538"/>
      <c r="G1097" s="1391">
        <v>40180000</v>
      </c>
    </row>
    <row r="1098" spans="1:7" x14ac:dyDescent="0.25">
      <c r="A1098" s="1392" t="s">
        <v>2576</v>
      </c>
      <c r="B1098" s="1392" t="s">
        <v>1985</v>
      </c>
      <c r="C1098" s="1392" t="s">
        <v>1846</v>
      </c>
      <c r="D1098" s="1392" t="s">
        <v>1986</v>
      </c>
      <c r="E1098" s="1392" t="s">
        <v>1885</v>
      </c>
      <c r="F1098" s="1392" t="s">
        <v>1925</v>
      </c>
      <c r="G1098" s="1391">
        <v>2500000</v>
      </c>
    </row>
    <row r="1099" spans="1:7" x14ac:dyDescent="0.25">
      <c r="A1099" s="1392" t="s">
        <v>2576</v>
      </c>
      <c r="B1099" s="1392" t="s">
        <v>1985</v>
      </c>
      <c r="C1099" s="1392" t="s">
        <v>1846</v>
      </c>
      <c r="D1099" s="1392" t="s">
        <v>1986</v>
      </c>
      <c r="E1099" s="1392" t="s">
        <v>1885</v>
      </c>
      <c r="F1099" s="1392" t="s">
        <v>1886</v>
      </c>
      <c r="G1099" s="1391">
        <v>1200000</v>
      </c>
    </row>
    <row r="1100" spans="1:7" x14ac:dyDescent="0.25">
      <c r="A1100" s="1392" t="s">
        <v>2576</v>
      </c>
      <c r="B1100" s="1392" t="s">
        <v>1985</v>
      </c>
      <c r="C1100" s="1392" t="s">
        <v>1846</v>
      </c>
      <c r="D1100" s="1392" t="s">
        <v>1986</v>
      </c>
      <c r="E1100" s="1392" t="s">
        <v>1885</v>
      </c>
      <c r="F1100" s="1392" t="s">
        <v>1887</v>
      </c>
      <c r="G1100" s="1391">
        <v>22800000</v>
      </c>
    </row>
    <row r="1101" spans="1:7" x14ac:dyDescent="0.25">
      <c r="A1101" s="1392" t="s">
        <v>2576</v>
      </c>
      <c r="B1101" s="1392" t="s">
        <v>1985</v>
      </c>
      <c r="C1101" s="1392" t="s">
        <v>1846</v>
      </c>
      <c r="D1101" s="1392" t="s">
        <v>1986</v>
      </c>
      <c r="E1101" s="1392" t="s">
        <v>1885</v>
      </c>
      <c r="F1101" s="1392" t="s">
        <v>1888</v>
      </c>
      <c r="G1101" s="1391">
        <v>13680000</v>
      </c>
    </row>
    <row r="1102" spans="1:7" x14ac:dyDescent="0.25">
      <c r="A1102" s="1392" t="s">
        <v>2576</v>
      </c>
      <c r="B1102" s="1392" t="s">
        <v>1985</v>
      </c>
      <c r="C1102" s="1392" t="s">
        <v>1846</v>
      </c>
      <c r="D1102" s="1392" t="s">
        <v>1986</v>
      </c>
      <c r="E1102" s="4536" t="s">
        <v>1889</v>
      </c>
      <c r="F1102" s="4538"/>
      <c r="G1102" s="1391">
        <v>27262640</v>
      </c>
    </row>
    <row r="1103" spans="1:7" x14ac:dyDescent="0.25">
      <c r="A1103" s="1392" t="s">
        <v>2576</v>
      </c>
      <c r="B1103" s="1392" t="s">
        <v>1985</v>
      </c>
      <c r="C1103" s="1392" t="s">
        <v>1846</v>
      </c>
      <c r="D1103" s="1392" t="s">
        <v>1986</v>
      </c>
      <c r="E1103" s="1392" t="s">
        <v>1889</v>
      </c>
      <c r="F1103" s="1392" t="s">
        <v>1890</v>
      </c>
      <c r="G1103" s="1391">
        <v>23300000</v>
      </c>
    </row>
    <row r="1104" spans="1:7" x14ac:dyDescent="0.25">
      <c r="A1104" s="1392" t="s">
        <v>2576</v>
      </c>
      <c r="B1104" s="1392" t="s">
        <v>1985</v>
      </c>
      <c r="C1104" s="1392" t="s">
        <v>1846</v>
      </c>
      <c r="D1104" s="1392" t="s">
        <v>1986</v>
      </c>
      <c r="E1104" s="1392" t="s">
        <v>1889</v>
      </c>
      <c r="F1104" s="1392" t="s">
        <v>1891</v>
      </c>
      <c r="G1104" s="1391">
        <v>1550000</v>
      </c>
    </row>
    <row r="1105" spans="1:7" x14ac:dyDescent="0.25">
      <c r="A1105" s="1392" t="s">
        <v>2576</v>
      </c>
      <c r="B1105" s="1392" t="s">
        <v>1985</v>
      </c>
      <c r="C1105" s="1392" t="s">
        <v>1846</v>
      </c>
      <c r="D1105" s="1392" t="s">
        <v>1986</v>
      </c>
      <c r="E1105" s="1392" t="s">
        <v>1889</v>
      </c>
      <c r="F1105" s="1392" t="s">
        <v>1922</v>
      </c>
      <c r="G1105" s="1391">
        <v>2412640</v>
      </c>
    </row>
    <row r="1106" spans="1:7" x14ac:dyDescent="0.25">
      <c r="A1106" s="1392" t="s">
        <v>2576</v>
      </c>
      <c r="B1106" s="1392" t="s">
        <v>1985</v>
      </c>
      <c r="C1106" s="1392" t="s">
        <v>1846</v>
      </c>
      <c r="D1106" s="1392" t="s">
        <v>1986</v>
      </c>
      <c r="E1106" s="4536" t="s">
        <v>1893</v>
      </c>
      <c r="F1106" s="4538"/>
      <c r="G1106" s="1391">
        <v>21150000</v>
      </c>
    </row>
    <row r="1107" spans="1:7" x14ac:dyDescent="0.25">
      <c r="A1107" s="1392" t="s">
        <v>2576</v>
      </c>
      <c r="B1107" s="1392" t="s">
        <v>1985</v>
      </c>
      <c r="C1107" s="1392" t="s">
        <v>1846</v>
      </c>
      <c r="D1107" s="1392" t="s">
        <v>1986</v>
      </c>
      <c r="E1107" s="1392" t="s">
        <v>1893</v>
      </c>
      <c r="F1107" s="1392" t="s">
        <v>1894</v>
      </c>
      <c r="G1107" s="1391">
        <v>17250000</v>
      </c>
    </row>
    <row r="1108" spans="1:7" x14ac:dyDescent="0.25">
      <c r="A1108" s="1392" t="s">
        <v>2576</v>
      </c>
      <c r="B1108" s="1392" t="s">
        <v>1985</v>
      </c>
      <c r="C1108" s="1392" t="s">
        <v>1846</v>
      </c>
      <c r="D1108" s="1392" t="s">
        <v>1986</v>
      </c>
      <c r="E1108" s="1392" t="s">
        <v>1893</v>
      </c>
      <c r="F1108" s="1392" t="s">
        <v>1895</v>
      </c>
      <c r="G1108" s="1391">
        <v>3900000</v>
      </c>
    </row>
    <row r="1109" spans="1:7" x14ac:dyDescent="0.25">
      <c r="A1109" s="1392" t="s">
        <v>2576</v>
      </c>
      <c r="B1109" s="1392" t="s">
        <v>1985</v>
      </c>
      <c r="C1109" s="1392" t="s">
        <v>1846</v>
      </c>
      <c r="D1109" s="1392" t="s">
        <v>1986</v>
      </c>
      <c r="E1109" s="4536" t="s">
        <v>1896</v>
      </c>
      <c r="F1109" s="4538"/>
      <c r="G1109" s="1391">
        <v>18244000</v>
      </c>
    </row>
    <row r="1110" spans="1:7" x14ac:dyDescent="0.25">
      <c r="A1110" s="1392" t="s">
        <v>2576</v>
      </c>
      <c r="B1110" s="1392" t="s">
        <v>1985</v>
      </c>
      <c r="C1110" s="1392" t="s">
        <v>1846</v>
      </c>
      <c r="D1110" s="1392" t="s">
        <v>1986</v>
      </c>
      <c r="E1110" s="1392" t="s">
        <v>1896</v>
      </c>
      <c r="F1110" s="1392" t="s">
        <v>1900</v>
      </c>
      <c r="G1110" s="1391">
        <v>18010000</v>
      </c>
    </row>
    <row r="1111" spans="1:7" x14ac:dyDescent="0.25">
      <c r="A1111" s="1392" t="s">
        <v>2576</v>
      </c>
      <c r="B1111" s="1392" t="s">
        <v>1985</v>
      </c>
      <c r="C1111" s="1392" t="s">
        <v>1846</v>
      </c>
      <c r="D1111" s="1392" t="s">
        <v>1986</v>
      </c>
      <c r="E1111" s="1392" t="s">
        <v>1896</v>
      </c>
      <c r="F1111" s="1392" t="s">
        <v>1901</v>
      </c>
      <c r="G1111" s="1391">
        <v>234000</v>
      </c>
    </row>
    <row r="1112" spans="1:7" x14ac:dyDescent="0.25">
      <c r="A1112" s="1392" t="s">
        <v>2576</v>
      </c>
      <c r="B1112" s="1392" t="s">
        <v>1985</v>
      </c>
      <c r="C1112" s="1392" t="s">
        <v>1846</v>
      </c>
      <c r="D1112" s="1392" t="s">
        <v>1986</v>
      </c>
      <c r="E1112" s="4536" t="s">
        <v>1906</v>
      </c>
      <c r="F1112" s="4538"/>
      <c r="G1112" s="1391">
        <v>22990000</v>
      </c>
    </row>
    <row r="1113" spans="1:7" x14ac:dyDescent="0.25">
      <c r="A1113" s="1392" t="s">
        <v>2576</v>
      </c>
      <c r="B1113" s="1392" t="s">
        <v>1985</v>
      </c>
      <c r="C1113" s="1392" t="s">
        <v>1846</v>
      </c>
      <c r="D1113" s="1392" t="s">
        <v>1986</v>
      </c>
      <c r="E1113" s="1392" t="s">
        <v>1906</v>
      </c>
      <c r="F1113" s="1392" t="s">
        <v>1907</v>
      </c>
      <c r="G1113" s="1391">
        <v>3650000</v>
      </c>
    </row>
    <row r="1114" spans="1:7" x14ac:dyDescent="0.25">
      <c r="A1114" s="1392" t="s">
        <v>2576</v>
      </c>
      <c r="B1114" s="1392" t="s">
        <v>1985</v>
      </c>
      <c r="C1114" s="1392" t="s">
        <v>1846</v>
      </c>
      <c r="D1114" s="1392" t="s">
        <v>1986</v>
      </c>
      <c r="E1114" s="1392" t="s">
        <v>1906</v>
      </c>
      <c r="F1114" s="1392" t="s">
        <v>1978</v>
      </c>
      <c r="G1114" s="1391">
        <v>395000</v>
      </c>
    </row>
    <row r="1115" spans="1:7" x14ac:dyDescent="0.25">
      <c r="A1115" s="1392" t="s">
        <v>2576</v>
      </c>
      <c r="B1115" s="1392" t="s">
        <v>1985</v>
      </c>
      <c r="C1115" s="1392" t="s">
        <v>1846</v>
      </c>
      <c r="D1115" s="1392" t="s">
        <v>1986</v>
      </c>
      <c r="E1115" s="1392" t="s">
        <v>1906</v>
      </c>
      <c r="F1115" s="1392" t="s">
        <v>1909</v>
      </c>
      <c r="G1115" s="1391">
        <v>18945000</v>
      </c>
    </row>
    <row r="1116" spans="1:7" x14ac:dyDescent="0.25">
      <c r="A1116" s="1392" t="s">
        <v>2576</v>
      </c>
      <c r="B1116" s="1392" t="s">
        <v>1985</v>
      </c>
      <c r="C1116" s="1392" t="s">
        <v>1846</v>
      </c>
      <c r="D1116" s="1392" t="s">
        <v>1986</v>
      </c>
      <c r="E1116" s="4536" t="s">
        <v>1968</v>
      </c>
      <c r="F1116" s="4538"/>
      <c r="G1116" s="1391">
        <v>54549800</v>
      </c>
    </row>
    <row r="1117" spans="1:7" x14ac:dyDescent="0.25">
      <c r="A1117" s="1392" t="s">
        <v>2576</v>
      </c>
      <c r="B1117" s="1392" t="s">
        <v>1985</v>
      </c>
      <c r="C1117" s="1392" t="s">
        <v>1846</v>
      </c>
      <c r="D1117" s="1392" t="s">
        <v>1986</v>
      </c>
      <c r="E1117" s="1392" t="s">
        <v>1968</v>
      </c>
      <c r="F1117" s="1392" t="s">
        <v>1969</v>
      </c>
      <c r="G1117" s="1391">
        <v>54549800</v>
      </c>
    </row>
    <row r="1118" spans="1:7" x14ac:dyDescent="0.25">
      <c r="A1118" s="1392" t="s">
        <v>2576</v>
      </c>
      <c r="B1118" s="1392" t="s">
        <v>1985</v>
      </c>
      <c r="C1118" s="1392" t="s">
        <v>1846</v>
      </c>
      <c r="D1118" s="1392" t="s">
        <v>1986</v>
      </c>
      <c r="E1118" s="4536" t="s">
        <v>1912</v>
      </c>
      <c r="F1118" s="4538"/>
      <c r="G1118" s="1391">
        <v>64215000</v>
      </c>
    </row>
    <row r="1119" spans="1:7" x14ac:dyDescent="0.25">
      <c r="A1119" s="1392" t="s">
        <v>2576</v>
      </c>
      <c r="B1119" s="1392" t="s">
        <v>1985</v>
      </c>
      <c r="C1119" s="1392" t="s">
        <v>1846</v>
      </c>
      <c r="D1119" s="1392" t="s">
        <v>1986</v>
      </c>
      <c r="E1119" s="1392" t="s">
        <v>1912</v>
      </c>
      <c r="F1119" s="1392" t="s">
        <v>1915</v>
      </c>
      <c r="G1119" s="1391">
        <v>36280000</v>
      </c>
    </row>
    <row r="1120" spans="1:7" x14ac:dyDescent="0.25">
      <c r="A1120" s="1392" t="s">
        <v>2576</v>
      </c>
      <c r="B1120" s="1392" t="s">
        <v>1985</v>
      </c>
      <c r="C1120" s="1392" t="s">
        <v>1846</v>
      </c>
      <c r="D1120" s="1392" t="s">
        <v>1986</v>
      </c>
      <c r="E1120" s="1392" t="s">
        <v>1912</v>
      </c>
      <c r="F1120" s="1392" t="s">
        <v>1916</v>
      </c>
      <c r="G1120" s="1391">
        <v>27935000</v>
      </c>
    </row>
    <row r="1121" spans="1:7" x14ac:dyDescent="0.25">
      <c r="A1121" s="1392" t="s">
        <v>2576</v>
      </c>
      <c r="B1121" s="1392" t="s">
        <v>1985</v>
      </c>
      <c r="C1121" s="1392" t="s">
        <v>1846</v>
      </c>
      <c r="D1121" s="1392" t="s">
        <v>1986</v>
      </c>
      <c r="E1121" s="4536" t="s">
        <v>1983</v>
      </c>
      <c r="F1121" s="4538"/>
      <c r="G1121" s="1391">
        <v>3600000</v>
      </c>
    </row>
    <row r="1122" spans="1:7" x14ac:dyDescent="0.25">
      <c r="A1122" s="1392" t="s">
        <v>2576</v>
      </c>
      <c r="B1122" s="1392" t="s">
        <v>1985</v>
      </c>
      <c r="C1122" s="1392" t="s">
        <v>1846</v>
      </c>
      <c r="D1122" s="1392" t="s">
        <v>1986</v>
      </c>
      <c r="E1122" s="1392" t="s">
        <v>1983</v>
      </c>
      <c r="F1122" s="1392" t="s">
        <v>2240</v>
      </c>
      <c r="G1122" s="1391">
        <v>3600000</v>
      </c>
    </row>
    <row r="1123" spans="1:7" x14ac:dyDescent="0.25">
      <c r="A1123" s="1392" t="s">
        <v>2576</v>
      </c>
      <c r="B1123" s="4536" t="s">
        <v>1987</v>
      </c>
      <c r="C1123" s="4537"/>
      <c r="D1123" s="4537"/>
      <c r="E1123" s="4537"/>
      <c r="F1123" s="4538"/>
      <c r="G1123" s="1391">
        <v>900637123</v>
      </c>
    </row>
    <row r="1124" spans="1:7" x14ac:dyDescent="0.25">
      <c r="A1124" s="1392" t="s">
        <v>2576</v>
      </c>
      <c r="B1124" s="1392" t="s">
        <v>1987</v>
      </c>
      <c r="C1124" s="4536" t="s">
        <v>1846</v>
      </c>
      <c r="D1124" s="4537"/>
      <c r="E1124" s="4537"/>
      <c r="F1124" s="4538"/>
      <c r="G1124" s="1391">
        <v>900637123</v>
      </c>
    </row>
    <row r="1125" spans="1:7" x14ac:dyDescent="0.25">
      <c r="A1125" s="1392" t="s">
        <v>2576</v>
      </c>
      <c r="B1125" s="1392" t="s">
        <v>1987</v>
      </c>
      <c r="C1125" s="1392" t="s">
        <v>1846</v>
      </c>
      <c r="D1125" s="4536" t="s">
        <v>1986</v>
      </c>
      <c r="E1125" s="4537"/>
      <c r="F1125" s="4538"/>
      <c r="G1125" s="1391">
        <v>900637123</v>
      </c>
    </row>
    <row r="1126" spans="1:7" x14ac:dyDescent="0.25">
      <c r="A1126" s="1392" t="s">
        <v>2576</v>
      </c>
      <c r="B1126" s="1392" t="s">
        <v>1987</v>
      </c>
      <c r="C1126" s="1392" t="s">
        <v>1846</v>
      </c>
      <c r="D1126" s="1392" t="s">
        <v>1986</v>
      </c>
      <c r="E1126" s="4536" t="s">
        <v>1848</v>
      </c>
      <c r="F1126" s="4538"/>
      <c r="G1126" s="1391">
        <v>138659398</v>
      </c>
    </row>
    <row r="1127" spans="1:7" x14ac:dyDescent="0.25">
      <c r="A1127" s="1392" t="s">
        <v>2576</v>
      </c>
      <c r="B1127" s="1392" t="s">
        <v>1987</v>
      </c>
      <c r="C1127" s="1392" t="s">
        <v>1846</v>
      </c>
      <c r="D1127" s="1392" t="s">
        <v>1986</v>
      </c>
      <c r="E1127" s="1392" t="s">
        <v>1848</v>
      </c>
      <c r="F1127" s="1392" t="s">
        <v>1849</v>
      </c>
      <c r="G1127" s="1391">
        <v>138659398</v>
      </c>
    </row>
    <row r="1128" spans="1:7" x14ac:dyDescent="0.25">
      <c r="A1128" s="1392" t="s">
        <v>2576</v>
      </c>
      <c r="B1128" s="1392" t="s">
        <v>1987</v>
      </c>
      <c r="C1128" s="1392" t="s">
        <v>1846</v>
      </c>
      <c r="D1128" s="1392" t="s">
        <v>1986</v>
      </c>
      <c r="E1128" s="4536" t="s">
        <v>1853</v>
      </c>
      <c r="F1128" s="4538"/>
      <c r="G1128" s="1391">
        <v>132265698</v>
      </c>
    </row>
    <row r="1129" spans="1:7" x14ac:dyDescent="0.25">
      <c r="A1129" s="1392" t="s">
        <v>2576</v>
      </c>
      <c r="B1129" s="1392" t="s">
        <v>1987</v>
      </c>
      <c r="C1129" s="1392" t="s">
        <v>1846</v>
      </c>
      <c r="D1129" s="1392" t="s">
        <v>1986</v>
      </c>
      <c r="E1129" s="1392" t="s">
        <v>1853</v>
      </c>
      <c r="F1129" s="1392" t="s">
        <v>1854</v>
      </c>
      <c r="G1129" s="1391">
        <v>8046002</v>
      </c>
    </row>
    <row r="1130" spans="1:7" x14ac:dyDescent="0.25">
      <c r="A1130" s="1392" t="s">
        <v>2576</v>
      </c>
      <c r="B1130" s="1392" t="s">
        <v>1987</v>
      </c>
      <c r="C1130" s="1392" t="s">
        <v>1846</v>
      </c>
      <c r="D1130" s="1392" t="s">
        <v>1986</v>
      </c>
      <c r="E1130" s="1392" t="s">
        <v>1853</v>
      </c>
      <c r="F1130" s="1392" t="s">
        <v>1855</v>
      </c>
      <c r="G1130" s="1391">
        <v>24585000</v>
      </c>
    </row>
    <row r="1131" spans="1:7" x14ac:dyDescent="0.25">
      <c r="A1131" s="1392" t="s">
        <v>2576</v>
      </c>
      <c r="B1131" s="1392" t="s">
        <v>1987</v>
      </c>
      <c r="C1131" s="1392" t="s">
        <v>1846</v>
      </c>
      <c r="D1131" s="1392" t="s">
        <v>1986</v>
      </c>
      <c r="E1131" s="1392" t="s">
        <v>1853</v>
      </c>
      <c r="F1131" s="1392" t="s">
        <v>1856</v>
      </c>
      <c r="G1131" s="1391">
        <v>17485036</v>
      </c>
    </row>
    <row r="1132" spans="1:7" x14ac:dyDescent="0.25">
      <c r="A1132" s="1392" t="s">
        <v>2576</v>
      </c>
      <c r="B1132" s="1392" t="s">
        <v>1987</v>
      </c>
      <c r="C1132" s="1392" t="s">
        <v>1846</v>
      </c>
      <c r="D1132" s="1392" t="s">
        <v>1986</v>
      </c>
      <c r="E1132" s="1392" t="s">
        <v>1853</v>
      </c>
      <c r="F1132" s="1392" t="s">
        <v>1858</v>
      </c>
      <c r="G1132" s="1391">
        <v>1341000</v>
      </c>
    </row>
    <row r="1133" spans="1:7" x14ac:dyDescent="0.25">
      <c r="A1133" s="1392" t="s">
        <v>2576</v>
      </c>
      <c r="B1133" s="1392" t="s">
        <v>1987</v>
      </c>
      <c r="C1133" s="1392" t="s">
        <v>1846</v>
      </c>
      <c r="D1133" s="1392" t="s">
        <v>1986</v>
      </c>
      <c r="E1133" s="1392" t="s">
        <v>1853</v>
      </c>
      <c r="F1133" s="1392" t="s">
        <v>1977</v>
      </c>
      <c r="G1133" s="1391">
        <v>44056320</v>
      </c>
    </row>
    <row r="1134" spans="1:7" x14ac:dyDescent="0.25">
      <c r="A1134" s="1392" t="s">
        <v>2576</v>
      </c>
      <c r="B1134" s="1392" t="s">
        <v>1987</v>
      </c>
      <c r="C1134" s="1392" t="s">
        <v>1846</v>
      </c>
      <c r="D1134" s="1392" t="s">
        <v>1986</v>
      </c>
      <c r="E1134" s="1392" t="s">
        <v>1853</v>
      </c>
      <c r="F1134" s="1392" t="s">
        <v>1859</v>
      </c>
      <c r="G1134" s="1391">
        <v>36752340</v>
      </c>
    </row>
    <row r="1135" spans="1:7" x14ac:dyDescent="0.25">
      <c r="A1135" s="1392" t="s">
        <v>2576</v>
      </c>
      <c r="B1135" s="1392" t="s">
        <v>1987</v>
      </c>
      <c r="C1135" s="1392" t="s">
        <v>1846</v>
      </c>
      <c r="D1135" s="1392" t="s">
        <v>1986</v>
      </c>
      <c r="E1135" s="4536" t="s">
        <v>1860</v>
      </c>
      <c r="F1135" s="4538"/>
      <c r="G1135" s="1391">
        <v>15430000</v>
      </c>
    </row>
    <row r="1136" spans="1:7" x14ac:dyDescent="0.25">
      <c r="A1136" s="1392" t="s">
        <v>2576</v>
      </c>
      <c r="B1136" s="1392" t="s">
        <v>1987</v>
      </c>
      <c r="C1136" s="1392" t="s">
        <v>1846</v>
      </c>
      <c r="D1136" s="1392" t="s">
        <v>1986</v>
      </c>
      <c r="E1136" s="1392" t="s">
        <v>1860</v>
      </c>
      <c r="F1136" s="1392" t="s">
        <v>1861</v>
      </c>
      <c r="G1136" s="1391">
        <v>2550000</v>
      </c>
    </row>
    <row r="1137" spans="1:7" x14ac:dyDescent="0.25">
      <c r="A1137" s="1392" t="s">
        <v>2576</v>
      </c>
      <c r="B1137" s="1392" t="s">
        <v>1987</v>
      </c>
      <c r="C1137" s="1392" t="s">
        <v>1846</v>
      </c>
      <c r="D1137" s="1392" t="s">
        <v>1986</v>
      </c>
      <c r="E1137" s="1392" t="s">
        <v>1860</v>
      </c>
      <c r="F1137" s="1392" t="s">
        <v>1930</v>
      </c>
      <c r="G1137" s="1391">
        <v>12880000</v>
      </c>
    </row>
    <row r="1138" spans="1:7" x14ac:dyDescent="0.25">
      <c r="A1138" s="1392" t="s">
        <v>2576</v>
      </c>
      <c r="B1138" s="1392" t="s">
        <v>1987</v>
      </c>
      <c r="C1138" s="1392" t="s">
        <v>1846</v>
      </c>
      <c r="D1138" s="1392" t="s">
        <v>1986</v>
      </c>
      <c r="E1138" s="4536" t="s">
        <v>1943</v>
      </c>
      <c r="F1138" s="4538"/>
      <c r="G1138" s="1391">
        <v>1721800</v>
      </c>
    </row>
    <row r="1139" spans="1:7" x14ac:dyDescent="0.25">
      <c r="A1139" s="1392" t="s">
        <v>2576</v>
      </c>
      <c r="B1139" s="1392" t="s">
        <v>1987</v>
      </c>
      <c r="C1139" s="1392" t="s">
        <v>1846</v>
      </c>
      <c r="D1139" s="1392" t="s">
        <v>1986</v>
      </c>
      <c r="E1139" s="1392" t="s">
        <v>1943</v>
      </c>
      <c r="F1139" s="1392" t="s">
        <v>1980</v>
      </c>
      <c r="G1139" s="1391">
        <v>1721800</v>
      </c>
    </row>
    <row r="1140" spans="1:7" x14ac:dyDescent="0.25">
      <c r="A1140" s="1392" t="s">
        <v>2576</v>
      </c>
      <c r="B1140" s="1392" t="s">
        <v>1987</v>
      </c>
      <c r="C1140" s="1392" t="s">
        <v>1846</v>
      </c>
      <c r="D1140" s="1392" t="s">
        <v>1986</v>
      </c>
      <c r="E1140" s="4536" t="s">
        <v>1862</v>
      </c>
      <c r="F1140" s="4538"/>
      <c r="G1140" s="1391">
        <v>33008505</v>
      </c>
    </row>
    <row r="1141" spans="1:7" x14ac:dyDescent="0.25">
      <c r="A1141" s="1392" t="s">
        <v>2576</v>
      </c>
      <c r="B1141" s="1392" t="s">
        <v>1987</v>
      </c>
      <c r="C1141" s="1392" t="s">
        <v>1846</v>
      </c>
      <c r="D1141" s="1392" t="s">
        <v>1986</v>
      </c>
      <c r="E1141" s="1392" t="s">
        <v>1862</v>
      </c>
      <c r="F1141" s="1392" t="s">
        <v>1863</v>
      </c>
      <c r="G1141" s="1391">
        <v>25673445</v>
      </c>
    </row>
    <row r="1142" spans="1:7" x14ac:dyDescent="0.25">
      <c r="A1142" s="1392" t="s">
        <v>2576</v>
      </c>
      <c r="B1142" s="1392" t="s">
        <v>1987</v>
      </c>
      <c r="C1142" s="1392" t="s">
        <v>1846</v>
      </c>
      <c r="D1142" s="1392" t="s">
        <v>1986</v>
      </c>
      <c r="E1142" s="1392" t="s">
        <v>1862</v>
      </c>
      <c r="F1142" s="1392" t="s">
        <v>1864</v>
      </c>
      <c r="G1142" s="1391">
        <v>4401162</v>
      </c>
    </row>
    <row r="1143" spans="1:7" x14ac:dyDescent="0.25">
      <c r="A1143" s="1392" t="s">
        <v>2576</v>
      </c>
      <c r="B1143" s="1392" t="s">
        <v>1987</v>
      </c>
      <c r="C1143" s="1392" t="s">
        <v>1846</v>
      </c>
      <c r="D1143" s="1392" t="s">
        <v>1986</v>
      </c>
      <c r="E1143" s="1392" t="s">
        <v>1862</v>
      </c>
      <c r="F1143" s="1392" t="s">
        <v>1865</v>
      </c>
      <c r="G1143" s="1391">
        <v>2933898</v>
      </c>
    </row>
    <row r="1144" spans="1:7" x14ac:dyDescent="0.25">
      <c r="A1144" s="1392" t="s">
        <v>2576</v>
      </c>
      <c r="B1144" s="1392" t="s">
        <v>1987</v>
      </c>
      <c r="C1144" s="1392" t="s">
        <v>1846</v>
      </c>
      <c r="D1144" s="1392" t="s">
        <v>1986</v>
      </c>
      <c r="E1144" s="4536" t="s">
        <v>1867</v>
      </c>
      <c r="F1144" s="4538"/>
      <c r="G1144" s="1391">
        <v>25361973</v>
      </c>
    </row>
    <row r="1145" spans="1:7" x14ac:dyDescent="0.25">
      <c r="A1145" s="1392" t="s">
        <v>2576</v>
      </c>
      <c r="B1145" s="1392" t="s">
        <v>1987</v>
      </c>
      <c r="C1145" s="1392" t="s">
        <v>1846</v>
      </c>
      <c r="D1145" s="1392" t="s">
        <v>1986</v>
      </c>
      <c r="E1145" s="1392" t="s">
        <v>1867</v>
      </c>
      <c r="F1145" s="1392" t="s">
        <v>1868</v>
      </c>
      <c r="G1145" s="1391">
        <v>25361973</v>
      </c>
    </row>
    <row r="1146" spans="1:7" x14ac:dyDescent="0.25">
      <c r="A1146" s="1392" t="s">
        <v>2576</v>
      </c>
      <c r="B1146" s="1392" t="s">
        <v>1987</v>
      </c>
      <c r="C1146" s="1392" t="s">
        <v>1846</v>
      </c>
      <c r="D1146" s="1392" t="s">
        <v>1986</v>
      </c>
      <c r="E1146" s="4536" t="s">
        <v>1869</v>
      </c>
      <c r="F1146" s="4538"/>
      <c r="G1146" s="1391">
        <v>3389100</v>
      </c>
    </row>
    <row r="1147" spans="1:7" x14ac:dyDescent="0.25">
      <c r="A1147" s="1392" t="s">
        <v>2576</v>
      </c>
      <c r="B1147" s="1392" t="s">
        <v>1987</v>
      </c>
      <c r="C1147" s="1392" t="s">
        <v>1846</v>
      </c>
      <c r="D1147" s="1392" t="s">
        <v>1986</v>
      </c>
      <c r="E1147" s="1392" t="s">
        <v>1869</v>
      </c>
      <c r="F1147" s="1392" t="s">
        <v>1870</v>
      </c>
      <c r="G1147" s="1391">
        <v>3021000</v>
      </c>
    </row>
    <row r="1148" spans="1:7" x14ac:dyDescent="0.25">
      <c r="A1148" s="1392" t="s">
        <v>2576</v>
      </c>
      <c r="B1148" s="1392" t="s">
        <v>1987</v>
      </c>
      <c r="C1148" s="1392" t="s">
        <v>1846</v>
      </c>
      <c r="D1148" s="1392" t="s">
        <v>1986</v>
      </c>
      <c r="E1148" s="1392" t="s">
        <v>1869</v>
      </c>
      <c r="F1148" s="1392" t="s">
        <v>1871</v>
      </c>
      <c r="G1148" s="1391">
        <v>368100</v>
      </c>
    </row>
    <row r="1149" spans="1:7" x14ac:dyDescent="0.25">
      <c r="A1149" s="1392" t="s">
        <v>2576</v>
      </c>
      <c r="B1149" s="1392" t="s">
        <v>1987</v>
      </c>
      <c r="C1149" s="1392" t="s">
        <v>1846</v>
      </c>
      <c r="D1149" s="1392" t="s">
        <v>1986</v>
      </c>
      <c r="E1149" s="4536" t="s">
        <v>1874</v>
      </c>
      <c r="F1149" s="4538"/>
      <c r="G1149" s="1391">
        <v>17617000</v>
      </c>
    </row>
    <row r="1150" spans="1:7" x14ac:dyDescent="0.25">
      <c r="A1150" s="1392" t="s">
        <v>2576</v>
      </c>
      <c r="B1150" s="1392" t="s">
        <v>1987</v>
      </c>
      <c r="C1150" s="1392" t="s">
        <v>1846</v>
      </c>
      <c r="D1150" s="1392" t="s">
        <v>1986</v>
      </c>
      <c r="E1150" s="1392" t="s">
        <v>1874</v>
      </c>
      <c r="F1150" s="1392" t="s">
        <v>1875</v>
      </c>
      <c r="G1150" s="1391">
        <v>8690000</v>
      </c>
    </row>
    <row r="1151" spans="1:7" x14ac:dyDescent="0.25">
      <c r="A1151" s="1392" t="s">
        <v>2576</v>
      </c>
      <c r="B1151" s="1392" t="s">
        <v>1987</v>
      </c>
      <c r="C1151" s="1392" t="s">
        <v>1846</v>
      </c>
      <c r="D1151" s="1392" t="s">
        <v>1986</v>
      </c>
      <c r="E1151" s="1392" t="s">
        <v>1874</v>
      </c>
      <c r="F1151" s="1392" t="s">
        <v>1876</v>
      </c>
      <c r="G1151" s="1391">
        <v>8600000</v>
      </c>
    </row>
    <row r="1152" spans="1:7" x14ac:dyDescent="0.25">
      <c r="A1152" s="1392" t="s">
        <v>2576</v>
      </c>
      <c r="B1152" s="1392" t="s">
        <v>1987</v>
      </c>
      <c r="C1152" s="1392" t="s">
        <v>1846</v>
      </c>
      <c r="D1152" s="1392" t="s">
        <v>1986</v>
      </c>
      <c r="E1152" s="1392" t="s">
        <v>1874</v>
      </c>
      <c r="F1152" s="1392" t="s">
        <v>1877</v>
      </c>
      <c r="G1152" s="1391">
        <v>327000</v>
      </c>
    </row>
    <row r="1153" spans="1:7" x14ac:dyDescent="0.25">
      <c r="A1153" s="1392" t="s">
        <v>2576</v>
      </c>
      <c r="B1153" s="1392" t="s">
        <v>1987</v>
      </c>
      <c r="C1153" s="1392" t="s">
        <v>1846</v>
      </c>
      <c r="D1153" s="1392" t="s">
        <v>1986</v>
      </c>
      <c r="E1153" s="4536" t="s">
        <v>1878</v>
      </c>
      <c r="F1153" s="4538"/>
      <c r="G1153" s="1391">
        <v>3114100</v>
      </c>
    </row>
    <row r="1154" spans="1:7" x14ac:dyDescent="0.25">
      <c r="A1154" s="1392" t="s">
        <v>2576</v>
      </c>
      <c r="B1154" s="1392" t="s">
        <v>1987</v>
      </c>
      <c r="C1154" s="1392" t="s">
        <v>1846</v>
      </c>
      <c r="D1154" s="1392" t="s">
        <v>1986</v>
      </c>
      <c r="E1154" s="1392" t="s">
        <v>1878</v>
      </c>
      <c r="F1154" s="1392" t="s">
        <v>1879</v>
      </c>
      <c r="G1154" s="1391">
        <v>528600</v>
      </c>
    </row>
    <row r="1155" spans="1:7" x14ac:dyDescent="0.25">
      <c r="A1155" s="1392" t="s">
        <v>2576</v>
      </c>
      <c r="B1155" s="1392" t="s">
        <v>1987</v>
      </c>
      <c r="C1155" s="1392" t="s">
        <v>1846</v>
      </c>
      <c r="D1155" s="1392" t="s">
        <v>1986</v>
      </c>
      <c r="E1155" s="1392" t="s">
        <v>1878</v>
      </c>
      <c r="F1155" s="1392" t="s">
        <v>1881</v>
      </c>
      <c r="G1155" s="1391">
        <v>2585500</v>
      </c>
    </row>
    <row r="1156" spans="1:7" x14ac:dyDescent="0.25">
      <c r="A1156" s="1392" t="s">
        <v>2576</v>
      </c>
      <c r="B1156" s="1392" t="s">
        <v>1987</v>
      </c>
      <c r="C1156" s="1392" t="s">
        <v>1846</v>
      </c>
      <c r="D1156" s="1392" t="s">
        <v>1986</v>
      </c>
      <c r="E1156" s="4536" t="s">
        <v>1885</v>
      </c>
      <c r="F1156" s="4538"/>
      <c r="G1156" s="1391">
        <v>164430000</v>
      </c>
    </row>
    <row r="1157" spans="1:7" x14ac:dyDescent="0.25">
      <c r="A1157" s="1392" t="s">
        <v>2576</v>
      </c>
      <c r="B1157" s="1392" t="s">
        <v>1987</v>
      </c>
      <c r="C1157" s="1392" t="s">
        <v>1846</v>
      </c>
      <c r="D1157" s="1392" t="s">
        <v>1986</v>
      </c>
      <c r="E1157" s="1392" t="s">
        <v>1885</v>
      </c>
      <c r="F1157" s="1392" t="s">
        <v>1925</v>
      </c>
      <c r="G1157" s="1391">
        <v>3000000</v>
      </c>
    </row>
    <row r="1158" spans="1:7" x14ac:dyDescent="0.25">
      <c r="A1158" s="1392" t="s">
        <v>2576</v>
      </c>
      <c r="B1158" s="1392" t="s">
        <v>1987</v>
      </c>
      <c r="C1158" s="1392" t="s">
        <v>1846</v>
      </c>
      <c r="D1158" s="1392" t="s">
        <v>1986</v>
      </c>
      <c r="E1158" s="1392" t="s">
        <v>1885</v>
      </c>
      <c r="F1158" s="1392" t="s">
        <v>1886</v>
      </c>
      <c r="G1158" s="1391">
        <v>2000000</v>
      </c>
    </row>
    <row r="1159" spans="1:7" x14ac:dyDescent="0.25">
      <c r="A1159" s="1392" t="s">
        <v>2576</v>
      </c>
      <c r="B1159" s="1392" t="s">
        <v>1987</v>
      </c>
      <c r="C1159" s="1392" t="s">
        <v>1846</v>
      </c>
      <c r="D1159" s="1392" t="s">
        <v>1986</v>
      </c>
      <c r="E1159" s="1392" t="s">
        <v>1885</v>
      </c>
      <c r="F1159" s="1392" t="s">
        <v>1926</v>
      </c>
      <c r="G1159" s="1391">
        <v>1000000</v>
      </c>
    </row>
    <row r="1160" spans="1:7" x14ac:dyDescent="0.25">
      <c r="A1160" s="1392" t="s">
        <v>2576</v>
      </c>
      <c r="B1160" s="1392" t="s">
        <v>1987</v>
      </c>
      <c r="C1160" s="1392" t="s">
        <v>1846</v>
      </c>
      <c r="D1160" s="1392" t="s">
        <v>1986</v>
      </c>
      <c r="E1160" s="1392" t="s">
        <v>1885</v>
      </c>
      <c r="F1160" s="1392" t="s">
        <v>1927</v>
      </c>
      <c r="G1160" s="1391">
        <v>10700000</v>
      </c>
    </row>
    <row r="1161" spans="1:7" x14ac:dyDescent="0.25">
      <c r="A1161" s="1392" t="s">
        <v>2576</v>
      </c>
      <c r="B1161" s="1392" t="s">
        <v>1987</v>
      </c>
      <c r="C1161" s="1392" t="s">
        <v>1846</v>
      </c>
      <c r="D1161" s="1392" t="s">
        <v>1986</v>
      </c>
      <c r="E1161" s="1392" t="s">
        <v>1885</v>
      </c>
      <c r="F1161" s="1392" t="s">
        <v>1887</v>
      </c>
      <c r="G1161" s="1391">
        <v>38800000</v>
      </c>
    </row>
    <row r="1162" spans="1:7" x14ac:dyDescent="0.25">
      <c r="A1162" s="1392" t="s">
        <v>2576</v>
      </c>
      <c r="B1162" s="1392" t="s">
        <v>1987</v>
      </c>
      <c r="C1162" s="1392" t="s">
        <v>1846</v>
      </c>
      <c r="D1162" s="1392" t="s">
        <v>1986</v>
      </c>
      <c r="E1162" s="1392" t="s">
        <v>1885</v>
      </c>
      <c r="F1162" s="1392" t="s">
        <v>1888</v>
      </c>
      <c r="G1162" s="1391">
        <v>108930000</v>
      </c>
    </row>
    <row r="1163" spans="1:7" x14ac:dyDescent="0.25">
      <c r="A1163" s="1392" t="s">
        <v>2576</v>
      </c>
      <c r="B1163" s="1392" t="s">
        <v>1987</v>
      </c>
      <c r="C1163" s="1392" t="s">
        <v>1846</v>
      </c>
      <c r="D1163" s="1392" t="s">
        <v>1986</v>
      </c>
      <c r="E1163" s="4536" t="s">
        <v>1889</v>
      </c>
      <c r="F1163" s="4538"/>
      <c r="G1163" s="1391">
        <v>40739960</v>
      </c>
    </row>
    <row r="1164" spans="1:7" x14ac:dyDescent="0.25">
      <c r="A1164" s="1392" t="s">
        <v>2576</v>
      </c>
      <c r="B1164" s="1392" t="s">
        <v>1987</v>
      </c>
      <c r="C1164" s="1392" t="s">
        <v>1846</v>
      </c>
      <c r="D1164" s="1392" t="s">
        <v>1986</v>
      </c>
      <c r="E1164" s="1392" t="s">
        <v>1889</v>
      </c>
      <c r="F1164" s="1392" t="s">
        <v>1890</v>
      </c>
      <c r="G1164" s="1391">
        <v>13900000</v>
      </c>
    </row>
    <row r="1165" spans="1:7" x14ac:dyDescent="0.25">
      <c r="A1165" s="1392" t="s">
        <v>2576</v>
      </c>
      <c r="B1165" s="1392" t="s">
        <v>1987</v>
      </c>
      <c r="C1165" s="1392" t="s">
        <v>1846</v>
      </c>
      <c r="D1165" s="1392" t="s">
        <v>1986</v>
      </c>
      <c r="E1165" s="1392" t="s">
        <v>1889</v>
      </c>
      <c r="F1165" s="1392" t="s">
        <v>1891</v>
      </c>
      <c r="G1165" s="1391">
        <v>19740000</v>
      </c>
    </row>
    <row r="1166" spans="1:7" x14ac:dyDescent="0.25">
      <c r="A1166" s="1392" t="s">
        <v>2576</v>
      </c>
      <c r="B1166" s="1392" t="s">
        <v>1987</v>
      </c>
      <c r="C1166" s="1392" t="s">
        <v>1846</v>
      </c>
      <c r="D1166" s="1392" t="s">
        <v>1986</v>
      </c>
      <c r="E1166" s="1392" t="s">
        <v>1889</v>
      </c>
      <c r="F1166" s="1392" t="s">
        <v>1922</v>
      </c>
      <c r="G1166" s="1391">
        <v>7099960</v>
      </c>
    </row>
    <row r="1167" spans="1:7" x14ac:dyDescent="0.25">
      <c r="A1167" s="1392" t="s">
        <v>2576</v>
      </c>
      <c r="B1167" s="1392" t="s">
        <v>1987</v>
      </c>
      <c r="C1167" s="1392" t="s">
        <v>1846</v>
      </c>
      <c r="D1167" s="1392" t="s">
        <v>1986</v>
      </c>
      <c r="E1167" s="4536" t="s">
        <v>1893</v>
      </c>
      <c r="F1167" s="4538"/>
      <c r="G1167" s="1391">
        <v>21700000</v>
      </c>
    </row>
    <row r="1168" spans="1:7" x14ac:dyDescent="0.25">
      <c r="A1168" s="1392" t="s">
        <v>2576</v>
      </c>
      <c r="B1168" s="1392" t="s">
        <v>1987</v>
      </c>
      <c r="C1168" s="1392" t="s">
        <v>1846</v>
      </c>
      <c r="D1168" s="1392" t="s">
        <v>1986</v>
      </c>
      <c r="E1168" s="1392" t="s">
        <v>1893</v>
      </c>
      <c r="F1168" s="1392" t="s">
        <v>1894</v>
      </c>
      <c r="G1168" s="1391">
        <v>9900000</v>
      </c>
    </row>
    <row r="1169" spans="1:7" x14ac:dyDescent="0.25">
      <c r="A1169" s="1392" t="s">
        <v>2576</v>
      </c>
      <c r="B1169" s="1392" t="s">
        <v>1987</v>
      </c>
      <c r="C1169" s="1392" t="s">
        <v>1846</v>
      </c>
      <c r="D1169" s="1392" t="s">
        <v>1986</v>
      </c>
      <c r="E1169" s="1392" t="s">
        <v>1893</v>
      </c>
      <c r="F1169" s="1392" t="s">
        <v>2051</v>
      </c>
      <c r="G1169" s="1391">
        <v>1300000</v>
      </c>
    </row>
    <row r="1170" spans="1:7" x14ac:dyDescent="0.25">
      <c r="A1170" s="1392" t="s">
        <v>2576</v>
      </c>
      <c r="B1170" s="1392" t="s">
        <v>1987</v>
      </c>
      <c r="C1170" s="1392" t="s">
        <v>1846</v>
      </c>
      <c r="D1170" s="1392" t="s">
        <v>1986</v>
      </c>
      <c r="E1170" s="1392" t="s">
        <v>1893</v>
      </c>
      <c r="F1170" s="1392" t="s">
        <v>1895</v>
      </c>
      <c r="G1170" s="1391">
        <v>10500000</v>
      </c>
    </row>
    <row r="1171" spans="1:7" x14ac:dyDescent="0.25">
      <c r="A1171" s="1392" t="s">
        <v>2576</v>
      </c>
      <c r="B1171" s="1392" t="s">
        <v>1987</v>
      </c>
      <c r="C1171" s="1392" t="s">
        <v>1846</v>
      </c>
      <c r="D1171" s="1392" t="s">
        <v>1986</v>
      </c>
      <c r="E1171" s="4536" t="s">
        <v>1896</v>
      </c>
      <c r="F1171" s="4538"/>
      <c r="G1171" s="1391">
        <v>219204789</v>
      </c>
    </row>
    <row r="1172" spans="1:7" x14ac:dyDescent="0.25">
      <c r="A1172" s="1392" t="s">
        <v>2576</v>
      </c>
      <c r="B1172" s="1392" t="s">
        <v>1987</v>
      </c>
      <c r="C1172" s="1392" t="s">
        <v>1846</v>
      </c>
      <c r="D1172" s="1392" t="s">
        <v>1986</v>
      </c>
      <c r="E1172" s="1392" t="s">
        <v>1896</v>
      </c>
      <c r="F1172" s="1392" t="s">
        <v>1900</v>
      </c>
      <c r="G1172" s="1391">
        <v>15570000</v>
      </c>
    </row>
    <row r="1173" spans="1:7" x14ac:dyDescent="0.25">
      <c r="A1173" s="1392" t="s">
        <v>2576</v>
      </c>
      <c r="B1173" s="1392" t="s">
        <v>1987</v>
      </c>
      <c r="C1173" s="1392" t="s">
        <v>1846</v>
      </c>
      <c r="D1173" s="1392" t="s">
        <v>1986</v>
      </c>
      <c r="E1173" s="1392" t="s">
        <v>1896</v>
      </c>
      <c r="F1173" s="1392" t="s">
        <v>1901</v>
      </c>
      <c r="G1173" s="1391">
        <v>1084000</v>
      </c>
    </row>
    <row r="1174" spans="1:7" x14ac:dyDescent="0.25">
      <c r="A1174" s="1392" t="s">
        <v>2576</v>
      </c>
      <c r="B1174" s="1392" t="s">
        <v>1987</v>
      </c>
      <c r="C1174" s="1392" t="s">
        <v>1846</v>
      </c>
      <c r="D1174" s="1392" t="s">
        <v>1986</v>
      </c>
      <c r="E1174" s="1392" t="s">
        <v>1896</v>
      </c>
      <c r="F1174" s="1392" t="s">
        <v>1902</v>
      </c>
      <c r="G1174" s="1391">
        <v>202550789</v>
      </c>
    </row>
    <row r="1175" spans="1:7" x14ac:dyDescent="0.25">
      <c r="A1175" s="1392" t="s">
        <v>2576</v>
      </c>
      <c r="B1175" s="1392" t="s">
        <v>1987</v>
      </c>
      <c r="C1175" s="1392" t="s">
        <v>1846</v>
      </c>
      <c r="D1175" s="1392" t="s">
        <v>1986</v>
      </c>
      <c r="E1175" s="4536" t="s">
        <v>1906</v>
      </c>
      <c r="F1175" s="4538"/>
      <c r="G1175" s="1391">
        <v>25384800</v>
      </c>
    </row>
    <row r="1176" spans="1:7" x14ac:dyDescent="0.25">
      <c r="A1176" s="1392" t="s">
        <v>2576</v>
      </c>
      <c r="B1176" s="1392" t="s">
        <v>1987</v>
      </c>
      <c r="C1176" s="1392" t="s">
        <v>1846</v>
      </c>
      <c r="D1176" s="1392" t="s">
        <v>1986</v>
      </c>
      <c r="E1176" s="1392" t="s">
        <v>1906</v>
      </c>
      <c r="F1176" s="1392" t="s">
        <v>1909</v>
      </c>
      <c r="G1176" s="1391">
        <v>25384800</v>
      </c>
    </row>
    <row r="1177" spans="1:7" x14ac:dyDescent="0.25">
      <c r="A1177" s="1392" t="s">
        <v>2576</v>
      </c>
      <c r="B1177" s="1392" t="s">
        <v>1987</v>
      </c>
      <c r="C1177" s="1392" t="s">
        <v>1846</v>
      </c>
      <c r="D1177" s="1392" t="s">
        <v>1986</v>
      </c>
      <c r="E1177" s="4536" t="s">
        <v>1912</v>
      </c>
      <c r="F1177" s="4538"/>
      <c r="G1177" s="1391">
        <v>58610000</v>
      </c>
    </row>
    <row r="1178" spans="1:7" x14ac:dyDescent="0.25">
      <c r="A1178" s="1392" t="s">
        <v>2576</v>
      </c>
      <c r="B1178" s="1392" t="s">
        <v>1987</v>
      </c>
      <c r="C1178" s="1392" t="s">
        <v>1846</v>
      </c>
      <c r="D1178" s="1392" t="s">
        <v>1986</v>
      </c>
      <c r="E1178" s="1392" t="s">
        <v>1912</v>
      </c>
      <c r="F1178" s="1392" t="s">
        <v>1915</v>
      </c>
      <c r="G1178" s="1391">
        <v>34580000</v>
      </c>
    </row>
    <row r="1179" spans="1:7" x14ac:dyDescent="0.25">
      <c r="A1179" s="1392" t="s">
        <v>2576</v>
      </c>
      <c r="B1179" s="1392" t="s">
        <v>1987</v>
      </c>
      <c r="C1179" s="1392" t="s">
        <v>1846</v>
      </c>
      <c r="D1179" s="1392" t="s">
        <v>1986</v>
      </c>
      <c r="E1179" s="1392" t="s">
        <v>1912</v>
      </c>
      <c r="F1179" s="1392" t="s">
        <v>1916</v>
      </c>
      <c r="G1179" s="1391">
        <v>24030000</v>
      </c>
    </row>
    <row r="1180" spans="1:7" x14ac:dyDescent="0.25">
      <c r="A1180" s="1392" t="s">
        <v>2576</v>
      </c>
      <c r="B1180" s="4536" t="s">
        <v>1989</v>
      </c>
      <c r="C1180" s="4537"/>
      <c r="D1180" s="4537"/>
      <c r="E1180" s="4537"/>
      <c r="F1180" s="4538"/>
      <c r="G1180" s="1391">
        <v>807821995</v>
      </c>
    </row>
    <row r="1181" spans="1:7" x14ac:dyDescent="0.25">
      <c r="A1181" s="1392" t="s">
        <v>2576</v>
      </c>
      <c r="B1181" s="1392" t="s">
        <v>1989</v>
      </c>
      <c r="C1181" s="4536" t="s">
        <v>1846</v>
      </c>
      <c r="D1181" s="4537"/>
      <c r="E1181" s="4537"/>
      <c r="F1181" s="4538"/>
      <c r="G1181" s="1391">
        <v>807821995</v>
      </c>
    </row>
    <row r="1182" spans="1:7" x14ac:dyDescent="0.25">
      <c r="A1182" s="1392" t="s">
        <v>2576</v>
      </c>
      <c r="B1182" s="1392" t="s">
        <v>1989</v>
      </c>
      <c r="C1182" s="1392" t="s">
        <v>1846</v>
      </c>
      <c r="D1182" s="4536" t="s">
        <v>1986</v>
      </c>
      <c r="E1182" s="4537"/>
      <c r="F1182" s="4538"/>
      <c r="G1182" s="1391">
        <v>807821995</v>
      </c>
    </row>
    <row r="1183" spans="1:7" x14ac:dyDescent="0.25">
      <c r="A1183" s="1392" t="s">
        <v>2576</v>
      </c>
      <c r="B1183" s="1392" t="s">
        <v>1989</v>
      </c>
      <c r="C1183" s="1392" t="s">
        <v>1846</v>
      </c>
      <c r="D1183" s="1392" t="s">
        <v>1986</v>
      </c>
      <c r="E1183" s="4536" t="s">
        <v>1848</v>
      </c>
      <c r="F1183" s="4538"/>
      <c r="G1183" s="1391">
        <v>192210000</v>
      </c>
    </row>
    <row r="1184" spans="1:7" x14ac:dyDescent="0.25">
      <c r="A1184" s="1392" t="s">
        <v>2576</v>
      </c>
      <c r="B1184" s="1392" t="s">
        <v>1989</v>
      </c>
      <c r="C1184" s="1392" t="s">
        <v>1846</v>
      </c>
      <c r="D1184" s="1392" t="s">
        <v>1986</v>
      </c>
      <c r="E1184" s="1392" t="s">
        <v>1848</v>
      </c>
      <c r="F1184" s="1392" t="s">
        <v>1849</v>
      </c>
      <c r="G1184" s="1391">
        <v>192210000</v>
      </c>
    </row>
    <row r="1185" spans="1:7" x14ac:dyDescent="0.25">
      <c r="A1185" s="1392" t="s">
        <v>2576</v>
      </c>
      <c r="B1185" s="1392" t="s">
        <v>1989</v>
      </c>
      <c r="C1185" s="1392" t="s">
        <v>1846</v>
      </c>
      <c r="D1185" s="1392" t="s">
        <v>1986</v>
      </c>
      <c r="E1185" s="4536" t="s">
        <v>1853</v>
      </c>
      <c r="F1185" s="4538"/>
      <c r="G1185" s="1391">
        <v>189170436</v>
      </c>
    </row>
    <row r="1186" spans="1:7" x14ac:dyDescent="0.25">
      <c r="A1186" s="1392" t="s">
        <v>2576</v>
      </c>
      <c r="B1186" s="1392" t="s">
        <v>1989</v>
      </c>
      <c r="C1186" s="1392" t="s">
        <v>1846</v>
      </c>
      <c r="D1186" s="1392" t="s">
        <v>1986</v>
      </c>
      <c r="E1186" s="1392" t="s">
        <v>1853</v>
      </c>
      <c r="F1186" s="1392" t="s">
        <v>1854</v>
      </c>
      <c r="G1186" s="1391">
        <v>9387000</v>
      </c>
    </row>
    <row r="1187" spans="1:7" x14ac:dyDescent="0.25">
      <c r="A1187" s="1392" t="s">
        <v>2576</v>
      </c>
      <c r="B1187" s="1392" t="s">
        <v>1989</v>
      </c>
      <c r="C1187" s="1392" t="s">
        <v>1846</v>
      </c>
      <c r="D1187" s="1392" t="s">
        <v>1986</v>
      </c>
      <c r="E1187" s="1392" t="s">
        <v>1853</v>
      </c>
      <c r="F1187" s="1392" t="s">
        <v>1855</v>
      </c>
      <c r="G1187" s="1391">
        <v>26671000</v>
      </c>
    </row>
    <row r="1188" spans="1:7" x14ac:dyDescent="0.25">
      <c r="A1188" s="1392" t="s">
        <v>2576</v>
      </c>
      <c r="B1188" s="1392" t="s">
        <v>1989</v>
      </c>
      <c r="C1188" s="1392" t="s">
        <v>1846</v>
      </c>
      <c r="D1188" s="1392" t="s">
        <v>1986</v>
      </c>
      <c r="E1188" s="1392" t="s">
        <v>1853</v>
      </c>
      <c r="F1188" s="1392" t="s">
        <v>1856</v>
      </c>
      <c r="G1188" s="1391">
        <v>42402456</v>
      </c>
    </row>
    <row r="1189" spans="1:7" x14ac:dyDescent="0.25">
      <c r="A1189" s="1392" t="s">
        <v>2576</v>
      </c>
      <c r="B1189" s="1392" t="s">
        <v>1989</v>
      </c>
      <c r="C1189" s="1392" t="s">
        <v>1846</v>
      </c>
      <c r="D1189" s="1392" t="s">
        <v>1986</v>
      </c>
      <c r="E1189" s="1392" t="s">
        <v>1853</v>
      </c>
      <c r="F1189" s="1392" t="s">
        <v>1977</v>
      </c>
      <c r="G1189" s="1391">
        <v>60312220</v>
      </c>
    </row>
    <row r="1190" spans="1:7" x14ac:dyDescent="0.25">
      <c r="A1190" s="1392" t="s">
        <v>2576</v>
      </c>
      <c r="B1190" s="1392" t="s">
        <v>1989</v>
      </c>
      <c r="C1190" s="1392" t="s">
        <v>1846</v>
      </c>
      <c r="D1190" s="1392" t="s">
        <v>1986</v>
      </c>
      <c r="E1190" s="1392" t="s">
        <v>1853</v>
      </c>
      <c r="F1190" s="1392" t="s">
        <v>1859</v>
      </c>
      <c r="G1190" s="1391">
        <v>50397760</v>
      </c>
    </row>
    <row r="1191" spans="1:7" x14ac:dyDescent="0.25">
      <c r="A1191" s="1392" t="s">
        <v>2576</v>
      </c>
      <c r="B1191" s="1392" t="s">
        <v>1989</v>
      </c>
      <c r="C1191" s="1392" t="s">
        <v>1846</v>
      </c>
      <c r="D1191" s="1392" t="s">
        <v>1986</v>
      </c>
      <c r="E1191" s="4536" t="s">
        <v>1860</v>
      </c>
      <c r="F1191" s="4538"/>
      <c r="G1191" s="1391">
        <v>15900000</v>
      </c>
    </row>
    <row r="1192" spans="1:7" x14ac:dyDescent="0.25">
      <c r="A1192" s="1392" t="s">
        <v>2576</v>
      </c>
      <c r="B1192" s="1392" t="s">
        <v>1989</v>
      </c>
      <c r="C1192" s="1392" t="s">
        <v>1846</v>
      </c>
      <c r="D1192" s="1392" t="s">
        <v>1986</v>
      </c>
      <c r="E1192" s="1392" t="s">
        <v>1860</v>
      </c>
      <c r="F1192" s="1392" t="s">
        <v>1861</v>
      </c>
      <c r="G1192" s="1391">
        <v>2550000</v>
      </c>
    </row>
    <row r="1193" spans="1:7" x14ac:dyDescent="0.25">
      <c r="A1193" s="1392" t="s">
        <v>2576</v>
      </c>
      <c r="B1193" s="1392" t="s">
        <v>1989</v>
      </c>
      <c r="C1193" s="1392" t="s">
        <v>1846</v>
      </c>
      <c r="D1193" s="1392" t="s">
        <v>1986</v>
      </c>
      <c r="E1193" s="1392" t="s">
        <v>1860</v>
      </c>
      <c r="F1193" s="1392" t="s">
        <v>1930</v>
      </c>
      <c r="G1193" s="1391">
        <v>13350000</v>
      </c>
    </row>
    <row r="1194" spans="1:7" x14ac:dyDescent="0.25">
      <c r="A1194" s="1392" t="s">
        <v>2576</v>
      </c>
      <c r="B1194" s="1392" t="s">
        <v>1989</v>
      </c>
      <c r="C1194" s="1392" t="s">
        <v>1846</v>
      </c>
      <c r="D1194" s="1392" t="s">
        <v>1986</v>
      </c>
      <c r="E1194" s="4536" t="s">
        <v>1943</v>
      </c>
      <c r="F1194" s="4538"/>
      <c r="G1194" s="1391">
        <v>1761400</v>
      </c>
    </row>
    <row r="1195" spans="1:7" x14ac:dyDescent="0.25">
      <c r="A1195" s="1392" t="s">
        <v>2576</v>
      </c>
      <c r="B1195" s="1392" t="s">
        <v>1989</v>
      </c>
      <c r="C1195" s="1392" t="s">
        <v>1846</v>
      </c>
      <c r="D1195" s="1392" t="s">
        <v>1986</v>
      </c>
      <c r="E1195" s="1392" t="s">
        <v>1943</v>
      </c>
      <c r="F1195" s="1392" t="s">
        <v>1980</v>
      </c>
      <c r="G1195" s="1391">
        <v>1761400</v>
      </c>
    </row>
    <row r="1196" spans="1:7" x14ac:dyDescent="0.25">
      <c r="A1196" s="1392" t="s">
        <v>2576</v>
      </c>
      <c r="B1196" s="1392" t="s">
        <v>1989</v>
      </c>
      <c r="C1196" s="1392" t="s">
        <v>1846</v>
      </c>
      <c r="D1196" s="1392" t="s">
        <v>1986</v>
      </c>
      <c r="E1196" s="4536" t="s">
        <v>1862</v>
      </c>
      <c r="F1196" s="4538"/>
      <c r="G1196" s="1391">
        <v>45358936</v>
      </c>
    </row>
    <row r="1197" spans="1:7" x14ac:dyDescent="0.25">
      <c r="A1197" s="1392" t="s">
        <v>2576</v>
      </c>
      <c r="B1197" s="1392" t="s">
        <v>1989</v>
      </c>
      <c r="C1197" s="1392" t="s">
        <v>1846</v>
      </c>
      <c r="D1197" s="1392" t="s">
        <v>1986</v>
      </c>
      <c r="E1197" s="1392" t="s">
        <v>1862</v>
      </c>
      <c r="F1197" s="1392" t="s">
        <v>1863</v>
      </c>
      <c r="G1197" s="1391">
        <v>35279480</v>
      </c>
    </row>
    <row r="1198" spans="1:7" x14ac:dyDescent="0.25">
      <c r="A1198" s="1392" t="s">
        <v>2576</v>
      </c>
      <c r="B1198" s="1392" t="s">
        <v>1989</v>
      </c>
      <c r="C1198" s="1392" t="s">
        <v>1846</v>
      </c>
      <c r="D1198" s="1392" t="s">
        <v>1986</v>
      </c>
      <c r="E1198" s="1392" t="s">
        <v>1862</v>
      </c>
      <c r="F1198" s="1392" t="s">
        <v>1864</v>
      </c>
      <c r="G1198" s="1391">
        <v>6047910</v>
      </c>
    </row>
    <row r="1199" spans="1:7" x14ac:dyDescent="0.25">
      <c r="A1199" s="1392" t="s">
        <v>2576</v>
      </c>
      <c r="B1199" s="1392" t="s">
        <v>1989</v>
      </c>
      <c r="C1199" s="1392" t="s">
        <v>1846</v>
      </c>
      <c r="D1199" s="1392" t="s">
        <v>1986</v>
      </c>
      <c r="E1199" s="1392" t="s">
        <v>1862</v>
      </c>
      <c r="F1199" s="1392" t="s">
        <v>1865</v>
      </c>
      <c r="G1199" s="1391">
        <v>4031546</v>
      </c>
    </row>
    <row r="1200" spans="1:7" x14ac:dyDescent="0.25">
      <c r="A1200" s="1392" t="s">
        <v>2576</v>
      </c>
      <c r="B1200" s="1392" t="s">
        <v>1989</v>
      </c>
      <c r="C1200" s="1392" t="s">
        <v>1846</v>
      </c>
      <c r="D1200" s="1392" t="s">
        <v>1986</v>
      </c>
      <c r="E1200" s="4536" t="s">
        <v>1867</v>
      </c>
      <c r="F1200" s="4538"/>
      <c r="G1200" s="1391">
        <v>39815848</v>
      </c>
    </row>
    <row r="1201" spans="1:7" x14ac:dyDescent="0.25">
      <c r="A1201" s="1392" t="s">
        <v>2576</v>
      </c>
      <c r="B1201" s="1392" t="s">
        <v>1989</v>
      </c>
      <c r="C1201" s="1392" t="s">
        <v>1846</v>
      </c>
      <c r="D1201" s="1392" t="s">
        <v>1986</v>
      </c>
      <c r="E1201" s="1392" t="s">
        <v>1867</v>
      </c>
      <c r="F1201" s="1392" t="s">
        <v>1868</v>
      </c>
      <c r="G1201" s="1391">
        <v>39815848</v>
      </c>
    </row>
    <row r="1202" spans="1:7" x14ac:dyDescent="0.25">
      <c r="A1202" s="1392" t="s">
        <v>2576</v>
      </c>
      <c r="B1202" s="1392" t="s">
        <v>1989</v>
      </c>
      <c r="C1202" s="1392" t="s">
        <v>1846</v>
      </c>
      <c r="D1202" s="1392" t="s">
        <v>1986</v>
      </c>
      <c r="E1202" s="4536" t="s">
        <v>1869</v>
      </c>
      <c r="F1202" s="4538"/>
      <c r="G1202" s="1391">
        <v>3909300</v>
      </c>
    </row>
    <row r="1203" spans="1:7" x14ac:dyDescent="0.25">
      <c r="A1203" s="1392" t="s">
        <v>2576</v>
      </c>
      <c r="B1203" s="1392" t="s">
        <v>1989</v>
      </c>
      <c r="C1203" s="1392" t="s">
        <v>1846</v>
      </c>
      <c r="D1203" s="1392" t="s">
        <v>1986</v>
      </c>
      <c r="E1203" s="1392" t="s">
        <v>1869</v>
      </c>
      <c r="F1203" s="1392" t="s">
        <v>1870</v>
      </c>
      <c r="G1203" s="1391">
        <v>3617400</v>
      </c>
    </row>
    <row r="1204" spans="1:7" x14ac:dyDescent="0.25">
      <c r="A1204" s="1392" t="s">
        <v>2576</v>
      </c>
      <c r="B1204" s="1392" t="s">
        <v>1989</v>
      </c>
      <c r="C1204" s="1392" t="s">
        <v>1846</v>
      </c>
      <c r="D1204" s="1392" t="s">
        <v>1986</v>
      </c>
      <c r="E1204" s="1392" t="s">
        <v>1869</v>
      </c>
      <c r="F1204" s="1392" t="s">
        <v>1871</v>
      </c>
      <c r="G1204" s="1391">
        <v>291900</v>
      </c>
    </row>
    <row r="1205" spans="1:7" x14ac:dyDescent="0.25">
      <c r="A1205" s="1392" t="s">
        <v>2576</v>
      </c>
      <c r="B1205" s="1392" t="s">
        <v>1989</v>
      </c>
      <c r="C1205" s="1392" t="s">
        <v>1846</v>
      </c>
      <c r="D1205" s="1392" t="s">
        <v>1986</v>
      </c>
      <c r="E1205" s="4536" t="s">
        <v>1874</v>
      </c>
      <c r="F1205" s="4538"/>
      <c r="G1205" s="1391">
        <v>18232000</v>
      </c>
    </row>
    <row r="1206" spans="1:7" x14ac:dyDescent="0.25">
      <c r="A1206" s="1392" t="s">
        <v>2576</v>
      </c>
      <c r="B1206" s="1392" t="s">
        <v>1989</v>
      </c>
      <c r="C1206" s="1392" t="s">
        <v>1846</v>
      </c>
      <c r="D1206" s="1392" t="s">
        <v>1986</v>
      </c>
      <c r="E1206" s="1392" t="s">
        <v>1874</v>
      </c>
      <c r="F1206" s="1392" t="s">
        <v>1875</v>
      </c>
      <c r="G1206" s="1391">
        <v>11455000</v>
      </c>
    </row>
    <row r="1207" spans="1:7" x14ac:dyDescent="0.25">
      <c r="A1207" s="1392" t="s">
        <v>2576</v>
      </c>
      <c r="B1207" s="1392" t="s">
        <v>1989</v>
      </c>
      <c r="C1207" s="1392" t="s">
        <v>1846</v>
      </c>
      <c r="D1207" s="1392" t="s">
        <v>1986</v>
      </c>
      <c r="E1207" s="1392" t="s">
        <v>1874</v>
      </c>
      <c r="F1207" s="1392" t="s">
        <v>1877</v>
      </c>
      <c r="G1207" s="1391">
        <v>6777000</v>
      </c>
    </row>
    <row r="1208" spans="1:7" x14ac:dyDescent="0.25">
      <c r="A1208" s="1392" t="s">
        <v>2576</v>
      </c>
      <c r="B1208" s="1392" t="s">
        <v>1989</v>
      </c>
      <c r="C1208" s="1392" t="s">
        <v>1846</v>
      </c>
      <c r="D1208" s="1392" t="s">
        <v>1986</v>
      </c>
      <c r="E1208" s="4536" t="s">
        <v>1878</v>
      </c>
      <c r="F1208" s="4538"/>
      <c r="G1208" s="1391">
        <v>7673900</v>
      </c>
    </row>
    <row r="1209" spans="1:7" x14ac:dyDescent="0.25">
      <c r="A1209" s="1392" t="s">
        <v>2576</v>
      </c>
      <c r="B1209" s="1392" t="s">
        <v>1989</v>
      </c>
      <c r="C1209" s="1392" t="s">
        <v>1846</v>
      </c>
      <c r="D1209" s="1392" t="s">
        <v>1986</v>
      </c>
      <c r="E1209" s="1392" t="s">
        <v>1878</v>
      </c>
      <c r="F1209" s="1392" t="s">
        <v>1879</v>
      </c>
      <c r="G1209" s="1391">
        <v>1084000</v>
      </c>
    </row>
    <row r="1210" spans="1:7" x14ac:dyDescent="0.25">
      <c r="A1210" s="1392" t="s">
        <v>2576</v>
      </c>
      <c r="B1210" s="1392" t="s">
        <v>1989</v>
      </c>
      <c r="C1210" s="1392" t="s">
        <v>1846</v>
      </c>
      <c r="D1210" s="1392" t="s">
        <v>1986</v>
      </c>
      <c r="E1210" s="1392" t="s">
        <v>1878</v>
      </c>
      <c r="F1210" s="1392" t="s">
        <v>1880</v>
      </c>
      <c r="G1210" s="1391">
        <v>1100000</v>
      </c>
    </row>
    <row r="1211" spans="1:7" x14ac:dyDescent="0.25">
      <c r="A1211" s="1392" t="s">
        <v>2576</v>
      </c>
      <c r="B1211" s="1392" t="s">
        <v>1989</v>
      </c>
      <c r="C1211" s="1392" t="s">
        <v>1846</v>
      </c>
      <c r="D1211" s="1392" t="s">
        <v>1986</v>
      </c>
      <c r="E1211" s="1392" t="s">
        <v>1878</v>
      </c>
      <c r="F1211" s="1392" t="s">
        <v>1881</v>
      </c>
      <c r="G1211" s="1391">
        <v>4852300</v>
      </c>
    </row>
    <row r="1212" spans="1:7" x14ac:dyDescent="0.25">
      <c r="A1212" s="1392" t="s">
        <v>2576</v>
      </c>
      <c r="B1212" s="1392" t="s">
        <v>1989</v>
      </c>
      <c r="C1212" s="1392" t="s">
        <v>1846</v>
      </c>
      <c r="D1212" s="1392" t="s">
        <v>1986</v>
      </c>
      <c r="E1212" s="1392" t="s">
        <v>1878</v>
      </c>
      <c r="F1212" s="1392" t="s">
        <v>1882</v>
      </c>
      <c r="G1212" s="1391">
        <v>300000</v>
      </c>
    </row>
    <row r="1213" spans="1:7" x14ac:dyDescent="0.25">
      <c r="A1213" s="1392" t="s">
        <v>2576</v>
      </c>
      <c r="B1213" s="1392" t="s">
        <v>1989</v>
      </c>
      <c r="C1213" s="1392" t="s">
        <v>1846</v>
      </c>
      <c r="D1213" s="1392" t="s">
        <v>1986</v>
      </c>
      <c r="E1213" s="1392" t="s">
        <v>1878</v>
      </c>
      <c r="F1213" s="1392" t="s">
        <v>1883</v>
      </c>
      <c r="G1213" s="1391">
        <v>337600</v>
      </c>
    </row>
    <row r="1214" spans="1:7" x14ac:dyDescent="0.25">
      <c r="A1214" s="1392" t="s">
        <v>2576</v>
      </c>
      <c r="B1214" s="1392" t="s">
        <v>1989</v>
      </c>
      <c r="C1214" s="1392" t="s">
        <v>1846</v>
      </c>
      <c r="D1214" s="1392" t="s">
        <v>1986</v>
      </c>
      <c r="E1214" s="4536" t="s">
        <v>1885</v>
      </c>
      <c r="F1214" s="4538"/>
      <c r="G1214" s="1391">
        <v>160612000</v>
      </c>
    </row>
    <row r="1215" spans="1:7" x14ac:dyDescent="0.25">
      <c r="A1215" s="1392" t="s">
        <v>2576</v>
      </c>
      <c r="B1215" s="1392" t="s">
        <v>1989</v>
      </c>
      <c r="C1215" s="1392" t="s">
        <v>1846</v>
      </c>
      <c r="D1215" s="1392" t="s">
        <v>1986</v>
      </c>
      <c r="E1215" s="1392" t="s">
        <v>1885</v>
      </c>
      <c r="F1215" s="1392" t="s">
        <v>1925</v>
      </c>
      <c r="G1215" s="1391">
        <v>22707000</v>
      </c>
    </row>
    <row r="1216" spans="1:7" x14ac:dyDescent="0.25">
      <c r="A1216" s="1392" t="s">
        <v>2576</v>
      </c>
      <c r="B1216" s="1392" t="s">
        <v>1989</v>
      </c>
      <c r="C1216" s="1392" t="s">
        <v>1846</v>
      </c>
      <c r="D1216" s="1392" t="s">
        <v>1986</v>
      </c>
      <c r="E1216" s="1392" t="s">
        <v>1885</v>
      </c>
      <c r="F1216" s="1392" t="s">
        <v>1886</v>
      </c>
      <c r="G1216" s="1391">
        <v>5200000</v>
      </c>
    </row>
    <row r="1217" spans="1:7" x14ac:dyDescent="0.25">
      <c r="A1217" s="1392" t="s">
        <v>2576</v>
      </c>
      <c r="B1217" s="1392" t="s">
        <v>1989</v>
      </c>
      <c r="C1217" s="1392" t="s">
        <v>1846</v>
      </c>
      <c r="D1217" s="1392" t="s">
        <v>1986</v>
      </c>
      <c r="E1217" s="1392" t="s">
        <v>1885</v>
      </c>
      <c r="F1217" s="1392" t="s">
        <v>1926</v>
      </c>
      <c r="G1217" s="1391">
        <v>2800000</v>
      </c>
    </row>
    <row r="1218" spans="1:7" x14ac:dyDescent="0.25">
      <c r="A1218" s="1392" t="s">
        <v>2576</v>
      </c>
      <c r="B1218" s="1392" t="s">
        <v>1989</v>
      </c>
      <c r="C1218" s="1392" t="s">
        <v>1846</v>
      </c>
      <c r="D1218" s="1392" t="s">
        <v>1986</v>
      </c>
      <c r="E1218" s="1392" t="s">
        <v>1885</v>
      </c>
      <c r="F1218" s="1392" t="s">
        <v>1927</v>
      </c>
      <c r="G1218" s="1391">
        <v>2000000</v>
      </c>
    </row>
    <row r="1219" spans="1:7" x14ac:dyDescent="0.25">
      <c r="A1219" s="1392" t="s">
        <v>2576</v>
      </c>
      <c r="B1219" s="1392" t="s">
        <v>1989</v>
      </c>
      <c r="C1219" s="1392" t="s">
        <v>1846</v>
      </c>
      <c r="D1219" s="1392" t="s">
        <v>1986</v>
      </c>
      <c r="E1219" s="1392" t="s">
        <v>1885</v>
      </c>
      <c r="F1219" s="1392" t="s">
        <v>1887</v>
      </c>
      <c r="G1219" s="1391">
        <v>84600000</v>
      </c>
    </row>
    <row r="1220" spans="1:7" x14ac:dyDescent="0.25">
      <c r="A1220" s="1392" t="s">
        <v>2576</v>
      </c>
      <c r="B1220" s="1392" t="s">
        <v>1989</v>
      </c>
      <c r="C1220" s="1392" t="s">
        <v>1846</v>
      </c>
      <c r="D1220" s="1392" t="s">
        <v>1986</v>
      </c>
      <c r="E1220" s="1392" t="s">
        <v>1885</v>
      </c>
      <c r="F1220" s="1392" t="s">
        <v>1888</v>
      </c>
      <c r="G1220" s="1391">
        <v>43305000</v>
      </c>
    </row>
    <row r="1221" spans="1:7" x14ac:dyDescent="0.25">
      <c r="A1221" s="1392" t="s">
        <v>2576</v>
      </c>
      <c r="B1221" s="1392" t="s">
        <v>1989</v>
      </c>
      <c r="C1221" s="1392" t="s">
        <v>1846</v>
      </c>
      <c r="D1221" s="1392" t="s">
        <v>1986</v>
      </c>
      <c r="E1221" s="4536" t="s">
        <v>1889</v>
      </c>
      <c r="F1221" s="4538"/>
      <c r="G1221" s="1391">
        <v>17632375</v>
      </c>
    </row>
    <row r="1222" spans="1:7" x14ac:dyDescent="0.25">
      <c r="A1222" s="1392" t="s">
        <v>2576</v>
      </c>
      <c r="B1222" s="1392" t="s">
        <v>1989</v>
      </c>
      <c r="C1222" s="1392" t="s">
        <v>1846</v>
      </c>
      <c r="D1222" s="1392" t="s">
        <v>1986</v>
      </c>
      <c r="E1222" s="1392" t="s">
        <v>1889</v>
      </c>
      <c r="F1222" s="1392" t="s">
        <v>1890</v>
      </c>
      <c r="G1222" s="1391">
        <v>12500000</v>
      </c>
    </row>
    <row r="1223" spans="1:7" x14ac:dyDescent="0.25">
      <c r="A1223" s="1392" t="s">
        <v>2576</v>
      </c>
      <c r="B1223" s="1392" t="s">
        <v>1989</v>
      </c>
      <c r="C1223" s="1392" t="s">
        <v>1846</v>
      </c>
      <c r="D1223" s="1392" t="s">
        <v>1986</v>
      </c>
      <c r="E1223" s="1392" t="s">
        <v>1889</v>
      </c>
      <c r="F1223" s="1392" t="s">
        <v>1891</v>
      </c>
      <c r="G1223" s="1391">
        <v>700000</v>
      </c>
    </row>
    <row r="1224" spans="1:7" x14ac:dyDescent="0.25">
      <c r="A1224" s="1392" t="s">
        <v>2576</v>
      </c>
      <c r="B1224" s="1392" t="s">
        <v>1989</v>
      </c>
      <c r="C1224" s="1392" t="s">
        <v>1846</v>
      </c>
      <c r="D1224" s="1392" t="s">
        <v>1986</v>
      </c>
      <c r="E1224" s="1392" t="s">
        <v>1889</v>
      </c>
      <c r="F1224" s="1392" t="s">
        <v>1922</v>
      </c>
      <c r="G1224" s="1391">
        <v>4432375</v>
      </c>
    </row>
    <row r="1225" spans="1:7" x14ac:dyDescent="0.25">
      <c r="A1225" s="1392" t="s">
        <v>2576</v>
      </c>
      <c r="B1225" s="1392" t="s">
        <v>1989</v>
      </c>
      <c r="C1225" s="1392" t="s">
        <v>1846</v>
      </c>
      <c r="D1225" s="1392" t="s">
        <v>1986</v>
      </c>
      <c r="E1225" s="4536" t="s">
        <v>1893</v>
      </c>
      <c r="F1225" s="4538"/>
      <c r="G1225" s="1391">
        <v>9700000</v>
      </c>
    </row>
    <row r="1226" spans="1:7" x14ac:dyDescent="0.25">
      <c r="A1226" s="1392" t="s">
        <v>2576</v>
      </c>
      <c r="B1226" s="1392" t="s">
        <v>1989</v>
      </c>
      <c r="C1226" s="1392" t="s">
        <v>1846</v>
      </c>
      <c r="D1226" s="1392" t="s">
        <v>1986</v>
      </c>
      <c r="E1226" s="1392" t="s">
        <v>1893</v>
      </c>
      <c r="F1226" s="1392" t="s">
        <v>1894</v>
      </c>
      <c r="G1226" s="1391">
        <v>6100000</v>
      </c>
    </row>
    <row r="1227" spans="1:7" x14ac:dyDescent="0.25">
      <c r="A1227" s="1392" t="s">
        <v>2576</v>
      </c>
      <c r="B1227" s="1392" t="s">
        <v>1989</v>
      </c>
      <c r="C1227" s="1392" t="s">
        <v>1846</v>
      </c>
      <c r="D1227" s="1392" t="s">
        <v>1986</v>
      </c>
      <c r="E1227" s="1392" t="s">
        <v>1893</v>
      </c>
      <c r="F1227" s="1392" t="s">
        <v>1895</v>
      </c>
      <c r="G1227" s="1391">
        <v>3600000</v>
      </c>
    </row>
    <row r="1228" spans="1:7" x14ac:dyDescent="0.25">
      <c r="A1228" s="1392" t="s">
        <v>2576</v>
      </c>
      <c r="B1228" s="1392" t="s">
        <v>1989</v>
      </c>
      <c r="C1228" s="1392" t="s">
        <v>1846</v>
      </c>
      <c r="D1228" s="1392" t="s">
        <v>1986</v>
      </c>
      <c r="E1228" s="4536" t="s">
        <v>1896</v>
      </c>
      <c r="F1228" s="4538"/>
      <c r="G1228" s="1391">
        <v>8891000</v>
      </c>
    </row>
    <row r="1229" spans="1:7" x14ac:dyDescent="0.25">
      <c r="A1229" s="1392" t="s">
        <v>2576</v>
      </c>
      <c r="B1229" s="1392" t="s">
        <v>1989</v>
      </c>
      <c r="C1229" s="1392" t="s">
        <v>1846</v>
      </c>
      <c r="D1229" s="1392" t="s">
        <v>1986</v>
      </c>
      <c r="E1229" s="1392" t="s">
        <v>1896</v>
      </c>
      <c r="F1229" s="1392" t="s">
        <v>1900</v>
      </c>
      <c r="G1229" s="1391">
        <v>7807000</v>
      </c>
    </row>
    <row r="1230" spans="1:7" x14ac:dyDescent="0.25">
      <c r="A1230" s="1392" t="s">
        <v>2576</v>
      </c>
      <c r="B1230" s="1392" t="s">
        <v>1989</v>
      </c>
      <c r="C1230" s="1392" t="s">
        <v>1846</v>
      </c>
      <c r="D1230" s="1392" t="s">
        <v>1986</v>
      </c>
      <c r="E1230" s="1392" t="s">
        <v>1896</v>
      </c>
      <c r="F1230" s="1392" t="s">
        <v>1901</v>
      </c>
      <c r="G1230" s="1391">
        <v>1084000</v>
      </c>
    </row>
    <row r="1231" spans="1:7" x14ac:dyDescent="0.25">
      <c r="A1231" s="1392" t="s">
        <v>2576</v>
      </c>
      <c r="B1231" s="1392" t="s">
        <v>1989</v>
      </c>
      <c r="C1231" s="1392" t="s">
        <v>1846</v>
      </c>
      <c r="D1231" s="1392" t="s">
        <v>1986</v>
      </c>
      <c r="E1231" s="4536" t="s">
        <v>1906</v>
      </c>
      <c r="F1231" s="4538"/>
      <c r="G1231" s="1391">
        <v>7364800</v>
      </c>
    </row>
    <row r="1232" spans="1:7" x14ac:dyDescent="0.25">
      <c r="A1232" s="1392" t="s">
        <v>2576</v>
      </c>
      <c r="B1232" s="1392" t="s">
        <v>1989</v>
      </c>
      <c r="C1232" s="1392" t="s">
        <v>1846</v>
      </c>
      <c r="D1232" s="1392" t="s">
        <v>1986</v>
      </c>
      <c r="E1232" s="1392" t="s">
        <v>1906</v>
      </c>
      <c r="F1232" s="1392" t="s">
        <v>1907</v>
      </c>
      <c r="G1232" s="1391">
        <v>1370000</v>
      </c>
    </row>
    <row r="1233" spans="1:7" x14ac:dyDescent="0.25">
      <c r="A1233" s="1392" t="s">
        <v>2576</v>
      </c>
      <c r="B1233" s="1392" t="s">
        <v>1989</v>
      </c>
      <c r="C1233" s="1392" t="s">
        <v>1846</v>
      </c>
      <c r="D1233" s="1392" t="s">
        <v>1986</v>
      </c>
      <c r="E1233" s="1392" t="s">
        <v>1906</v>
      </c>
      <c r="F1233" s="1392" t="s">
        <v>1909</v>
      </c>
      <c r="G1233" s="1391">
        <v>5994800</v>
      </c>
    </row>
    <row r="1234" spans="1:7" x14ac:dyDescent="0.25">
      <c r="A1234" s="1392" t="s">
        <v>2576</v>
      </c>
      <c r="B1234" s="1392" t="s">
        <v>1989</v>
      </c>
      <c r="C1234" s="1392" t="s">
        <v>1846</v>
      </c>
      <c r="D1234" s="1392" t="s">
        <v>1986</v>
      </c>
      <c r="E1234" s="4536" t="s">
        <v>1912</v>
      </c>
      <c r="F1234" s="4538"/>
      <c r="G1234" s="1391">
        <v>89590000</v>
      </c>
    </row>
    <row r="1235" spans="1:7" x14ac:dyDescent="0.25">
      <c r="A1235" s="1392" t="s">
        <v>2576</v>
      </c>
      <c r="B1235" s="1392" t="s">
        <v>1989</v>
      </c>
      <c r="C1235" s="1392" t="s">
        <v>1846</v>
      </c>
      <c r="D1235" s="1392" t="s">
        <v>1986</v>
      </c>
      <c r="E1235" s="1392" t="s">
        <v>1912</v>
      </c>
      <c r="F1235" s="1392" t="s">
        <v>1915</v>
      </c>
      <c r="G1235" s="1391">
        <v>68170000</v>
      </c>
    </row>
    <row r="1236" spans="1:7" x14ac:dyDescent="0.25">
      <c r="A1236" s="1392" t="s">
        <v>2576</v>
      </c>
      <c r="B1236" s="1392" t="s">
        <v>1989</v>
      </c>
      <c r="C1236" s="1392" t="s">
        <v>1846</v>
      </c>
      <c r="D1236" s="1392" t="s">
        <v>1986</v>
      </c>
      <c r="E1236" s="1392" t="s">
        <v>1912</v>
      </c>
      <c r="F1236" s="1392" t="s">
        <v>1916</v>
      </c>
      <c r="G1236" s="1391">
        <v>21420000</v>
      </c>
    </row>
    <row r="1237" spans="1:7" x14ac:dyDescent="0.25">
      <c r="A1237" s="1392" t="s">
        <v>2576</v>
      </c>
      <c r="B1237" s="4536" t="s">
        <v>1990</v>
      </c>
      <c r="C1237" s="4537"/>
      <c r="D1237" s="4537"/>
      <c r="E1237" s="4537"/>
      <c r="F1237" s="4538"/>
      <c r="G1237" s="1391">
        <v>827060416</v>
      </c>
    </row>
    <row r="1238" spans="1:7" x14ac:dyDescent="0.25">
      <c r="A1238" s="1392" t="s">
        <v>2576</v>
      </c>
      <c r="B1238" s="1392" t="s">
        <v>1990</v>
      </c>
      <c r="C1238" s="4536" t="s">
        <v>1846</v>
      </c>
      <c r="D1238" s="4537"/>
      <c r="E1238" s="4537"/>
      <c r="F1238" s="4538"/>
      <c r="G1238" s="1391">
        <v>827060416</v>
      </c>
    </row>
    <row r="1239" spans="1:7" x14ac:dyDescent="0.25">
      <c r="A1239" s="1392" t="s">
        <v>2576</v>
      </c>
      <c r="B1239" s="1392" t="s">
        <v>1990</v>
      </c>
      <c r="C1239" s="1392" t="s">
        <v>1846</v>
      </c>
      <c r="D1239" s="4536" t="s">
        <v>1986</v>
      </c>
      <c r="E1239" s="4537"/>
      <c r="F1239" s="4538"/>
      <c r="G1239" s="1391">
        <v>827060416</v>
      </c>
    </row>
    <row r="1240" spans="1:7" x14ac:dyDescent="0.25">
      <c r="A1240" s="1392" t="s">
        <v>2576</v>
      </c>
      <c r="B1240" s="1392" t="s">
        <v>1990</v>
      </c>
      <c r="C1240" s="1392" t="s">
        <v>1846</v>
      </c>
      <c r="D1240" s="1392" t="s">
        <v>1986</v>
      </c>
      <c r="E1240" s="4536" t="s">
        <v>1848</v>
      </c>
      <c r="F1240" s="4538"/>
      <c r="G1240" s="1391">
        <v>251377897</v>
      </c>
    </row>
    <row r="1241" spans="1:7" x14ac:dyDescent="0.25">
      <c r="A1241" s="1392" t="s">
        <v>2576</v>
      </c>
      <c r="B1241" s="1392" t="s">
        <v>1990</v>
      </c>
      <c r="C1241" s="1392" t="s">
        <v>1846</v>
      </c>
      <c r="D1241" s="1392" t="s">
        <v>1986</v>
      </c>
      <c r="E1241" s="1392" t="s">
        <v>1848</v>
      </c>
      <c r="F1241" s="1392" t="s">
        <v>1849</v>
      </c>
      <c r="G1241" s="1391">
        <v>251377897</v>
      </c>
    </row>
    <row r="1242" spans="1:7" x14ac:dyDescent="0.25">
      <c r="A1242" s="1392" t="s">
        <v>2576</v>
      </c>
      <c r="B1242" s="1392" t="s">
        <v>1990</v>
      </c>
      <c r="C1242" s="1392" t="s">
        <v>1846</v>
      </c>
      <c r="D1242" s="1392" t="s">
        <v>1986</v>
      </c>
      <c r="E1242" s="4536" t="s">
        <v>1853</v>
      </c>
      <c r="F1242" s="4538"/>
      <c r="G1242" s="1391">
        <v>212170764</v>
      </c>
    </row>
    <row r="1243" spans="1:7" x14ac:dyDescent="0.25">
      <c r="A1243" s="1392" t="s">
        <v>2576</v>
      </c>
      <c r="B1243" s="1392" t="s">
        <v>1990</v>
      </c>
      <c r="C1243" s="1392" t="s">
        <v>1846</v>
      </c>
      <c r="D1243" s="1392" t="s">
        <v>1986</v>
      </c>
      <c r="E1243" s="1392" t="s">
        <v>1853</v>
      </c>
      <c r="F1243" s="1392" t="s">
        <v>1854</v>
      </c>
      <c r="G1243" s="1391">
        <v>11174997</v>
      </c>
    </row>
    <row r="1244" spans="1:7" x14ac:dyDescent="0.25">
      <c r="A1244" s="1392" t="s">
        <v>2576</v>
      </c>
      <c r="B1244" s="1392" t="s">
        <v>1990</v>
      </c>
      <c r="C1244" s="1392" t="s">
        <v>1846</v>
      </c>
      <c r="D1244" s="1392" t="s">
        <v>1986</v>
      </c>
      <c r="E1244" s="1392" t="s">
        <v>1853</v>
      </c>
      <c r="F1244" s="1392" t="s">
        <v>1855</v>
      </c>
      <c r="G1244" s="1391">
        <v>35015000</v>
      </c>
    </row>
    <row r="1245" spans="1:7" x14ac:dyDescent="0.25">
      <c r="A1245" s="1392" t="s">
        <v>2576</v>
      </c>
      <c r="B1245" s="1392" t="s">
        <v>1990</v>
      </c>
      <c r="C1245" s="1392" t="s">
        <v>1846</v>
      </c>
      <c r="D1245" s="1392" t="s">
        <v>1986</v>
      </c>
      <c r="E1245" s="1392" t="s">
        <v>1853</v>
      </c>
      <c r="F1245" s="1392" t="s">
        <v>1856</v>
      </c>
      <c r="G1245" s="1391">
        <v>9847232</v>
      </c>
    </row>
    <row r="1246" spans="1:7" x14ac:dyDescent="0.25">
      <c r="A1246" s="1392" t="s">
        <v>2576</v>
      </c>
      <c r="B1246" s="1392" t="s">
        <v>1990</v>
      </c>
      <c r="C1246" s="1392" t="s">
        <v>1846</v>
      </c>
      <c r="D1246" s="1392" t="s">
        <v>1986</v>
      </c>
      <c r="E1246" s="1392" t="s">
        <v>1853</v>
      </c>
      <c r="F1246" s="1392" t="s">
        <v>1929</v>
      </c>
      <c r="G1246" s="1391">
        <v>7401735</v>
      </c>
    </row>
    <row r="1247" spans="1:7" x14ac:dyDescent="0.25">
      <c r="A1247" s="1392" t="s">
        <v>2576</v>
      </c>
      <c r="B1247" s="1392" t="s">
        <v>1990</v>
      </c>
      <c r="C1247" s="1392" t="s">
        <v>1846</v>
      </c>
      <c r="D1247" s="1392" t="s">
        <v>1986</v>
      </c>
      <c r="E1247" s="1392" t="s">
        <v>1853</v>
      </c>
      <c r="F1247" s="1392" t="s">
        <v>1977</v>
      </c>
      <c r="G1247" s="1391">
        <v>81070900</v>
      </c>
    </row>
    <row r="1248" spans="1:7" x14ac:dyDescent="0.25">
      <c r="A1248" s="1392" t="s">
        <v>2576</v>
      </c>
      <c r="B1248" s="1392" t="s">
        <v>1990</v>
      </c>
      <c r="C1248" s="1392" t="s">
        <v>1846</v>
      </c>
      <c r="D1248" s="1392" t="s">
        <v>1986</v>
      </c>
      <c r="E1248" s="1392" t="s">
        <v>1853</v>
      </c>
      <c r="F1248" s="1392" t="s">
        <v>1859</v>
      </c>
      <c r="G1248" s="1391">
        <v>67660900</v>
      </c>
    </row>
    <row r="1249" spans="1:7" x14ac:dyDescent="0.25">
      <c r="A1249" s="1392" t="s">
        <v>2576</v>
      </c>
      <c r="B1249" s="1392" t="s">
        <v>1990</v>
      </c>
      <c r="C1249" s="1392" t="s">
        <v>1846</v>
      </c>
      <c r="D1249" s="1392" t="s">
        <v>1986</v>
      </c>
      <c r="E1249" s="4536" t="s">
        <v>1860</v>
      </c>
      <c r="F1249" s="4538"/>
      <c r="G1249" s="1391">
        <v>19200000</v>
      </c>
    </row>
    <row r="1250" spans="1:7" x14ac:dyDescent="0.25">
      <c r="A1250" s="1392" t="s">
        <v>2576</v>
      </c>
      <c r="B1250" s="1392" t="s">
        <v>1990</v>
      </c>
      <c r="C1250" s="1392" t="s">
        <v>1846</v>
      </c>
      <c r="D1250" s="1392" t="s">
        <v>1986</v>
      </c>
      <c r="E1250" s="1392" t="s">
        <v>1860</v>
      </c>
      <c r="F1250" s="1392" t="s">
        <v>1861</v>
      </c>
      <c r="G1250" s="1391">
        <v>3000000</v>
      </c>
    </row>
    <row r="1251" spans="1:7" x14ac:dyDescent="0.25">
      <c r="A1251" s="1392" t="s">
        <v>2576</v>
      </c>
      <c r="B1251" s="1392" t="s">
        <v>1990</v>
      </c>
      <c r="C1251" s="1392" t="s">
        <v>1846</v>
      </c>
      <c r="D1251" s="1392" t="s">
        <v>1986</v>
      </c>
      <c r="E1251" s="1392" t="s">
        <v>1860</v>
      </c>
      <c r="F1251" s="1392" t="s">
        <v>1930</v>
      </c>
      <c r="G1251" s="1391">
        <v>16200000</v>
      </c>
    </row>
    <row r="1252" spans="1:7" x14ac:dyDescent="0.25">
      <c r="A1252" s="1392" t="s">
        <v>2576</v>
      </c>
      <c r="B1252" s="1392" t="s">
        <v>1990</v>
      </c>
      <c r="C1252" s="1392" t="s">
        <v>1846</v>
      </c>
      <c r="D1252" s="1392" t="s">
        <v>1986</v>
      </c>
      <c r="E1252" s="4536" t="s">
        <v>1943</v>
      </c>
      <c r="F1252" s="4538"/>
      <c r="G1252" s="1391">
        <v>3443600</v>
      </c>
    </row>
    <row r="1253" spans="1:7" x14ac:dyDescent="0.25">
      <c r="A1253" s="1392" t="s">
        <v>2576</v>
      </c>
      <c r="B1253" s="1392" t="s">
        <v>1990</v>
      </c>
      <c r="C1253" s="1392" t="s">
        <v>1846</v>
      </c>
      <c r="D1253" s="1392" t="s">
        <v>1986</v>
      </c>
      <c r="E1253" s="1392" t="s">
        <v>1943</v>
      </c>
      <c r="F1253" s="1392" t="s">
        <v>1980</v>
      </c>
      <c r="G1253" s="1391">
        <v>3443600</v>
      </c>
    </row>
    <row r="1254" spans="1:7" x14ac:dyDescent="0.25">
      <c r="A1254" s="1392" t="s">
        <v>2576</v>
      </c>
      <c r="B1254" s="1392" t="s">
        <v>1990</v>
      </c>
      <c r="C1254" s="1392" t="s">
        <v>1846</v>
      </c>
      <c r="D1254" s="1392" t="s">
        <v>1986</v>
      </c>
      <c r="E1254" s="4536" t="s">
        <v>1862</v>
      </c>
      <c r="F1254" s="4538"/>
      <c r="G1254" s="1391">
        <v>60763699</v>
      </c>
    </row>
    <row r="1255" spans="1:7" x14ac:dyDescent="0.25">
      <c r="A1255" s="1392" t="s">
        <v>2576</v>
      </c>
      <c r="B1255" s="1392" t="s">
        <v>1990</v>
      </c>
      <c r="C1255" s="1392" t="s">
        <v>1846</v>
      </c>
      <c r="D1255" s="1392" t="s">
        <v>1986</v>
      </c>
      <c r="E1255" s="1392" t="s">
        <v>1862</v>
      </c>
      <c r="F1255" s="1392" t="s">
        <v>1863</v>
      </c>
      <c r="G1255" s="1391">
        <v>47260937</v>
      </c>
    </row>
    <row r="1256" spans="1:7" x14ac:dyDescent="0.25">
      <c r="A1256" s="1392" t="s">
        <v>2576</v>
      </c>
      <c r="B1256" s="1392" t="s">
        <v>1990</v>
      </c>
      <c r="C1256" s="1392" t="s">
        <v>1846</v>
      </c>
      <c r="D1256" s="1392" t="s">
        <v>1986</v>
      </c>
      <c r="E1256" s="1392" t="s">
        <v>1862</v>
      </c>
      <c r="F1256" s="1392" t="s">
        <v>1864</v>
      </c>
      <c r="G1256" s="1391">
        <v>8101874</v>
      </c>
    </row>
    <row r="1257" spans="1:7" x14ac:dyDescent="0.25">
      <c r="A1257" s="1392" t="s">
        <v>2576</v>
      </c>
      <c r="B1257" s="1392" t="s">
        <v>1990</v>
      </c>
      <c r="C1257" s="1392" t="s">
        <v>1846</v>
      </c>
      <c r="D1257" s="1392" t="s">
        <v>1986</v>
      </c>
      <c r="E1257" s="1392" t="s">
        <v>1862</v>
      </c>
      <c r="F1257" s="1392" t="s">
        <v>1865</v>
      </c>
      <c r="G1257" s="1391">
        <v>5400888</v>
      </c>
    </row>
    <row r="1258" spans="1:7" x14ac:dyDescent="0.25">
      <c r="A1258" s="1392" t="s">
        <v>2576</v>
      </c>
      <c r="B1258" s="1392" t="s">
        <v>1990</v>
      </c>
      <c r="C1258" s="1392" t="s">
        <v>1846</v>
      </c>
      <c r="D1258" s="1392" t="s">
        <v>1986</v>
      </c>
      <c r="E1258" s="4536" t="s">
        <v>1867</v>
      </c>
      <c r="F1258" s="4538"/>
      <c r="G1258" s="1391">
        <v>41765918</v>
      </c>
    </row>
    <row r="1259" spans="1:7" x14ac:dyDescent="0.25">
      <c r="A1259" s="1392" t="s">
        <v>2576</v>
      </c>
      <c r="B1259" s="1392" t="s">
        <v>1990</v>
      </c>
      <c r="C1259" s="1392" t="s">
        <v>1846</v>
      </c>
      <c r="D1259" s="1392" t="s">
        <v>1986</v>
      </c>
      <c r="E1259" s="1392" t="s">
        <v>1867</v>
      </c>
      <c r="F1259" s="1392" t="s">
        <v>1868</v>
      </c>
      <c r="G1259" s="1391">
        <v>41765918</v>
      </c>
    </row>
    <row r="1260" spans="1:7" x14ac:dyDescent="0.25">
      <c r="A1260" s="1392" t="s">
        <v>2576</v>
      </c>
      <c r="B1260" s="1392" t="s">
        <v>1990</v>
      </c>
      <c r="C1260" s="1392" t="s">
        <v>1846</v>
      </c>
      <c r="D1260" s="1392" t="s">
        <v>1986</v>
      </c>
      <c r="E1260" s="4536" t="s">
        <v>1869</v>
      </c>
      <c r="F1260" s="4538"/>
      <c r="G1260" s="1391">
        <v>4474100</v>
      </c>
    </row>
    <row r="1261" spans="1:7" x14ac:dyDescent="0.25">
      <c r="A1261" s="1392" t="s">
        <v>2576</v>
      </c>
      <c r="B1261" s="1392" t="s">
        <v>1990</v>
      </c>
      <c r="C1261" s="1392" t="s">
        <v>1846</v>
      </c>
      <c r="D1261" s="1392" t="s">
        <v>1986</v>
      </c>
      <c r="E1261" s="1392" t="s">
        <v>1869</v>
      </c>
      <c r="F1261" s="1392" t="s">
        <v>1870</v>
      </c>
      <c r="G1261" s="1391">
        <v>3140300</v>
      </c>
    </row>
    <row r="1262" spans="1:7" x14ac:dyDescent="0.25">
      <c r="A1262" s="1392" t="s">
        <v>2576</v>
      </c>
      <c r="B1262" s="1392" t="s">
        <v>1990</v>
      </c>
      <c r="C1262" s="1392" t="s">
        <v>1846</v>
      </c>
      <c r="D1262" s="1392" t="s">
        <v>1986</v>
      </c>
      <c r="E1262" s="1392" t="s">
        <v>1869</v>
      </c>
      <c r="F1262" s="1392" t="s">
        <v>1871</v>
      </c>
      <c r="G1262" s="1391">
        <v>253800</v>
      </c>
    </row>
    <row r="1263" spans="1:7" x14ac:dyDescent="0.25">
      <c r="A1263" s="1392" t="s">
        <v>2576</v>
      </c>
      <c r="B1263" s="1392" t="s">
        <v>1990</v>
      </c>
      <c r="C1263" s="1392" t="s">
        <v>1846</v>
      </c>
      <c r="D1263" s="1392" t="s">
        <v>1986</v>
      </c>
      <c r="E1263" s="1392" t="s">
        <v>1869</v>
      </c>
      <c r="F1263" s="1392" t="s">
        <v>1873</v>
      </c>
      <c r="G1263" s="1391">
        <v>1080000</v>
      </c>
    </row>
    <row r="1264" spans="1:7" x14ac:dyDescent="0.25">
      <c r="A1264" s="1392" t="s">
        <v>2576</v>
      </c>
      <c r="B1264" s="1392" t="s">
        <v>1990</v>
      </c>
      <c r="C1264" s="1392" t="s">
        <v>1846</v>
      </c>
      <c r="D1264" s="1392" t="s">
        <v>1986</v>
      </c>
      <c r="E1264" s="4536" t="s">
        <v>1874</v>
      </c>
      <c r="F1264" s="4538"/>
      <c r="G1264" s="1391">
        <v>3236000</v>
      </c>
    </row>
    <row r="1265" spans="1:7" x14ac:dyDescent="0.25">
      <c r="A1265" s="1392" t="s">
        <v>2576</v>
      </c>
      <c r="B1265" s="1392" t="s">
        <v>1990</v>
      </c>
      <c r="C1265" s="1392" t="s">
        <v>1846</v>
      </c>
      <c r="D1265" s="1392" t="s">
        <v>1986</v>
      </c>
      <c r="E1265" s="1392" t="s">
        <v>1874</v>
      </c>
      <c r="F1265" s="1392" t="s">
        <v>1875</v>
      </c>
      <c r="G1265" s="1391">
        <v>2800000</v>
      </c>
    </row>
    <row r="1266" spans="1:7" x14ac:dyDescent="0.25">
      <c r="A1266" s="1392" t="s">
        <v>2576</v>
      </c>
      <c r="B1266" s="1392" t="s">
        <v>1990</v>
      </c>
      <c r="C1266" s="1392" t="s">
        <v>1846</v>
      </c>
      <c r="D1266" s="1392" t="s">
        <v>1986</v>
      </c>
      <c r="E1266" s="1392" t="s">
        <v>1874</v>
      </c>
      <c r="F1266" s="1392" t="s">
        <v>1877</v>
      </c>
      <c r="G1266" s="1391">
        <v>436000</v>
      </c>
    </row>
    <row r="1267" spans="1:7" x14ac:dyDescent="0.25">
      <c r="A1267" s="1392" t="s">
        <v>2576</v>
      </c>
      <c r="B1267" s="1392" t="s">
        <v>1990</v>
      </c>
      <c r="C1267" s="1392" t="s">
        <v>1846</v>
      </c>
      <c r="D1267" s="1392" t="s">
        <v>1986</v>
      </c>
      <c r="E1267" s="4536" t="s">
        <v>1878</v>
      </c>
      <c r="F1267" s="4538"/>
      <c r="G1267" s="1391">
        <v>2666000</v>
      </c>
    </row>
    <row r="1268" spans="1:7" x14ac:dyDescent="0.25">
      <c r="A1268" s="1392" t="s">
        <v>2576</v>
      </c>
      <c r="B1268" s="1392" t="s">
        <v>1990</v>
      </c>
      <c r="C1268" s="1392" t="s">
        <v>1846</v>
      </c>
      <c r="D1268" s="1392" t="s">
        <v>1986</v>
      </c>
      <c r="E1268" s="1392" t="s">
        <v>1878</v>
      </c>
      <c r="F1268" s="1392" t="s">
        <v>1879</v>
      </c>
      <c r="G1268" s="1391">
        <v>264000</v>
      </c>
    </row>
    <row r="1269" spans="1:7" x14ac:dyDescent="0.25">
      <c r="A1269" s="1392" t="s">
        <v>2576</v>
      </c>
      <c r="B1269" s="1392" t="s">
        <v>1990</v>
      </c>
      <c r="C1269" s="1392" t="s">
        <v>1846</v>
      </c>
      <c r="D1269" s="1392" t="s">
        <v>1986</v>
      </c>
      <c r="E1269" s="1392" t="s">
        <v>1878</v>
      </c>
      <c r="F1269" s="1392" t="s">
        <v>1881</v>
      </c>
      <c r="G1269" s="1391">
        <v>2402000</v>
      </c>
    </row>
    <row r="1270" spans="1:7" x14ac:dyDescent="0.25">
      <c r="A1270" s="1392" t="s">
        <v>2576</v>
      </c>
      <c r="B1270" s="1392" t="s">
        <v>1990</v>
      </c>
      <c r="C1270" s="1392" t="s">
        <v>1846</v>
      </c>
      <c r="D1270" s="1392" t="s">
        <v>1986</v>
      </c>
      <c r="E1270" s="4536" t="s">
        <v>1885</v>
      </c>
      <c r="F1270" s="4538"/>
      <c r="G1270" s="1391">
        <v>42952000</v>
      </c>
    </row>
    <row r="1271" spans="1:7" x14ac:dyDescent="0.25">
      <c r="A1271" s="1392" t="s">
        <v>2576</v>
      </c>
      <c r="B1271" s="1392" t="s">
        <v>1990</v>
      </c>
      <c r="C1271" s="1392" t="s">
        <v>1846</v>
      </c>
      <c r="D1271" s="1392" t="s">
        <v>1986</v>
      </c>
      <c r="E1271" s="1392" t="s">
        <v>1885</v>
      </c>
      <c r="F1271" s="1392" t="s">
        <v>1925</v>
      </c>
      <c r="G1271" s="1391">
        <v>4690000</v>
      </c>
    </row>
    <row r="1272" spans="1:7" x14ac:dyDescent="0.25">
      <c r="A1272" s="1392" t="s">
        <v>2576</v>
      </c>
      <c r="B1272" s="1392" t="s">
        <v>1990</v>
      </c>
      <c r="C1272" s="1392" t="s">
        <v>1846</v>
      </c>
      <c r="D1272" s="1392" t="s">
        <v>1986</v>
      </c>
      <c r="E1272" s="1392" t="s">
        <v>1885</v>
      </c>
      <c r="F1272" s="1392" t="s">
        <v>1886</v>
      </c>
      <c r="G1272" s="1391">
        <v>2400000</v>
      </c>
    </row>
    <row r="1273" spans="1:7" x14ac:dyDescent="0.25">
      <c r="A1273" s="1392" t="s">
        <v>2576</v>
      </c>
      <c r="B1273" s="1392" t="s">
        <v>1990</v>
      </c>
      <c r="C1273" s="1392" t="s">
        <v>1846</v>
      </c>
      <c r="D1273" s="1392" t="s">
        <v>1986</v>
      </c>
      <c r="E1273" s="1392" t="s">
        <v>1885</v>
      </c>
      <c r="F1273" s="1392" t="s">
        <v>1926</v>
      </c>
      <c r="G1273" s="1391">
        <v>1200000</v>
      </c>
    </row>
    <row r="1274" spans="1:7" x14ac:dyDescent="0.25">
      <c r="A1274" s="1392" t="s">
        <v>2576</v>
      </c>
      <c r="B1274" s="1392" t="s">
        <v>1990</v>
      </c>
      <c r="C1274" s="1392" t="s">
        <v>1846</v>
      </c>
      <c r="D1274" s="1392" t="s">
        <v>1986</v>
      </c>
      <c r="E1274" s="1392" t="s">
        <v>1885</v>
      </c>
      <c r="F1274" s="1392" t="s">
        <v>1927</v>
      </c>
      <c r="G1274" s="1391">
        <v>2000000</v>
      </c>
    </row>
    <row r="1275" spans="1:7" x14ac:dyDescent="0.25">
      <c r="A1275" s="1392" t="s">
        <v>2576</v>
      </c>
      <c r="B1275" s="1392" t="s">
        <v>1990</v>
      </c>
      <c r="C1275" s="1392" t="s">
        <v>1846</v>
      </c>
      <c r="D1275" s="1392" t="s">
        <v>1986</v>
      </c>
      <c r="E1275" s="1392" t="s">
        <v>1885</v>
      </c>
      <c r="F1275" s="1392" t="s">
        <v>1887</v>
      </c>
      <c r="G1275" s="1391">
        <v>14700000</v>
      </c>
    </row>
    <row r="1276" spans="1:7" x14ac:dyDescent="0.25">
      <c r="A1276" s="1392" t="s">
        <v>2576</v>
      </c>
      <c r="B1276" s="1392" t="s">
        <v>1990</v>
      </c>
      <c r="C1276" s="1392" t="s">
        <v>1846</v>
      </c>
      <c r="D1276" s="1392" t="s">
        <v>1986</v>
      </c>
      <c r="E1276" s="1392" t="s">
        <v>1885</v>
      </c>
      <c r="F1276" s="1392" t="s">
        <v>1888</v>
      </c>
      <c r="G1276" s="1391">
        <v>17962000</v>
      </c>
    </row>
    <row r="1277" spans="1:7" x14ac:dyDescent="0.25">
      <c r="A1277" s="1392" t="s">
        <v>2576</v>
      </c>
      <c r="B1277" s="1392" t="s">
        <v>1990</v>
      </c>
      <c r="C1277" s="1392" t="s">
        <v>1846</v>
      </c>
      <c r="D1277" s="1392" t="s">
        <v>1986</v>
      </c>
      <c r="E1277" s="4536" t="s">
        <v>1889</v>
      </c>
      <c r="F1277" s="4538"/>
      <c r="G1277" s="1391">
        <v>24411638</v>
      </c>
    </row>
    <row r="1278" spans="1:7" x14ac:dyDescent="0.25">
      <c r="A1278" s="1392" t="s">
        <v>2576</v>
      </c>
      <c r="B1278" s="1392" t="s">
        <v>1990</v>
      </c>
      <c r="C1278" s="1392" t="s">
        <v>1846</v>
      </c>
      <c r="D1278" s="1392" t="s">
        <v>1986</v>
      </c>
      <c r="E1278" s="1392" t="s">
        <v>1889</v>
      </c>
      <c r="F1278" s="1392" t="s">
        <v>1890</v>
      </c>
      <c r="G1278" s="1391">
        <v>14300000</v>
      </c>
    </row>
    <row r="1279" spans="1:7" x14ac:dyDescent="0.25">
      <c r="A1279" s="1392" t="s">
        <v>2576</v>
      </c>
      <c r="B1279" s="1392" t="s">
        <v>1990</v>
      </c>
      <c r="C1279" s="1392" t="s">
        <v>1846</v>
      </c>
      <c r="D1279" s="1392" t="s">
        <v>1986</v>
      </c>
      <c r="E1279" s="1392" t="s">
        <v>1889</v>
      </c>
      <c r="F1279" s="1392" t="s">
        <v>1891</v>
      </c>
      <c r="G1279" s="1391">
        <v>4750000</v>
      </c>
    </row>
    <row r="1280" spans="1:7" x14ac:dyDescent="0.25">
      <c r="A1280" s="1392" t="s">
        <v>2576</v>
      </c>
      <c r="B1280" s="1392" t="s">
        <v>1990</v>
      </c>
      <c r="C1280" s="1392" t="s">
        <v>1846</v>
      </c>
      <c r="D1280" s="1392" t="s">
        <v>1986</v>
      </c>
      <c r="E1280" s="1392" t="s">
        <v>1889</v>
      </c>
      <c r="F1280" s="1392" t="s">
        <v>1922</v>
      </c>
      <c r="G1280" s="1391">
        <v>5361638</v>
      </c>
    </row>
    <row r="1281" spans="1:7" x14ac:dyDescent="0.25">
      <c r="A1281" s="1392" t="s">
        <v>2576</v>
      </c>
      <c r="B1281" s="1392" t="s">
        <v>1990</v>
      </c>
      <c r="C1281" s="1392" t="s">
        <v>1846</v>
      </c>
      <c r="D1281" s="1392" t="s">
        <v>1986</v>
      </c>
      <c r="E1281" s="4536" t="s">
        <v>1893</v>
      </c>
      <c r="F1281" s="4538"/>
      <c r="G1281" s="1391">
        <v>12600000</v>
      </c>
    </row>
    <row r="1282" spans="1:7" x14ac:dyDescent="0.25">
      <c r="A1282" s="1392" t="s">
        <v>2576</v>
      </c>
      <c r="B1282" s="1392" t="s">
        <v>1990</v>
      </c>
      <c r="C1282" s="1392" t="s">
        <v>1846</v>
      </c>
      <c r="D1282" s="1392" t="s">
        <v>1986</v>
      </c>
      <c r="E1282" s="1392" t="s">
        <v>1893</v>
      </c>
      <c r="F1282" s="1392" t="s">
        <v>1894</v>
      </c>
      <c r="G1282" s="1391">
        <v>10000000</v>
      </c>
    </row>
    <row r="1283" spans="1:7" x14ac:dyDescent="0.25">
      <c r="A1283" s="1392" t="s">
        <v>2576</v>
      </c>
      <c r="B1283" s="1392" t="s">
        <v>1990</v>
      </c>
      <c r="C1283" s="1392" t="s">
        <v>1846</v>
      </c>
      <c r="D1283" s="1392" t="s">
        <v>1986</v>
      </c>
      <c r="E1283" s="1392" t="s">
        <v>1893</v>
      </c>
      <c r="F1283" s="1392" t="s">
        <v>1895</v>
      </c>
      <c r="G1283" s="1391">
        <v>2600000</v>
      </c>
    </row>
    <row r="1284" spans="1:7" x14ac:dyDescent="0.25">
      <c r="A1284" s="1392" t="s">
        <v>2576</v>
      </c>
      <c r="B1284" s="1392" t="s">
        <v>1990</v>
      </c>
      <c r="C1284" s="1392" t="s">
        <v>1846</v>
      </c>
      <c r="D1284" s="1392" t="s">
        <v>1986</v>
      </c>
      <c r="E1284" s="4536" t="s">
        <v>1896</v>
      </c>
      <c r="F1284" s="4538"/>
      <c r="G1284" s="1391">
        <v>14674000</v>
      </c>
    </row>
    <row r="1285" spans="1:7" x14ac:dyDescent="0.25">
      <c r="A1285" s="1392" t="s">
        <v>2576</v>
      </c>
      <c r="B1285" s="1392" t="s">
        <v>1990</v>
      </c>
      <c r="C1285" s="1392" t="s">
        <v>1846</v>
      </c>
      <c r="D1285" s="1392" t="s">
        <v>1986</v>
      </c>
      <c r="E1285" s="1392" t="s">
        <v>1896</v>
      </c>
      <c r="F1285" s="1392" t="s">
        <v>1900</v>
      </c>
      <c r="G1285" s="1391">
        <v>13590000</v>
      </c>
    </row>
    <row r="1286" spans="1:7" x14ac:dyDescent="0.25">
      <c r="A1286" s="1392" t="s">
        <v>2576</v>
      </c>
      <c r="B1286" s="1392" t="s">
        <v>1990</v>
      </c>
      <c r="C1286" s="1392" t="s">
        <v>1846</v>
      </c>
      <c r="D1286" s="1392" t="s">
        <v>1986</v>
      </c>
      <c r="E1286" s="1392" t="s">
        <v>1896</v>
      </c>
      <c r="F1286" s="1392" t="s">
        <v>1901</v>
      </c>
      <c r="G1286" s="1391">
        <v>1084000</v>
      </c>
    </row>
    <row r="1287" spans="1:7" x14ac:dyDescent="0.25">
      <c r="A1287" s="1392" t="s">
        <v>2576</v>
      </c>
      <c r="B1287" s="1392" t="s">
        <v>1990</v>
      </c>
      <c r="C1287" s="1392" t="s">
        <v>1846</v>
      </c>
      <c r="D1287" s="1392" t="s">
        <v>1986</v>
      </c>
      <c r="E1287" s="4536" t="s">
        <v>1906</v>
      </c>
      <c r="F1287" s="4538"/>
      <c r="G1287" s="1391">
        <v>35504800</v>
      </c>
    </row>
    <row r="1288" spans="1:7" x14ac:dyDescent="0.25">
      <c r="A1288" s="1392" t="s">
        <v>2576</v>
      </c>
      <c r="B1288" s="1392" t="s">
        <v>1990</v>
      </c>
      <c r="C1288" s="1392" t="s">
        <v>1846</v>
      </c>
      <c r="D1288" s="1392" t="s">
        <v>1986</v>
      </c>
      <c r="E1288" s="1392" t="s">
        <v>1906</v>
      </c>
      <c r="F1288" s="1392" t="s">
        <v>1907</v>
      </c>
      <c r="G1288" s="1391">
        <v>23900000</v>
      </c>
    </row>
    <row r="1289" spans="1:7" x14ac:dyDescent="0.25">
      <c r="A1289" s="1392" t="s">
        <v>2576</v>
      </c>
      <c r="B1289" s="1392" t="s">
        <v>1990</v>
      </c>
      <c r="C1289" s="1392" t="s">
        <v>1846</v>
      </c>
      <c r="D1289" s="1392" t="s">
        <v>1986</v>
      </c>
      <c r="E1289" s="1392" t="s">
        <v>1906</v>
      </c>
      <c r="F1289" s="1392" t="s">
        <v>1909</v>
      </c>
      <c r="G1289" s="1391">
        <v>11604800</v>
      </c>
    </row>
    <row r="1290" spans="1:7" x14ac:dyDescent="0.25">
      <c r="A1290" s="1392" t="s">
        <v>2576</v>
      </c>
      <c r="B1290" s="1392" t="s">
        <v>1990</v>
      </c>
      <c r="C1290" s="1392" t="s">
        <v>1846</v>
      </c>
      <c r="D1290" s="1392" t="s">
        <v>1986</v>
      </c>
      <c r="E1290" s="4536" t="s">
        <v>1968</v>
      </c>
      <c r="F1290" s="4538"/>
      <c r="G1290" s="1391">
        <v>10000000</v>
      </c>
    </row>
    <row r="1291" spans="1:7" x14ac:dyDescent="0.25">
      <c r="A1291" s="1392" t="s">
        <v>2576</v>
      </c>
      <c r="B1291" s="1392" t="s">
        <v>1990</v>
      </c>
      <c r="C1291" s="1392" t="s">
        <v>1846</v>
      </c>
      <c r="D1291" s="1392" t="s">
        <v>1986</v>
      </c>
      <c r="E1291" s="1392" t="s">
        <v>1968</v>
      </c>
      <c r="F1291" s="1392" t="s">
        <v>1969</v>
      </c>
      <c r="G1291" s="1391">
        <v>10000000</v>
      </c>
    </row>
    <row r="1292" spans="1:7" x14ac:dyDescent="0.25">
      <c r="A1292" s="1392" t="s">
        <v>2576</v>
      </c>
      <c r="B1292" s="1392" t="s">
        <v>1990</v>
      </c>
      <c r="C1292" s="1392" t="s">
        <v>1846</v>
      </c>
      <c r="D1292" s="1392" t="s">
        <v>1986</v>
      </c>
      <c r="E1292" s="4536" t="s">
        <v>1912</v>
      </c>
      <c r="F1292" s="4538"/>
      <c r="G1292" s="1391">
        <v>87820000</v>
      </c>
    </row>
    <row r="1293" spans="1:7" x14ac:dyDescent="0.25">
      <c r="A1293" s="1392" t="s">
        <v>2576</v>
      </c>
      <c r="B1293" s="1392" t="s">
        <v>1990</v>
      </c>
      <c r="C1293" s="1392" t="s">
        <v>1846</v>
      </c>
      <c r="D1293" s="1392" t="s">
        <v>1986</v>
      </c>
      <c r="E1293" s="1392" t="s">
        <v>1912</v>
      </c>
      <c r="F1293" s="1392" t="s">
        <v>1913</v>
      </c>
      <c r="G1293" s="1391">
        <v>2000000</v>
      </c>
    </row>
    <row r="1294" spans="1:7" x14ac:dyDescent="0.25">
      <c r="A1294" s="1392" t="s">
        <v>2576</v>
      </c>
      <c r="B1294" s="1392" t="s">
        <v>1990</v>
      </c>
      <c r="C1294" s="1392" t="s">
        <v>1846</v>
      </c>
      <c r="D1294" s="1392" t="s">
        <v>1986</v>
      </c>
      <c r="E1294" s="1392" t="s">
        <v>1912</v>
      </c>
      <c r="F1294" s="1392" t="s">
        <v>1915</v>
      </c>
      <c r="G1294" s="1391">
        <v>32220000</v>
      </c>
    </row>
    <row r="1295" spans="1:7" x14ac:dyDescent="0.25">
      <c r="A1295" s="1392" t="s">
        <v>2576</v>
      </c>
      <c r="B1295" s="1392" t="s">
        <v>1990</v>
      </c>
      <c r="C1295" s="1392" t="s">
        <v>1846</v>
      </c>
      <c r="D1295" s="1392" t="s">
        <v>1986</v>
      </c>
      <c r="E1295" s="1392" t="s">
        <v>1912</v>
      </c>
      <c r="F1295" s="1392" t="s">
        <v>1916</v>
      </c>
      <c r="G1295" s="1391">
        <v>53600000</v>
      </c>
    </row>
    <row r="1296" spans="1:7" x14ac:dyDescent="0.25">
      <c r="A1296" s="1392" t="s">
        <v>2576</v>
      </c>
      <c r="B1296" s="4536" t="s">
        <v>1991</v>
      </c>
      <c r="C1296" s="4537"/>
      <c r="D1296" s="4537"/>
      <c r="E1296" s="4537"/>
      <c r="F1296" s="4538"/>
      <c r="G1296" s="1391">
        <v>432547177</v>
      </c>
    </row>
    <row r="1297" spans="1:7" x14ac:dyDescent="0.25">
      <c r="A1297" s="1392" t="s">
        <v>2576</v>
      </c>
      <c r="B1297" s="1392" t="s">
        <v>1991</v>
      </c>
      <c r="C1297" s="4536" t="s">
        <v>1846</v>
      </c>
      <c r="D1297" s="4537"/>
      <c r="E1297" s="4537"/>
      <c r="F1297" s="4538"/>
      <c r="G1297" s="1391">
        <v>432547177</v>
      </c>
    </row>
    <row r="1298" spans="1:7" x14ac:dyDescent="0.25">
      <c r="A1298" s="1392" t="s">
        <v>2576</v>
      </c>
      <c r="B1298" s="1392" t="s">
        <v>1991</v>
      </c>
      <c r="C1298" s="1392" t="s">
        <v>1846</v>
      </c>
      <c r="D1298" s="4536" t="s">
        <v>1986</v>
      </c>
      <c r="E1298" s="4537"/>
      <c r="F1298" s="4538"/>
      <c r="G1298" s="1391">
        <v>432547177</v>
      </c>
    </row>
    <row r="1299" spans="1:7" x14ac:dyDescent="0.25">
      <c r="A1299" s="1392" t="s">
        <v>2576</v>
      </c>
      <c r="B1299" s="1392" t="s">
        <v>1991</v>
      </c>
      <c r="C1299" s="1392" t="s">
        <v>1846</v>
      </c>
      <c r="D1299" s="1392" t="s">
        <v>1986</v>
      </c>
      <c r="E1299" s="4536" t="s">
        <v>1848</v>
      </c>
      <c r="F1299" s="4538"/>
      <c r="G1299" s="1391">
        <v>172720812</v>
      </c>
    </row>
    <row r="1300" spans="1:7" x14ac:dyDescent="0.25">
      <c r="A1300" s="1392" t="s">
        <v>2576</v>
      </c>
      <c r="B1300" s="1392" t="s">
        <v>1991</v>
      </c>
      <c r="C1300" s="1392" t="s">
        <v>1846</v>
      </c>
      <c r="D1300" s="1392" t="s">
        <v>1986</v>
      </c>
      <c r="E1300" s="1392" t="s">
        <v>1848</v>
      </c>
      <c r="F1300" s="1392" t="s">
        <v>1849</v>
      </c>
      <c r="G1300" s="1391">
        <v>172720812</v>
      </c>
    </row>
    <row r="1301" spans="1:7" x14ac:dyDescent="0.25">
      <c r="A1301" s="1392" t="s">
        <v>2576</v>
      </c>
      <c r="B1301" s="1392" t="s">
        <v>1991</v>
      </c>
      <c r="C1301" s="1392" t="s">
        <v>1846</v>
      </c>
      <c r="D1301" s="1392" t="s">
        <v>1986</v>
      </c>
      <c r="E1301" s="4536" t="s">
        <v>1853</v>
      </c>
      <c r="F1301" s="4538"/>
      <c r="G1301" s="1391">
        <v>126814884</v>
      </c>
    </row>
    <row r="1302" spans="1:7" x14ac:dyDescent="0.25">
      <c r="A1302" s="1392" t="s">
        <v>2576</v>
      </c>
      <c r="B1302" s="1392" t="s">
        <v>1991</v>
      </c>
      <c r="C1302" s="1392" t="s">
        <v>1846</v>
      </c>
      <c r="D1302" s="1392" t="s">
        <v>1986</v>
      </c>
      <c r="E1302" s="1392" t="s">
        <v>1853</v>
      </c>
      <c r="F1302" s="1392" t="s">
        <v>1854</v>
      </c>
      <c r="G1302" s="1391">
        <v>8940000</v>
      </c>
    </row>
    <row r="1303" spans="1:7" x14ac:dyDescent="0.25">
      <c r="A1303" s="1392" t="s">
        <v>2576</v>
      </c>
      <c r="B1303" s="1392" t="s">
        <v>1991</v>
      </c>
      <c r="C1303" s="1392" t="s">
        <v>1846</v>
      </c>
      <c r="D1303" s="1392" t="s">
        <v>1986</v>
      </c>
      <c r="E1303" s="1392" t="s">
        <v>1853</v>
      </c>
      <c r="F1303" s="1392" t="s">
        <v>1855</v>
      </c>
      <c r="G1303" s="1391">
        <v>8940000</v>
      </c>
    </row>
    <row r="1304" spans="1:7" x14ac:dyDescent="0.25">
      <c r="A1304" s="1392" t="s">
        <v>2576</v>
      </c>
      <c r="B1304" s="1392" t="s">
        <v>1991</v>
      </c>
      <c r="C1304" s="1392" t="s">
        <v>1846</v>
      </c>
      <c r="D1304" s="1392" t="s">
        <v>1986</v>
      </c>
      <c r="E1304" s="1392" t="s">
        <v>1853</v>
      </c>
      <c r="F1304" s="1392" t="s">
        <v>1856</v>
      </c>
      <c r="G1304" s="1391">
        <v>4873284</v>
      </c>
    </row>
    <row r="1305" spans="1:7" x14ac:dyDescent="0.25">
      <c r="A1305" s="1392" t="s">
        <v>2576</v>
      </c>
      <c r="B1305" s="1392" t="s">
        <v>1991</v>
      </c>
      <c r="C1305" s="1392" t="s">
        <v>1846</v>
      </c>
      <c r="D1305" s="1392" t="s">
        <v>1986</v>
      </c>
      <c r="E1305" s="1392" t="s">
        <v>1853</v>
      </c>
      <c r="F1305" s="1392" t="s">
        <v>1977</v>
      </c>
      <c r="G1305" s="1391">
        <v>54712800</v>
      </c>
    </row>
    <row r="1306" spans="1:7" x14ac:dyDescent="0.25">
      <c r="A1306" s="1392" t="s">
        <v>2576</v>
      </c>
      <c r="B1306" s="1392" t="s">
        <v>1991</v>
      </c>
      <c r="C1306" s="1392" t="s">
        <v>1846</v>
      </c>
      <c r="D1306" s="1392" t="s">
        <v>1986</v>
      </c>
      <c r="E1306" s="1392" t="s">
        <v>1853</v>
      </c>
      <c r="F1306" s="1392" t="s">
        <v>1859</v>
      </c>
      <c r="G1306" s="1391">
        <v>45415200</v>
      </c>
    </row>
    <row r="1307" spans="1:7" x14ac:dyDescent="0.25">
      <c r="A1307" s="1392" t="s">
        <v>2576</v>
      </c>
      <c r="B1307" s="1392" t="s">
        <v>1991</v>
      </c>
      <c r="C1307" s="1392" t="s">
        <v>1846</v>
      </c>
      <c r="D1307" s="1392" t="s">
        <v>1986</v>
      </c>
      <c r="E1307" s="1392" t="s">
        <v>1853</v>
      </c>
      <c r="F1307" s="1392" t="s">
        <v>1939</v>
      </c>
      <c r="G1307" s="1391">
        <v>3933600</v>
      </c>
    </row>
    <row r="1308" spans="1:7" x14ac:dyDescent="0.25">
      <c r="A1308" s="1392" t="s">
        <v>2576</v>
      </c>
      <c r="B1308" s="1392" t="s">
        <v>1991</v>
      </c>
      <c r="C1308" s="1392" t="s">
        <v>1846</v>
      </c>
      <c r="D1308" s="1392" t="s">
        <v>1986</v>
      </c>
      <c r="E1308" s="4536" t="s">
        <v>1860</v>
      </c>
      <c r="F1308" s="4538"/>
      <c r="G1308" s="1391">
        <v>2100000</v>
      </c>
    </row>
    <row r="1309" spans="1:7" x14ac:dyDescent="0.25">
      <c r="A1309" s="1392" t="s">
        <v>2576</v>
      </c>
      <c r="B1309" s="1392" t="s">
        <v>1991</v>
      </c>
      <c r="C1309" s="1392" t="s">
        <v>1846</v>
      </c>
      <c r="D1309" s="1392" t="s">
        <v>1986</v>
      </c>
      <c r="E1309" s="1392" t="s">
        <v>1860</v>
      </c>
      <c r="F1309" s="1392" t="s">
        <v>1861</v>
      </c>
      <c r="G1309" s="1391">
        <v>2100000</v>
      </c>
    </row>
    <row r="1310" spans="1:7" x14ac:dyDescent="0.25">
      <c r="A1310" s="1392" t="s">
        <v>2576</v>
      </c>
      <c r="B1310" s="1392" t="s">
        <v>1991</v>
      </c>
      <c r="C1310" s="1392" t="s">
        <v>1846</v>
      </c>
      <c r="D1310" s="1392" t="s">
        <v>1986</v>
      </c>
      <c r="E1310" s="4536" t="s">
        <v>1943</v>
      </c>
      <c r="F1310" s="4538"/>
      <c r="G1310" s="1391">
        <v>1721800</v>
      </c>
    </row>
    <row r="1311" spans="1:7" x14ac:dyDescent="0.25">
      <c r="A1311" s="1392" t="s">
        <v>2576</v>
      </c>
      <c r="B1311" s="1392" t="s">
        <v>1991</v>
      </c>
      <c r="C1311" s="1392" t="s">
        <v>1846</v>
      </c>
      <c r="D1311" s="1392" t="s">
        <v>1986</v>
      </c>
      <c r="E1311" s="1392" t="s">
        <v>1943</v>
      </c>
      <c r="F1311" s="1392" t="s">
        <v>1980</v>
      </c>
      <c r="G1311" s="1391">
        <v>1721800</v>
      </c>
    </row>
    <row r="1312" spans="1:7" x14ac:dyDescent="0.25">
      <c r="A1312" s="1392" t="s">
        <v>2576</v>
      </c>
      <c r="B1312" s="1392" t="s">
        <v>1991</v>
      </c>
      <c r="C1312" s="1392" t="s">
        <v>1846</v>
      </c>
      <c r="D1312" s="1392" t="s">
        <v>1986</v>
      </c>
      <c r="E1312" s="4536" t="s">
        <v>1862</v>
      </c>
      <c r="F1312" s="4538"/>
      <c r="G1312" s="1391">
        <v>13396420</v>
      </c>
    </row>
    <row r="1313" spans="1:7" x14ac:dyDescent="0.25">
      <c r="A1313" s="1392" t="s">
        <v>2576</v>
      </c>
      <c r="B1313" s="1392" t="s">
        <v>1991</v>
      </c>
      <c r="C1313" s="1392" t="s">
        <v>1846</v>
      </c>
      <c r="D1313" s="1392" t="s">
        <v>1986</v>
      </c>
      <c r="E1313" s="1392" t="s">
        <v>1862</v>
      </c>
      <c r="F1313" s="1392" t="s">
        <v>1863</v>
      </c>
      <c r="G1313" s="1391">
        <v>10419576</v>
      </c>
    </row>
    <row r="1314" spans="1:7" x14ac:dyDescent="0.25">
      <c r="A1314" s="1392" t="s">
        <v>2576</v>
      </c>
      <c r="B1314" s="1392" t="s">
        <v>1991</v>
      </c>
      <c r="C1314" s="1392" t="s">
        <v>1846</v>
      </c>
      <c r="D1314" s="1392" t="s">
        <v>1986</v>
      </c>
      <c r="E1314" s="1392" t="s">
        <v>1862</v>
      </c>
      <c r="F1314" s="1392" t="s">
        <v>1864</v>
      </c>
      <c r="G1314" s="1391">
        <v>1786206</v>
      </c>
    </row>
    <row r="1315" spans="1:7" x14ac:dyDescent="0.25">
      <c r="A1315" s="1392" t="s">
        <v>2576</v>
      </c>
      <c r="B1315" s="1392" t="s">
        <v>1991</v>
      </c>
      <c r="C1315" s="1392" t="s">
        <v>1846</v>
      </c>
      <c r="D1315" s="1392" t="s">
        <v>1986</v>
      </c>
      <c r="E1315" s="1392" t="s">
        <v>1862</v>
      </c>
      <c r="F1315" s="1392" t="s">
        <v>1865</v>
      </c>
      <c r="G1315" s="1391">
        <v>1190638</v>
      </c>
    </row>
    <row r="1316" spans="1:7" x14ac:dyDescent="0.25">
      <c r="A1316" s="1392" t="s">
        <v>2576</v>
      </c>
      <c r="B1316" s="1392" t="s">
        <v>1991</v>
      </c>
      <c r="C1316" s="1392" t="s">
        <v>1846</v>
      </c>
      <c r="D1316" s="1392" t="s">
        <v>1986</v>
      </c>
      <c r="E1316" s="4536" t="s">
        <v>1867</v>
      </c>
      <c r="F1316" s="4538"/>
      <c r="G1316" s="1391">
        <v>12565617</v>
      </c>
    </row>
    <row r="1317" spans="1:7" x14ac:dyDescent="0.25">
      <c r="A1317" s="1392" t="s">
        <v>2576</v>
      </c>
      <c r="B1317" s="1392" t="s">
        <v>1991</v>
      </c>
      <c r="C1317" s="1392" t="s">
        <v>1846</v>
      </c>
      <c r="D1317" s="1392" t="s">
        <v>1986</v>
      </c>
      <c r="E1317" s="1392" t="s">
        <v>1867</v>
      </c>
      <c r="F1317" s="1392" t="s">
        <v>1868</v>
      </c>
      <c r="G1317" s="1391">
        <v>12565617</v>
      </c>
    </row>
    <row r="1318" spans="1:7" x14ac:dyDescent="0.25">
      <c r="A1318" s="1392" t="s">
        <v>2576</v>
      </c>
      <c r="B1318" s="1392" t="s">
        <v>1991</v>
      </c>
      <c r="C1318" s="1392" t="s">
        <v>1846</v>
      </c>
      <c r="D1318" s="1392" t="s">
        <v>1986</v>
      </c>
      <c r="E1318" s="4536" t="s">
        <v>1869</v>
      </c>
      <c r="F1318" s="4538"/>
      <c r="G1318" s="1391">
        <v>4001600</v>
      </c>
    </row>
    <row r="1319" spans="1:7" x14ac:dyDescent="0.25">
      <c r="A1319" s="1392" t="s">
        <v>2576</v>
      </c>
      <c r="B1319" s="1392" t="s">
        <v>1991</v>
      </c>
      <c r="C1319" s="1392" t="s">
        <v>1846</v>
      </c>
      <c r="D1319" s="1392" t="s">
        <v>1986</v>
      </c>
      <c r="E1319" s="1392" t="s">
        <v>1869</v>
      </c>
      <c r="F1319" s="1392" t="s">
        <v>1870</v>
      </c>
      <c r="G1319" s="1391">
        <v>3506400</v>
      </c>
    </row>
    <row r="1320" spans="1:7" x14ac:dyDescent="0.25">
      <c r="A1320" s="1392" t="s">
        <v>2576</v>
      </c>
      <c r="B1320" s="1392" t="s">
        <v>1991</v>
      </c>
      <c r="C1320" s="1392" t="s">
        <v>1846</v>
      </c>
      <c r="D1320" s="1392" t="s">
        <v>1986</v>
      </c>
      <c r="E1320" s="1392" t="s">
        <v>1869</v>
      </c>
      <c r="F1320" s="1392" t="s">
        <v>1871</v>
      </c>
      <c r="G1320" s="1391">
        <v>495200</v>
      </c>
    </row>
    <row r="1321" spans="1:7" x14ac:dyDescent="0.25">
      <c r="A1321" s="1392" t="s">
        <v>2576</v>
      </c>
      <c r="B1321" s="1392" t="s">
        <v>1991</v>
      </c>
      <c r="C1321" s="1392" t="s">
        <v>1846</v>
      </c>
      <c r="D1321" s="1392" t="s">
        <v>1986</v>
      </c>
      <c r="E1321" s="4536" t="s">
        <v>1874</v>
      </c>
      <c r="F1321" s="4538"/>
      <c r="G1321" s="1391">
        <v>3246000</v>
      </c>
    </row>
    <row r="1322" spans="1:7" x14ac:dyDescent="0.25">
      <c r="A1322" s="1392" t="s">
        <v>2576</v>
      </c>
      <c r="B1322" s="1392" t="s">
        <v>1991</v>
      </c>
      <c r="C1322" s="1392" t="s">
        <v>1846</v>
      </c>
      <c r="D1322" s="1392" t="s">
        <v>1986</v>
      </c>
      <c r="E1322" s="1392" t="s">
        <v>1874</v>
      </c>
      <c r="F1322" s="1392" t="s">
        <v>1875</v>
      </c>
      <c r="G1322" s="1391">
        <v>2919000</v>
      </c>
    </row>
    <row r="1323" spans="1:7" x14ac:dyDescent="0.25">
      <c r="A1323" s="1392" t="s">
        <v>2576</v>
      </c>
      <c r="B1323" s="1392" t="s">
        <v>1991</v>
      </c>
      <c r="C1323" s="1392" t="s">
        <v>1846</v>
      </c>
      <c r="D1323" s="1392" t="s">
        <v>1986</v>
      </c>
      <c r="E1323" s="1392" t="s">
        <v>1874</v>
      </c>
      <c r="F1323" s="1392" t="s">
        <v>1877</v>
      </c>
      <c r="G1323" s="1391">
        <v>327000</v>
      </c>
    </row>
    <row r="1324" spans="1:7" x14ac:dyDescent="0.25">
      <c r="A1324" s="1392" t="s">
        <v>2576</v>
      </c>
      <c r="B1324" s="1392" t="s">
        <v>1991</v>
      </c>
      <c r="C1324" s="1392" t="s">
        <v>1846</v>
      </c>
      <c r="D1324" s="1392" t="s">
        <v>1986</v>
      </c>
      <c r="E1324" s="4536" t="s">
        <v>1878</v>
      </c>
      <c r="F1324" s="4538"/>
      <c r="G1324" s="1391">
        <v>3420900</v>
      </c>
    </row>
    <row r="1325" spans="1:7" x14ac:dyDescent="0.25">
      <c r="A1325" s="1392" t="s">
        <v>2576</v>
      </c>
      <c r="B1325" s="1392" t="s">
        <v>1991</v>
      </c>
      <c r="C1325" s="1392" t="s">
        <v>1846</v>
      </c>
      <c r="D1325" s="1392" t="s">
        <v>1986</v>
      </c>
      <c r="E1325" s="1392" t="s">
        <v>1878</v>
      </c>
      <c r="F1325" s="1392" t="s">
        <v>1879</v>
      </c>
      <c r="G1325" s="1391">
        <v>321700</v>
      </c>
    </row>
    <row r="1326" spans="1:7" x14ac:dyDescent="0.25">
      <c r="A1326" s="1392" t="s">
        <v>2576</v>
      </c>
      <c r="B1326" s="1392" t="s">
        <v>1991</v>
      </c>
      <c r="C1326" s="1392" t="s">
        <v>1846</v>
      </c>
      <c r="D1326" s="1392" t="s">
        <v>1986</v>
      </c>
      <c r="E1326" s="1392" t="s">
        <v>1878</v>
      </c>
      <c r="F1326" s="1392" t="s">
        <v>1881</v>
      </c>
      <c r="G1326" s="1391">
        <v>2402000</v>
      </c>
    </row>
    <row r="1327" spans="1:7" x14ac:dyDescent="0.25">
      <c r="A1327" s="1392" t="s">
        <v>2576</v>
      </c>
      <c r="B1327" s="1392" t="s">
        <v>1991</v>
      </c>
      <c r="C1327" s="1392" t="s">
        <v>1846</v>
      </c>
      <c r="D1327" s="1392" t="s">
        <v>1986</v>
      </c>
      <c r="E1327" s="1392" t="s">
        <v>1878</v>
      </c>
      <c r="F1327" s="1392" t="s">
        <v>1883</v>
      </c>
      <c r="G1327" s="1391">
        <v>697200</v>
      </c>
    </row>
    <row r="1328" spans="1:7" x14ac:dyDescent="0.25">
      <c r="A1328" s="1392" t="s">
        <v>2576</v>
      </c>
      <c r="B1328" s="1392" t="s">
        <v>1991</v>
      </c>
      <c r="C1328" s="1392" t="s">
        <v>1846</v>
      </c>
      <c r="D1328" s="1392" t="s">
        <v>1986</v>
      </c>
      <c r="E1328" s="4536" t="s">
        <v>1885</v>
      </c>
      <c r="F1328" s="4538"/>
      <c r="G1328" s="1391">
        <v>38890000</v>
      </c>
    </row>
    <row r="1329" spans="1:7" x14ac:dyDescent="0.25">
      <c r="A1329" s="1392" t="s">
        <v>2576</v>
      </c>
      <c r="B1329" s="1392" t="s">
        <v>1991</v>
      </c>
      <c r="C1329" s="1392" t="s">
        <v>1846</v>
      </c>
      <c r="D1329" s="1392" t="s">
        <v>1986</v>
      </c>
      <c r="E1329" s="1392" t="s">
        <v>1885</v>
      </c>
      <c r="F1329" s="1392" t="s">
        <v>1925</v>
      </c>
      <c r="G1329" s="1391">
        <v>6490000</v>
      </c>
    </row>
    <row r="1330" spans="1:7" x14ac:dyDescent="0.25">
      <c r="A1330" s="1392" t="s">
        <v>2576</v>
      </c>
      <c r="B1330" s="1392" t="s">
        <v>1991</v>
      </c>
      <c r="C1330" s="1392" t="s">
        <v>1846</v>
      </c>
      <c r="D1330" s="1392" t="s">
        <v>1986</v>
      </c>
      <c r="E1330" s="1392" t="s">
        <v>1885</v>
      </c>
      <c r="F1330" s="1392" t="s">
        <v>1886</v>
      </c>
      <c r="G1330" s="1391">
        <v>1200000</v>
      </c>
    </row>
    <row r="1331" spans="1:7" x14ac:dyDescent="0.25">
      <c r="A1331" s="1392" t="s">
        <v>2576</v>
      </c>
      <c r="B1331" s="1392" t="s">
        <v>1991</v>
      </c>
      <c r="C1331" s="1392" t="s">
        <v>1846</v>
      </c>
      <c r="D1331" s="1392" t="s">
        <v>1986</v>
      </c>
      <c r="E1331" s="1392" t="s">
        <v>1885</v>
      </c>
      <c r="F1331" s="1392" t="s">
        <v>1887</v>
      </c>
      <c r="G1331" s="1391">
        <v>25400000</v>
      </c>
    </row>
    <row r="1332" spans="1:7" x14ac:dyDescent="0.25">
      <c r="A1332" s="1392" t="s">
        <v>2576</v>
      </c>
      <c r="B1332" s="1392" t="s">
        <v>1991</v>
      </c>
      <c r="C1332" s="1392" t="s">
        <v>1846</v>
      </c>
      <c r="D1332" s="1392" t="s">
        <v>1986</v>
      </c>
      <c r="E1332" s="1392" t="s">
        <v>1885</v>
      </c>
      <c r="F1332" s="1392" t="s">
        <v>1888</v>
      </c>
      <c r="G1332" s="1391">
        <v>5800000</v>
      </c>
    </row>
    <row r="1333" spans="1:7" x14ac:dyDescent="0.25">
      <c r="A1333" s="1392" t="s">
        <v>2576</v>
      </c>
      <c r="B1333" s="1392" t="s">
        <v>1991</v>
      </c>
      <c r="C1333" s="1392" t="s">
        <v>1846</v>
      </c>
      <c r="D1333" s="1392" t="s">
        <v>1986</v>
      </c>
      <c r="E1333" s="4536" t="s">
        <v>1889</v>
      </c>
      <c r="F1333" s="4538"/>
      <c r="G1333" s="1391">
        <v>21770344</v>
      </c>
    </row>
    <row r="1334" spans="1:7" x14ac:dyDescent="0.25">
      <c r="A1334" s="1392" t="s">
        <v>2576</v>
      </c>
      <c r="B1334" s="1392" t="s">
        <v>1991</v>
      </c>
      <c r="C1334" s="1392" t="s">
        <v>1846</v>
      </c>
      <c r="D1334" s="1392" t="s">
        <v>1986</v>
      </c>
      <c r="E1334" s="1392" t="s">
        <v>1889</v>
      </c>
      <c r="F1334" s="1392" t="s">
        <v>1890</v>
      </c>
      <c r="G1334" s="1391">
        <v>2600000</v>
      </c>
    </row>
    <row r="1335" spans="1:7" x14ac:dyDescent="0.25">
      <c r="A1335" s="1392" t="s">
        <v>2576</v>
      </c>
      <c r="B1335" s="1392" t="s">
        <v>1991</v>
      </c>
      <c r="C1335" s="1392" t="s">
        <v>1846</v>
      </c>
      <c r="D1335" s="1392" t="s">
        <v>1986</v>
      </c>
      <c r="E1335" s="1392" t="s">
        <v>1889</v>
      </c>
      <c r="F1335" s="1392" t="s">
        <v>1891</v>
      </c>
      <c r="G1335" s="1391">
        <v>350000</v>
      </c>
    </row>
    <row r="1336" spans="1:7" x14ac:dyDescent="0.25">
      <c r="A1336" s="1392" t="s">
        <v>2576</v>
      </c>
      <c r="B1336" s="1392" t="s">
        <v>1991</v>
      </c>
      <c r="C1336" s="1392" t="s">
        <v>1846</v>
      </c>
      <c r="D1336" s="1392" t="s">
        <v>1986</v>
      </c>
      <c r="E1336" s="1392" t="s">
        <v>1889</v>
      </c>
      <c r="F1336" s="1392" t="s">
        <v>1892</v>
      </c>
      <c r="G1336" s="1391">
        <v>18000000</v>
      </c>
    </row>
    <row r="1337" spans="1:7" x14ac:dyDescent="0.25">
      <c r="A1337" s="1392" t="s">
        <v>2576</v>
      </c>
      <c r="B1337" s="1392" t="s">
        <v>1991</v>
      </c>
      <c r="C1337" s="1392" t="s">
        <v>1846</v>
      </c>
      <c r="D1337" s="1392" t="s">
        <v>1986</v>
      </c>
      <c r="E1337" s="1392" t="s">
        <v>1889</v>
      </c>
      <c r="F1337" s="1392" t="s">
        <v>1922</v>
      </c>
      <c r="G1337" s="1391">
        <v>820344</v>
      </c>
    </row>
    <row r="1338" spans="1:7" x14ac:dyDescent="0.25">
      <c r="A1338" s="1392" t="s">
        <v>2576</v>
      </c>
      <c r="B1338" s="1392" t="s">
        <v>1991</v>
      </c>
      <c r="C1338" s="1392" t="s">
        <v>1846</v>
      </c>
      <c r="D1338" s="1392" t="s">
        <v>1986</v>
      </c>
      <c r="E1338" s="4536" t="s">
        <v>1893</v>
      </c>
      <c r="F1338" s="4538"/>
      <c r="G1338" s="1391">
        <v>2900000</v>
      </c>
    </row>
    <row r="1339" spans="1:7" x14ac:dyDescent="0.25">
      <c r="A1339" s="1392" t="s">
        <v>2576</v>
      </c>
      <c r="B1339" s="1392" t="s">
        <v>1991</v>
      </c>
      <c r="C1339" s="1392" t="s">
        <v>1846</v>
      </c>
      <c r="D1339" s="1392" t="s">
        <v>1986</v>
      </c>
      <c r="E1339" s="1392" t="s">
        <v>1893</v>
      </c>
      <c r="F1339" s="1392" t="s">
        <v>1894</v>
      </c>
      <c r="G1339" s="1391">
        <v>1600000</v>
      </c>
    </row>
    <row r="1340" spans="1:7" x14ac:dyDescent="0.25">
      <c r="A1340" s="1392" t="s">
        <v>2576</v>
      </c>
      <c r="B1340" s="1392" t="s">
        <v>1991</v>
      </c>
      <c r="C1340" s="1392" t="s">
        <v>1846</v>
      </c>
      <c r="D1340" s="1392" t="s">
        <v>1986</v>
      </c>
      <c r="E1340" s="1392" t="s">
        <v>1893</v>
      </c>
      <c r="F1340" s="1392" t="s">
        <v>1895</v>
      </c>
      <c r="G1340" s="1391">
        <v>1300000</v>
      </c>
    </row>
    <row r="1341" spans="1:7" x14ac:dyDescent="0.25">
      <c r="A1341" s="1392" t="s">
        <v>2576</v>
      </c>
      <c r="B1341" s="1392" t="s">
        <v>1991</v>
      </c>
      <c r="C1341" s="1392" t="s">
        <v>1846</v>
      </c>
      <c r="D1341" s="1392" t="s">
        <v>1986</v>
      </c>
      <c r="E1341" s="4536" t="s">
        <v>1896</v>
      </c>
      <c r="F1341" s="4538"/>
      <c r="G1341" s="1391">
        <v>4914000</v>
      </c>
    </row>
    <row r="1342" spans="1:7" x14ac:dyDescent="0.25">
      <c r="A1342" s="1392" t="s">
        <v>2576</v>
      </c>
      <c r="B1342" s="1392" t="s">
        <v>1991</v>
      </c>
      <c r="C1342" s="1392" t="s">
        <v>1846</v>
      </c>
      <c r="D1342" s="1392" t="s">
        <v>1986</v>
      </c>
      <c r="E1342" s="1392" t="s">
        <v>1896</v>
      </c>
      <c r="F1342" s="1392" t="s">
        <v>1900</v>
      </c>
      <c r="G1342" s="1391">
        <v>3830000</v>
      </c>
    </row>
    <row r="1343" spans="1:7" x14ac:dyDescent="0.25">
      <c r="A1343" s="1392" t="s">
        <v>2576</v>
      </c>
      <c r="B1343" s="1392" t="s">
        <v>1991</v>
      </c>
      <c r="C1343" s="1392" t="s">
        <v>1846</v>
      </c>
      <c r="D1343" s="1392" t="s">
        <v>1986</v>
      </c>
      <c r="E1343" s="1392" t="s">
        <v>1896</v>
      </c>
      <c r="F1343" s="1392" t="s">
        <v>1901</v>
      </c>
      <c r="G1343" s="1391">
        <v>1084000</v>
      </c>
    </row>
    <row r="1344" spans="1:7" x14ac:dyDescent="0.25">
      <c r="A1344" s="1392" t="s">
        <v>2576</v>
      </c>
      <c r="B1344" s="1392" t="s">
        <v>1991</v>
      </c>
      <c r="C1344" s="1392" t="s">
        <v>1846</v>
      </c>
      <c r="D1344" s="1392" t="s">
        <v>1986</v>
      </c>
      <c r="E1344" s="4536" t="s">
        <v>1903</v>
      </c>
      <c r="F1344" s="4538"/>
      <c r="G1344" s="1391">
        <v>13450000</v>
      </c>
    </row>
    <row r="1345" spans="1:7" x14ac:dyDescent="0.25">
      <c r="A1345" s="1392" t="s">
        <v>2576</v>
      </c>
      <c r="B1345" s="1392" t="s">
        <v>1991</v>
      </c>
      <c r="C1345" s="1392" t="s">
        <v>1846</v>
      </c>
      <c r="D1345" s="1392" t="s">
        <v>1986</v>
      </c>
      <c r="E1345" s="1392" t="s">
        <v>1903</v>
      </c>
      <c r="F1345" s="1392" t="s">
        <v>1950</v>
      </c>
      <c r="G1345" s="1391">
        <v>13450000</v>
      </c>
    </row>
    <row r="1346" spans="1:7" x14ac:dyDescent="0.25">
      <c r="A1346" s="1392" t="s">
        <v>2576</v>
      </c>
      <c r="B1346" s="1392" t="s">
        <v>1991</v>
      </c>
      <c r="C1346" s="1392" t="s">
        <v>1846</v>
      </c>
      <c r="D1346" s="1392" t="s">
        <v>1986</v>
      </c>
      <c r="E1346" s="4536" t="s">
        <v>1906</v>
      </c>
      <c r="F1346" s="4538"/>
      <c r="G1346" s="1391">
        <v>484800</v>
      </c>
    </row>
    <row r="1347" spans="1:7" x14ac:dyDescent="0.25">
      <c r="A1347" s="1392" t="s">
        <v>2576</v>
      </c>
      <c r="B1347" s="1392" t="s">
        <v>1991</v>
      </c>
      <c r="C1347" s="1392" t="s">
        <v>1846</v>
      </c>
      <c r="D1347" s="1392" t="s">
        <v>1986</v>
      </c>
      <c r="E1347" s="1392" t="s">
        <v>1906</v>
      </c>
      <c r="F1347" s="1392" t="s">
        <v>1909</v>
      </c>
      <c r="G1347" s="1391">
        <v>484800</v>
      </c>
    </row>
    <row r="1348" spans="1:7" x14ac:dyDescent="0.25">
      <c r="A1348" s="1392" t="s">
        <v>2576</v>
      </c>
      <c r="B1348" s="1392" t="s">
        <v>1991</v>
      </c>
      <c r="C1348" s="1392" t="s">
        <v>1846</v>
      </c>
      <c r="D1348" s="1392" t="s">
        <v>1986</v>
      </c>
      <c r="E1348" s="4536" t="s">
        <v>1912</v>
      </c>
      <c r="F1348" s="4538"/>
      <c r="G1348" s="1391">
        <v>10150000</v>
      </c>
    </row>
    <row r="1349" spans="1:7" x14ac:dyDescent="0.25">
      <c r="A1349" s="1392" t="s">
        <v>2576</v>
      </c>
      <c r="B1349" s="1392" t="s">
        <v>1991</v>
      </c>
      <c r="C1349" s="1392" t="s">
        <v>1846</v>
      </c>
      <c r="D1349" s="1392" t="s">
        <v>1986</v>
      </c>
      <c r="E1349" s="1392" t="s">
        <v>1912</v>
      </c>
      <c r="F1349" s="1392" t="s">
        <v>1915</v>
      </c>
      <c r="G1349" s="1391">
        <v>9550000</v>
      </c>
    </row>
    <row r="1350" spans="1:7" x14ac:dyDescent="0.25">
      <c r="A1350" s="1392" t="s">
        <v>2576</v>
      </c>
      <c r="B1350" s="1392" t="s">
        <v>1991</v>
      </c>
      <c r="C1350" s="1392" t="s">
        <v>1846</v>
      </c>
      <c r="D1350" s="1392" t="s">
        <v>1986</v>
      </c>
      <c r="E1350" s="1392" t="s">
        <v>1912</v>
      </c>
      <c r="F1350" s="1392" t="s">
        <v>1916</v>
      </c>
      <c r="G1350" s="1391">
        <v>600000</v>
      </c>
    </row>
    <row r="1351" spans="1:7" x14ac:dyDescent="0.25">
      <c r="A1351" s="1392" t="s">
        <v>2576</v>
      </c>
      <c r="B1351" s="4536" t="s">
        <v>1992</v>
      </c>
      <c r="C1351" s="4537"/>
      <c r="D1351" s="4537"/>
      <c r="E1351" s="4537"/>
      <c r="F1351" s="4538"/>
      <c r="G1351" s="1391">
        <v>156462486</v>
      </c>
    </row>
    <row r="1352" spans="1:7" x14ac:dyDescent="0.25">
      <c r="A1352" s="1392" t="s">
        <v>2576</v>
      </c>
      <c r="B1352" s="1392" t="s">
        <v>1992</v>
      </c>
      <c r="C1352" s="4536" t="s">
        <v>1846</v>
      </c>
      <c r="D1352" s="4537"/>
      <c r="E1352" s="4537"/>
      <c r="F1352" s="4538"/>
      <c r="G1352" s="1391">
        <v>156462486</v>
      </c>
    </row>
    <row r="1353" spans="1:7" x14ac:dyDescent="0.25">
      <c r="A1353" s="1392" t="s">
        <v>2576</v>
      </c>
      <c r="B1353" s="1392" t="s">
        <v>1992</v>
      </c>
      <c r="C1353" s="1392" t="s">
        <v>1846</v>
      </c>
      <c r="D1353" s="4536" t="s">
        <v>1993</v>
      </c>
      <c r="E1353" s="4537"/>
      <c r="F1353" s="4538"/>
      <c r="G1353" s="1391">
        <v>156462486</v>
      </c>
    </row>
    <row r="1354" spans="1:7" x14ac:dyDescent="0.25">
      <c r="A1354" s="1392" t="s">
        <v>2576</v>
      </c>
      <c r="B1354" s="1392" t="s">
        <v>1992</v>
      </c>
      <c r="C1354" s="1392" t="s">
        <v>1846</v>
      </c>
      <c r="D1354" s="1392" t="s">
        <v>1993</v>
      </c>
      <c r="E1354" s="4536" t="s">
        <v>1848</v>
      </c>
      <c r="F1354" s="4538"/>
      <c r="G1354" s="1391">
        <v>59151512</v>
      </c>
    </row>
    <row r="1355" spans="1:7" x14ac:dyDescent="0.25">
      <c r="A1355" s="1392" t="s">
        <v>2576</v>
      </c>
      <c r="B1355" s="1392" t="s">
        <v>1992</v>
      </c>
      <c r="C1355" s="1392" t="s">
        <v>1846</v>
      </c>
      <c r="D1355" s="1392" t="s">
        <v>1993</v>
      </c>
      <c r="E1355" s="1392" t="s">
        <v>1848</v>
      </c>
      <c r="F1355" s="1392" t="s">
        <v>1849</v>
      </c>
      <c r="G1355" s="1391">
        <v>59151512</v>
      </c>
    </row>
    <row r="1356" spans="1:7" x14ac:dyDescent="0.25">
      <c r="A1356" s="1392" t="s">
        <v>2576</v>
      </c>
      <c r="B1356" s="1392" t="s">
        <v>1992</v>
      </c>
      <c r="C1356" s="1392" t="s">
        <v>1846</v>
      </c>
      <c r="D1356" s="1392" t="s">
        <v>1993</v>
      </c>
      <c r="E1356" s="4536" t="s">
        <v>1853</v>
      </c>
      <c r="F1356" s="4538"/>
      <c r="G1356" s="1391">
        <v>45306835</v>
      </c>
    </row>
    <row r="1357" spans="1:7" x14ac:dyDescent="0.25">
      <c r="A1357" s="1392" t="s">
        <v>2576</v>
      </c>
      <c r="B1357" s="1392" t="s">
        <v>1992</v>
      </c>
      <c r="C1357" s="1392" t="s">
        <v>1846</v>
      </c>
      <c r="D1357" s="1392" t="s">
        <v>1993</v>
      </c>
      <c r="E1357" s="1392" t="s">
        <v>1853</v>
      </c>
      <c r="F1357" s="1392" t="s">
        <v>1855</v>
      </c>
      <c r="G1357" s="1391">
        <v>6705000</v>
      </c>
    </row>
    <row r="1358" spans="1:7" x14ac:dyDescent="0.25">
      <c r="A1358" s="1392" t="s">
        <v>2576</v>
      </c>
      <c r="B1358" s="1392" t="s">
        <v>1992</v>
      </c>
      <c r="C1358" s="1392" t="s">
        <v>1846</v>
      </c>
      <c r="D1358" s="1392" t="s">
        <v>1993</v>
      </c>
      <c r="E1358" s="1392" t="s">
        <v>1853</v>
      </c>
      <c r="F1358" s="1392" t="s">
        <v>1856</v>
      </c>
      <c r="G1358" s="1391">
        <v>31896835</v>
      </c>
    </row>
    <row r="1359" spans="1:7" x14ac:dyDescent="0.25">
      <c r="A1359" s="1392" t="s">
        <v>2576</v>
      </c>
      <c r="B1359" s="1392" t="s">
        <v>1992</v>
      </c>
      <c r="C1359" s="1392" t="s">
        <v>1846</v>
      </c>
      <c r="D1359" s="1392" t="s">
        <v>1993</v>
      </c>
      <c r="E1359" s="1392" t="s">
        <v>1853</v>
      </c>
      <c r="F1359" s="1392" t="s">
        <v>1939</v>
      </c>
      <c r="G1359" s="1391">
        <v>6705000</v>
      </c>
    </row>
    <row r="1360" spans="1:7" x14ac:dyDescent="0.25">
      <c r="A1360" s="1392" t="s">
        <v>2576</v>
      </c>
      <c r="B1360" s="1392" t="s">
        <v>1992</v>
      </c>
      <c r="C1360" s="1392" t="s">
        <v>1846</v>
      </c>
      <c r="D1360" s="1392" t="s">
        <v>1993</v>
      </c>
      <c r="E1360" s="4536" t="s">
        <v>1862</v>
      </c>
      <c r="F1360" s="4538"/>
      <c r="G1360" s="1391">
        <v>12836275</v>
      </c>
    </row>
    <row r="1361" spans="1:7" x14ac:dyDescent="0.25">
      <c r="A1361" s="1392" t="s">
        <v>2576</v>
      </c>
      <c r="B1361" s="1392" t="s">
        <v>1992</v>
      </c>
      <c r="C1361" s="1392" t="s">
        <v>1846</v>
      </c>
      <c r="D1361" s="1392" t="s">
        <v>1993</v>
      </c>
      <c r="E1361" s="1392" t="s">
        <v>1862</v>
      </c>
      <c r="F1361" s="1392" t="s">
        <v>1863</v>
      </c>
      <c r="G1361" s="1391">
        <v>9926753</v>
      </c>
    </row>
    <row r="1362" spans="1:7" x14ac:dyDescent="0.25">
      <c r="A1362" s="1392" t="s">
        <v>2576</v>
      </c>
      <c r="B1362" s="1392" t="s">
        <v>1992</v>
      </c>
      <c r="C1362" s="1392" t="s">
        <v>1846</v>
      </c>
      <c r="D1362" s="1392" t="s">
        <v>1993</v>
      </c>
      <c r="E1362" s="1392" t="s">
        <v>1862</v>
      </c>
      <c r="F1362" s="1392" t="s">
        <v>1864</v>
      </c>
      <c r="G1362" s="1391">
        <v>1701728</v>
      </c>
    </row>
    <row r="1363" spans="1:7" x14ac:dyDescent="0.25">
      <c r="A1363" s="1392" t="s">
        <v>2576</v>
      </c>
      <c r="B1363" s="1392" t="s">
        <v>1992</v>
      </c>
      <c r="C1363" s="1392" t="s">
        <v>1846</v>
      </c>
      <c r="D1363" s="1392" t="s">
        <v>1993</v>
      </c>
      <c r="E1363" s="1392" t="s">
        <v>1862</v>
      </c>
      <c r="F1363" s="1392" t="s">
        <v>1865</v>
      </c>
      <c r="G1363" s="1391">
        <v>1207794</v>
      </c>
    </row>
    <row r="1364" spans="1:7" x14ac:dyDescent="0.25">
      <c r="A1364" s="1392" t="s">
        <v>2576</v>
      </c>
      <c r="B1364" s="1392" t="s">
        <v>1992</v>
      </c>
      <c r="C1364" s="1392" t="s">
        <v>1846</v>
      </c>
      <c r="D1364" s="1392" t="s">
        <v>1993</v>
      </c>
      <c r="E1364" s="4536" t="s">
        <v>1869</v>
      </c>
      <c r="F1364" s="4538"/>
      <c r="G1364" s="1391">
        <v>634584</v>
      </c>
    </row>
    <row r="1365" spans="1:7" x14ac:dyDescent="0.25">
      <c r="A1365" s="1392" t="s">
        <v>2576</v>
      </c>
      <c r="B1365" s="1392" t="s">
        <v>1992</v>
      </c>
      <c r="C1365" s="1392" t="s">
        <v>1846</v>
      </c>
      <c r="D1365" s="1392" t="s">
        <v>1993</v>
      </c>
      <c r="E1365" s="1392" t="s">
        <v>1869</v>
      </c>
      <c r="F1365" s="1392" t="s">
        <v>1872</v>
      </c>
      <c r="G1365" s="1391">
        <v>634584</v>
      </c>
    </row>
    <row r="1366" spans="1:7" x14ac:dyDescent="0.25">
      <c r="A1366" s="1392" t="s">
        <v>2576</v>
      </c>
      <c r="B1366" s="1392" t="s">
        <v>1992</v>
      </c>
      <c r="C1366" s="1392" t="s">
        <v>1846</v>
      </c>
      <c r="D1366" s="1392" t="s">
        <v>1993</v>
      </c>
      <c r="E1366" s="4536" t="s">
        <v>1874</v>
      </c>
      <c r="F1366" s="4538"/>
      <c r="G1366" s="1391">
        <v>3010000</v>
      </c>
    </row>
    <row r="1367" spans="1:7" x14ac:dyDescent="0.25">
      <c r="A1367" s="1392" t="s">
        <v>2576</v>
      </c>
      <c r="B1367" s="1392" t="s">
        <v>1992</v>
      </c>
      <c r="C1367" s="1392" t="s">
        <v>1846</v>
      </c>
      <c r="D1367" s="1392" t="s">
        <v>1993</v>
      </c>
      <c r="E1367" s="1392" t="s">
        <v>1874</v>
      </c>
      <c r="F1367" s="1392" t="s">
        <v>1875</v>
      </c>
      <c r="G1367" s="1391">
        <v>1820000</v>
      </c>
    </row>
    <row r="1368" spans="1:7" x14ac:dyDescent="0.25">
      <c r="A1368" s="1392" t="s">
        <v>2576</v>
      </c>
      <c r="B1368" s="1392" t="s">
        <v>1992</v>
      </c>
      <c r="C1368" s="1392" t="s">
        <v>1846</v>
      </c>
      <c r="D1368" s="1392" t="s">
        <v>1993</v>
      </c>
      <c r="E1368" s="1392" t="s">
        <v>1874</v>
      </c>
      <c r="F1368" s="1392" t="s">
        <v>1877</v>
      </c>
      <c r="G1368" s="1391">
        <v>1190000</v>
      </c>
    </row>
    <row r="1369" spans="1:7" x14ac:dyDescent="0.25">
      <c r="A1369" s="1392" t="s">
        <v>2576</v>
      </c>
      <c r="B1369" s="1392" t="s">
        <v>1992</v>
      </c>
      <c r="C1369" s="1392" t="s">
        <v>1846</v>
      </c>
      <c r="D1369" s="1392" t="s">
        <v>1993</v>
      </c>
      <c r="E1369" s="4536" t="s">
        <v>1885</v>
      </c>
      <c r="F1369" s="4538"/>
      <c r="G1369" s="1391">
        <v>2380000</v>
      </c>
    </row>
    <row r="1370" spans="1:7" x14ac:dyDescent="0.25">
      <c r="A1370" s="1392" t="s">
        <v>2576</v>
      </c>
      <c r="B1370" s="1392" t="s">
        <v>1992</v>
      </c>
      <c r="C1370" s="1392" t="s">
        <v>1846</v>
      </c>
      <c r="D1370" s="1392" t="s">
        <v>1993</v>
      </c>
      <c r="E1370" s="1392" t="s">
        <v>1885</v>
      </c>
      <c r="F1370" s="1392" t="s">
        <v>1926</v>
      </c>
      <c r="G1370" s="1391">
        <v>1800000</v>
      </c>
    </row>
    <row r="1371" spans="1:7" x14ac:dyDescent="0.25">
      <c r="A1371" s="1392" t="s">
        <v>2576</v>
      </c>
      <c r="B1371" s="1392" t="s">
        <v>1992</v>
      </c>
      <c r="C1371" s="1392" t="s">
        <v>1846</v>
      </c>
      <c r="D1371" s="1392" t="s">
        <v>1993</v>
      </c>
      <c r="E1371" s="1392" t="s">
        <v>1885</v>
      </c>
      <c r="F1371" s="1392" t="s">
        <v>1888</v>
      </c>
      <c r="G1371" s="1391">
        <v>580000</v>
      </c>
    </row>
    <row r="1372" spans="1:7" x14ac:dyDescent="0.25">
      <c r="A1372" s="1392" t="s">
        <v>2576</v>
      </c>
      <c r="B1372" s="1392" t="s">
        <v>1992</v>
      </c>
      <c r="C1372" s="1392" t="s">
        <v>1846</v>
      </c>
      <c r="D1372" s="1392" t="s">
        <v>1993</v>
      </c>
      <c r="E1372" s="4536" t="s">
        <v>1889</v>
      </c>
      <c r="F1372" s="4538"/>
      <c r="G1372" s="1391">
        <v>5543280</v>
      </c>
    </row>
    <row r="1373" spans="1:7" x14ac:dyDescent="0.25">
      <c r="A1373" s="1392" t="s">
        <v>2576</v>
      </c>
      <c r="B1373" s="1392" t="s">
        <v>1992</v>
      </c>
      <c r="C1373" s="1392" t="s">
        <v>1846</v>
      </c>
      <c r="D1373" s="1392" t="s">
        <v>1993</v>
      </c>
      <c r="E1373" s="1392" t="s">
        <v>1889</v>
      </c>
      <c r="F1373" s="1392" t="s">
        <v>1890</v>
      </c>
      <c r="G1373" s="1391">
        <v>5200000</v>
      </c>
    </row>
    <row r="1374" spans="1:7" x14ac:dyDescent="0.25">
      <c r="A1374" s="1392" t="s">
        <v>2576</v>
      </c>
      <c r="B1374" s="1392" t="s">
        <v>1992</v>
      </c>
      <c r="C1374" s="1392" t="s">
        <v>1846</v>
      </c>
      <c r="D1374" s="1392" t="s">
        <v>1993</v>
      </c>
      <c r="E1374" s="1392" t="s">
        <v>1889</v>
      </c>
      <c r="F1374" s="1392" t="s">
        <v>1922</v>
      </c>
      <c r="G1374" s="1391">
        <v>343280</v>
      </c>
    </row>
    <row r="1375" spans="1:7" x14ac:dyDescent="0.25">
      <c r="A1375" s="1392" t="s">
        <v>2576</v>
      </c>
      <c r="B1375" s="1392" t="s">
        <v>1992</v>
      </c>
      <c r="C1375" s="1392" t="s">
        <v>1846</v>
      </c>
      <c r="D1375" s="1392" t="s">
        <v>1993</v>
      </c>
      <c r="E1375" s="4536" t="s">
        <v>1893</v>
      </c>
      <c r="F1375" s="4538"/>
      <c r="G1375" s="1391">
        <v>6600000</v>
      </c>
    </row>
    <row r="1376" spans="1:7" x14ac:dyDescent="0.25">
      <c r="A1376" s="1392" t="s">
        <v>2576</v>
      </c>
      <c r="B1376" s="1392" t="s">
        <v>1992</v>
      </c>
      <c r="C1376" s="1392" t="s">
        <v>1846</v>
      </c>
      <c r="D1376" s="1392" t="s">
        <v>1993</v>
      </c>
      <c r="E1376" s="1392" t="s">
        <v>1893</v>
      </c>
      <c r="F1376" s="1392" t="s">
        <v>1894</v>
      </c>
      <c r="G1376" s="1391">
        <v>6600000</v>
      </c>
    </row>
    <row r="1377" spans="1:7" x14ac:dyDescent="0.25">
      <c r="A1377" s="1392" t="s">
        <v>2576</v>
      </c>
      <c r="B1377" s="1392" t="s">
        <v>1992</v>
      </c>
      <c r="C1377" s="1392" t="s">
        <v>1846</v>
      </c>
      <c r="D1377" s="1392" t="s">
        <v>1993</v>
      </c>
      <c r="E1377" s="4536" t="s">
        <v>1896</v>
      </c>
      <c r="F1377" s="4538"/>
      <c r="G1377" s="1391">
        <v>8900000</v>
      </c>
    </row>
    <row r="1378" spans="1:7" x14ac:dyDescent="0.25">
      <c r="A1378" s="1392" t="s">
        <v>2576</v>
      </c>
      <c r="B1378" s="1392" t="s">
        <v>1992</v>
      </c>
      <c r="C1378" s="1392" t="s">
        <v>1846</v>
      </c>
      <c r="D1378" s="1392" t="s">
        <v>1993</v>
      </c>
      <c r="E1378" s="1392" t="s">
        <v>1896</v>
      </c>
      <c r="F1378" s="1392" t="s">
        <v>1900</v>
      </c>
      <c r="G1378" s="1391">
        <v>8900000</v>
      </c>
    </row>
    <row r="1379" spans="1:7" x14ac:dyDescent="0.25">
      <c r="A1379" s="1392" t="s">
        <v>2576</v>
      </c>
      <c r="B1379" s="1392" t="s">
        <v>1992</v>
      </c>
      <c r="C1379" s="1392" t="s">
        <v>1846</v>
      </c>
      <c r="D1379" s="1392" t="s">
        <v>1993</v>
      </c>
      <c r="E1379" s="4536" t="s">
        <v>1912</v>
      </c>
      <c r="F1379" s="4538"/>
      <c r="G1379" s="1391">
        <v>12100000</v>
      </c>
    </row>
    <row r="1380" spans="1:7" x14ac:dyDescent="0.25">
      <c r="A1380" s="1392" t="s">
        <v>2576</v>
      </c>
      <c r="B1380" s="1392" t="s">
        <v>1992</v>
      </c>
      <c r="C1380" s="1392" t="s">
        <v>1846</v>
      </c>
      <c r="D1380" s="1392" t="s">
        <v>1993</v>
      </c>
      <c r="E1380" s="1392" t="s">
        <v>1912</v>
      </c>
      <c r="F1380" s="1392" t="s">
        <v>1915</v>
      </c>
      <c r="G1380" s="1391">
        <v>12100000</v>
      </c>
    </row>
    <row r="1381" spans="1:7" x14ac:dyDescent="0.25">
      <c r="A1381" s="1392" t="s">
        <v>2576</v>
      </c>
      <c r="B1381" s="4536" t="s">
        <v>1994</v>
      </c>
      <c r="C1381" s="4537"/>
      <c r="D1381" s="4537"/>
      <c r="E1381" s="4537"/>
      <c r="F1381" s="4538"/>
      <c r="G1381" s="1391">
        <v>120069220</v>
      </c>
    </row>
    <row r="1382" spans="1:7" x14ac:dyDescent="0.25">
      <c r="A1382" s="1392" t="s">
        <v>2576</v>
      </c>
      <c r="B1382" s="1392" t="s">
        <v>1994</v>
      </c>
      <c r="C1382" s="4536" t="s">
        <v>1846</v>
      </c>
      <c r="D1382" s="4537"/>
      <c r="E1382" s="4537"/>
      <c r="F1382" s="4538"/>
      <c r="G1382" s="1391">
        <v>120069220</v>
      </c>
    </row>
    <row r="1383" spans="1:7" x14ac:dyDescent="0.25">
      <c r="A1383" s="1392" t="s">
        <v>2576</v>
      </c>
      <c r="B1383" s="1392" t="s">
        <v>1994</v>
      </c>
      <c r="C1383" s="1392" t="s">
        <v>1846</v>
      </c>
      <c r="D1383" s="4536" t="s">
        <v>1993</v>
      </c>
      <c r="E1383" s="4537"/>
      <c r="F1383" s="4538"/>
      <c r="G1383" s="1391">
        <v>120069220</v>
      </c>
    </row>
    <row r="1384" spans="1:7" x14ac:dyDescent="0.25">
      <c r="A1384" s="1392" t="s">
        <v>2576</v>
      </c>
      <c r="B1384" s="1392" t="s">
        <v>1994</v>
      </c>
      <c r="C1384" s="1392" t="s">
        <v>1846</v>
      </c>
      <c r="D1384" s="1392" t="s">
        <v>1993</v>
      </c>
      <c r="E1384" s="4536" t="s">
        <v>1853</v>
      </c>
      <c r="F1384" s="4538"/>
      <c r="G1384" s="1391">
        <v>101916000</v>
      </c>
    </row>
    <row r="1385" spans="1:7" x14ac:dyDescent="0.25">
      <c r="A1385" s="1392" t="s">
        <v>2576</v>
      </c>
      <c r="B1385" s="1392" t="s">
        <v>1994</v>
      </c>
      <c r="C1385" s="1392" t="s">
        <v>1846</v>
      </c>
      <c r="D1385" s="1392" t="s">
        <v>1993</v>
      </c>
      <c r="E1385" s="1392" t="s">
        <v>1853</v>
      </c>
      <c r="F1385" s="1392" t="s">
        <v>1939</v>
      </c>
      <c r="G1385" s="1391">
        <v>101916000</v>
      </c>
    </row>
    <row r="1386" spans="1:7" x14ac:dyDescent="0.25">
      <c r="A1386" s="1392" t="s">
        <v>2576</v>
      </c>
      <c r="B1386" s="1392" t="s">
        <v>1994</v>
      </c>
      <c r="C1386" s="1392" t="s">
        <v>1846</v>
      </c>
      <c r="D1386" s="1392" t="s">
        <v>1993</v>
      </c>
      <c r="E1386" s="4536" t="s">
        <v>1869</v>
      </c>
      <c r="F1386" s="4538"/>
      <c r="G1386" s="1391">
        <v>1213400</v>
      </c>
    </row>
    <row r="1387" spans="1:7" x14ac:dyDescent="0.25">
      <c r="A1387" s="1392" t="s">
        <v>2576</v>
      </c>
      <c r="B1387" s="1392" t="s">
        <v>1994</v>
      </c>
      <c r="C1387" s="1392" t="s">
        <v>1846</v>
      </c>
      <c r="D1387" s="1392" t="s">
        <v>1993</v>
      </c>
      <c r="E1387" s="1392" t="s">
        <v>1869</v>
      </c>
      <c r="F1387" s="1392" t="s">
        <v>1870</v>
      </c>
      <c r="G1387" s="1391">
        <v>941400</v>
      </c>
    </row>
    <row r="1388" spans="1:7" x14ac:dyDescent="0.25">
      <c r="A1388" s="1392" t="s">
        <v>2576</v>
      </c>
      <c r="B1388" s="1392" t="s">
        <v>1994</v>
      </c>
      <c r="C1388" s="1392" t="s">
        <v>1846</v>
      </c>
      <c r="D1388" s="1392" t="s">
        <v>1993</v>
      </c>
      <c r="E1388" s="1392" t="s">
        <v>1869</v>
      </c>
      <c r="F1388" s="1392" t="s">
        <v>1871</v>
      </c>
      <c r="G1388" s="1391">
        <v>152000</v>
      </c>
    </row>
    <row r="1389" spans="1:7" x14ac:dyDescent="0.25">
      <c r="A1389" s="1392" t="s">
        <v>2576</v>
      </c>
      <c r="B1389" s="1392" t="s">
        <v>1994</v>
      </c>
      <c r="C1389" s="1392" t="s">
        <v>1846</v>
      </c>
      <c r="D1389" s="1392" t="s">
        <v>1993</v>
      </c>
      <c r="E1389" s="1392" t="s">
        <v>1869</v>
      </c>
      <c r="F1389" s="1392" t="s">
        <v>1873</v>
      </c>
      <c r="G1389" s="1391">
        <v>120000</v>
      </c>
    </row>
    <row r="1390" spans="1:7" x14ac:dyDescent="0.25">
      <c r="A1390" s="1392" t="s">
        <v>2576</v>
      </c>
      <c r="B1390" s="1392" t="s">
        <v>1994</v>
      </c>
      <c r="C1390" s="1392" t="s">
        <v>1846</v>
      </c>
      <c r="D1390" s="1392" t="s">
        <v>1993</v>
      </c>
      <c r="E1390" s="4536" t="s">
        <v>1874</v>
      </c>
      <c r="F1390" s="4538"/>
      <c r="G1390" s="1391">
        <v>2920000</v>
      </c>
    </row>
    <row r="1391" spans="1:7" x14ac:dyDescent="0.25">
      <c r="A1391" s="1392" t="s">
        <v>2576</v>
      </c>
      <c r="B1391" s="1392" t="s">
        <v>1994</v>
      </c>
      <c r="C1391" s="1392" t="s">
        <v>1846</v>
      </c>
      <c r="D1391" s="1392" t="s">
        <v>1993</v>
      </c>
      <c r="E1391" s="1392" t="s">
        <v>1874</v>
      </c>
      <c r="F1391" s="1392" t="s">
        <v>1875</v>
      </c>
      <c r="G1391" s="1391">
        <v>1840000</v>
      </c>
    </row>
    <row r="1392" spans="1:7" x14ac:dyDescent="0.25">
      <c r="A1392" s="1392" t="s">
        <v>2576</v>
      </c>
      <c r="B1392" s="1392" t="s">
        <v>1994</v>
      </c>
      <c r="C1392" s="1392" t="s">
        <v>1846</v>
      </c>
      <c r="D1392" s="1392" t="s">
        <v>1993</v>
      </c>
      <c r="E1392" s="1392" t="s">
        <v>1874</v>
      </c>
      <c r="F1392" s="1392" t="s">
        <v>1877</v>
      </c>
      <c r="G1392" s="1391">
        <v>1080000</v>
      </c>
    </row>
    <row r="1393" spans="1:7" x14ac:dyDescent="0.25">
      <c r="A1393" s="1392" t="s">
        <v>2576</v>
      </c>
      <c r="B1393" s="1392" t="s">
        <v>1994</v>
      </c>
      <c r="C1393" s="1392" t="s">
        <v>1846</v>
      </c>
      <c r="D1393" s="1392" t="s">
        <v>1993</v>
      </c>
      <c r="E1393" s="4536" t="s">
        <v>1878</v>
      </c>
      <c r="F1393" s="4538"/>
      <c r="G1393" s="1391">
        <v>1520700</v>
      </c>
    </row>
    <row r="1394" spans="1:7" x14ac:dyDescent="0.25">
      <c r="A1394" s="1392" t="s">
        <v>2576</v>
      </c>
      <c r="B1394" s="1392" t="s">
        <v>1994</v>
      </c>
      <c r="C1394" s="1392" t="s">
        <v>1846</v>
      </c>
      <c r="D1394" s="1392" t="s">
        <v>1993</v>
      </c>
      <c r="E1394" s="1392" t="s">
        <v>1878</v>
      </c>
      <c r="F1394" s="1392" t="s">
        <v>1879</v>
      </c>
      <c r="G1394" s="1391">
        <v>300700</v>
      </c>
    </row>
    <row r="1395" spans="1:7" x14ac:dyDescent="0.25">
      <c r="A1395" s="1392" t="s">
        <v>2576</v>
      </c>
      <c r="B1395" s="1392" t="s">
        <v>1994</v>
      </c>
      <c r="C1395" s="1392" t="s">
        <v>1846</v>
      </c>
      <c r="D1395" s="1392" t="s">
        <v>1993</v>
      </c>
      <c r="E1395" s="1392" t="s">
        <v>1878</v>
      </c>
      <c r="F1395" s="1392" t="s">
        <v>1880</v>
      </c>
      <c r="G1395" s="1391">
        <v>1220000</v>
      </c>
    </row>
    <row r="1396" spans="1:7" x14ac:dyDescent="0.25">
      <c r="A1396" s="1392" t="s">
        <v>2576</v>
      </c>
      <c r="B1396" s="1392" t="s">
        <v>1994</v>
      </c>
      <c r="C1396" s="1392" t="s">
        <v>1846</v>
      </c>
      <c r="D1396" s="1392" t="s">
        <v>1993</v>
      </c>
      <c r="E1396" s="4536" t="s">
        <v>1885</v>
      </c>
      <c r="F1396" s="4538"/>
      <c r="G1396" s="1391">
        <v>7611520</v>
      </c>
    </row>
    <row r="1397" spans="1:7" x14ac:dyDescent="0.25">
      <c r="A1397" s="1392" t="s">
        <v>2576</v>
      </c>
      <c r="B1397" s="1392" t="s">
        <v>1994</v>
      </c>
      <c r="C1397" s="1392" t="s">
        <v>1846</v>
      </c>
      <c r="D1397" s="1392" t="s">
        <v>1993</v>
      </c>
      <c r="E1397" s="1392" t="s">
        <v>1885</v>
      </c>
      <c r="F1397" s="1392" t="s">
        <v>1887</v>
      </c>
      <c r="G1397" s="1391">
        <v>7611520</v>
      </c>
    </row>
    <row r="1398" spans="1:7" x14ac:dyDescent="0.25">
      <c r="A1398" s="1392" t="s">
        <v>2576</v>
      </c>
      <c r="B1398" s="1392" t="s">
        <v>1994</v>
      </c>
      <c r="C1398" s="1392" t="s">
        <v>1846</v>
      </c>
      <c r="D1398" s="1392" t="s">
        <v>1993</v>
      </c>
      <c r="E1398" s="4536" t="s">
        <v>1889</v>
      </c>
      <c r="F1398" s="4538"/>
      <c r="G1398" s="1391">
        <v>1237600</v>
      </c>
    </row>
    <row r="1399" spans="1:7" x14ac:dyDescent="0.25">
      <c r="A1399" s="1392" t="s">
        <v>2576</v>
      </c>
      <c r="B1399" s="1392" t="s">
        <v>1994</v>
      </c>
      <c r="C1399" s="1392" t="s">
        <v>1846</v>
      </c>
      <c r="D1399" s="1392" t="s">
        <v>1993</v>
      </c>
      <c r="E1399" s="1392" t="s">
        <v>1889</v>
      </c>
      <c r="F1399" s="1392" t="s">
        <v>1890</v>
      </c>
      <c r="G1399" s="1391">
        <v>968800</v>
      </c>
    </row>
    <row r="1400" spans="1:7" x14ac:dyDescent="0.25">
      <c r="A1400" s="1392" t="s">
        <v>2576</v>
      </c>
      <c r="B1400" s="1392" t="s">
        <v>1994</v>
      </c>
      <c r="C1400" s="1392" t="s">
        <v>1846</v>
      </c>
      <c r="D1400" s="1392" t="s">
        <v>1993</v>
      </c>
      <c r="E1400" s="1392" t="s">
        <v>1889</v>
      </c>
      <c r="F1400" s="1392" t="s">
        <v>1922</v>
      </c>
      <c r="G1400" s="1391">
        <v>268800</v>
      </c>
    </row>
    <row r="1401" spans="1:7" x14ac:dyDescent="0.25">
      <c r="A1401" s="1392" t="s">
        <v>2576</v>
      </c>
      <c r="B1401" s="1392" t="s">
        <v>1994</v>
      </c>
      <c r="C1401" s="1392" t="s">
        <v>1846</v>
      </c>
      <c r="D1401" s="1392" t="s">
        <v>1993</v>
      </c>
      <c r="E1401" s="4536" t="s">
        <v>1906</v>
      </c>
      <c r="F1401" s="4538"/>
      <c r="G1401" s="1391">
        <v>1150000</v>
      </c>
    </row>
    <row r="1402" spans="1:7" x14ac:dyDescent="0.25">
      <c r="A1402" s="1392" t="s">
        <v>2576</v>
      </c>
      <c r="B1402" s="1392" t="s">
        <v>1994</v>
      </c>
      <c r="C1402" s="1392" t="s">
        <v>1846</v>
      </c>
      <c r="D1402" s="1392" t="s">
        <v>1993</v>
      </c>
      <c r="E1402" s="1392" t="s">
        <v>1906</v>
      </c>
      <c r="F1402" s="1392" t="s">
        <v>1907</v>
      </c>
      <c r="G1402" s="1391">
        <v>1150000</v>
      </c>
    </row>
    <row r="1403" spans="1:7" x14ac:dyDescent="0.25">
      <c r="A1403" s="1392" t="s">
        <v>2576</v>
      </c>
      <c r="B1403" s="1392" t="s">
        <v>1994</v>
      </c>
      <c r="C1403" s="1392" t="s">
        <v>1846</v>
      </c>
      <c r="D1403" s="1392" t="s">
        <v>1993</v>
      </c>
      <c r="E1403" s="4536" t="s">
        <v>1912</v>
      </c>
      <c r="F1403" s="4538"/>
      <c r="G1403" s="1391">
        <v>2500000</v>
      </c>
    </row>
    <row r="1404" spans="1:7" x14ac:dyDescent="0.25">
      <c r="A1404" s="1392" t="s">
        <v>2576</v>
      </c>
      <c r="B1404" s="1392" t="s">
        <v>1994</v>
      </c>
      <c r="C1404" s="1392" t="s">
        <v>1846</v>
      </c>
      <c r="D1404" s="1392" t="s">
        <v>1993</v>
      </c>
      <c r="E1404" s="1392" t="s">
        <v>1912</v>
      </c>
      <c r="F1404" s="1392" t="s">
        <v>1915</v>
      </c>
      <c r="G1404" s="1391">
        <v>2500000</v>
      </c>
    </row>
    <row r="1405" spans="1:7" x14ac:dyDescent="0.25">
      <c r="A1405" s="1392" t="s">
        <v>2576</v>
      </c>
      <c r="B1405" s="4536" t="s">
        <v>1995</v>
      </c>
      <c r="C1405" s="4537"/>
      <c r="D1405" s="4537"/>
      <c r="E1405" s="4537"/>
      <c r="F1405" s="4538"/>
      <c r="G1405" s="1391">
        <v>77216000</v>
      </c>
    </row>
    <row r="1406" spans="1:7" x14ac:dyDescent="0.25">
      <c r="A1406" s="1392" t="s">
        <v>2576</v>
      </c>
      <c r="B1406" s="1392" t="s">
        <v>1995</v>
      </c>
      <c r="C1406" s="4536" t="s">
        <v>1846</v>
      </c>
      <c r="D1406" s="4537"/>
      <c r="E1406" s="4537"/>
      <c r="F1406" s="4538"/>
      <c r="G1406" s="1391">
        <v>77216000</v>
      </c>
    </row>
    <row r="1407" spans="1:7" x14ac:dyDescent="0.25">
      <c r="A1407" s="1392" t="s">
        <v>2576</v>
      </c>
      <c r="B1407" s="1392" t="s">
        <v>1995</v>
      </c>
      <c r="C1407" s="1392" t="s">
        <v>1846</v>
      </c>
      <c r="D1407" s="4536" t="s">
        <v>1993</v>
      </c>
      <c r="E1407" s="4537"/>
      <c r="F1407" s="4538"/>
      <c r="G1407" s="1391">
        <v>77216000</v>
      </c>
    </row>
    <row r="1408" spans="1:7" x14ac:dyDescent="0.25">
      <c r="A1408" s="1392" t="s">
        <v>2576</v>
      </c>
      <c r="B1408" s="1392" t="s">
        <v>1995</v>
      </c>
      <c r="C1408" s="1392" t="s">
        <v>1846</v>
      </c>
      <c r="D1408" s="1392" t="s">
        <v>1993</v>
      </c>
      <c r="E1408" s="4536" t="s">
        <v>1853</v>
      </c>
      <c r="F1408" s="4538"/>
      <c r="G1408" s="1391">
        <v>57216000</v>
      </c>
    </row>
    <row r="1409" spans="1:7" x14ac:dyDescent="0.25">
      <c r="A1409" s="1392" t="s">
        <v>2576</v>
      </c>
      <c r="B1409" s="1392" t="s">
        <v>1995</v>
      </c>
      <c r="C1409" s="1392" t="s">
        <v>1846</v>
      </c>
      <c r="D1409" s="1392" t="s">
        <v>1993</v>
      </c>
      <c r="E1409" s="1392" t="s">
        <v>1853</v>
      </c>
      <c r="F1409" s="1392" t="s">
        <v>1939</v>
      </c>
      <c r="G1409" s="1391">
        <v>57216000</v>
      </c>
    </row>
    <row r="1410" spans="1:7" x14ac:dyDescent="0.25">
      <c r="A1410" s="1392" t="s">
        <v>2576</v>
      </c>
      <c r="B1410" s="1392" t="s">
        <v>1995</v>
      </c>
      <c r="C1410" s="1392" t="s">
        <v>1846</v>
      </c>
      <c r="D1410" s="1392" t="s">
        <v>1993</v>
      </c>
      <c r="E1410" s="4536" t="s">
        <v>1874</v>
      </c>
      <c r="F1410" s="4538"/>
      <c r="G1410" s="1391">
        <v>7740000</v>
      </c>
    </row>
    <row r="1411" spans="1:7" x14ac:dyDescent="0.25">
      <c r="A1411" s="1392" t="s">
        <v>2576</v>
      </c>
      <c r="B1411" s="1392" t="s">
        <v>1995</v>
      </c>
      <c r="C1411" s="1392" t="s">
        <v>1846</v>
      </c>
      <c r="D1411" s="1392" t="s">
        <v>1993</v>
      </c>
      <c r="E1411" s="1392" t="s">
        <v>1874</v>
      </c>
      <c r="F1411" s="1392" t="s">
        <v>1875</v>
      </c>
      <c r="G1411" s="1391">
        <v>5305000</v>
      </c>
    </row>
    <row r="1412" spans="1:7" x14ac:dyDescent="0.25">
      <c r="A1412" s="1392" t="s">
        <v>2576</v>
      </c>
      <c r="B1412" s="1392" t="s">
        <v>1995</v>
      </c>
      <c r="C1412" s="1392" t="s">
        <v>1846</v>
      </c>
      <c r="D1412" s="1392" t="s">
        <v>1993</v>
      </c>
      <c r="E1412" s="1392" t="s">
        <v>1874</v>
      </c>
      <c r="F1412" s="1392" t="s">
        <v>1876</v>
      </c>
      <c r="G1412" s="1391">
        <v>2435000</v>
      </c>
    </row>
    <row r="1413" spans="1:7" x14ac:dyDescent="0.25">
      <c r="A1413" s="1392" t="s">
        <v>2576</v>
      </c>
      <c r="B1413" s="1392" t="s">
        <v>1995</v>
      </c>
      <c r="C1413" s="1392" t="s">
        <v>1846</v>
      </c>
      <c r="D1413" s="1392" t="s">
        <v>1993</v>
      </c>
      <c r="E1413" s="4536" t="s">
        <v>1889</v>
      </c>
      <c r="F1413" s="4538"/>
      <c r="G1413" s="1391">
        <v>500000</v>
      </c>
    </row>
    <row r="1414" spans="1:7" x14ac:dyDescent="0.25">
      <c r="A1414" s="1392" t="s">
        <v>2576</v>
      </c>
      <c r="B1414" s="1392" t="s">
        <v>1995</v>
      </c>
      <c r="C1414" s="1392" t="s">
        <v>1846</v>
      </c>
      <c r="D1414" s="1392" t="s">
        <v>1993</v>
      </c>
      <c r="E1414" s="1392" t="s">
        <v>1889</v>
      </c>
      <c r="F1414" s="1392" t="s">
        <v>1890</v>
      </c>
      <c r="G1414" s="1391">
        <v>500000</v>
      </c>
    </row>
    <row r="1415" spans="1:7" x14ac:dyDescent="0.25">
      <c r="A1415" s="1392" t="s">
        <v>2576</v>
      </c>
      <c r="B1415" s="1392" t="s">
        <v>1995</v>
      </c>
      <c r="C1415" s="1392" t="s">
        <v>1846</v>
      </c>
      <c r="D1415" s="1392" t="s">
        <v>1993</v>
      </c>
      <c r="E1415" s="4536" t="s">
        <v>1906</v>
      </c>
      <c r="F1415" s="4538"/>
      <c r="G1415" s="1391">
        <v>7260000</v>
      </c>
    </row>
    <row r="1416" spans="1:7" x14ac:dyDescent="0.25">
      <c r="A1416" s="1392" t="s">
        <v>2576</v>
      </c>
      <c r="B1416" s="1392" t="s">
        <v>1995</v>
      </c>
      <c r="C1416" s="1392" t="s">
        <v>1846</v>
      </c>
      <c r="D1416" s="1392" t="s">
        <v>1993</v>
      </c>
      <c r="E1416" s="1392" t="s">
        <v>1906</v>
      </c>
      <c r="F1416" s="1392" t="s">
        <v>1908</v>
      </c>
      <c r="G1416" s="1391">
        <v>7260000</v>
      </c>
    </row>
    <row r="1417" spans="1:7" x14ac:dyDescent="0.25">
      <c r="A1417" s="1392" t="s">
        <v>2576</v>
      </c>
      <c r="B1417" s="1392" t="s">
        <v>1995</v>
      </c>
      <c r="C1417" s="1392" t="s">
        <v>1846</v>
      </c>
      <c r="D1417" s="1392" t="s">
        <v>1993</v>
      </c>
      <c r="E1417" s="4536" t="s">
        <v>1912</v>
      </c>
      <c r="F1417" s="4538"/>
      <c r="G1417" s="1391">
        <v>4500000</v>
      </c>
    </row>
    <row r="1418" spans="1:7" x14ac:dyDescent="0.25">
      <c r="A1418" s="1392" t="s">
        <v>2576</v>
      </c>
      <c r="B1418" s="1392" t="s">
        <v>1995</v>
      </c>
      <c r="C1418" s="1392" t="s">
        <v>1846</v>
      </c>
      <c r="D1418" s="1392" t="s">
        <v>1993</v>
      </c>
      <c r="E1418" s="1392" t="s">
        <v>1912</v>
      </c>
      <c r="F1418" s="1392" t="s">
        <v>1915</v>
      </c>
      <c r="G1418" s="1391">
        <v>4500000</v>
      </c>
    </row>
    <row r="1419" spans="1:7" x14ac:dyDescent="0.25">
      <c r="A1419" s="1392" t="s">
        <v>2576</v>
      </c>
      <c r="B1419" s="4536" t="s">
        <v>1996</v>
      </c>
      <c r="C1419" s="4537"/>
      <c r="D1419" s="4537"/>
      <c r="E1419" s="4537"/>
      <c r="F1419" s="4538"/>
      <c r="G1419" s="1391">
        <v>20000000</v>
      </c>
    </row>
    <row r="1420" spans="1:7" x14ac:dyDescent="0.25">
      <c r="A1420" s="1392" t="s">
        <v>2576</v>
      </c>
      <c r="B1420" s="1392" t="s">
        <v>1996</v>
      </c>
      <c r="C1420" s="4536" t="s">
        <v>1846</v>
      </c>
      <c r="D1420" s="4537"/>
      <c r="E1420" s="4537"/>
      <c r="F1420" s="4538"/>
      <c r="G1420" s="1391">
        <v>20000000</v>
      </c>
    </row>
    <row r="1421" spans="1:7" x14ac:dyDescent="0.25">
      <c r="A1421" s="1392" t="s">
        <v>2576</v>
      </c>
      <c r="B1421" s="1392" t="s">
        <v>1996</v>
      </c>
      <c r="C1421" s="1392" t="s">
        <v>1846</v>
      </c>
      <c r="D1421" s="4536" t="s">
        <v>1993</v>
      </c>
      <c r="E1421" s="4537"/>
      <c r="F1421" s="4538"/>
      <c r="G1421" s="1391">
        <v>20000000</v>
      </c>
    </row>
    <row r="1422" spans="1:7" x14ac:dyDescent="0.25">
      <c r="A1422" s="1392" t="s">
        <v>2576</v>
      </c>
      <c r="B1422" s="1392" t="s">
        <v>1996</v>
      </c>
      <c r="C1422" s="1392" t="s">
        <v>1846</v>
      </c>
      <c r="D1422" s="1392" t="s">
        <v>1993</v>
      </c>
      <c r="E1422" s="4536" t="s">
        <v>1912</v>
      </c>
      <c r="F1422" s="4538"/>
      <c r="G1422" s="1391">
        <v>20000000</v>
      </c>
    </row>
    <row r="1423" spans="1:7" x14ac:dyDescent="0.25">
      <c r="A1423" s="1392" t="s">
        <v>2576</v>
      </c>
      <c r="B1423" s="1392" t="s">
        <v>1996</v>
      </c>
      <c r="C1423" s="1392" t="s">
        <v>1846</v>
      </c>
      <c r="D1423" s="1392" t="s">
        <v>1993</v>
      </c>
      <c r="E1423" s="1392" t="s">
        <v>1912</v>
      </c>
      <c r="F1423" s="1392" t="s">
        <v>1916</v>
      </c>
      <c r="G1423" s="1391">
        <v>20000000</v>
      </c>
    </row>
    <row r="1424" spans="1:7" x14ac:dyDescent="0.25">
      <c r="A1424" s="1392" t="s">
        <v>2576</v>
      </c>
      <c r="B1424" s="4536" t="s">
        <v>1998</v>
      </c>
      <c r="C1424" s="4537"/>
      <c r="D1424" s="4537"/>
      <c r="E1424" s="4537"/>
      <c r="F1424" s="4538"/>
      <c r="G1424" s="1391">
        <v>75696795</v>
      </c>
    </row>
    <row r="1425" spans="1:7" x14ac:dyDescent="0.25">
      <c r="A1425" s="1392" t="s">
        <v>2576</v>
      </c>
      <c r="B1425" s="1392" t="s">
        <v>1998</v>
      </c>
      <c r="C1425" s="4536" t="s">
        <v>1846</v>
      </c>
      <c r="D1425" s="4537"/>
      <c r="E1425" s="4537"/>
      <c r="F1425" s="4538"/>
      <c r="G1425" s="1391">
        <v>75696795</v>
      </c>
    </row>
    <row r="1426" spans="1:7" x14ac:dyDescent="0.25">
      <c r="A1426" s="1392" t="s">
        <v>2576</v>
      </c>
      <c r="B1426" s="1392" t="s">
        <v>1998</v>
      </c>
      <c r="C1426" s="1392" t="s">
        <v>1846</v>
      </c>
      <c r="D1426" s="4536" t="s">
        <v>1993</v>
      </c>
      <c r="E1426" s="4537"/>
      <c r="F1426" s="4538"/>
      <c r="G1426" s="1391">
        <v>75696795</v>
      </c>
    </row>
    <row r="1427" spans="1:7" x14ac:dyDescent="0.25">
      <c r="A1427" s="1392" t="s">
        <v>2576</v>
      </c>
      <c r="B1427" s="1392" t="s">
        <v>1998</v>
      </c>
      <c r="C1427" s="1392" t="s">
        <v>1846</v>
      </c>
      <c r="D1427" s="1392" t="s">
        <v>1993</v>
      </c>
      <c r="E1427" s="4536" t="s">
        <v>1853</v>
      </c>
      <c r="F1427" s="4538"/>
      <c r="G1427" s="1391">
        <v>57216000</v>
      </c>
    </row>
    <row r="1428" spans="1:7" x14ac:dyDescent="0.25">
      <c r="A1428" s="1392" t="s">
        <v>2576</v>
      </c>
      <c r="B1428" s="1392" t="s">
        <v>1998</v>
      </c>
      <c r="C1428" s="1392" t="s">
        <v>1846</v>
      </c>
      <c r="D1428" s="1392" t="s">
        <v>1993</v>
      </c>
      <c r="E1428" s="1392" t="s">
        <v>1853</v>
      </c>
      <c r="F1428" s="1392" t="s">
        <v>1939</v>
      </c>
      <c r="G1428" s="1391">
        <v>57216000</v>
      </c>
    </row>
    <row r="1429" spans="1:7" x14ac:dyDescent="0.25">
      <c r="A1429" s="1392" t="s">
        <v>2576</v>
      </c>
      <c r="B1429" s="1392" t="s">
        <v>1998</v>
      </c>
      <c r="C1429" s="1392" t="s">
        <v>1846</v>
      </c>
      <c r="D1429" s="1392" t="s">
        <v>1993</v>
      </c>
      <c r="E1429" s="4536" t="s">
        <v>1869</v>
      </c>
      <c r="F1429" s="4538"/>
      <c r="G1429" s="1391">
        <v>60000</v>
      </c>
    </row>
    <row r="1430" spans="1:7" x14ac:dyDescent="0.25">
      <c r="A1430" s="1392" t="s">
        <v>2576</v>
      </c>
      <c r="B1430" s="1392" t="s">
        <v>1998</v>
      </c>
      <c r="C1430" s="1392" t="s">
        <v>1846</v>
      </c>
      <c r="D1430" s="1392" t="s">
        <v>1993</v>
      </c>
      <c r="E1430" s="1392" t="s">
        <v>1869</v>
      </c>
      <c r="F1430" s="1392" t="s">
        <v>1873</v>
      </c>
      <c r="G1430" s="1391">
        <v>60000</v>
      </c>
    </row>
    <row r="1431" spans="1:7" x14ac:dyDescent="0.25">
      <c r="A1431" s="1392" t="s">
        <v>2576</v>
      </c>
      <c r="B1431" s="1392" t="s">
        <v>1998</v>
      </c>
      <c r="C1431" s="1392" t="s">
        <v>1846</v>
      </c>
      <c r="D1431" s="1392" t="s">
        <v>1993</v>
      </c>
      <c r="E1431" s="4536" t="s">
        <v>1878</v>
      </c>
      <c r="F1431" s="4538"/>
      <c r="G1431" s="1391">
        <v>1909900</v>
      </c>
    </row>
    <row r="1432" spans="1:7" x14ac:dyDescent="0.25">
      <c r="A1432" s="1392" t="s">
        <v>2576</v>
      </c>
      <c r="B1432" s="1392" t="s">
        <v>1998</v>
      </c>
      <c r="C1432" s="1392" t="s">
        <v>1846</v>
      </c>
      <c r="D1432" s="1392" t="s">
        <v>1993</v>
      </c>
      <c r="E1432" s="1392" t="s">
        <v>1878</v>
      </c>
      <c r="F1432" s="1392" t="s">
        <v>1879</v>
      </c>
      <c r="G1432" s="1391">
        <v>49900</v>
      </c>
    </row>
    <row r="1433" spans="1:7" x14ac:dyDescent="0.25">
      <c r="A1433" s="1392" t="s">
        <v>2576</v>
      </c>
      <c r="B1433" s="1392" t="s">
        <v>1998</v>
      </c>
      <c r="C1433" s="1392" t="s">
        <v>1846</v>
      </c>
      <c r="D1433" s="1392" t="s">
        <v>1993</v>
      </c>
      <c r="E1433" s="1392" t="s">
        <v>1878</v>
      </c>
      <c r="F1433" s="1392" t="s">
        <v>1880</v>
      </c>
      <c r="G1433" s="1391">
        <v>860000</v>
      </c>
    </row>
    <row r="1434" spans="1:7" x14ac:dyDescent="0.25">
      <c r="A1434" s="1392" t="s">
        <v>2576</v>
      </c>
      <c r="B1434" s="1392" t="s">
        <v>1998</v>
      </c>
      <c r="C1434" s="1392" t="s">
        <v>1846</v>
      </c>
      <c r="D1434" s="1392" t="s">
        <v>1993</v>
      </c>
      <c r="E1434" s="1392" t="s">
        <v>1878</v>
      </c>
      <c r="F1434" s="1392" t="s">
        <v>1883</v>
      </c>
      <c r="G1434" s="1391">
        <v>1000000</v>
      </c>
    </row>
    <row r="1435" spans="1:7" x14ac:dyDescent="0.25">
      <c r="A1435" s="1392" t="s">
        <v>2576</v>
      </c>
      <c r="B1435" s="1392" t="s">
        <v>1998</v>
      </c>
      <c r="C1435" s="1392" t="s">
        <v>1846</v>
      </c>
      <c r="D1435" s="1392" t="s">
        <v>1993</v>
      </c>
      <c r="E1435" s="4536" t="s">
        <v>1885</v>
      </c>
      <c r="F1435" s="4538"/>
      <c r="G1435" s="1391">
        <v>10451000</v>
      </c>
    </row>
    <row r="1436" spans="1:7" x14ac:dyDescent="0.25">
      <c r="A1436" s="1392" t="s">
        <v>2576</v>
      </c>
      <c r="B1436" s="1392" t="s">
        <v>1998</v>
      </c>
      <c r="C1436" s="1392" t="s">
        <v>1846</v>
      </c>
      <c r="D1436" s="1392" t="s">
        <v>1993</v>
      </c>
      <c r="E1436" s="1392" t="s">
        <v>1885</v>
      </c>
      <c r="F1436" s="1392" t="s">
        <v>1887</v>
      </c>
      <c r="G1436" s="1391">
        <v>9320000</v>
      </c>
    </row>
    <row r="1437" spans="1:7" x14ac:dyDescent="0.25">
      <c r="A1437" s="1392" t="s">
        <v>2576</v>
      </c>
      <c r="B1437" s="1392" t="s">
        <v>1998</v>
      </c>
      <c r="C1437" s="1392" t="s">
        <v>1846</v>
      </c>
      <c r="D1437" s="1392" t="s">
        <v>1993</v>
      </c>
      <c r="E1437" s="1392" t="s">
        <v>1885</v>
      </c>
      <c r="F1437" s="1392" t="s">
        <v>1888</v>
      </c>
      <c r="G1437" s="1391">
        <v>1131000</v>
      </c>
    </row>
    <row r="1438" spans="1:7" x14ac:dyDescent="0.25">
      <c r="A1438" s="1392" t="s">
        <v>2576</v>
      </c>
      <c r="B1438" s="1392" t="s">
        <v>1998</v>
      </c>
      <c r="C1438" s="1392" t="s">
        <v>1846</v>
      </c>
      <c r="D1438" s="1392" t="s">
        <v>1993</v>
      </c>
      <c r="E1438" s="4536" t="s">
        <v>1889</v>
      </c>
      <c r="F1438" s="4538"/>
      <c r="G1438" s="1391">
        <v>3462848</v>
      </c>
    </row>
    <row r="1439" spans="1:7" x14ac:dyDescent="0.25">
      <c r="A1439" s="1392" t="s">
        <v>2576</v>
      </c>
      <c r="B1439" s="1392" t="s">
        <v>1998</v>
      </c>
      <c r="C1439" s="1392" t="s">
        <v>1846</v>
      </c>
      <c r="D1439" s="1392" t="s">
        <v>1993</v>
      </c>
      <c r="E1439" s="1392" t="s">
        <v>1889</v>
      </c>
      <c r="F1439" s="1392" t="s">
        <v>1921</v>
      </c>
      <c r="G1439" s="1391">
        <v>1260000</v>
      </c>
    </row>
    <row r="1440" spans="1:7" x14ac:dyDescent="0.25">
      <c r="A1440" s="1392" t="s">
        <v>2576</v>
      </c>
      <c r="B1440" s="1392" t="s">
        <v>1998</v>
      </c>
      <c r="C1440" s="1392" t="s">
        <v>1846</v>
      </c>
      <c r="D1440" s="1392" t="s">
        <v>1993</v>
      </c>
      <c r="E1440" s="1392" t="s">
        <v>1889</v>
      </c>
      <c r="F1440" s="1392" t="s">
        <v>1890</v>
      </c>
      <c r="G1440" s="1391">
        <v>1126000</v>
      </c>
    </row>
    <row r="1441" spans="1:7" x14ac:dyDescent="0.25">
      <c r="A1441" s="1392" t="s">
        <v>2576</v>
      </c>
      <c r="B1441" s="1392" t="s">
        <v>1998</v>
      </c>
      <c r="C1441" s="1392" t="s">
        <v>1846</v>
      </c>
      <c r="D1441" s="1392" t="s">
        <v>1993</v>
      </c>
      <c r="E1441" s="1392" t="s">
        <v>1889</v>
      </c>
      <c r="F1441" s="1392" t="s">
        <v>1922</v>
      </c>
      <c r="G1441" s="1391">
        <v>1076848</v>
      </c>
    </row>
    <row r="1442" spans="1:7" x14ac:dyDescent="0.25">
      <c r="A1442" s="1392" t="s">
        <v>2576</v>
      </c>
      <c r="B1442" s="1392" t="s">
        <v>1998</v>
      </c>
      <c r="C1442" s="1392" t="s">
        <v>1846</v>
      </c>
      <c r="D1442" s="1392" t="s">
        <v>1993</v>
      </c>
      <c r="E1442" s="4536" t="s">
        <v>1893</v>
      </c>
      <c r="F1442" s="4538"/>
      <c r="G1442" s="1391">
        <v>600000</v>
      </c>
    </row>
    <row r="1443" spans="1:7" x14ac:dyDescent="0.25">
      <c r="A1443" s="1392" t="s">
        <v>2576</v>
      </c>
      <c r="B1443" s="1392" t="s">
        <v>1998</v>
      </c>
      <c r="C1443" s="1392" t="s">
        <v>1846</v>
      </c>
      <c r="D1443" s="1392" t="s">
        <v>1993</v>
      </c>
      <c r="E1443" s="1392" t="s">
        <v>1893</v>
      </c>
      <c r="F1443" s="1392" t="s">
        <v>1894</v>
      </c>
      <c r="G1443" s="1391">
        <v>600000</v>
      </c>
    </row>
    <row r="1444" spans="1:7" x14ac:dyDescent="0.25">
      <c r="A1444" s="1392" t="s">
        <v>2576</v>
      </c>
      <c r="B1444" s="1392" t="s">
        <v>1998</v>
      </c>
      <c r="C1444" s="1392" t="s">
        <v>1846</v>
      </c>
      <c r="D1444" s="1392" t="s">
        <v>1993</v>
      </c>
      <c r="E1444" s="4536" t="s">
        <v>1906</v>
      </c>
      <c r="F1444" s="4538"/>
      <c r="G1444" s="1391">
        <v>1997047</v>
      </c>
    </row>
    <row r="1445" spans="1:7" x14ac:dyDescent="0.25">
      <c r="A1445" s="1392" t="s">
        <v>2576</v>
      </c>
      <c r="B1445" s="1392" t="s">
        <v>1998</v>
      </c>
      <c r="C1445" s="1392" t="s">
        <v>1846</v>
      </c>
      <c r="D1445" s="1392" t="s">
        <v>1993</v>
      </c>
      <c r="E1445" s="1392" t="s">
        <v>1906</v>
      </c>
      <c r="F1445" s="1392" t="s">
        <v>1907</v>
      </c>
      <c r="G1445" s="1391">
        <v>1997047</v>
      </c>
    </row>
    <row r="1446" spans="1:7" x14ac:dyDescent="0.25">
      <c r="A1446" s="1392" t="s">
        <v>2576</v>
      </c>
      <c r="B1446" s="4536" t="s">
        <v>1999</v>
      </c>
      <c r="C1446" s="4537"/>
      <c r="D1446" s="4537"/>
      <c r="E1446" s="4537"/>
      <c r="F1446" s="4538"/>
      <c r="G1446" s="1391">
        <v>116188000</v>
      </c>
    </row>
    <row r="1447" spans="1:7" x14ac:dyDescent="0.25">
      <c r="A1447" s="1392" t="s">
        <v>2576</v>
      </c>
      <c r="B1447" s="1392" t="s">
        <v>1999</v>
      </c>
      <c r="C1447" s="4536" t="s">
        <v>1846</v>
      </c>
      <c r="D1447" s="4537"/>
      <c r="E1447" s="4537"/>
      <c r="F1447" s="4538"/>
      <c r="G1447" s="1391">
        <v>116188000</v>
      </c>
    </row>
    <row r="1448" spans="1:7" x14ac:dyDescent="0.25">
      <c r="A1448" s="1392" t="s">
        <v>2576</v>
      </c>
      <c r="B1448" s="1392" t="s">
        <v>1999</v>
      </c>
      <c r="C1448" s="1392" t="s">
        <v>1846</v>
      </c>
      <c r="D1448" s="4536" t="s">
        <v>1993</v>
      </c>
      <c r="E1448" s="4537"/>
      <c r="F1448" s="4538"/>
      <c r="G1448" s="1391">
        <v>116188000</v>
      </c>
    </row>
    <row r="1449" spans="1:7" x14ac:dyDescent="0.25">
      <c r="A1449" s="1392" t="s">
        <v>2576</v>
      </c>
      <c r="B1449" s="1392" t="s">
        <v>1999</v>
      </c>
      <c r="C1449" s="1392" t="s">
        <v>1846</v>
      </c>
      <c r="D1449" s="1392" t="s">
        <v>1993</v>
      </c>
      <c r="E1449" s="4536" t="s">
        <v>1853</v>
      </c>
      <c r="F1449" s="4538"/>
      <c r="G1449" s="1391">
        <v>57216000</v>
      </c>
    </row>
    <row r="1450" spans="1:7" x14ac:dyDescent="0.25">
      <c r="A1450" s="1392" t="s">
        <v>2576</v>
      </c>
      <c r="B1450" s="1392" t="s">
        <v>1999</v>
      </c>
      <c r="C1450" s="1392" t="s">
        <v>1846</v>
      </c>
      <c r="D1450" s="1392" t="s">
        <v>1993</v>
      </c>
      <c r="E1450" s="1392" t="s">
        <v>1853</v>
      </c>
      <c r="F1450" s="1392" t="s">
        <v>1939</v>
      </c>
      <c r="G1450" s="1391">
        <v>57216000</v>
      </c>
    </row>
    <row r="1451" spans="1:7" x14ac:dyDescent="0.25">
      <c r="A1451" s="1392" t="s">
        <v>2576</v>
      </c>
      <c r="B1451" s="1392" t="s">
        <v>1999</v>
      </c>
      <c r="C1451" s="1392" t="s">
        <v>1846</v>
      </c>
      <c r="D1451" s="1392" t="s">
        <v>1993</v>
      </c>
      <c r="E1451" s="4536" t="s">
        <v>1869</v>
      </c>
      <c r="F1451" s="4538"/>
      <c r="G1451" s="1391">
        <v>60000</v>
      </c>
    </row>
    <row r="1452" spans="1:7" x14ac:dyDescent="0.25">
      <c r="A1452" s="1392" t="s">
        <v>2576</v>
      </c>
      <c r="B1452" s="1392" t="s">
        <v>1999</v>
      </c>
      <c r="C1452" s="1392" t="s">
        <v>1846</v>
      </c>
      <c r="D1452" s="1392" t="s">
        <v>1993</v>
      </c>
      <c r="E1452" s="1392" t="s">
        <v>1869</v>
      </c>
      <c r="F1452" s="1392" t="s">
        <v>1873</v>
      </c>
      <c r="G1452" s="1391">
        <v>60000</v>
      </c>
    </row>
    <row r="1453" spans="1:7" x14ac:dyDescent="0.25">
      <c r="A1453" s="1392" t="s">
        <v>2576</v>
      </c>
      <c r="B1453" s="1392" t="s">
        <v>1999</v>
      </c>
      <c r="C1453" s="1392" t="s">
        <v>1846</v>
      </c>
      <c r="D1453" s="1392" t="s">
        <v>1993</v>
      </c>
      <c r="E1453" s="4536" t="s">
        <v>1874</v>
      </c>
      <c r="F1453" s="4538"/>
      <c r="G1453" s="1391">
        <v>1454160</v>
      </c>
    </row>
    <row r="1454" spans="1:7" x14ac:dyDescent="0.25">
      <c r="A1454" s="1392" t="s">
        <v>2576</v>
      </c>
      <c r="B1454" s="1392" t="s">
        <v>1999</v>
      </c>
      <c r="C1454" s="1392" t="s">
        <v>1846</v>
      </c>
      <c r="D1454" s="1392" t="s">
        <v>1993</v>
      </c>
      <c r="E1454" s="1392" t="s">
        <v>1874</v>
      </c>
      <c r="F1454" s="1392" t="s">
        <v>1875</v>
      </c>
      <c r="G1454" s="1391">
        <v>1454160</v>
      </c>
    </row>
    <row r="1455" spans="1:7" x14ac:dyDescent="0.25">
      <c r="A1455" s="1392" t="s">
        <v>2576</v>
      </c>
      <c r="B1455" s="1392" t="s">
        <v>1999</v>
      </c>
      <c r="C1455" s="1392" t="s">
        <v>1846</v>
      </c>
      <c r="D1455" s="1392" t="s">
        <v>1993</v>
      </c>
      <c r="E1455" s="4536" t="s">
        <v>1878</v>
      </c>
      <c r="F1455" s="4538"/>
      <c r="G1455" s="1391">
        <v>4048440</v>
      </c>
    </row>
    <row r="1456" spans="1:7" x14ac:dyDescent="0.25">
      <c r="A1456" s="1392" t="s">
        <v>2576</v>
      </c>
      <c r="B1456" s="1392" t="s">
        <v>1999</v>
      </c>
      <c r="C1456" s="1392" t="s">
        <v>1846</v>
      </c>
      <c r="D1456" s="1392" t="s">
        <v>1993</v>
      </c>
      <c r="E1456" s="1392" t="s">
        <v>1878</v>
      </c>
      <c r="F1456" s="1392" t="s">
        <v>1879</v>
      </c>
      <c r="G1456" s="1391">
        <v>264000</v>
      </c>
    </row>
    <row r="1457" spans="1:7" x14ac:dyDescent="0.25">
      <c r="A1457" s="1392" t="s">
        <v>2576</v>
      </c>
      <c r="B1457" s="1392" t="s">
        <v>1999</v>
      </c>
      <c r="C1457" s="1392" t="s">
        <v>1846</v>
      </c>
      <c r="D1457" s="1392" t="s">
        <v>1993</v>
      </c>
      <c r="E1457" s="1392" t="s">
        <v>1878</v>
      </c>
      <c r="F1457" s="1392" t="s">
        <v>1880</v>
      </c>
      <c r="G1457" s="1391">
        <v>2200000</v>
      </c>
    </row>
    <row r="1458" spans="1:7" x14ac:dyDescent="0.25">
      <c r="A1458" s="1392" t="s">
        <v>2576</v>
      </c>
      <c r="B1458" s="1392" t="s">
        <v>1999</v>
      </c>
      <c r="C1458" s="1392" t="s">
        <v>1846</v>
      </c>
      <c r="D1458" s="1392" t="s">
        <v>1993</v>
      </c>
      <c r="E1458" s="1392" t="s">
        <v>1878</v>
      </c>
      <c r="F1458" s="1392" t="s">
        <v>1881</v>
      </c>
      <c r="G1458" s="1391">
        <v>1584440</v>
      </c>
    </row>
    <row r="1459" spans="1:7" x14ac:dyDescent="0.25">
      <c r="A1459" s="1392" t="s">
        <v>2576</v>
      </c>
      <c r="B1459" s="1392" t="s">
        <v>1999</v>
      </c>
      <c r="C1459" s="1392" t="s">
        <v>1846</v>
      </c>
      <c r="D1459" s="1392" t="s">
        <v>1993</v>
      </c>
      <c r="E1459" s="4536" t="s">
        <v>1885</v>
      </c>
      <c r="F1459" s="4538"/>
      <c r="G1459" s="1391">
        <v>49444600</v>
      </c>
    </row>
    <row r="1460" spans="1:7" x14ac:dyDescent="0.25">
      <c r="A1460" s="1392" t="s">
        <v>2576</v>
      </c>
      <c r="B1460" s="1392" t="s">
        <v>1999</v>
      </c>
      <c r="C1460" s="1392" t="s">
        <v>1846</v>
      </c>
      <c r="D1460" s="1392" t="s">
        <v>1993</v>
      </c>
      <c r="E1460" s="1392" t="s">
        <v>1885</v>
      </c>
      <c r="F1460" s="1392" t="s">
        <v>1926</v>
      </c>
      <c r="G1460" s="1391">
        <v>600000</v>
      </c>
    </row>
    <row r="1461" spans="1:7" x14ac:dyDescent="0.25">
      <c r="A1461" s="1392" t="s">
        <v>2576</v>
      </c>
      <c r="B1461" s="1392" t="s">
        <v>1999</v>
      </c>
      <c r="C1461" s="1392" t="s">
        <v>1846</v>
      </c>
      <c r="D1461" s="1392" t="s">
        <v>1993</v>
      </c>
      <c r="E1461" s="1392" t="s">
        <v>1885</v>
      </c>
      <c r="F1461" s="1392" t="s">
        <v>1927</v>
      </c>
      <c r="G1461" s="1391">
        <v>1500000</v>
      </c>
    </row>
    <row r="1462" spans="1:7" x14ac:dyDescent="0.25">
      <c r="A1462" s="1392" t="s">
        <v>2576</v>
      </c>
      <c r="B1462" s="1392" t="s">
        <v>1999</v>
      </c>
      <c r="C1462" s="1392" t="s">
        <v>1846</v>
      </c>
      <c r="D1462" s="1392" t="s">
        <v>1993</v>
      </c>
      <c r="E1462" s="1392" t="s">
        <v>1885</v>
      </c>
      <c r="F1462" s="1392" t="s">
        <v>1887</v>
      </c>
      <c r="G1462" s="1391">
        <v>16500000</v>
      </c>
    </row>
    <row r="1463" spans="1:7" x14ac:dyDescent="0.25">
      <c r="A1463" s="1392" t="s">
        <v>2576</v>
      </c>
      <c r="B1463" s="1392" t="s">
        <v>1999</v>
      </c>
      <c r="C1463" s="1392" t="s">
        <v>1846</v>
      </c>
      <c r="D1463" s="1392" t="s">
        <v>1993</v>
      </c>
      <c r="E1463" s="1392" t="s">
        <v>1885</v>
      </c>
      <c r="F1463" s="1392" t="s">
        <v>1888</v>
      </c>
      <c r="G1463" s="1391">
        <v>30844600</v>
      </c>
    </row>
    <row r="1464" spans="1:7" x14ac:dyDescent="0.25">
      <c r="A1464" s="1392" t="s">
        <v>2576</v>
      </c>
      <c r="B1464" s="1392" t="s">
        <v>1999</v>
      </c>
      <c r="C1464" s="1392" t="s">
        <v>1846</v>
      </c>
      <c r="D1464" s="1392" t="s">
        <v>1993</v>
      </c>
      <c r="E1464" s="4536" t="s">
        <v>1889</v>
      </c>
      <c r="F1464" s="4538"/>
      <c r="G1464" s="1391">
        <v>2464800</v>
      </c>
    </row>
    <row r="1465" spans="1:7" x14ac:dyDescent="0.25">
      <c r="A1465" s="1392" t="s">
        <v>2576</v>
      </c>
      <c r="B1465" s="1392" t="s">
        <v>1999</v>
      </c>
      <c r="C1465" s="1392" t="s">
        <v>1846</v>
      </c>
      <c r="D1465" s="1392" t="s">
        <v>1993</v>
      </c>
      <c r="E1465" s="1392" t="s">
        <v>1889</v>
      </c>
      <c r="F1465" s="1392" t="s">
        <v>1890</v>
      </c>
      <c r="G1465" s="1391">
        <v>300000</v>
      </c>
    </row>
    <row r="1466" spans="1:7" x14ac:dyDescent="0.25">
      <c r="A1466" s="1392" t="s">
        <v>2576</v>
      </c>
      <c r="B1466" s="1392" t="s">
        <v>1999</v>
      </c>
      <c r="C1466" s="1392" t="s">
        <v>1846</v>
      </c>
      <c r="D1466" s="1392" t="s">
        <v>1993</v>
      </c>
      <c r="E1466" s="1392" t="s">
        <v>1889</v>
      </c>
      <c r="F1466" s="1392" t="s">
        <v>1922</v>
      </c>
      <c r="G1466" s="1391">
        <v>2164800</v>
      </c>
    </row>
    <row r="1467" spans="1:7" x14ac:dyDescent="0.25">
      <c r="A1467" s="1392" t="s">
        <v>2576</v>
      </c>
      <c r="B1467" s="1392" t="s">
        <v>1999</v>
      </c>
      <c r="C1467" s="1392" t="s">
        <v>1846</v>
      </c>
      <c r="D1467" s="1392" t="s">
        <v>1993</v>
      </c>
      <c r="E1467" s="4536" t="s">
        <v>1896</v>
      </c>
      <c r="F1467" s="4538"/>
      <c r="G1467" s="1391">
        <v>1500000</v>
      </c>
    </row>
    <row r="1468" spans="1:7" x14ac:dyDescent="0.25">
      <c r="A1468" s="1392" t="s">
        <v>2576</v>
      </c>
      <c r="B1468" s="1392" t="s">
        <v>1999</v>
      </c>
      <c r="C1468" s="1392" t="s">
        <v>1846</v>
      </c>
      <c r="D1468" s="1392" t="s">
        <v>1993</v>
      </c>
      <c r="E1468" s="1392" t="s">
        <v>1896</v>
      </c>
      <c r="F1468" s="1392" t="s">
        <v>1900</v>
      </c>
      <c r="G1468" s="1391">
        <v>1500000</v>
      </c>
    </row>
    <row r="1469" spans="1:7" x14ac:dyDescent="0.25">
      <c r="A1469" s="1392" t="s">
        <v>2576</v>
      </c>
      <c r="B1469" s="4536" t="s">
        <v>1171</v>
      </c>
      <c r="C1469" s="4537"/>
      <c r="D1469" s="4537"/>
      <c r="E1469" s="4537"/>
      <c r="F1469" s="4538"/>
      <c r="G1469" s="1391">
        <v>1642187000</v>
      </c>
    </row>
    <row r="1470" spans="1:7" x14ac:dyDescent="0.25">
      <c r="A1470" s="1392" t="s">
        <v>2576</v>
      </c>
      <c r="B1470" s="1392" t="s">
        <v>1171</v>
      </c>
      <c r="C1470" s="4536" t="s">
        <v>1919</v>
      </c>
      <c r="D1470" s="4537"/>
      <c r="E1470" s="4537"/>
      <c r="F1470" s="4538"/>
      <c r="G1470" s="1391">
        <v>1642187000</v>
      </c>
    </row>
    <row r="1471" spans="1:7" x14ac:dyDescent="0.25">
      <c r="A1471" s="1392" t="s">
        <v>2576</v>
      </c>
      <c r="B1471" s="1392" t="s">
        <v>1171</v>
      </c>
      <c r="C1471" s="1392" t="s">
        <v>1919</v>
      </c>
      <c r="D1471" s="4536" t="s">
        <v>1920</v>
      </c>
      <c r="E1471" s="4537"/>
      <c r="F1471" s="4538"/>
      <c r="G1471" s="1391">
        <v>1642187000</v>
      </c>
    </row>
    <row r="1472" spans="1:7" x14ac:dyDescent="0.25">
      <c r="A1472" s="1392" t="s">
        <v>2576</v>
      </c>
      <c r="B1472" s="1392" t="s">
        <v>1171</v>
      </c>
      <c r="C1472" s="1392" t="s">
        <v>1919</v>
      </c>
      <c r="D1472" s="1392" t="s">
        <v>1920</v>
      </c>
      <c r="E1472" s="4536" t="s">
        <v>1923</v>
      </c>
      <c r="F1472" s="4538"/>
      <c r="G1472" s="1391">
        <v>1642187000</v>
      </c>
    </row>
    <row r="1473" spans="1:7" x14ac:dyDescent="0.25">
      <c r="A1473" s="1392" t="s">
        <v>2576</v>
      </c>
      <c r="B1473" s="1392" t="s">
        <v>1171</v>
      </c>
      <c r="C1473" s="1392" t="s">
        <v>1919</v>
      </c>
      <c r="D1473" s="1392" t="s">
        <v>1920</v>
      </c>
      <c r="E1473" s="1392" t="s">
        <v>1923</v>
      </c>
      <c r="F1473" s="1392" t="s">
        <v>2063</v>
      </c>
      <c r="G1473" s="1391">
        <v>1642187000</v>
      </c>
    </row>
    <row r="1474" spans="1:7" x14ac:dyDescent="0.25">
      <c r="A1474" s="1392" t="s">
        <v>2576</v>
      </c>
      <c r="B1474" s="4536" t="s">
        <v>1178</v>
      </c>
      <c r="C1474" s="4537"/>
      <c r="D1474" s="4537"/>
      <c r="E1474" s="4537"/>
      <c r="F1474" s="4538"/>
      <c r="G1474" s="1391">
        <v>227986709306</v>
      </c>
    </row>
    <row r="1475" spans="1:7" x14ac:dyDescent="0.25">
      <c r="A1475" s="1392" t="s">
        <v>2576</v>
      </c>
      <c r="B1475" s="1392" t="s">
        <v>1178</v>
      </c>
      <c r="C1475" s="4536" t="s">
        <v>321</v>
      </c>
      <c r="D1475" s="4537"/>
      <c r="E1475" s="4537"/>
      <c r="F1475" s="4538"/>
      <c r="G1475" s="1391">
        <v>2317697905</v>
      </c>
    </row>
    <row r="1476" spans="1:7" x14ac:dyDescent="0.25">
      <c r="A1476" s="1392" t="s">
        <v>2576</v>
      </c>
      <c r="B1476" s="1392" t="s">
        <v>1178</v>
      </c>
      <c r="C1476" s="1392" t="s">
        <v>321</v>
      </c>
      <c r="D1476" s="4536" t="s">
        <v>323</v>
      </c>
      <c r="E1476" s="4537"/>
      <c r="F1476" s="4538"/>
      <c r="G1476" s="1391">
        <v>2317697905</v>
      </c>
    </row>
    <row r="1477" spans="1:7" x14ac:dyDescent="0.25">
      <c r="A1477" s="1392" t="s">
        <v>2576</v>
      </c>
      <c r="B1477" s="1392" t="s">
        <v>1178</v>
      </c>
      <c r="C1477" s="1392" t="s">
        <v>321</v>
      </c>
      <c r="D1477" s="1392" t="s">
        <v>323</v>
      </c>
      <c r="E1477" s="4536" t="s">
        <v>1912</v>
      </c>
      <c r="F1477" s="4538"/>
      <c r="G1477" s="1391">
        <v>2317697905</v>
      </c>
    </row>
    <row r="1478" spans="1:7" x14ac:dyDescent="0.25">
      <c r="A1478" s="1392" t="s">
        <v>2576</v>
      </c>
      <c r="B1478" s="1392" t="s">
        <v>1178</v>
      </c>
      <c r="C1478" s="1392" t="s">
        <v>321</v>
      </c>
      <c r="D1478" s="1392" t="s">
        <v>323</v>
      </c>
      <c r="E1478" s="1392" t="s">
        <v>1912</v>
      </c>
      <c r="F1478" s="1392" t="s">
        <v>1916</v>
      </c>
      <c r="G1478" s="1391">
        <v>2317697905</v>
      </c>
    </row>
    <row r="1479" spans="1:7" x14ac:dyDescent="0.25">
      <c r="A1479" s="1392" t="s">
        <v>2576</v>
      </c>
      <c r="B1479" s="1392" t="s">
        <v>1178</v>
      </c>
      <c r="C1479" s="4536" t="s">
        <v>2003</v>
      </c>
      <c r="D1479" s="4537"/>
      <c r="E1479" s="4537"/>
      <c r="F1479" s="4538"/>
      <c r="G1479" s="1391">
        <v>1385015765</v>
      </c>
    </row>
    <row r="1480" spans="1:7" x14ac:dyDescent="0.25">
      <c r="A1480" s="1392" t="s">
        <v>2576</v>
      </c>
      <c r="B1480" s="1392" t="s">
        <v>1178</v>
      </c>
      <c r="C1480" s="1392" t="s">
        <v>2003</v>
      </c>
      <c r="D1480" s="4536" t="s">
        <v>2004</v>
      </c>
      <c r="E1480" s="4537"/>
      <c r="F1480" s="4538"/>
      <c r="G1480" s="1391">
        <v>1385015765</v>
      </c>
    </row>
    <row r="1481" spans="1:7" x14ac:dyDescent="0.25">
      <c r="A1481" s="1392" t="s">
        <v>2576</v>
      </c>
      <c r="B1481" s="1392" t="s">
        <v>1178</v>
      </c>
      <c r="C1481" s="1392" t="s">
        <v>2003</v>
      </c>
      <c r="D1481" s="1392" t="s">
        <v>2004</v>
      </c>
      <c r="E1481" s="4536" t="s">
        <v>1906</v>
      </c>
      <c r="F1481" s="4538"/>
      <c r="G1481" s="1391">
        <v>179970000</v>
      </c>
    </row>
    <row r="1482" spans="1:7" x14ac:dyDescent="0.25">
      <c r="A1482" s="1392" t="s">
        <v>2576</v>
      </c>
      <c r="B1482" s="1392" t="s">
        <v>1178</v>
      </c>
      <c r="C1482" s="1392" t="s">
        <v>2003</v>
      </c>
      <c r="D1482" s="1392" t="s">
        <v>2004</v>
      </c>
      <c r="E1482" s="1392" t="s">
        <v>1906</v>
      </c>
      <c r="F1482" s="1392" t="s">
        <v>1907</v>
      </c>
      <c r="G1482" s="1391">
        <v>179970000</v>
      </c>
    </row>
    <row r="1483" spans="1:7" x14ac:dyDescent="0.25">
      <c r="A1483" s="1392" t="s">
        <v>2576</v>
      </c>
      <c r="B1483" s="1392" t="s">
        <v>1178</v>
      </c>
      <c r="C1483" s="1392" t="s">
        <v>2003</v>
      </c>
      <c r="D1483" s="1392" t="s">
        <v>2004</v>
      </c>
      <c r="E1483" s="4536" t="s">
        <v>1912</v>
      </c>
      <c r="F1483" s="4538"/>
      <c r="G1483" s="1391">
        <v>1197845765</v>
      </c>
    </row>
    <row r="1484" spans="1:7" x14ac:dyDescent="0.25">
      <c r="A1484" s="1392" t="s">
        <v>2576</v>
      </c>
      <c r="B1484" s="1392" t="s">
        <v>1178</v>
      </c>
      <c r="C1484" s="1392" t="s">
        <v>2003</v>
      </c>
      <c r="D1484" s="1392" t="s">
        <v>2004</v>
      </c>
      <c r="E1484" s="1392" t="s">
        <v>1912</v>
      </c>
      <c r="F1484" s="1392" t="s">
        <v>1916</v>
      </c>
      <c r="G1484" s="1391">
        <v>1197845765</v>
      </c>
    </row>
    <row r="1485" spans="1:7" x14ac:dyDescent="0.25">
      <c r="A1485" s="1392" t="s">
        <v>2576</v>
      </c>
      <c r="B1485" s="1392" t="s">
        <v>1178</v>
      </c>
      <c r="C1485" s="1392" t="s">
        <v>2003</v>
      </c>
      <c r="D1485" s="1392" t="s">
        <v>2004</v>
      </c>
      <c r="E1485" s="4536" t="s">
        <v>1983</v>
      </c>
      <c r="F1485" s="4538"/>
      <c r="G1485" s="1391">
        <v>7200000</v>
      </c>
    </row>
    <row r="1486" spans="1:7" x14ac:dyDescent="0.25">
      <c r="A1486" s="1392" t="s">
        <v>2576</v>
      </c>
      <c r="B1486" s="1392" t="s">
        <v>1178</v>
      </c>
      <c r="C1486" s="1392" t="s">
        <v>2003</v>
      </c>
      <c r="D1486" s="1392" t="s">
        <v>2004</v>
      </c>
      <c r="E1486" s="1392" t="s">
        <v>1983</v>
      </c>
      <c r="F1486" s="1392" t="s">
        <v>2240</v>
      </c>
      <c r="G1486" s="1391">
        <v>7200000</v>
      </c>
    </row>
    <row r="1487" spans="1:7" x14ac:dyDescent="0.25">
      <c r="A1487" s="1392" t="s">
        <v>2576</v>
      </c>
      <c r="B1487" s="1392" t="s">
        <v>1178</v>
      </c>
      <c r="C1487" s="4536" t="s">
        <v>1919</v>
      </c>
      <c r="D1487" s="4537"/>
      <c r="E1487" s="4537"/>
      <c r="F1487" s="4538"/>
      <c r="G1487" s="1391">
        <v>2869730622</v>
      </c>
    </row>
    <row r="1488" spans="1:7" x14ac:dyDescent="0.25">
      <c r="A1488" s="1392" t="s">
        <v>2576</v>
      </c>
      <c r="B1488" s="1392" t="s">
        <v>1178</v>
      </c>
      <c r="C1488" s="1392" t="s">
        <v>1919</v>
      </c>
      <c r="D1488" s="4536" t="s">
        <v>2005</v>
      </c>
      <c r="E1488" s="4537"/>
      <c r="F1488" s="4538"/>
      <c r="G1488" s="1391">
        <v>2869730622</v>
      </c>
    </row>
    <row r="1489" spans="1:7" x14ac:dyDescent="0.25">
      <c r="A1489" s="1392" t="s">
        <v>2576</v>
      </c>
      <c r="B1489" s="1392" t="s">
        <v>1178</v>
      </c>
      <c r="C1489" s="1392" t="s">
        <v>1919</v>
      </c>
      <c r="D1489" s="1392" t="s">
        <v>2005</v>
      </c>
      <c r="E1489" s="4536" t="s">
        <v>1896</v>
      </c>
      <c r="F1489" s="4538"/>
      <c r="G1489" s="1391">
        <v>2869730622</v>
      </c>
    </row>
    <row r="1490" spans="1:7" x14ac:dyDescent="0.25">
      <c r="A1490" s="1392" t="s">
        <v>2576</v>
      </c>
      <c r="B1490" s="1392" t="s">
        <v>1178</v>
      </c>
      <c r="C1490" s="1392" t="s">
        <v>1919</v>
      </c>
      <c r="D1490" s="1392" t="s">
        <v>2005</v>
      </c>
      <c r="E1490" s="1392" t="s">
        <v>1896</v>
      </c>
      <c r="F1490" s="1392" t="s">
        <v>2006</v>
      </c>
      <c r="G1490" s="1391">
        <v>2869730622</v>
      </c>
    </row>
    <row r="1491" spans="1:7" x14ac:dyDescent="0.25">
      <c r="A1491" s="1392" t="s">
        <v>2576</v>
      </c>
      <c r="B1491" s="1392" t="s">
        <v>1178</v>
      </c>
      <c r="C1491" s="4536" t="s">
        <v>2000</v>
      </c>
      <c r="D1491" s="4537"/>
      <c r="E1491" s="4537"/>
      <c r="F1491" s="4538"/>
      <c r="G1491" s="1391">
        <v>1457249089</v>
      </c>
    </row>
    <row r="1492" spans="1:7" x14ac:dyDescent="0.25">
      <c r="A1492" s="1392" t="s">
        <v>2576</v>
      </c>
      <c r="B1492" s="1392" t="s">
        <v>1178</v>
      </c>
      <c r="C1492" s="1392" t="s">
        <v>2000</v>
      </c>
      <c r="D1492" s="4536" t="s">
        <v>2008</v>
      </c>
      <c r="E1492" s="4537"/>
      <c r="F1492" s="4538"/>
      <c r="G1492" s="1391">
        <v>550000000</v>
      </c>
    </row>
    <row r="1493" spans="1:7" x14ac:dyDescent="0.25">
      <c r="A1493" s="1392" t="s">
        <v>2576</v>
      </c>
      <c r="B1493" s="1392" t="s">
        <v>1178</v>
      </c>
      <c r="C1493" s="1392" t="s">
        <v>2000</v>
      </c>
      <c r="D1493" s="1392" t="s">
        <v>2008</v>
      </c>
      <c r="E1493" s="4536" t="s">
        <v>1912</v>
      </c>
      <c r="F1493" s="4538"/>
      <c r="G1493" s="1391">
        <v>50000000</v>
      </c>
    </row>
    <row r="1494" spans="1:7" x14ac:dyDescent="0.25">
      <c r="A1494" s="1392" t="s">
        <v>2576</v>
      </c>
      <c r="B1494" s="1392" t="s">
        <v>1178</v>
      </c>
      <c r="C1494" s="1392" t="s">
        <v>2000</v>
      </c>
      <c r="D1494" s="1392" t="s">
        <v>2008</v>
      </c>
      <c r="E1494" s="1392" t="s">
        <v>1912</v>
      </c>
      <c r="F1494" s="1392" t="s">
        <v>1916</v>
      </c>
      <c r="G1494" s="1391">
        <v>50000000</v>
      </c>
    </row>
    <row r="1495" spans="1:7" x14ac:dyDescent="0.25">
      <c r="A1495" s="1392" t="s">
        <v>2576</v>
      </c>
      <c r="B1495" s="1392" t="s">
        <v>1178</v>
      </c>
      <c r="C1495" s="1392" t="s">
        <v>2000</v>
      </c>
      <c r="D1495" s="1392" t="s">
        <v>2008</v>
      </c>
      <c r="E1495" s="4536" t="s">
        <v>2009</v>
      </c>
      <c r="F1495" s="4538"/>
      <c r="G1495" s="1391">
        <v>500000000</v>
      </c>
    </row>
    <row r="1496" spans="1:7" x14ac:dyDescent="0.25">
      <c r="A1496" s="1392" t="s">
        <v>2576</v>
      </c>
      <c r="B1496" s="1392" t="s">
        <v>1178</v>
      </c>
      <c r="C1496" s="1392" t="s">
        <v>2000</v>
      </c>
      <c r="D1496" s="1392" t="s">
        <v>2008</v>
      </c>
      <c r="E1496" s="1392" t="s">
        <v>2009</v>
      </c>
      <c r="F1496" s="1392" t="s">
        <v>2010</v>
      </c>
      <c r="G1496" s="1391">
        <v>500000000</v>
      </c>
    </row>
    <row r="1497" spans="1:7" x14ac:dyDescent="0.25">
      <c r="A1497" s="1392" t="s">
        <v>2576</v>
      </c>
      <c r="B1497" s="1392" t="s">
        <v>1178</v>
      </c>
      <c r="C1497" s="1392" t="s">
        <v>2000</v>
      </c>
      <c r="D1497" s="4536" t="s">
        <v>2001</v>
      </c>
      <c r="E1497" s="4537"/>
      <c r="F1497" s="4538"/>
      <c r="G1497" s="1391">
        <v>907249089</v>
      </c>
    </row>
    <row r="1498" spans="1:7" x14ac:dyDescent="0.25">
      <c r="A1498" s="1392" t="s">
        <v>2576</v>
      </c>
      <c r="B1498" s="1392" t="s">
        <v>1178</v>
      </c>
      <c r="C1498" s="1392" t="s">
        <v>2000</v>
      </c>
      <c r="D1498" s="1392" t="s">
        <v>2001</v>
      </c>
      <c r="E1498" s="4536" t="s">
        <v>1912</v>
      </c>
      <c r="F1498" s="4538"/>
      <c r="G1498" s="1391">
        <v>867649089</v>
      </c>
    </row>
    <row r="1499" spans="1:7" x14ac:dyDescent="0.25">
      <c r="A1499" s="1392" t="s">
        <v>2576</v>
      </c>
      <c r="B1499" s="1392" t="s">
        <v>1178</v>
      </c>
      <c r="C1499" s="1392" t="s">
        <v>2000</v>
      </c>
      <c r="D1499" s="1392" t="s">
        <v>2001</v>
      </c>
      <c r="E1499" s="1392" t="s">
        <v>1912</v>
      </c>
      <c r="F1499" s="1392" t="s">
        <v>1916</v>
      </c>
      <c r="G1499" s="1391">
        <v>867649089</v>
      </c>
    </row>
    <row r="1500" spans="1:7" x14ac:dyDescent="0.25">
      <c r="A1500" s="1392" t="s">
        <v>2576</v>
      </c>
      <c r="B1500" s="1392" t="s">
        <v>1178</v>
      </c>
      <c r="C1500" s="1392" t="s">
        <v>2000</v>
      </c>
      <c r="D1500" s="1392" t="s">
        <v>2001</v>
      </c>
      <c r="E1500" s="4536" t="s">
        <v>1983</v>
      </c>
      <c r="F1500" s="4538"/>
      <c r="G1500" s="1391">
        <v>39600000</v>
      </c>
    </row>
    <row r="1501" spans="1:7" x14ac:dyDescent="0.25">
      <c r="A1501" s="1392" t="s">
        <v>2576</v>
      </c>
      <c r="B1501" s="1392" t="s">
        <v>1178</v>
      </c>
      <c r="C1501" s="1392" t="s">
        <v>2000</v>
      </c>
      <c r="D1501" s="1392" t="s">
        <v>2001</v>
      </c>
      <c r="E1501" s="1392" t="s">
        <v>1983</v>
      </c>
      <c r="F1501" s="1392" t="s">
        <v>2240</v>
      </c>
      <c r="G1501" s="1391">
        <v>39600000</v>
      </c>
    </row>
    <row r="1502" spans="1:7" x14ac:dyDescent="0.25">
      <c r="A1502" s="1392" t="s">
        <v>2576</v>
      </c>
      <c r="B1502" s="1392" t="s">
        <v>1178</v>
      </c>
      <c r="C1502" s="4536" t="s">
        <v>2011</v>
      </c>
      <c r="D1502" s="4537"/>
      <c r="E1502" s="4537"/>
      <c r="F1502" s="4538"/>
      <c r="G1502" s="1391">
        <v>219957015925</v>
      </c>
    </row>
    <row r="1503" spans="1:7" x14ac:dyDescent="0.25">
      <c r="A1503" s="1392" t="s">
        <v>2576</v>
      </c>
      <c r="B1503" s="1392" t="s">
        <v>1178</v>
      </c>
      <c r="C1503" s="1392" t="s">
        <v>2011</v>
      </c>
      <c r="D1503" s="4536" t="s">
        <v>2012</v>
      </c>
      <c r="E1503" s="4537"/>
      <c r="F1503" s="4538"/>
      <c r="G1503" s="1391">
        <v>84216219615</v>
      </c>
    </row>
    <row r="1504" spans="1:7" x14ac:dyDescent="0.25">
      <c r="A1504" s="1392" t="s">
        <v>2576</v>
      </c>
      <c r="B1504" s="1392" t="s">
        <v>1178</v>
      </c>
      <c r="C1504" s="1392" t="s">
        <v>2011</v>
      </c>
      <c r="D1504" s="1392" t="s">
        <v>2012</v>
      </c>
      <c r="E1504" s="4536" t="s">
        <v>2013</v>
      </c>
      <c r="F1504" s="4538"/>
      <c r="G1504" s="1391">
        <v>84216219615</v>
      </c>
    </row>
    <row r="1505" spans="1:7" x14ac:dyDescent="0.25">
      <c r="A1505" s="1392" t="s">
        <v>2576</v>
      </c>
      <c r="B1505" s="1392" t="s">
        <v>1178</v>
      </c>
      <c r="C1505" s="1392" t="s">
        <v>2011</v>
      </c>
      <c r="D1505" s="1392" t="s">
        <v>2012</v>
      </c>
      <c r="E1505" s="1392" t="s">
        <v>2013</v>
      </c>
      <c r="F1505" s="1392" t="s">
        <v>2014</v>
      </c>
      <c r="G1505" s="1391">
        <v>84216219615</v>
      </c>
    </row>
    <row r="1506" spans="1:7" x14ac:dyDescent="0.25">
      <c r="A1506" s="1392" t="s">
        <v>2576</v>
      </c>
      <c r="B1506" s="1392" t="s">
        <v>1178</v>
      </c>
      <c r="C1506" s="1392" t="s">
        <v>2011</v>
      </c>
      <c r="D1506" s="4536" t="s">
        <v>1666</v>
      </c>
      <c r="E1506" s="4537"/>
      <c r="F1506" s="4538"/>
      <c r="G1506" s="1391">
        <v>94169090322</v>
      </c>
    </row>
    <row r="1507" spans="1:7" x14ac:dyDescent="0.25">
      <c r="A1507" s="1392" t="s">
        <v>2576</v>
      </c>
      <c r="B1507" s="1392" t="s">
        <v>1178</v>
      </c>
      <c r="C1507" s="1392" t="s">
        <v>2011</v>
      </c>
      <c r="D1507" s="1392" t="s">
        <v>1666</v>
      </c>
      <c r="E1507" s="4536" t="s">
        <v>2013</v>
      </c>
      <c r="F1507" s="4538"/>
      <c r="G1507" s="1391">
        <v>94169090322</v>
      </c>
    </row>
    <row r="1508" spans="1:7" x14ac:dyDescent="0.25">
      <c r="A1508" s="1392" t="s">
        <v>2576</v>
      </c>
      <c r="B1508" s="1392" t="s">
        <v>1178</v>
      </c>
      <c r="C1508" s="1392" t="s">
        <v>2011</v>
      </c>
      <c r="D1508" s="1392" t="s">
        <v>1666</v>
      </c>
      <c r="E1508" s="1392" t="s">
        <v>2013</v>
      </c>
      <c r="F1508" s="1392" t="s">
        <v>2015</v>
      </c>
      <c r="G1508" s="1391">
        <v>94169090322</v>
      </c>
    </row>
    <row r="1509" spans="1:7" x14ac:dyDescent="0.25">
      <c r="A1509" s="1392" t="s">
        <v>2576</v>
      </c>
      <c r="B1509" s="1392" t="s">
        <v>1178</v>
      </c>
      <c r="C1509" s="1392" t="s">
        <v>2011</v>
      </c>
      <c r="D1509" s="4536" t="s">
        <v>2016</v>
      </c>
      <c r="E1509" s="4537"/>
      <c r="F1509" s="4538"/>
      <c r="G1509" s="1391">
        <v>11822421255</v>
      </c>
    </row>
    <row r="1510" spans="1:7" x14ac:dyDescent="0.25">
      <c r="A1510" s="1392" t="s">
        <v>2576</v>
      </c>
      <c r="B1510" s="1392" t="s">
        <v>1178</v>
      </c>
      <c r="C1510" s="1392" t="s">
        <v>2011</v>
      </c>
      <c r="D1510" s="1392" t="s">
        <v>2016</v>
      </c>
      <c r="E1510" s="4536" t="s">
        <v>2017</v>
      </c>
      <c r="F1510" s="4538"/>
      <c r="G1510" s="1391">
        <v>11822421255</v>
      </c>
    </row>
    <row r="1511" spans="1:7" x14ac:dyDescent="0.25">
      <c r="A1511" s="1392" t="s">
        <v>2576</v>
      </c>
      <c r="B1511" s="1392" t="s">
        <v>1178</v>
      </c>
      <c r="C1511" s="1392" t="s">
        <v>2011</v>
      </c>
      <c r="D1511" s="1392" t="s">
        <v>2016</v>
      </c>
      <c r="E1511" s="1392" t="s">
        <v>2017</v>
      </c>
      <c r="F1511" s="1392" t="s">
        <v>2018</v>
      </c>
      <c r="G1511" s="1391">
        <v>11822421255</v>
      </c>
    </row>
    <row r="1512" spans="1:7" x14ac:dyDescent="0.25">
      <c r="A1512" s="1392" t="s">
        <v>2576</v>
      </c>
      <c r="B1512" s="1392" t="s">
        <v>1178</v>
      </c>
      <c r="C1512" s="1392" t="s">
        <v>2011</v>
      </c>
      <c r="D1512" s="4536" t="s">
        <v>2019</v>
      </c>
      <c r="E1512" s="4537"/>
      <c r="F1512" s="4538"/>
      <c r="G1512" s="1391">
        <v>29749284733</v>
      </c>
    </row>
    <row r="1513" spans="1:7" x14ac:dyDescent="0.25">
      <c r="A1513" s="1392" t="s">
        <v>2576</v>
      </c>
      <c r="B1513" s="1392" t="s">
        <v>1178</v>
      </c>
      <c r="C1513" s="1392" t="s">
        <v>2011</v>
      </c>
      <c r="D1513" s="1392" t="s">
        <v>2019</v>
      </c>
      <c r="E1513" s="4536" t="s">
        <v>2020</v>
      </c>
      <c r="F1513" s="4538"/>
      <c r="G1513" s="1391">
        <v>29749284733</v>
      </c>
    </row>
    <row r="1514" spans="1:7" x14ac:dyDescent="0.25">
      <c r="A1514" s="1392" t="s">
        <v>2576</v>
      </c>
      <c r="B1514" s="1392" t="s">
        <v>1178</v>
      </c>
      <c r="C1514" s="1392" t="s">
        <v>2011</v>
      </c>
      <c r="D1514" s="1392" t="s">
        <v>2019</v>
      </c>
      <c r="E1514" s="1392" t="s">
        <v>2020</v>
      </c>
      <c r="F1514" s="1392" t="s">
        <v>2021</v>
      </c>
      <c r="G1514" s="1391">
        <v>12820854525</v>
      </c>
    </row>
    <row r="1515" spans="1:7" x14ac:dyDescent="0.25">
      <c r="A1515" s="1392" t="s">
        <v>2576</v>
      </c>
      <c r="B1515" s="1392" t="s">
        <v>1178</v>
      </c>
      <c r="C1515" s="1392" t="s">
        <v>2011</v>
      </c>
      <c r="D1515" s="1392" t="s">
        <v>2019</v>
      </c>
      <c r="E1515" s="1392" t="s">
        <v>2020</v>
      </c>
      <c r="F1515" s="1392" t="s">
        <v>2074</v>
      </c>
      <c r="G1515" s="1391">
        <v>2715472793</v>
      </c>
    </row>
    <row r="1516" spans="1:7" x14ac:dyDescent="0.25">
      <c r="A1516" s="1392" t="s">
        <v>2576</v>
      </c>
      <c r="B1516" s="1392" t="s">
        <v>1178</v>
      </c>
      <c r="C1516" s="1392" t="s">
        <v>2011</v>
      </c>
      <c r="D1516" s="1392" t="s">
        <v>2019</v>
      </c>
      <c r="E1516" s="1392" t="s">
        <v>2020</v>
      </c>
      <c r="F1516" s="1392" t="s">
        <v>2022</v>
      </c>
      <c r="G1516" s="1391">
        <v>4038763440</v>
      </c>
    </row>
    <row r="1517" spans="1:7" x14ac:dyDescent="0.25">
      <c r="A1517" s="1392" t="s">
        <v>2576</v>
      </c>
      <c r="B1517" s="1392" t="s">
        <v>1178</v>
      </c>
      <c r="C1517" s="1392" t="s">
        <v>2011</v>
      </c>
      <c r="D1517" s="1392" t="s">
        <v>2019</v>
      </c>
      <c r="E1517" s="1392" t="s">
        <v>2020</v>
      </c>
      <c r="F1517" s="1392" t="s">
        <v>2075</v>
      </c>
      <c r="G1517" s="1391">
        <v>4933873823</v>
      </c>
    </row>
    <row r="1518" spans="1:7" x14ac:dyDescent="0.25">
      <c r="A1518" s="1392" t="s">
        <v>2576</v>
      </c>
      <c r="B1518" s="1392" t="s">
        <v>1178</v>
      </c>
      <c r="C1518" s="1392" t="s">
        <v>2011</v>
      </c>
      <c r="D1518" s="1392" t="s">
        <v>2019</v>
      </c>
      <c r="E1518" s="1392" t="s">
        <v>2020</v>
      </c>
      <c r="F1518" s="1392" t="s">
        <v>2076</v>
      </c>
      <c r="G1518" s="1391">
        <v>5240320152</v>
      </c>
    </row>
    <row r="1519" spans="1:7" x14ac:dyDescent="0.25">
      <c r="A1519" s="1392" t="s">
        <v>2576</v>
      </c>
      <c r="B1519" s="4536" t="s">
        <v>1189</v>
      </c>
      <c r="C1519" s="4537"/>
      <c r="D1519" s="4537"/>
      <c r="E1519" s="4537"/>
      <c r="F1519" s="4538"/>
      <c r="G1519" s="1391">
        <v>66073731947</v>
      </c>
    </row>
    <row r="1520" spans="1:7" x14ac:dyDescent="0.25">
      <c r="A1520" s="1392" t="s">
        <v>2576</v>
      </c>
      <c r="B1520" s="1392" t="s">
        <v>1189</v>
      </c>
      <c r="C1520" s="4536" t="s">
        <v>321</v>
      </c>
      <c r="D1520" s="4537"/>
      <c r="E1520" s="4537"/>
      <c r="F1520" s="4538"/>
      <c r="G1520" s="1391">
        <v>304977128</v>
      </c>
    </row>
    <row r="1521" spans="1:7" x14ac:dyDescent="0.25">
      <c r="A1521" s="1392" t="s">
        <v>2576</v>
      </c>
      <c r="B1521" s="1392" t="s">
        <v>1189</v>
      </c>
      <c r="C1521" s="1392" t="s">
        <v>321</v>
      </c>
      <c r="D1521" s="4536" t="s">
        <v>323</v>
      </c>
      <c r="E1521" s="4537"/>
      <c r="F1521" s="4538"/>
      <c r="G1521" s="1391">
        <v>304977128</v>
      </c>
    </row>
    <row r="1522" spans="1:7" x14ac:dyDescent="0.25">
      <c r="A1522" s="1392" t="s">
        <v>2576</v>
      </c>
      <c r="B1522" s="1392" t="s">
        <v>1189</v>
      </c>
      <c r="C1522" s="1392" t="s">
        <v>321</v>
      </c>
      <c r="D1522" s="1392" t="s">
        <v>323</v>
      </c>
      <c r="E1522" s="4536" t="s">
        <v>1896</v>
      </c>
      <c r="F1522" s="4538"/>
      <c r="G1522" s="1391">
        <v>304977128</v>
      </c>
    </row>
    <row r="1523" spans="1:7" x14ac:dyDescent="0.25">
      <c r="A1523" s="1392" t="s">
        <v>2576</v>
      </c>
      <c r="B1523" s="1392" t="s">
        <v>1189</v>
      </c>
      <c r="C1523" s="1392" t="s">
        <v>321</v>
      </c>
      <c r="D1523" s="1392" t="s">
        <v>323</v>
      </c>
      <c r="E1523" s="1392" t="s">
        <v>1896</v>
      </c>
      <c r="F1523" s="1392" t="s">
        <v>1902</v>
      </c>
      <c r="G1523" s="1391">
        <v>304977128</v>
      </c>
    </row>
    <row r="1524" spans="1:7" x14ac:dyDescent="0.25">
      <c r="A1524" s="1392" t="s">
        <v>2576</v>
      </c>
      <c r="B1524" s="1392" t="s">
        <v>1189</v>
      </c>
      <c r="C1524" s="4536" t="s">
        <v>1933</v>
      </c>
      <c r="D1524" s="4537"/>
      <c r="E1524" s="4537"/>
      <c r="F1524" s="4538"/>
      <c r="G1524" s="1391">
        <v>26352852261</v>
      </c>
    </row>
    <row r="1525" spans="1:7" x14ac:dyDescent="0.25">
      <c r="A1525" s="1392" t="s">
        <v>2576</v>
      </c>
      <c r="B1525" s="1392" t="s">
        <v>1189</v>
      </c>
      <c r="C1525" s="1392" t="s">
        <v>1933</v>
      </c>
      <c r="D1525" s="4536" t="s">
        <v>1934</v>
      </c>
      <c r="E1525" s="4537"/>
      <c r="F1525" s="4538"/>
      <c r="G1525" s="1391">
        <v>11017408156</v>
      </c>
    </row>
    <row r="1526" spans="1:7" x14ac:dyDescent="0.25">
      <c r="A1526" s="1392" t="s">
        <v>2576</v>
      </c>
      <c r="B1526" s="1392" t="s">
        <v>1189</v>
      </c>
      <c r="C1526" s="1392" t="s">
        <v>1933</v>
      </c>
      <c r="D1526" s="1392" t="s">
        <v>1934</v>
      </c>
      <c r="E1526" s="4536" t="s">
        <v>1896</v>
      </c>
      <c r="F1526" s="4538"/>
      <c r="G1526" s="1391">
        <v>3392017000</v>
      </c>
    </row>
    <row r="1527" spans="1:7" x14ac:dyDescent="0.25">
      <c r="A1527" s="1392" t="s">
        <v>2576</v>
      </c>
      <c r="B1527" s="1392" t="s">
        <v>1189</v>
      </c>
      <c r="C1527" s="1392" t="s">
        <v>1933</v>
      </c>
      <c r="D1527" s="1392" t="s">
        <v>1934</v>
      </c>
      <c r="E1527" s="1392" t="s">
        <v>1896</v>
      </c>
      <c r="F1527" s="1392" t="s">
        <v>1902</v>
      </c>
      <c r="G1527" s="1391">
        <v>3392017000</v>
      </c>
    </row>
    <row r="1528" spans="1:7" x14ac:dyDescent="0.25">
      <c r="A1528" s="1392" t="s">
        <v>2576</v>
      </c>
      <c r="B1528" s="1392" t="s">
        <v>1189</v>
      </c>
      <c r="C1528" s="1392" t="s">
        <v>1933</v>
      </c>
      <c r="D1528" s="1392" t="s">
        <v>1934</v>
      </c>
      <c r="E1528" s="4536" t="s">
        <v>2030</v>
      </c>
      <c r="F1528" s="4538"/>
      <c r="G1528" s="1391">
        <v>914000</v>
      </c>
    </row>
    <row r="1529" spans="1:7" x14ac:dyDescent="0.25">
      <c r="A1529" s="1392" t="s">
        <v>2576</v>
      </c>
      <c r="B1529" s="1392" t="s">
        <v>1189</v>
      </c>
      <c r="C1529" s="1392" t="s">
        <v>1933</v>
      </c>
      <c r="D1529" s="1392" t="s">
        <v>1934</v>
      </c>
      <c r="E1529" s="1392" t="s">
        <v>2030</v>
      </c>
      <c r="F1529" s="1392" t="s">
        <v>2031</v>
      </c>
      <c r="G1529" s="1391">
        <v>914000</v>
      </c>
    </row>
    <row r="1530" spans="1:7" x14ac:dyDescent="0.25">
      <c r="A1530" s="1392" t="s">
        <v>2576</v>
      </c>
      <c r="B1530" s="1392" t="s">
        <v>1189</v>
      </c>
      <c r="C1530" s="1392" t="s">
        <v>1933</v>
      </c>
      <c r="D1530" s="1392" t="s">
        <v>1934</v>
      </c>
      <c r="E1530" s="4536" t="s">
        <v>2041</v>
      </c>
      <c r="F1530" s="4538"/>
      <c r="G1530" s="1391">
        <v>9162610</v>
      </c>
    </row>
    <row r="1531" spans="1:7" x14ac:dyDescent="0.25">
      <c r="A1531" s="1392" t="s">
        <v>2576</v>
      </c>
      <c r="B1531" s="1392" t="s">
        <v>1189</v>
      </c>
      <c r="C1531" s="1392" t="s">
        <v>1933</v>
      </c>
      <c r="D1531" s="1392" t="s">
        <v>1934</v>
      </c>
      <c r="E1531" s="1392" t="s">
        <v>2041</v>
      </c>
      <c r="F1531" s="1392" t="s">
        <v>2043</v>
      </c>
      <c r="G1531" s="1391">
        <v>1860000</v>
      </c>
    </row>
    <row r="1532" spans="1:7" x14ac:dyDescent="0.25">
      <c r="A1532" s="1392" t="s">
        <v>2576</v>
      </c>
      <c r="B1532" s="1392" t="s">
        <v>1189</v>
      </c>
      <c r="C1532" s="1392" t="s">
        <v>1933</v>
      </c>
      <c r="D1532" s="1392" t="s">
        <v>1934</v>
      </c>
      <c r="E1532" s="1392" t="s">
        <v>2041</v>
      </c>
      <c r="F1532" s="1392" t="s">
        <v>2247</v>
      </c>
      <c r="G1532" s="1391">
        <v>7302610</v>
      </c>
    </row>
    <row r="1533" spans="1:7" x14ac:dyDescent="0.25">
      <c r="A1533" s="1392" t="s">
        <v>2576</v>
      </c>
      <c r="B1533" s="1392" t="s">
        <v>1189</v>
      </c>
      <c r="C1533" s="1392" t="s">
        <v>1933</v>
      </c>
      <c r="D1533" s="1392" t="s">
        <v>1934</v>
      </c>
      <c r="E1533" s="4536" t="s">
        <v>2024</v>
      </c>
      <c r="F1533" s="4538"/>
      <c r="G1533" s="1391">
        <v>6674498546</v>
      </c>
    </row>
    <row r="1534" spans="1:7" x14ac:dyDescent="0.25">
      <c r="A1534" s="1392" t="s">
        <v>2576</v>
      </c>
      <c r="B1534" s="1392" t="s">
        <v>1189</v>
      </c>
      <c r="C1534" s="1392" t="s">
        <v>1933</v>
      </c>
      <c r="D1534" s="1392" t="s">
        <v>1934</v>
      </c>
      <c r="E1534" s="1392" t="s">
        <v>2024</v>
      </c>
      <c r="F1534" s="1392" t="s">
        <v>2025</v>
      </c>
      <c r="G1534" s="1391">
        <v>6674498546</v>
      </c>
    </row>
    <row r="1535" spans="1:7" x14ac:dyDescent="0.25">
      <c r="A1535" s="1392" t="s">
        <v>2576</v>
      </c>
      <c r="B1535" s="1392" t="s">
        <v>1189</v>
      </c>
      <c r="C1535" s="1392" t="s">
        <v>1933</v>
      </c>
      <c r="D1535" s="1392" t="s">
        <v>1934</v>
      </c>
      <c r="E1535" s="4536" t="s">
        <v>2026</v>
      </c>
      <c r="F1535" s="4538"/>
      <c r="G1535" s="1391">
        <v>940816000</v>
      </c>
    </row>
    <row r="1536" spans="1:7" x14ac:dyDescent="0.25">
      <c r="A1536" s="1392" t="s">
        <v>2576</v>
      </c>
      <c r="B1536" s="1392" t="s">
        <v>1189</v>
      </c>
      <c r="C1536" s="1392" t="s">
        <v>1933</v>
      </c>
      <c r="D1536" s="1392" t="s">
        <v>1934</v>
      </c>
      <c r="E1536" s="1392" t="s">
        <v>2026</v>
      </c>
      <c r="F1536" s="1392" t="s">
        <v>2027</v>
      </c>
      <c r="G1536" s="1391">
        <v>128561000</v>
      </c>
    </row>
    <row r="1537" spans="1:7" x14ac:dyDescent="0.25">
      <c r="A1537" s="1392" t="s">
        <v>2576</v>
      </c>
      <c r="B1537" s="1392" t="s">
        <v>1189</v>
      </c>
      <c r="C1537" s="1392" t="s">
        <v>1933</v>
      </c>
      <c r="D1537" s="1392" t="s">
        <v>1934</v>
      </c>
      <c r="E1537" s="1392" t="s">
        <v>2026</v>
      </c>
      <c r="F1537" s="1392" t="s">
        <v>2028</v>
      </c>
      <c r="G1537" s="1391">
        <v>767169000</v>
      </c>
    </row>
    <row r="1538" spans="1:7" x14ac:dyDescent="0.25">
      <c r="A1538" s="1392" t="s">
        <v>2576</v>
      </c>
      <c r="B1538" s="1392" t="s">
        <v>1189</v>
      </c>
      <c r="C1538" s="1392" t="s">
        <v>1933</v>
      </c>
      <c r="D1538" s="1392" t="s">
        <v>1934</v>
      </c>
      <c r="E1538" s="1392" t="s">
        <v>2026</v>
      </c>
      <c r="F1538" s="1392" t="s">
        <v>2029</v>
      </c>
      <c r="G1538" s="1391">
        <v>45086000</v>
      </c>
    </row>
    <row r="1539" spans="1:7" x14ac:dyDescent="0.25">
      <c r="A1539" s="1392" t="s">
        <v>2576</v>
      </c>
      <c r="B1539" s="1392" t="s">
        <v>1189</v>
      </c>
      <c r="C1539" s="1392" t="s">
        <v>1933</v>
      </c>
      <c r="D1539" s="4536" t="s">
        <v>1952</v>
      </c>
      <c r="E1539" s="4537"/>
      <c r="F1539" s="4538"/>
      <c r="G1539" s="1391">
        <v>853537800</v>
      </c>
    </row>
    <row r="1540" spans="1:7" x14ac:dyDescent="0.25">
      <c r="A1540" s="1392" t="s">
        <v>2576</v>
      </c>
      <c r="B1540" s="1392" t="s">
        <v>1189</v>
      </c>
      <c r="C1540" s="1392" t="s">
        <v>1933</v>
      </c>
      <c r="D1540" s="1392" t="s">
        <v>1952</v>
      </c>
      <c r="E1540" s="4536" t="s">
        <v>1896</v>
      </c>
      <c r="F1540" s="4538"/>
      <c r="G1540" s="1391">
        <v>397781700</v>
      </c>
    </row>
    <row r="1541" spans="1:7" x14ac:dyDescent="0.25">
      <c r="A1541" s="1392" t="s">
        <v>2576</v>
      </c>
      <c r="B1541" s="1392" t="s">
        <v>1189</v>
      </c>
      <c r="C1541" s="1392" t="s">
        <v>1933</v>
      </c>
      <c r="D1541" s="1392" t="s">
        <v>1952</v>
      </c>
      <c r="E1541" s="1392" t="s">
        <v>1896</v>
      </c>
      <c r="F1541" s="1392" t="s">
        <v>1902</v>
      </c>
      <c r="G1541" s="1391">
        <v>397781700</v>
      </c>
    </row>
    <row r="1542" spans="1:7" x14ac:dyDescent="0.25">
      <c r="A1542" s="1392" t="s">
        <v>2576</v>
      </c>
      <c r="B1542" s="1392" t="s">
        <v>1189</v>
      </c>
      <c r="C1542" s="1392" t="s">
        <v>1933</v>
      </c>
      <c r="D1542" s="1392" t="s">
        <v>1952</v>
      </c>
      <c r="E1542" s="4536" t="s">
        <v>2024</v>
      </c>
      <c r="F1542" s="4538"/>
      <c r="G1542" s="1391">
        <v>382696900</v>
      </c>
    </row>
    <row r="1543" spans="1:7" x14ac:dyDescent="0.25">
      <c r="A1543" s="1392" t="s">
        <v>2576</v>
      </c>
      <c r="B1543" s="1392" t="s">
        <v>1189</v>
      </c>
      <c r="C1543" s="1392" t="s">
        <v>1933</v>
      </c>
      <c r="D1543" s="1392" t="s">
        <v>1952</v>
      </c>
      <c r="E1543" s="1392" t="s">
        <v>2024</v>
      </c>
      <c r="F1543" s="1392" t="s">
        <v>2025</v>
      </c>
      <c r="G1543" s="1391">
        <v>382696900</v>
      </c>
    </row>
    <row r="1544" spans="1:7" x14ac:dyDescent="0.25">
      <c r="A1544" s="1392" t="s">
        <v>2576</v>
      </c>
      <c r="B1544" s="1392" t="s">
        <v>1189</v>
      </c>
      <c r="C1544" s="1392" t="s">
        <v>1933</v>
      </c>
      <c r="D1544" s="1392" t="s">
        <v>1952</v>
      </c>
      <c r="E1544" s="4536" t="s">
        <v>2026</v>
      </c>
      <c r="F1544" s="4538"/>
      <c r="G1544" s="1391">
        <v>73059200</v>
      </c>
    </row>
    <row r="1545" spans="1:7" x14ac:dyDescent="0.25">
      <c r="A1545" s="1392" t="s">
        <v>2576</v>
      </c>
      <c r="B1545" s="1392" t="s">
        <v>1189</v>
      </c>
      <c r="C1545" s="1392" t="s">
        <v>1933</v>
      </c>
      <c r="D1545" s="1392" t="s">
        <v>1952</v>
      </c>
      <c r="E1545" s="1392" t="s">
        <v>2026</v>
      </c>
      <c r="F1545" s="1392" t="s">
        <v>2027</v>
      </c>
      <c r="G1545" s="1391">
        <v>6866200</v>
      </c>
    </row>
    <row r="1546" spans="1:7" x14ac:dyDescent="0.25">
      <c r="A1546" s="1392" t="s">
        <v>2576</v>
      </c>
      <c r="B1546" s="1392" t="s">
        <v>1189</v>
      </c>
      <c r="C1546" s="1392" t="s">
        <v>1933</v>
      </c>
      <c r="D1546" s="1392" t="s">
        <v>1952</v>
      </c>
      <c r="E1546" s="1392" t="s">
        <v>2026</v>
      </c>
      <c r="F1546" s="1392" t="s">
        <v>2028</v>
      </c>
      <c r="G1546" s="1391">
        <v>47732700</v>
      </c>
    </row>
    <row r="1547" spans="1:7" x14ac:dyDescent="0.25">
      <c r="A1547" s="1392" t="s">
        <v>2576</v>
      </c>
      <c r="B1547" s="1392" t="s">
        <v>1189</v>
      </c>
      <c r="C1547" s="1392" t="s">
        <v>1933</v>
      </c>
      <c r="D1547" s="1392" t="s">
        <v>1952</v>
      </c>
      <c r="E1547" s="1392" t="s">
        <v>2026</v>
      </c>
      <c r="F1547" s="1392" t="s">
        <v>2029</v>
      </c>
      <c r="G1547" s="1391">
        <v>18460300</v>
      </c>
    </row>
    <row r="1548" spans="1:7" x14ac:dyDescent="0.25">
      <c r="A1548" s="1392" t="s">
        <v>2576</v>
      </c>
      <c r="B1548" s="1392" t="s">
        <v>1189</v>
      </c>
      <c r="C1548" s="1392" t="s">
        <v>1933</v>
      </c>
      <c r="D1548" s="4536" t="s">
        <v>1954</v>
      </c>
      <c r="E1548" s="4537"/>
      <c r="F1548" s="4538"/>
      <c r="G1548" s="1391">
        <v>11975285200</v>
      </c>
    </row>
    <row r="1549" spans="1:7" x14ac:dyDescent="0.25">
      <c r="A1549" s="1392" t="s">
        <v>2576</v>
      </c>
      <c r="B1549" s="1392" t="s">
        <v>1189</v>
      </c>
      <c r="C1549" s="1392" t="s">
        <v>1933</v>
      </c>
      <c r="D1549" s="1392" t="s">
        <v>1954</v>
      </c>
      <c r="E1549" s="4536" t="s">
        <v>2030</v>
      </c>
      <c r="F1549" s="4538"/>
      <c r="G1549" s="1391">
        <v>1484000</v>
      </c>
    </row>
    <row r="1550" spans="1:7" x14ac:dyDescent="0.25">
      <c r="A1550" s="1392" t="s">
        <v>2576</v>
      </c>
      <c r="B1550" s="1392" t="s">
        <v>1189</v>
      </c>
      <c r="C1550" s="1392" t="s">
        <v>1933</v>
      </c>
      <c r="D1550" s="1392" t="s">
        <v>1954</v>
      </c>
      <c r="E1550" s="1392" t="s">
        <v>2030</v>
      </c>
      <c r="F1550" s="1392" t="s">
        <v>2031</v>
      </c>
      <c r="G1550" s="1391">
        <v>1484000</v>
      </c>
    </row>
    <row r="1551" spans="1:7" x14ac:dyDescent="0.25">
      <c r="A1551" s="1392" t="s">
        <v>2576</v>
      </c>
      <c r="B1551" s="1392" t="s">
        <v>1189</v>
      </c>
      <c r="C1551" s="1392" t="s">
        <v>1933</v>
      </c>
      <c r="D1551" s="1392" t="s">
        <v>1954</v>
      </c>
      <c r="E1551" s="4536" t="s">
        <v>2024</v>
      </c>
      <c r="F1551" s="4538"/>
      <c r="G1551" s="1391">
        <v>11060606000</v>
      </c>
    </row>
    <row r="1552" spans="1:7" x14ac:dyDescent="0.25">
      <c r="A1552" s="1392" t="s">
        <v>2576</v>
      </c>
      <c r="B1552" s="1392" t="s">
        <v>1189</v>
      </c>
      <c r="C1552" s="1392" t="s">
        <v>1933</v>
      </c>
      <c r="D1552" s="1392" t="s">
        <v>1954</v>
      </c>
      <c r="E1552" s="1392" t="s">
        <v>2024</v>
      </c>
      <c r="F1552" s="1392" t="s">
        <v>2025</v>
      </c>
      <c r="G1552" s="1391">
        <v>11060606000</v>
      </c>
    </row>
    <row r="1553" spans="1:7" x14ac:dyDescent="0.25">
      <c r="A1553" s="1392" t="s">
        <v>2576</v>
      </c>
      <c r="B1553" s="1392" t="s">
        <v>1189</v>
      </c>
      <c r="C1553" s="1392" t="s">
        <v>1933</v>
      </c>
      <c r="D1553" s="1392" t="s">
        <v>1954</v>
      </c>
      <c r="E1553" s="4536" t="s">
        <v>2046</v>
      </c>
      <c r="F1553" s="4538"/>
      <c r="G1553" s="1391">
        <v>11112000</v>
      </c>
    </row>
    <row r="1554" spans="1:7" x14ac:dyDescent="0.25">
      <c r="A1554" s="1392" t="s">
        <v>2576</v>
      </c>
      <c r="B1554" s="1392" t="s">
        <v>1189</v>
      </c>
      <c r="C1554" s="1392" t="s">
        <v>1933</v>
      </c>
      <c r="D1554" s="1392" t="s">
        <v>1954</v>
      </c>
      <c r="E1554" s="1392" t="s">
        <v>2046</v>
      </c>
      <c r="F1554" s="1392" t="s">
        <v>2047</v>
      </c>
      <c r="G1554" s="1391">
        <v>11112000</v>
      </c>
    </row>
    <row r="1555" spans="1:7" x14ac:dyDescent="0.25">
      <c r="A1555" s="1392" t="s">
        <v>2576</v>
      </c>
      <c r="B1555" s="1392" t="s">
        <v>1189</v>
      </c>
      <c r="C1555" s="1392" t="s">
        <v>1933</v>
      </c>
      <c r="D1555" s="1392" t="s">
        <v>1954</v>
      </c>
      <c r="E1555" s="4536" t="s">
        <v>2026</v>
      </c>
      <c r="F1555" s="4538"/>
      <c r="G1555" s="1391">
        <v>902083200</v>
      </c>
    </row>
    <row r="1556" spans="1:7" x14ac:dyDescent="0.25">
      <c r="A1556" s="1392" t="s">
        <v>2576</v>
      </c>
      <c r="B1556" s="1392" t="s">
        <v>1189</v>
      </c>
      <c r="C1556" s="1392" t="s">
        <v>1933</v>
      </c>
      <c r="D1556" s="1392" t="s">
        <v>1954</v>
      </c>
      <c r="E1556" s="1392" t="s">
        <v>2026</v>
      </c>
      <c r="F1556" s="1392" t="s">
        <v>2027</v>
      </c>
      <c r="G1556" s="1391">
        <v>311126600</v>
      </c>
    </row>
    <row r="1557" spans="1:7" x14ac:dyDescent="0.25">
      <c r="A1557" s="1392" t="s">
        <v>2576</v>
      </c>
      <c r="B1557" s="1392" t="s">
        <v>1189</v>
      </c>
      <c r="C1557" s="1392" t="s">
        <v>1933</v>
      </c>
      <c r="D1557" s="1392" t="s">
        <v>1954</v>
      </c>
      <c r="E1557" s="1392" t="s">
        <v>2026</v>
      </c>
      <c r="F1557" s="1392" t="s">
        <v>2028</v>
      </c>
      <c r="G1557" s="1391">
        <v>575636200</v>
      </c>
    </row>
    <row r="1558" spans="1:7" x14ac:dyDescent="0.25">
      <c r="A1558" s="1392" t="s">
        <v>2576</v>
      </c>
      <c r="B1558" s="1392" t="s">
        <v>1189</v>
      </c>
      <c r="C1558" s="1392" t="s">
        <v>1933</v>
      </c>
      <c r="D1558" s="1392" t="s">
        <v>1954</v>
      </c>
      <c r="E1558" s="1392" t="s">
        <v>2026</v>
      </c>
      <c r="F1558" s="1392" t="s">
        <v>2029</v>
      </c>
      <c r="G1558" s="1391">
        <v>15320400</v>
      </c>
    </row>
    <row r="1559" spans="1:7" x14ac:dyDescent="0.25">
      <c r="A1559" s="1392" t="s">
        <v>2576</v>
      </c>
      <c r="B1559" s="1392" t="s">
        <v>1189</v>
      </c>
      <c r="C1559" s="1392" t="s">
        <v>1933</v>
      </c>
      <c r="D1559" s="4536" t="s">
        <v>2032</v>
      </c>
      <c r="E1559" s="4537"/>
      <c r="F1559" s="4538"/>
      <c r="G1559" s="1391">
        <v>1639381150</v>
      </c>
    </row>
    <row r="1560" spans="1:7" x14ac:dyDescent="0.25">
      <c r="A1560" s="1392" t="s">
        <v>2576</v>
      </c>
      <c r="B1560" s="1392" t="s">
        <v>1189</v>
      </c>
      <c r="C1560" s="1392" t="s">
        <v>1933</v>
      </c>
      <c r="D1560" s="1392" t="s">
        <v>2032</v>
      </c>
      <c r="E1560" s="4536" t="s">
        <v>1848</v>
      </c>
      <c r="F1560" s="4538"/>
      <c r="G1560" s="1391">
        <v>669023039</v>
      </c>
    </row>
    <row r="1561" spans="1:7" x14ac:dyDescent="0.25">
      <c r="A1561" s="1392" t="s">
        <v>2576</v>
      </c>
      <c r="B1561" s="1392" t="s">
        <v>1189</v>
      </c>
      <c r="C1561" s="1392" t="s">
        <v>1933</v>
      </c>
      <c r="D1561" s="1392" t="s">
        <v>2032</v>
      </c>
      <c r="E1561" s="1392" t="s">
        <v>1848</v>
      </c>
      <c r="F1561" s="1392" t="s">
        <v>1849</v>
      </c>
      <c r="G1561" s="1391">
        <v>669023039</v>
      </c>
    </row>
    <row r="1562" spans="1:7" x14ac:dyDescent="0.25">
      <c r="A1562" s="1392" t="s">
        <v>2576</v>
      </c>
      <c r="B1562" s="1392" t="s">
        <v>1189</v>
      </c>
      <c r="C1562" s="1392" t="s">
        <v>1933</v>
      </c>
      <c r="D1562" s="1392" t="s">
        <v>2032</v>
      </c>
      <c r="E1562" s="4536" t="s">
        <v>1851</v>
      </c>
      <c r="F1562" s="4538"/>
      <c r="G1562" s="1391">
        <v>66480000</v>
      </c>
    </row>
    <row r="1563" spans="1:7" x14ac:dyDescent="0.25">
      <c r="A1563" s="1392" t="s">
        <v>2576</v>
      </c>
      <c r="B1563" s="1392" t="s">
        <v>1189</v>
      </c>
      <c r="C1563" s="1392" t="s">
        <v>1933</v>
      </c>
      <c r="D1563" s="1392" t="s">
        <v>2032</v>
      </c>
      <c r="E1563" s="1392" t="s">
        <v>1851</v>
      </c>
      <c r="F1563" s="1392" t="s">
        <v>1852</v>
      </c>
      <c r="G1563" s="1391">
        <v>40800000</v>
      </c>
    </row>
    <row r="1564" spans="1:7" x14ac:dyDescent="0.25">
      <c r="A1564" s="1392" t="s">
        <v>2576</v>
      </c>
      <c r="B1564" s="1392" t="s">
        <v>1189</v>
      </c>
      <c r="C1564" s="1392" t="s">
        <v>1933</v>
      </c>
      <c r="D1564" s="1392" t="s">
        <v>2032</v>
      </c>
      <c r="E1564" s="1392" t="s">
        <v>1851</v>
      </c>
      <c r="F1564" s="1392" t="s">
        <v>2065</v>
      </c>
      <c r="G1564" s="1391">
        <v>25680000</v>
      </c>
    </row>
    <row r="1565" spans="1:7" x14ac:dyDescent="0.25">
      <c r="A1565" s="1392" t="s">
        <v>2576</v>
      </c>
      <c r="B1565" s="1392" t="s">
        <v>1189</v>
      </c>
      <c r="C1565" s="1392" t="s">
        <v>1933</v>
      </c>
      <c r="D1565" s="1392" t="s">
        <v>2032</v>
      </c>
      <c r="E1565" s="4536" t="s">
        <v>1853</v>
      </c>
      <c r="F1565" s="4538"/>
      <c r="G1565" s="1391">
        <v>451347329</v>
      </c>
    </row>
    <row r="1566" spans="1:7" x14ac:dyDescent="0.25">
      <c r="A1566" s="1392" t="s">
        <v>2576</v>
      </c>
      <c r="B1566" s="1392" t="s">
        <v>1189</v>
      </c>
      <c r="C1566" s="1392" t="s">
        <v>1933</v>
      </c>
      <c r="D1566" s="1392" t="s">
        <v>2032</v>
      </c>
      <c r="E1566" s="1392" t="s">
        <v>1853</v>
      </c>
      <c r="F1566" s="1392" t="s">
        <v>1854</v>
      </c>
      <c r="G1566" s="1391">
        <v>24077690</v>
      </c>
    </row>
    <row r="1567" spans="1:7" x14ac:dyDescent="0.25">
      <c r="A1567" s="1392" t="s">
        <v>2576</v>
      </c>
      <c r="B1567" s="1392" t="s">
        <v>1189</v>
      </c>
      <c r="C1567" s="1392" t="s">
        <v>1933</v>
      </c>
      <c r="D1567" s="1392" t="s">
        <v>2032</v>
      </c>
      <c r="E1567" s="1392" t="s">
        <v>1853</v>
      </c>
      <c r="F1567" s="1392" t="s">
        <v>1855</v>
      </c>
      <c r="G1567" s="1391">
        <v>99830000</v>
      </c>
    </row>
    <row r="1568" spans="1:7" x14ac:dyDescent="0.25">
      <c r="A1568" s="1392" t="s">
        <v>2576</v>
      </c>
      <c r="B1568" s="1392" t="s">
        <v>1189</v>
      </c>
      <c r="C1568" s="1392" t="s">
        <v>1933</v>
      </c>
      <c r="D1568" s="1392" t="s">
        <v>2032</v>
      </c>
      <c r="E1568" s="1392" t="s">
        <v>1853</v>
      </c>
      <c r="F1568" s="1392" t="s">
        <v>1856</v>
      </c>
      <c r="G1568" s="1391">
        <v>45298800</v>
      </c>
    </row>
    <row r="1569" spans="1:7" x14ac:dyDescent="0.25">
      <c r="A1569" s="1392" t="s">
        <v>2576</v>
      </c>
      <c r="B1569" s="1392" t="s">
        <v>1189</v>
      </c>
      <c r="C1569" s="1392" t="s">
        <v>1933</v>
      </c>
      <c r="D1569" s="1392" t="s">
        <v>2032</v>
      </c>
      <c r="E1569" s="1392" t="s">
        <v>1853</v>
      </c>
      <c r="F1569" s="1392" t="s">
        <v>1937</v>
      </c>
      <c r="G1569" s="1391">
        <v>205717670</v>
      </c>
    </row>
    <row r="1570" spans="1:7" x14ac:dyDescent="0.25">
      <c r="A1570" s="1392" t="s">
        <v>2576</v>
      </c>
      <c r="B1570" s="1392" t="s">
        <v>1189</v>
      </c>
      <c r="C1570" s="1392" t="s">
        <v>1933</v>
      </c>
      <c r="D1570" s="1392" t="s">
        <v>2032</v>
      </c>
      <c r="E1570" s="1392" t="s">
        <v>1853</v>
      </c>
      <c r="F1570" s="1392" t="s">
        <v>1858</v>
      </c>
      <c r="G1570" s="1391">
        <v>9089000</v>
      </c>
    </row>
    <row r="1571" spans="1:7" x14ac:dyDescent="0.25">
      <c r="A1571" s="1392" t="s">
        <v>2576</v>
      </c>
      <c r="B1571" s="1392" t="s">
        <v>1189</v>
      </c>
      <c r="C1571" s="1392" t="s">
        <v>1933</v>
      </c>
      <c r="D1571" s="1392" t="s">
        <v>2032</v>
      </c>
      <c r="E1571" s="1392" t="s">
        <v>1853</v>
      </c>
      <c r="F1571" s="1392" t="s">
        <v>1929</v>
      </c>
      <c r="G1571" s="1391">
        <v>67334169</v>
      </c>
    </row>
    <row r="1572" spans="1:7" x14ac:dyDescent="0.25">
      <c r="A1572" s="1392" t="s">
        <v>2576</v>
      </c>
      <c r="B1572" s="1392" t="s">
        <v>1189</v>
      </c>
      <c r="C1572" s="1392" t="s">
        <v>1933</v>
      </c>
      <c r="D1572" s="1392" t="s">
        <v>2032</v>
      </c>
      <c r="E1572" s="4536" t="s">
        <v>1940</v>
      </c>
      <c r="F1572" s="4538"/>
      <c r="G1572" s="1391">
        <v>14800000</v>
      </c>
    </row>
    <row r="1573" spans="1:7" x14ac:dyDescent="0.25">
      <c r="A1573" s="1392" t="s">
        <v>2576</v>
      </c>
      <c r="B1573" s="1392" t="s">
        <v>1189</v>
      </c>
      <c r="C1573" s="1392" t="s">
        <v>1933</v>
      </c>
      <c r="D1573" s="1392" t="s">
        <v>2032</v>
      </c>
      <c r="E1573" s="1392" t="s">
        <v>1940</v>
      </c>
      <c r="F1573" s="1392" t="s">
        <v>1942</v>
      </c>
      <c r="G1573" s="1391">
        <v>14800000</v>
      </c>
    </row>
    <row r="1574" spans="1:7" x14ac:dyDescent="0.25">
      <c r="A1574" s="1392" t="s">
        <v>2576</v>
      </c>
      <c r="B1574" s="1392" t="s">
        <v>1189</v>
      </c>
      <c r="C1574" s="1392" t="s">
        <v>1933</v>
      </c>
      <c r="D1574" s="1392" t="s">
        <v>2032</v>
      </c>
      <c r="E1574" s="4536" t="s">
        <v>1860</v>
      </c>
      <c r="F1574" s="4538"/>
      <c r="G1574" s="1391">
        <v>7750000</v>
      </c>
    </row>
    <row r="1575" spans="1:7" x14ac:dyDescent="0.25">
      <c r="A1575" s="1392" t="s">
        <v>2576</v>
      </c>
      <c r="B1575" s="1392" t="s">
        <v>1189</v>
      </c>
      <c r="C1575" s="1392" t="s">
        <v>1933</v>
      </c>
      <c r="D1575" s="1392" t="s">
        <v>2032</v>
      </c>
      <c r="E1575" s="1392" t="s">
        <v>1860</v>
      </c>
      <c r="F1575" s="1392" t="s">
        <v>1861</v>
      </c>
      <c r="G1575" s="1391">
        <v>7750000</v>
      </c>
    </row>
    <row r="1576" spans="1:7" x14ac:dyDescent="0.25">
      <c r="A1576" s="1392" t="s">
        <v>2576</v>
      </c>
      <c r="B1576" s="1392" t="s">
        <v>1189</v>
      </c>
      <c r="C1576" s="1392" t="s">
        <v>1933</v>
      </c>
      <c r="D1576" s="1392" t="s">
        <v>2032</v>
      </c>
      <c r="E1576" s="4536" t="s">
        <v>1862</v>
      </c>
      <c r="F1576" s="4538"/>
      <c r="G1576" s="1391">
        <v>185927371</v>
      </c>
    </row>
    <row r="1577" spans="1:7" x14ac:dyDescent="0.25">
      <c r="A1577" s="1392" t="s">
        <v>2576</v>
      </c>
      <c r="B1577" s="1392" t="s">
        <v>1189</v>
      </c>
      <c r="C1577" s="1392" t="s">
        <v>1933</v>
      </c>
      <c r="D1577" s="1392" t="s">
        <v>2032</v>
      </c>
      <c r="E1577" s="1392" t="s">
        <v>1862</v>
      </c>
      <c r="F1577" s="1392" t="s">
        <v>1863</v>
      </c>
      <c r="G1577" s="1391">
        <v>139741567</v>
      </c>
    </row>
    <row r="1578" spans="1:7" x14ac:dyDescent="0.25">
      <c r="A1578" s="1392" t="s">
        <v>2576</v>
      </c>
      <c r="B1578" s="1392" t="s">
        <v>1189</v>
      </c>
      <c r="C1578" s="1392" t="s">
        <v>1933</v>
      </c>
      <c r="D1578" s="1392" t="s">
        <v>2032</v>
      </c>
      <c r="E1578" s="1392" t="s">
        <v>1862</v>
      </c>
      <c r="F1578" s="1392" t="s">
        <v>1864</v>
      </c>
      <c r="G1578" s="1391">
        <v>23955804</v>
      </c>
    </row>
    <row r="1579" spans="1:7" x14ac:dyDescent="0.25">
      <c r="A1579" s="1392" t="s">
        <v>2576</v>
      </c>
      <c r="B1579" s="1392" t="s">
        <v>1189</v>
      </c>
      <c r="C1579" s="1392" t="s">
        <v>1933</v>
      </c>
      <c r="D1579" s="1392" t="s">
        <v>2032</v>
      </c>
      <c r="E1579" s="1392" t="s">
        <v>1862</v>
      </c>
      <c r="F1579" s="1392" t="s">
        <v>1865</v>
      </c>
      <c r="G1579" s="1391">
        <v>15190343</v>
      </c>
    </row>
    <row r="1580" spans="1:7" x14ac:dyDescent="0.25">
      <c r="A1580" s="1392" t="s">
        <v>2576</v>
      </c>
      <c r="B1580" s="1392" t="s">
        <v>1189</v>
      </c>
      <c r="C1580" s="1392" t="s">
        <v>1933</v>
      </c>
      <c r="D1580" s="1392" t="s">
        <v>2032</v>
      </c>
      <c r="E1580" s="1392" t="s">
        <v>1862</v>
      </c>
      <c r="F1580" s="1392" t="s">
        <v>1866</v>
      </c>
      <c r="G1580" s="1391">
        <v>7039657</v>
      </c>
    </row>
    <row r="1581" spans="1:7" x14ac:dyDescent="0.25">
      <c r="A1581" s="1392" t="s">
        <v>2576</v>
      </c>
      <c r="B1581" s="1392" t="s">
        <v>1189</v>
      </c>
      <c r="C1581" s="1392" t="s">
        <v>1933</v>
      </c>
      <c r="D1581" s="1392" t="s">
        <v>2032</v>
      </c>
      <c r="E1581" s="4536" t="s">
        <v>1869</v>
      </c>
      <c r="F1581" s="4538"/>
      <c r="G1581" s="1391">
        <v>37338408</v>
      </c>
    </row>
    <row r="1582" spans="1:7" x14ac:dyDescent="0.25">
      <c r="A1582" s="1392" t="s">
        <v>2576</v>
      </c>
      <c r="B1582" s="1392" t="s">
        <v>1189</v>
      </c>
      <c r="C1582" s="1392" t="s">
        <v>1933</v>
      </c>
      <c r="D1582" s="1392" t="s">
        <v>2032</v>
      </c>
      <c r="E1582" s="1392" t="s">
        <v>1869</v>
      </c>
      <c r="F1582" s="1392" t="s">
        <v>1870</v>
      </c>
      <c r="G1582" s="1391">
        <v>20143316</v>
      </c>
    </row>
    <row r="1583" spans="1:7" x14ac:dyDescent="0.25">
      <c r="A1583" s="1392" t="s">
        <v>2576</v>
      </c>
      <c r="B1583" s="1392" t="s">
        <v>1189</v>
      </c>
      <c r="C1583" s="1392" t="s">
        <v>1933</v>
      </c>
      <c r="D1583" s="1392" t="s">
        <v>2032</v>
      </c>
      <c r="E1583" s="1392" t="s">
        <v>1869</v>
      </c>
      <c r="F1583" s="1392" t="s">
        <v>1871</v>
      </c>
      <c r="G1583" s="1391">
        <v>17195092</v>
      </c>
    </row>
    <row r="1584" spans="1:7" x14ac:dyDescent="0.25">
      <c r="A1584" s="1392" t="s">
        <v>2576</v>
      </c>
      <c r="B1584" s="1392" t="s">
        <v>1189</v>
      </c>
      <c r="C1584" s="1392" t="s">
        <v>1933</v>
      </c>
      <c r="D1584" s="1392" t="s">
        <v>2032</v>
      </c>
      <c r="E1584" s="4536" t="s">
        <v>1874</v>
      </c>
      <c r="F1584" s="4538"/>
      <c r="G1584" s="1391">
        <v>10788803</v>
      </c>
    </row>
    <row r="1585" spans="1:7" x14ac:dyDescent="0.25">
      <c r="A1585" s="1392" t="s">
        <v>2576</v>
      </c>
      <c r="B1585" s="1392" t="s">
        <v>1189</v>
      </c>
      <c r="C1585" s="1392" t="s">
        <v>1933</v>
      </c>
      <c r="D1585" s="1392" t="s">
        <v>2032</v>
      </c>
      <c r="E1585" s="1392" t="s">
        <v>1874</v>
      </c>
      <c r="F1585" s="1392" t="s">
        <v>1875</v>
      </c>
      <c r="G1585" s="1391">
        <v>3574803</v>
      </c>
    </row>
    <row r="1586" spans="1:7" x14ac:dyDescent="0.25">
      <c r="A1586" s="1392" t="s">
        <v>2576</v>
      </c>
      <c r="B1586" s="1392" t="s">
        <v>1189</v>
      </c>
      <c r="C1586" s="1392" t="s">
        <v>1933</v>
      </c>
      <c r="D1586" s="1392" t="s">
        <v>2032</v>
      </c>
      <c r="E1586" s="1392" t="s">
        <v>1874</v>
      </c>
      <c r="F1586" s="1392" t="s">
        <v>1876</v>
      </c>
      <c r="G1586" s="1391">
        <v>2000000</v>
      </c>
    </row>
    <row r="1587" spans="1:7" x14ac:dyDescent="0.25">
      <c r="A1587" s="1392" t="s">
        <v>2576</v>
      </c>
      <c r="B1587" s="1392" t="s">
        <v>1189</v>
      </c>
      <c r="C1587" s="1392" t="s">
        <v>1933</v>
      </c>
      <c r="D1587" s="1392" t="s">
        <v>2032</v>
      </c>
      <c r="E1587" s="1392" t="s">
        <v>1874</v>
      </c>
      <c r="F1587" s="1392" t="s">
        <v>2062</v>
      </c>
      <c r="G1587" s="1391">
        <v>4500000</v>
      </c>
    </row>
    <row r="1588" spans="1:7" x14ac:dyDescent="0.25">
      <c r="A1588" s="1392" t="s">
        <v>2576</v>
      </c>
      <c r="B1588" s="1392" t="s">
        <v>1189</v>
      </c>
      <c r="C1588" s="1392" t="s">
        <v>1933</v>
      </c>
      <c r="D1588" s="1392" t="s">
        <v>2032</v>
      </c>
      <c r="E1588" s="1392" t="s">
        <v>1874</v>
      </c>
      <c r="F1588" s="1392" t="s">
        <v>1877</v>
      </c>
      <c r="G1588" s="1391">
        <v>714000</v>
      </c>
    </row>
    <row r="1589" spans="1:7" x14ac:dyDescent="0.25">
      <c r="A1589" s="1392" t="s">
        <v>2576</v>
      </c>
      <c r="B1589" s="1392" t="s">
        <v>1189</v>
      </c>
      <c r="C1589" s="1392" t="s">
        <v>1933</v>
      </c>
      <c r="D1589" s="1392" t="s">
        <v>2032</v>
      </c>
      <c r="E1589" s="4536" t="s">
        <v>1878</v>
      </c>
      <c r="F1589" s="4538"/>
      <c r="G1589" s="1391">
        <v>232100</v>
      </c>
    </row>
    <row r="1590" spans="1:7" x14ac:dyDescent="0.25">
      <c r="A1590" s="1392" t="s">
        <v>2576</v>
      </c>
      <c r="B1590" s="1392" t="s">
        <v>1189</v>
      </c>
      <c r="C1590" s="1392" t="s">
        <v>1933</v>
      </c>
      <c r="D1590" s="1392" t="s">
        <v>2032</v>
      </c>
      <c r="E1590" s="1392" t="s">
        <v>1878</v>
      </c>
      <c r="F1590" s="1392" t="s">
        <v>1879</v>
      </c>
      <c r="G1590" s="1391">
        <v>232100</v>
      </c>
    </row>
    <row r="1591" spans="1:7" x14ac:dyDescent="0.25">
      <c r="A1591" s="1392" t="s">
        <v>2576</v>
      </c>
      <c r="B1591" s="1392" t="s">
        <v>1189</v>
      </c>
      <c r="C1591" s="1392" t="s">
        <v>1933</v>
      </c>
      <c r="D1591" s="1392" t="s">
        <v>2032</v>
      </c>
      <c r="E1591" s="4536" t="s">
        <v>1889</v>
      </c>
      <c r="F1591" s="4538"/>
      <c r="G1591" s="1391">
        <v>65422100</v>
      </c>
    </row>
    <row r="1592" spans="1:7" x14ac:dyDescent="0.25">
      <c r="A1592" s="1392" t="s">
        <v>2576</v>
      </c>
      <c r="B1592" s="1392" t="s">
        <v>1189</v>
      </c>
      <c r="C1592" s="1392" t="s">
        <v>1933</v>
      </c>
      <c r="D1592" s="1392" t="s">
        <v>2032</v>
      </c>
      <c r="E1592" s="1392" t="s">
        <v>1889</v>
      </c>
      <c r="F1592" s="1392" t="s">
        <v>1921</v>
      </c>
      <c r="G1592" s="1391">
        <v>1894100</v>
      </c>
    </row>
    <row r="1593" spans="1:7" x14ac:dyDescent="0.25">
      <c r="A1593" s="1392" t="s">
        <v>2576</v>
      </c>
      <c r="B1593" s="1392" t="s">
        <v>1189</v>
      </c>
      <c r="C1593" s="1392" t="s">
        <v>1933</v>
      </c>
      <c r="D1593" s="1392" t="s">
        <v>2032</v>
      </c>
      <c r="E1593" s="1392" t="s">
        <v>1889</v>
      </c>
      <c r="F1593" s="1392" t="s">
        <v>1890</v>
      </c>
      <c r="G1593" s="1391">
        <v>23250000</v>
      </c>
    </row>
    <row r="1594" spans="1:7" x14ac:dyDescent="0.25">
      <c r="A1594" s="1392" t="s">
        <v>2576</v>
      </c>
      <c r="B1594" s="1392" t="s">
        <v>1189</v>
      </c>
      <c r="C1594" s="1392" t="s">
        <v>1933</v>
      </c>
      <c r="D1594" s="1392" t="s">
        <v>2032</v>
      </c>
      <c r="E1594" s="1392" t="s">
        <v>1889</v>
      </c>
      <c r="F1594" s="1392" t="s">
        <v>1891</v>
      </c>
      <c r="G1594" s="1391">
        <v>29400000</v>
      </c>
    </row>
    <row r="1595" spans="1:7" x14ac:dyDescent="0.25">
      <c r="A1595" s="1392" t="s">
        <v>2576</v>
      </c>
      <c r="B1595" s="1392" t="s">
        <v>1189</v>
      </c>
      <c r="C1595" s="1392" t="s">
        <v>1933</v>
      </c>
      <c r="D1595" s="1392" t="s">
        <v>2032</v>
      </c>
      <c r="E1595" s="1392" t="s">
        <v>1889</v>
      </c>
      <c r="F1595" s="1392" t="s">
        <v>1892</v>
      </c>
      <c r="G1595" s="1391">
        <v>4800000</v>
      </c>
    </row>
    <row r="1596" spans="1:7" x14ac:dyDescent="0.25">
      <c r="A1596" s="1392" t="s">
        <v>2576</v>
      </c>
      <c r="B1596" s="1392" t="s">
        <v>1189</v>
      </c>
      <c r="C1596" s="1392" t="s">
        <v>1933</v>
      </c>
      <c r="D1596" s="1392" t="s">
        <v>2032</v>
      </c>
      <c r="E1596" s="1392" t="s">
        <v>1889</v>
      </c>
      <c r="F1596" s="1392" t="s">
        <v>1922</v>
      </c>
      <c r="G1596" s="1391">
        <v>6078000</v>
      </c>
    </row>
    <row r="1597" spans="1:7" x14ac:dyDescent="0.25">
      <c r="A1597" s="1392" t="s">
        <v>2576</v>
      </c>
      <c r="B1597" s="1392" t="s">
        <v>1189</v>
      </c>
      <c r="C1597" s="1392" t="s">
        <v>1933</v>
      </c>
      <c r="D1597" s="1392" t="s">
        <v>2032</v>
      </c>
      <c r="E1597" s="4536" t="s">
        <v>1896</v>
      </c>
      <c r="F1597" s="4538"/>
      <c r="G1597" s="1391">
        <v>114825000</v>
      </c>
    </row>
    <row r="1598" spans="1:7" x14ac:dyDescent="0.25">
      <c r="A1598" s="1392" t="s">
        <v>2576</v>
      </c>
      <c r="B1598" s="1392" t="s">
        <v>1189</v>
      </c>
      <c r="C1598" s="1392" t="s">
        <v>1933</v>
      </c>
      <c r="D1598" s="1392" t="s">
        <v>2032</v>
      </c>
      <c r="E1598" s="1392" t="s">
        <v>1896</v>
      </c>
      <c r="F1598" s="1392" t="s">
        <v>1899</v>
      </c>
      <c r="G1598" s="1391">
        <v>80000000</v>
      </c>
    </row>
    <row r="1599" spans="1:7" x14ac:dyDescent="0.25">
      <c r="A1599" s="1392" t="s">
        <v>2576</v>
      </c>
      <c r="B1599" s="1392" t="s">
        <v>1189</v>
      </c>
      <c r="C1599" s="1392" t="s">
        <v>1933</v>
      </c>
      <c r="D1599" s="1392" t="s">
        <v>2032</v>
      </c>
      <c r="E1599" s="1392" t="s">
        <v>1896</v>
      </c>
      <c r="F1599" s="1392" t="s">
        <v>1900</v>
      </c>
      <c r="G1599" s="1391">
        <v>9330000</v>
      </c>
    </row>
    <row r="1600" spans="1:7" x14ac:dyDescent="0.25">
      <c r="A1600" s="1392" t="s">
        <v>2576</v>
      </c>
      <c r="B1600" s="1392" t="s">
        <v>1189</v>
      </c>
      <c r="C1600" s="1392" t="s">
        <v>1933</v>
      </c>
      <c r="D1600" s="1392" t="s">
        <v>2032</v>
      </c>
      <c r="E1600" s="1392" t="s">
        <v>1896</v>
      </c>
      <c r="F1600" s="1392" t="s">
        <v>1928</v>
      </c>
      <c r="G1600" s="1391">
        <v>13209000</v>
      </c>
    </row>
    <row r="1601" spans="1:7" x14ac:dyDescent="0.25">
      <c r="A1601" s="1392" t="s">
        <v>2576</v>
      </c>
      <c r="B1601" s="1392" t="s">
        <v>1189</v>
      </c>
      <c r="C1601" s="1392" t="s">
        <v>1933</v>
      </c>
      <c r="D1601" s="1392" t="s">
        <v>2032</v>
      </c>
      <c r="E1601" s="1392" t="s">
        <v>1896</v>
      </c>
      <c r="F1601" s="1392" t="s">
        <v>1902</v>
      </c>
      <c r="G1601" s="1391">
        <v>12286000</v>
      </c>
    </row>
    <row r="1602" spans="1:7" x14ac:dyDescent="0.25">
      <c r="A1602" s="1392" t="s">
        <v>2576</v>
      </c>
      <c r="B1602" s="1392" t="s">
        <v>1189</v>
      </c>
      <c r="C1602" s="1392" t="s">
        <v>1933</v>
      </c>
      <c r="D1602" s="1392" t="s">
        <v>2032</v>
      </c>
      <c r="E1602" s="4536" t="s">
        <v>1906</v>
      </c>
      <c r="F1602" s="4538"/>
      <c r="G1602" s="1391">
        <v>2115000</v>
      </c>
    </row>
    <row r="1603" spans="1:7" x14ac:dyDescent="0.25">
      <c r="A1603" s="1392" t="s">
        <v>2576</v>
      </c>
      <c r="B1603" s="1392" t="s">
        <v>1189</v>
      </c>
      <c r="C1603" s="1392" t="s">
        <v>1933</v>
      </c>
      <c r="D1603" s="1392" t="s">
        <v>2032</v>
      </c>
      <c r="E1603" s="1392" t="s">
        <v>1906</v>
      </c>
      <c r="F1603" s="1392" t="s">
        <v>1907</v>
      </c>
      <c r="G1603" s="1391">
        <v>395000</v>
      </c>
    </row>
    <row r="1604" spans="1:7" x14ac:dyDescent="0.25">
      <c r="A1604" s="1392" t="s">
        <v>2576</v>
      </c>
      <c r="B1604" s="1392" t="s">
        <v>1189</v>
      </c>
      <c r="C1604" s="1392" t="s">
        <v>1933</v>
      </c>
      <c r="D1604" s="1392" t="s">
        <v>2032</v>
      </c>
      <c r="E1604" s="1392" t="s">
        <v>1906</v>
      </c>
      <c r="F1604" s="1392" t="s">
        <v>1909</v>
      </c>
      <c r="G1604" s="1391">
        <v>1720000</v>
      </c>
    </row>
    <row r="1605" spans="1:7" x14ac:dyDescent="0.25">
      <c r="A1605" s="1392" t="s">
        <v>2576</v>
      </c>
      <c r="B1605" s="1392" t="s">
        <v>1189</v>
      </c>
      <c r="C1605" s="1392" t="s">
        <v>1933</v>
      </c>
      <c r="D1605" s="1392" t="s">
        <v>2032</v>
      </c>
      <c r="E1605" s="4536" t="s">
        <v>1912</v>
      </c>
      <c r="F1605" s="4538"/>
      <c r="G1605" s="1391">
        <v>13332000</v>
      </c>
    </row>
    <row r="1606" spans="1:7" x14ac:dyDescent="0.25">
      <c r="A1606" s="1392" t="s">
        <v>2576</v>
      </c>
      <c r="B1606" s="1392" t="s">
        <v>1189</v>
      </c>
      <c r="C1606" s="1392" t="s">
        <v>1933</v>
      </c>
      <c r="D1606" s="1392" t="s">
        <v>2032</v>
      </c>
      <c r="E1606" s="1392" t="s">
        <v>1912</v>
      </c>
      <c r="F1606" s="1392" t="s">
        <v>1915</v>
      </c>
      <c r="G1606" s="1391">
        <v>3400000</v>
      </c>
    </row>
    <row r="1607" spans="1:7" x14ac:dyDescent="0.25">
      <c r="A1607" s="1392" t="s">
        <v>2576</v>
      </c>
      <c r="B1607" s="1392" t="s">
        <v>1189</v>
      </c>
      <c r="C1607" s="1392" t="s">
        <v>1933</v>
      </c>
      <c r="D1607" s="1392" t="s">
        <v>2032</v>
      </c>
      <c r="E1607" s="1392" t="s">
        <v>1912</v>
      </c>
      <c r="F1607" s="1392" t="s">
        <v>1916</v>
      </c>
      <c r="G1607" s="1391">
        <v>9932000</v>
      </c>
    </row>
    <row r="1608" spans="1:7" x14ac:dyDescent="0.25">
      <c r="A1608" s="1392" t="s">
        <v>2576</v>
      </c>
      <c r="B1608" s="1392" t="s">
        <v>1189</v>
      </c>
      <c r="C1608" s="1392" t="s">
        <v>1933</v>
      </c>
      <c r="D1608" s="4536" t="s">
        <v>2033</v>
      </c>
      <c r="E1608" s="4537"/>
      <c r="F1608" s="4538"/>
      <c r="G1608" s="1391">
        <v>363746455</v>
      </c>
    </row>
    <row r="1609" spans="1:7" x14ac:dyDescent="0.25">
      <c r="A1609" s="1392" t="s">
        <v>2576</v>
      </c>
      <c r="B1609" s="1392" t="s">
        <v>1189</v>
      </c>
      <c r="C1609" s="1392" t="s">
        <v>1933</v>
      </c>
      <c r="D1609" s="1392" t="s">
        <v>2033</v>
      </c>
      <c r="E1609" s="4536" t="s">
        <v>1848</v>
      </c>
      <c r="F1609" s="4538"/>
      <c r="G1609" s="1391">
        <v>95210998</v>
      </c>
    </row>
    <row r="1610" spans="1:7" x14ac:dyDescent="0.25">
      <c r="A1610" s="1392" t="s">
        <v>2576</v>
      </c>
      <c r="B1610" s="1392" t="s">
        <v>1189</v>
      </c>
      <c r="C1610" s="1392" t="s">
        <v>1933</v>
      </c>
      <c r="D1610" s="1392" t="s">
        <v>2033</v>
      </c>
      <c r="E1610" s="1392" t="s">
        <v>1848</v>
      </c>
      <c r="F1610" s="1392" t="s">
        <v>1849</v>
      </c>
      <c r="G1610" s="1391">
        <v>95210998</v>
      </c>
    </row>
    <row r="1611" spans="1:7" x14ac:dyDescent="0.25">
      <c r="A1611" s="1392" t="s">
        <v>2576</v>
      </c>
      <c r="B1611" s="1392" t="s">
        <v>1189</v>
      </c>
      <c r="C1611" s="1392" t="s">
        <v>1933</v>
      </c>
      <c r="D1611" s="1392" t="s">
        <v>2033</v>
      </c>
      <c r="E1611" s="4536" t="s">
        <v>1853</v>
      </c>
      <c r="F1611" s="4538"/>
      <c r="G1611" s="1391">
        <v>69529103</v>
      </c>
    </row>
    <row r="1612" spans="1:7" x14ac:dyDescent="0.25">
      <c r="A1612" s="1392" t="s">
        <v>2576</v>
      </c>
      <c r="B1612" s="1392" t="s">
        <v>1189</v>
      </c>
      <c r="C1612" s="1392" t="s">
        <v>1933</v>
      </c>
      <c r="D1612" s="1392" t="s">
        <v>2033</v>
      </c>
      <c r="E1612" s="1392" t="s">
        <v>1853</v>
      </c>
      <c r="F1612" s="1392" t="s">
        <v>1854</v>
      </c>
      <c r="G1612" s="1391">
        <v>8344000</v>
      </c>
    </row>
    <row r="1613" spans="1:7" x14ac:dyDescent="0.25">
      <c r="A1613" s="1392" t="s">
        <v>2576</v>
      </c>
      <c r="B1613" s="1392" t="s">
        <v>1189</v>
      </c>
      <c r="C1613" s="1392" t="s">
        <v>1933</v>
      </c>
      <c r="D1613" s="1392" t="s">
        <v>2033</v>
      </c>
      <c r="E1613" s="1392" t="s">
        <v>1853</v>
      </c>
      <c r="F1613" s="1392" t="s">
        <v>1855</v>
      </c>
      <c r="G1613" s="1391">
        <v>8195000</v>
      </c>
    </row>
    <row r="1614" spans="1:7" x14ac:dyDescent="0.25">
      <c r="A1614" s="1392" t="s">
        <v>2576</v>
      </c>
      <c r="B1614" s="1392" t="s">
        <v>1189</v>
      </c>
      <c r="C1614" s="1392" t="s">
        <v>1933</v>
      </c>
      <c r="D1614" s="1392" t="s">
        <v>2033</v>
      </c>
      <c r="E1614" s="1392" t="s">
        <v>1853</v>
      </c>
      <c r="F1614" s="1392" t="s">
        <v>1856</v>
      </c>
      <c r="G1614" s="1391">
        <v>3352500</v>
      </c>
    </row>
    <row r="1615" spans="1:7" x14ac:dyDescent="0.25">
      <c r="A1615" s="1392" t="s">
        <v>2576</v>
      </c>
      <c r="B1615" s="1392" t="s">
        <v>1189</v>
      </c>
      <c r="C1615" s="1392" t="s">
        <v>1933</v>
      </c>
      <c r="D1615" s="1392" t="s">
        <v>2033</v>
      </c>
      <c r="E1615" s="1392" t="s">
        <v>1853</v>
      </c>
      <c r="F1615" s="1392" t="s">
        <v>1937</v>
      </c>
      <c r="G1615" s="1391">
        <v>29084800</v>
      </c>
    </row>
    <row r="1616" spans="1:7" x14ac:dyDescent="0.25">
      <c r="A1616" s="1392" t="s">
        <v>2576</v>
      </c>
      <c r="B1616" s="1392" t="s">
        <v>1189</v>
      </c>
      <c r="C1616" s="1392" t="s">
        <v>1933</v>
      </c>
      <c r="D1616" s="1392" t="s">
        <v>2033</v>
      </c>
      <c r="E1616" s="1392" t="s">
        <v>1853</v>
      </c>
      <c r="F1616" s="1392" t="s">
        <v>1929</v>
      </c>
      <c r="G1616" s="1391">
        <v>20552803</v>
      </c>
    </row>
    <row r="1617" spans="1:7" x14ac:dyDescent="0.25">
      <c r="A1617" s="1392" t="s">
        <v>2576</v>
      </c>
      <c r="B1617" s="1392" t="s">
        <v>1189</v>
      </c>
      <c r="C1617" s="1392" t="s">
        <v>1933</v>
      </c>
      <c r="D1617" s="1392" t="s">
        <v>2033</v>
      </c>
      <c r="E1617" s="4536" t="s">
        <v>1860</v>
      </c>
      <c r="F1617" s="4538"/>
      <c r="G1617" s="1391">
        <v>1650000</v>
      </c>
    </row>
    <row r="1618" spans="1:7" x14ac:dyDescent="0.25">
      <c r="A1618" s="1392" t="s">
        <v>2576</v>
      </c>
      <c r="B1618" s="1392" t="s">
        <v>1189</v>
      </c>
      <c r="C1618" s="1392" t="s">
        <v>1933</v>
      </c>
      <c r="D1618" s="1392" t="s">
        <v>2033</v>
      </c>
      <c r="E1618" s="1392" t="s">
        <v>1860</v>
      </c>
      <c r="F1618" s="1392" t="s">
        <v>1861</v>
      </c>
      <c r="G1618" s="1391">
        <v>1650000</v>
      </c>
    </row>
    <row r="1619" spans="1:7" x14ac:dyDescent="0.25">
      <c r="A1619" s="1392" t="s">
        <v>2576</v>
      </c>
      <c r="B1619" s="1392" t="s">
        <v>1189</v>
      </c>
      <c r="C1619" s="1392" t="s">
        <v>1933</v>
      </c>
      <c r="D1619" s="1392" t="s">
        <v>2033</v>
      </c>
      <c r="E1619" s="4536" t="s">
        <v>1862</v>
      </c>
      <c r="F1619" s="4538"/>
      <c r="G1619" s="1391">
        <v>25966266</v>
      </c>
    </row>
    <row r="1620" spans="1:7" x14ac:dyDescent="0.25">
      <c r="A1620" s="1392" t="s">
        <v>2576</v>
      </c>
      <c r="B1620" s="1392" t="s">
        <v>1189</v>
      </c>
      <c r="C1620" s="1392" t="s">
        <v>1933</v>
      </c>
      <c r="D1620" s="1392" t="s">
        <v>2033</v>
      </c>
      <c r="E1620" s="1392" t="s">
        <v>1862</v>
      </c>
      <c r="F1620" s="1392" t="s">
        <v>1863</v>
      </c>
      <c r="G1620" s="1391">
        <v>19886834</v>
      </c>
    </row>
    <row r="1621" spans="1:7" x14ac:dyDescent="0.25">
      <c r="A1621" s="1392" t="s">
        <v>2576</v>
      </c>
      <c r="B1621" s="1392" t="s">
        <v>1189</v>
      </c>
      <c r="C1621" s="1392" t="s">
        <v>1933</v>
      </c>
      <c r="D1621" s="1392" t="s">
        <v>2033</v>
      </c>
      <c r="E1621" s="1392" t="s">
        <v>1862</v>
      </c>
      <c r="F1621" s="1392" t="s">
        <v>1864</v>
      </c>
      <c r="G1621" s="1391">
        <v>3585834</v>
      </c>
    </row>
    <row r="1622" spans="1:7" x14ac:dyDescent="0.25">
      <c r="A1622" s="1392" t="s">
        <v>2576</v>
      </c>
      <c r="B1622" s="1392" t="s">
        <v>1189</v>
      </c>
      <c r="C1622" s="1392" t="s">
        <v>1933</v>
      </c>
      <c r="D1622" s="1392" t="s">
        <v>2033</v>
      </c>
      <c r="E1622" s="1392" t="s">
        <v>1862</v>
      </c>
      <c r="F1622" s="1392" t="s">
        <v>1865</v>
      </c>
      <c r="G1622" s="1391">
        <v>2389000</v>
      </c>
    </row>
    <row r="1623" spans="1:7" x14ac:dyDescent="0.25">
      <c r="A1623" s="1392" t="s">
        <v>2576</v>
      </c>
      <c r="B1623" s="1392" t="s">
        <v>1189</v>
      </c>
      <c r="C1623" s="1392" t="s">
        <v>1933</v>
      </c>
      <c r="D1623" s="1392" t="s">
        <v>2033</v>
      </c>
      <c r="E1623" s="1392" t="s">
        <v>1862</v>
      </c>
      <c r="F1623" s="1392" t="s">
        <v>1866</v>
      </c>
      <c r="G1623" s="1391">
        <v>104598</v>
      </c>
    </row>
    <row r="1624" spans="1:7" x14ac:dyDescent="0.25">
      <c r="A1624" s="1392" t="s">
        <v>2576</v>
      </c>
      <c r="B1624" s="1392" t="s">
        <v>1189</v>
      </c>
      <c r="C1624" s="1392" t="s">
        <v>1933</v>
      </c>
      <c r="D1624" s="1392" t="s">
        <v>2033</v>
      </c>
      <c r="E1624" s="4536" t="s">
        <v>1867</v>
      </c>
      <c r="F1624" s="4537"/>
      <c r="G1624" s="1391">
        <v>21821988</v>
      </c>
    </row>
    <row r="1625" spans="1:7" x14ac:dyDescent="0.25">
      <c r="A1625" s="1392" t="s">
        <v>2576</v>
      </c>
      <c r="B1625" s="1392" t="s">
        <v>1189</v>
      </c>
      <c r="C1625" s="1392" t="s">
        <v>1933</v>
      </c>
      <c r="D1625" s="1392" t="s">
        <v>2033</v>
      </c>
      <c r="E1625" s="1392" t="s">
        <v>1867</v>
      </c>
      <c r="F1625" s="1392" t="s">
        <v>1868</v>
      </c>
      <c r="G1625" s="1391">
        <v>21821988</v>
      </c>
    </row>
    <row r="1626" spans="1:7" x14ac:dyDescent="0.25">
      <c r="A1626" s="1392" t="s">
        <v>2576</v>
      </c>
      <c r="B1626" s="1392" t="s">
        <v>1189</v>
      </c>
      <c r="C1626" s="1392" t="s">
        <v>1933</v>
      </c>
      <c r="D1626" s="1392" t="s">
        <v>2033</v>
      </c>
      <c r="E1626" s="4536" t="s">
        <v>1869</v>
      </c>
      <c r="F1626" s="4537"/>
      <c r="G1626" s="1391">
        <v>7311400</v>
      </c>
    </row>
    <row r="1627" spans="1:7" x14ac:dyDescent="0.25">
      <c r="A1627" s="1392" t="s">
        <v>2576</v>
      </c>
      <c r="B1627" s="1392" t="s">
        <v>1189</v>
      </c>
      <c r="C1627" s="1392" t="s">
        <v>1933</v>
      </c>
      <c r="D1627" s="1392" t="s">
        <v>2033</v>
      </c>
      <c r="E1627" s="1392" t="s">
        <v>1869</v>
      </c>
      <c r="F1627" s="1392" t="s">
        <v>1870</v>
      </c>
      <c r="G1627" s="1391">
        <v>4081300</v>
      </c>
    </row>
    <row r="1628" spans="1:7" x14ac:dyDescent="0.25">
      <c r="A1628" s="1392" t="s">
        <v>2576</v>
      </c>
      <c r="B1628" s="1392" t="s">
        <v>1189</v>
      </c>
      <c r="C1628" s="1392" t="s">
        <v>1933</v>
      </c>
      <c r="D1628" s="1392" t="s">
        <v>2033</v>
      </c>
      <c r="E1628" s="1392" t="s">
        <v>1869</v>
      </c>
      <c r="F1628" s="1392" t="s">
        <v>1871</v>
      </c>
      <c r="G1628" s="1391">
        <v>2450200</v>
      </c>
    </row>
    <row r="1629" spans="1:7" x14ac:dyDescent="0.25">
      <c r="A1629" s="1392" t="s">
        <v>2576</v>
      </c>
      <c r="B1629" s="1392" t="s">
        <v>1189</v>
      </c>
      <c r="C1629" s="1392" t="s">
        <v>1933</v>
      </c>
      <c r="D1629" s="1392" t="s">
        <v>2033</v>
      </c>
      <c r="E1629" s="1392" t="s">
        <v>1869</v>
      </c>
      <c r="F1629" s="1392" t="s">
        <v>1872</v>
      </c>
      <c r="G1629" s="1391">
        <v>659900</v>
      </c>
    </row>
    <row r="1630" spans="1:7" x14ac:dyDescent="0.25">
      <c r="A1630" s="1392" t="s">
        <v>2576</v>
      </c>
      <c r="B1630" s="1392" t="s">
        <v>1189</v>
      </c>
      <c r="C1630" s="1392" t="s">
        <v>1933</v>
      </c>
      <c r="D1630" s="1392" t="s">
        <v>2033</v>
      </c>
      <c r="E1630" s="1392" t="s">
        <v>1869</v>
      </c>
      <c r="F1630" s="1392" t="s">
        <v>1873</v>
      </c>
      <c r="G1630" s="1391">
        <v>120000</v>
      </c>
    </row>
    <row r="1631" spans="1:7" x14ac:dyDescent="0.25">
      <c r="A1631" s="1392" t="s">
        <v>2576</v>
      </c>
      <c r="B1631" s="1392" t="s">
        <v>1189</v>
      </c>
      <c r="C1631" s="1392" t="s">
        <v>1933</v>
      </c>
      <c r="D1631" s="1392" t="s">
        <v>2033</v>
      </c>
      <c r="E1631" s="4536" t="s">
        <v>1874</v>
      </c>
      <c r="F1631" s="4537"/>
      <c r="G1631" s="1391">
        <v>4221000</v>
      </c>
    </row>
    <row r="1632" spans="1:7" x14ac:dyDescent="0.25">
      <c r="A1632" s="1392" t="s">
        <v>2576</v>
      </c>
      <c r="B1632" s="1392" t="s">
        <v>1189</v>
      </c>
      <c r="C1632" s="1392" t="s">
        <v>1933</v>
      </c>
      <c r="D1632" s="1392" t="s">
        <v>2033</v>
      </c>
      <c r="E1632" s="1392" t="s">
        <v>1874</v>
      </c>
      <c r="F1632" s="1392" t="s">
        <v>1875</v>
      </c>
      <c r="G1632" s="1391">
        <v>3451000</v>
      </c>
    </row>
    <row r="1633" spans="1:7" x14ac:dyDescent="0.25">
      <c r="A1633" s="1392" t="s">
        <v>2576</v>
      </c>
      <c r="B1633" s="1392" t="s">
        <v>1189</v>
      </c>
      <c r="C1633" s="1392" t="s">
        <v>1933</v>
      </c>
      <c r="D1633" s="1392" t="s">
        <v>2033</v>
      </c>
      <c r="E1633" s="1392" t="s">
        <v>1874</v>
      </c>
      <c r="F1633" s="1392" t="s">
        <v>1877</v>
      </c>
      <c r="G1633" s="1391">
        <v>770000</v>
      </c>
    </row>
    <row r="1634" spans="1:7" x14ac:dyDescent="0.25">
      <c r="A1634" s="1392" t="s">
        <v>2576</v>
      </c>
      <c r="B1634" s="1392" t="s">
        <v>1189</v>
      </c>
      <c r="C1634" s="1392" t="s">
        <v>1933</v>
      </c>
      <c r="D1634" s="1392" t="s">
        <v>2033</v>
      </c>
      <c r="E1634" s="4536" t="s">
        <v>1878</v>
      </c>
      <c r="F1634" s="4537"/>
      <c r="G1634" s="1391">
        <v>4418000</v>
      </c>
    </row>
    <row r="1635" spans="1:7" x14ac:dyDescent="0.25">
      <c r="A1635" s="1392" t="s">
        <v>2576</v>
      </c>
      <c r="B1635" s="1392" t="s">
        <v>1189</v>
      </c>
      <c r="C1635" s="1392" t="s">
        <v>1933</v>
      </c>
      <c r="D1635" s="1392" t="s">
        <v>2033</v>
      </c>
      <c r="E1635" s="1392" t="s">
        <v>1878</v>
      </c>
      <c r="F1635" s="1392" t="s">
        <v>1879</v>
      </c>
      <c r="G1635" s="1391">
        <v>528000</v>
      </c>
    </row>
    <row r="1636" spans="1:7" x14ac:dyDescent="0.25">
      <c r="A1636" s="1392" t="s">
        <v>2576</v>
      </c>
      <c r="B1636" s="1392" t="s">
        <v>1189</v>
      </c>
      <c r="C1636" s="1392" t="s">
        <v>1933</v>
      </c>
      <c r="D1636" s="1392" t="s">
        <v>2033</v>
      </c>
      <c r="E1636" s="1392" t="s">
        <v>1878</v>
      </c>
      <c r="F1636" s="1392" t="s">
        <v>1881</v>
      </c>
      <c r="G1636" s="1391">
        <v>1980000</v>
      </c>
    </row>
    <row r="1637" spans="1:7" x14ac:dyDescent="0.25">
      <c r="A1637" s="1392" t="s">
        <v>2576</v>
      </c>
      <c r="B1637" s="1392" t="s">
        <v>1189</v>
      </c>
      <c r="C1637" s="1392" t="s">
        <v>1933</v>
      </c>
      <c r="D1637" s="1392" t="s">
        <v>2033</v>
      </c>
      <c r="E1637" s="1392" t="s">
        <v>1878</v>
      </c>
      <c r="F1637" s="1392" t="s">
        <v>1883</v>
      </c>
      <c r="G1637" s="1391">
        <v>1910000</v>
      </c>
    </row>
    <row r="1638" spans="1:7" x14ac:dyDescent="0.25">
      <c r="A1638" s="1392" t="s">
        <v>2576</v>
      </c>
      <c r="B1638" s="1392" t="s">
        <v>1189</v>
      </c>
      <c r="C1638" s="1392" t="s">
        <v>1933</v>
      </c>
      <c r="D1638" s="1392" t="s">
        <v>2033</v>
      </c>
      <c r="E1638" s="4536" t="s">
        <v>1885</v>
      </c>
      <c r="F1638" s="4537"/>
      <c r="G1638" s="1391">
        <v>70870000</v>
      </c>
    </row>
    <row r="1639" spans="1:7" x14ac:dyDescent="0.25">
      <c r="A1639" s="1392" t="s">
        <v>2576</v>
      </c>
      <c r="B1639" s="1392" t="s">
        <v>1189</v>
      </c>
      <c r="C1639" s="1392" t="s">
        <v>1933</v>
      </c>
      <c r="D1639" s="1392" t="s">
        <v>2033</v>
      </c>
      <c r="E1639" s="1392" t="s">
        <v>1885</v>
      </c>
      <c r="F1639" s="1392" t="s">
        <v>1925</v>
      </c>
      <c r="G1639" s="1391">
        <v>3920000</v>
      </c>
    </row>
    <row r="1640" spans="1:7" x14ac:dyDescent="0.25">
      <c r="A1640" s="1392" t="s">
        <v>2576</v>
      </c>
      <c r="B1640" s="1392" t="s">
        <v>1189</v>
      </c>
      <c r="C1640" s="1392" t="s">
        <v>1933</v>
      </c>
      <c r="D1640" s="1392" t="s">
        <v>2033</v>
      </c>
      <c r="E1640" s="1392" t="s">
        <v>1885</v>
      </c>
      <c r="F1640" s="1392" t="s">
        <v>1886</v>
      </c>
      <c r="G1640" s="1391">
        <v>20970000</v>
      </c>
    </row>
    <row r="1641" spans="1:7" x14ac:dyDescent="0.25">
      <c r="A1641" s="1392" t="s">
        <v>2576</v>
      </c>
      <c r="B1641" s="1392" t="s">
        <v>1189</v>
      </c>
      <c r="C1641" s="1392" t="s">
        <v>1933</v>
      </c>
      <c r="D1641" s="1392" t="s">
        <v>2033</v>
      </c>
      <c r="E1641" s="1392" t="s">
        <v>1885</v>
      </c>
      <c r="F1641" s="1392" t="s">
        <v>1887</v>
      </c>
      <c r="G1641" s="1391">
        <v>36800000</v>
      </c>
    </row>
    <row r="1642" spans="1:7" x14ac:dyDescent="0.25">
      <c r="A1642" s="1392" t="s">
        <v>2576</v>
      </c>
      <c r="B1642" s="1392" t="s">
        <v>1189</v>
      </c>
      <c r="C1642" s="1392" t="s">
        <v>1933</v>
      </c>
      <c r="D1642" s="1392" t="s">
        <v>2033</v>
      </c>
      <c r="E1642" s="1392" t="s">
        <v>1885</v>
      </c>
      <c r="F1642" s="1392" t="s">
        <v>1888</v>
      </c>
      <c r="G1642" s="1391">
        <v>9180000</v>
      </c>
    </row>
    <row r="1643" spans="1:7" x14ac:dyDescent="0.25">
      <c r="A1643" s="1392" t="s">
        <v>2576</v>
      </c>
      <c r="B1643" s="1392" t="s">
        <v>1189</v>
      </c>
      <c r="C1643" s="1392" t="s">
        <v>1933</v>
      </c>
      <c r="D1643" s="1392" t="s">
        <v>2033</v>
      </c>
      <c r="E1643" s="4536" t="s">
        <v>1889</v>
      </c>
      <c r="F1643" s="4537"/>
      <c r="G1643" s="1391">
        <v>5300000</v>
      </c>
    </row>
    <row r="1644" spans="1:7" x14ac:dyDescent="0.25">
      <c r="A1644" s="1392" t="s">
        <v>2576</v>
      </c>
      <c r="B1644" s="1392" t="s">
        <v>1189</v>
      </c>
      <c r="C1644" s="1392" t="s">
        <v>1933</v>
      </c>
      <c r="D1644" s="1392" t="s">
        <v>2033</v>
      </c>
      <c r="E1644" s="1392" t="s">
        <v>1889</v>
      </c>
      <c r="F1644" s="1392" t="s">
        <v>1892</v>
      </c>
      <c r="G1644" s="1391">
        <v>5300000</v>
      </c>
    </row>
    <row r="1645" spans="1:7" x14ac:dyDescent="0.25">
      <c r="A1645" s="1392" t="s">
        <v>2576</v>
      </c>
      <c r="B1645" s="1392" t="s">
        <v>1189</v>
      </c>
      <c r="C1645" s="1392" t="s">
        <v>1933</v>
      </c>
      <c r="D1645" s="1392" t="s">
        <v>2033</v>
      </c>
      <c r="E1645" s="4536" t="s">
        <v>1893</v>
      </c>
      <c r="F1645" s="4537"/>
      <c r="G1645" s="1391">
        <v>13098700</v>
      </c>
    </row>
    <row r="1646" spans="1:7" x14ac:dyDescent="0.25">
      <c r="A1646" s="1392" t="s">
        <v>2576</v>
      </c>
      <c r="B1646" s="1392" t="s">
        <v>1189</v>
      </c>
      <c r="C1646" s="1392" t="s">
        <v>1933</v>
      </c>
      <c r="D1646" s="1392" t="s">
        <v>2033</v>
      </c>
      <c r="E1646" s="1392" t="s">
        <v>1893</v>
      </c>
      <c r="F1646" s="1392" t="s">
        <v>2051</v>
      </c>
      <c r="G1646" s="1391">
        <v>1950000</v>
      </c>
    </row>
    <row r="1647" spans="1:7" x14ac:dyDescent="0.25">
      <c r="A1647" s="1392" t="s">
        <v>2576</v>
      </c>
      <c r="B1647" s="1392" t="s">
        <v>1189</v>
      </c>
      <c r="C1647" s="1392" t="s">
        <v>1933</v>
      </c>
      <c r="D1647" s="1392" t="s">
        <v>2033</v>
      </c>
      <c r="E1647" s="1392" t="s">
        <v>1893</v>
      </c>
      <c r="F1647" s="1392" t="s">
        <v>2034</v>
      </c>
      <c r="G1647" s="1391">
        <v>11148700</v>
      </c>
    </row>
    <row r="1648" spans="1:7" x14ac:dyDescent="0.25">
      <c r="A1648" s="1392" t="s">
        <v>2576</v>
      </c>
      <c r="B1648" s="1392" t="s">
        <v>1189</v>
      </c>
      <c r="C1648" s="1392" t="s">
        <v>1933</v>
      </c>
      <c r="D1648" s="1392" t="s">
        <v>2033</v>
      </c>
      <c r="E1648" s="4536" t="s">
        <v>1896</v>
      </c>
      <c r="F1648" s="4537"/>
      <c r="G1648" s="1391">
        <v>15576000</v>
      </c>
    </row>
    <row r="1649" spans="1:7" x14ac:dyDescent="0.25">
      <c r="A1649" s="1392" t="s">
        <v>2576</v>
      </c>
      <c r="B1649" s="1392" t="s">
        <v>1189</v>
      </c>
      <c r="C1649" s="1392" t="s">
        <v>1933</v>
      </c>
      <c r="D1649" s="1392" t="s">
        <v>2033</v>
      </c>
      <c r="E1649" s="1392" t="s">
        <v>1896</v>
      </c>
      <c r="F1649" s="1392" t="s">
        <v>1900</v>
      </c>
      <c r="G1649" s="1391">
        <v>11076000</v>
      </c>
    </row>
    <row r="1650" spans="1:7" x14ac:dyDescent="0.25">
      <c r="A1650" s="1392" t="s">
        <v>2576</v>
      </c>
      <c r="B1650" s="1392" t="s">
        <v>1189</v>
      </c>
      <c r="C1650" s="1392" t="s">
        <v>1933</v>
      </c>
      <c r="D1650" s="1392" t="s">
        <v>2033</v>
      </c>
      <c r="E1650" s="1392" t="s">
        <v>1896</v>
      </c>
      <c r="F1650" s="1392" t="s">
        <v>1901</v>
      </c>
      <c r="G1650" s="1391">
        <v>4500000</v>
      </c>
    </row>
    <row r="1651" spans="1:7" x14ac:dyDescent="0.25">
      <c r="A1651" s="1392" t="s">
        <v>2576</v>
      </c>
      <c r="B1651" s="1392" t="s">
        <v>1189</v>
      </c>
      <c r="C1651" s="1392" t="s">
        <v>1933</v>
      </c>
      <c r="D1651" s="1392" t="s">
        <v>2033</v>
      </c>
      <c r="E1651" s="4536" t="s">
        <v>1906</v>
      </c>
      <c r="F1651" s="4537"/>
      <c r="G1651" s="1391">
        <v>24473000</v>
      </c>
    </row>
    <row r="1652" spans="1:7" x14ac:dyDescent="0.25">
      <c r="A1652" s="1392" t="s">
        <v>2576</v>
      </c>
      <c r="B1652" s="1392" t="s">
        <v>1189</v>
      </c>
      <c r="C1652" s="1392" t="s">
        <v>1933</v>
      </c>
      <c r="D1652" s="1392" t="s">
        <v>2033</v>
      </c>
      <c r="E1652" s="1392" t="s">
        <v>1906</v>
      </c>
      <c r="F1652" s="1392" t="s">
        <v>1907</v>
      </c>
      <c r="G1652" s="1391">
        <v>22900000</v>
      </c>
    </row>
    <row r="1653" spans="1:7" x14ac:dyDescent="0.25">
      <c r="A1653" s="1392" t="s">
        <v>2576</v>
      </c>
      <c r="B1653" s="1392" t="s">
        <v>1189</v>
      </c>
      <c r="C1653" s="1392" t="s">
        <v>1933</v>
      </c>
      <c r="D1653" s="1392" t="s">
        <v>2033</v>
      </c>
      <c r="E1653" s="1392" t="s">
        <v>1906</v>
      </c>
      <c r="F1653" s="1392" t="s">
        <v>1909</v>
      </c>
      <c r="G1653" s="1391">
        <v>1573000</v>
      </c>
    </row>
    <row r="1654" spans="1:7" x14ac:dyDescent="0.25">
      <c r="A1654" s="1392" t="s">
        <v>2576</v>
      </c>
      <c r="B1654" s="1392" t="s">
        <v>1189</v>
      </c>
      <c r="C1654" s="1392" t="s">
        <v>1933</v>
      </c>
      <c r="D1654" s="1392" t="s">
        <v>2033</v>
      </c>
      <c r="E1654" s="4536" t="s">
        <v>1912</v>
      </c>
      <c r="F1654" s="4537"/>
      <c r="G1654" s="1391">
        <v>4300000</v>
      </c>
    </row>
    <row r="1655" spans="1:7" x14ac:dyDescent="0.25">
      <c r="A1655" s="1392" t="s">
        <v>2576</v>
      </c>
      <c r="B1655" s="1392" t="s">
        <v>1189</v>
      </c>
      <c r="C1655" s="1392" t="s">
        <v>1933</v>
      </c>
      <c r="D1655" s="1392" t="s">
        <v>2033</v>
      </c>
      <c r="E1655" s="1392" t="s">
        <v>1912</v>
      </c>
      <c r="F1655" s="1392" t="s">
        <v>1915</v>
      </c>
      <c r="G1655" s="1391">
        <v>4300000</v>
      </c>
    </row>
    <row r="1656" spans="1:7" x14ac:dyDescent="0.25">
      <c r="A1656" s="1392" t="s">
        <v>2576</v>
      </c>
      <c r="B1656" s="1392" t="s">
        <v>1189</v>
      </c>
      <c r="C1656" s="1392" t="s">
        <v>1933</v>
      </c>
      <c r="D1656" s="4536" t="s">
        <v>2035</v>
      </c>
      <c r="E1656" s="4537"/>
      <c r="F1656" s="4537"/>
      <c r="G1656" s="1391">
        <v>503493500</v>
      </c>
    </row>
    <row r="1657" spans="1:7" x14ac:dyDescent="0.25">
      <c r="A1657" s="1392" t="s">
        <v>2576</v>
      </c>
      <c r="B1657" s="1392" t="s">
        <v>1189</v>
      </c>
      <c r="C1657" s="1392" t="s">
        <v>1933</v>
      </c>
      <c r="D1657" s="1392" t="s">
        <v>2035</v>
      </c>
      <c r="E1657" s="4536" t="s">
        <v>1853</v>
      </c>
      <c r="F1657" s="4537"/>
      <c r="G1657" s="1391">
        <v>401778500</v>
      </c>
    </row>
    <row r="1658" spans="1:7" x14ac:dyDescent="0.25">
      <c r="A1658" s="1392" t="s">
        <v>2576</v>
      </c>
      <c r="B1658" s="1392" t="s">
        <v>1189</v>
      </c>
      <c r="C1658" s="1392" t="s">
        <v>1933</v>
      </c>
      <c r="D1658" s="1392" t="s">
        <v>2035</v>
      </c>
      <c r="E1658" s="1392" t="s">
        <v>1853</v>
      </c>
      <c r="F1658" s="1392" t="s">
        <v>1939</v>
      </c>
      <c r="G1658" s="1391">
        <v>401778500</v>
      </c>
    </row>
    <row r="1659" spans="1:7" x14ac:dyDescent="0.25">
      <c r="A1659" s="1392" t="s">
        <v>2576</v>
      </c>
      <c r="B1659" s="1392" t="s">
        <v>1189</v>
      </c>
      <c r="C1659" s="1392" t="s">
        <v>1933</v>
      </c>
      <c r="D1659" s="1392" t="s">
        <v>2035</v>
      </c>
      <c r="E1659" s="4536" t="s">
        <v>1874</v>
      </c>
      <c r="F1659" s="4537"/>
      <c r="G1659" s="1391">
        <v>28225000</v>
      </c>
    </row>
    <row r="1660" spans="1:7" x14ac:dyDescent="0.25">
      <c r="A1660" s="1392" t="s">
        <v>2576</v>
      </c>
      <c r="B1660" s="1392" t="s">
        <v>1189</v>
      </c>
      <c r="C1660" s="1392" t="s">
        <v>1933</v>
      </c>
      <c r="D1660" s="1392" t="s">
        <v>2035</v>
      </c>
      <c r="E1660" s="1392" t="s">
        <v>1874</v>
      </c>
      <c r="F1660" s="1392" t="s">
        <v>1875</v>
      </c>
      <c r="G1660" s="1391">
        <v>26735000</v>
      </c>
    </row>
    <row r="1661" spans="1:7" x14ac:dyDescent="0.25">
      <c r="A1661" s="1392" t="s">
        <v>2576</v>
      </c>
      <c r="B1661" s="1392" t="s">
        <v>1189</v>
      </c>
      <c r="C1661" s="1392" t="s">
        <v>1933</v>
      </c>
      <c r="D1661" s="1392" t="s">
        <v>2035</v>
      </c>
      <c r="E1661" s="1392" t="s">
        <v>1874</v>
      </c>
      <c r="F1661" s="1392" t="s">
        <v>1876</v>
      </c>
      <c r="G1661" s="1391">
        <v>750000</v>
      </c>
    </row>
    <row r="1662" spans="1:7" x14ac:dyDescent="0.25">
      <c r="A1662" s="1392" t="s">
        <v>2576</v>
      </c>
      <c r="B1662" s="1392" t="s">
        <v>1189</v>
      </c>
      <c r="C1662" s="1392" t="s">
        <v>1933</v>
      </c>
      <c r="D1662" s="1392" t="s">
        <v>2035</v>
      </c>
      <c r="E1662" s="1392" t="s">
        <v>1874</v>
      </c>
      <c r="F1662" s="1392" t="s">
        <v>1877</v>
      </c>
      <c r="G1662" s="1391">
        <v>740000</v>
      </c>
    </row>
    <row r="1663" spans="1:7" x14ac:dyDescent="0.25">
      <c r="A1663" s="1392" t="s">
        <v>2576</v>
      </c>
      <c r="B1663" s="1392" t="s">
        <v>1189</v>
      </c>
      <c r="C1663" s="1392" t="s">
        <v>1933</v>
      </c>
      <c r="D1663" s="1392" t="s">
        <v>2035</v>
      </c>
      <c r="E1663" s="4536" t="s">
        <v>1878</v>
      </c>
      <c r="F1663" s="4537"/>
      <c r="G1663" s="1391">
        <v>2299000</v>
      </c>
    </row>
    <row r="1664" spans="1:7" x14ac:dyDescent="0.25">
      <c r="A1664" s="1392" t="s">
        <v>2576</v>
      </c>
      <c r="B1664" s="1392" t="s">
        <v>1189</v>
      </c>
      <c r="C1664" s="1392" t="s">
        <v>1933</v>
      </c>
      <c r="D1664" s="1392" t="s">
        <v>2035</v>
      </c>
      <c r="E1664" s="1392" t="s">
        <v>1878</v>
      </c>
      <c r="F1664" s="1392" t="s">
        <v>1880</v>
      </c>
      <c r="G1664" s="1391">
        <v>1045000</v>
      </c>
    </row>
    <row r="1665" spans="1:7" x14ac:dyDescent="0.25">
      <c r="A1665" s="1392" t="s">
        <v>2576</v>
      </c>
      <c r="B1665" s="1392" t="s">
        <v>1189</v>
      </c>
      <c r="C1665" s="1392" t="s">
        <v>1933</v>
      </c>
      <c r="D1665" s="1392" t="s">
        <v>2035</v>
      </c>
      <c r="E1665" s="1392" t="s">
        <v>1878</v>
      </c>
      <c r="F1665" s="1392" t="s">
        <v>1881</v>
      </c>
      <c r="G1665" s="1391">
        <v>1254000</v>
      </c>
    </row>
    <row r="1666" spans="1:7" x14ac:dyDescent="0.25">
      <c r="A1666" s="1392" t="s">
        <v>2576</v>
      </c>
      <c r="B1666" s="1392" t="s">
        <v>1189</v>
      </c>
      <c r="C1666" s="1392" t="s">
        <v>1933</v>
      </c>
      <c r="D1666" s="1392" t="s">
        <v>2035</v>
      </c>
      <c r="E1666" s="4536" t="s">
        <v>1885</v>
      </c>
      <c r="F1666" s="4537"/>
      <c r="G1666" s="1391">
        <v>25108000</v>
      </c>
    </row>
    <row r="1667" spans="1:7" x14ac:dyDescent="0.25">
      <c r="A1667" s="1392" t="s">
        <v>2576</v>
      </c>
      <c r="B1667" s="1392" t="s">
        <v>1189</v>
      </c>
      <c r="C1667" s="1392" t="s">
        <v>1933</v>
      </c>
      <c r="D1667" s="1392" t="s">
        <v>2035</v>
      </c>
      <c r="E1667" s="1392" t="s">
        <v>1885</v>
      </c>
      <c r="F1667" s="1392" t="s">
        <v>1886</v>
      </c>
      <c r="G1667" s="1391">
        <v>1800000</v>
      </c>
    </row>
    <row r="1668" spans="1:7" x14ac:dyDescent="0.25">
      <c r="A1668" s="1392" t="s">
        <v>2576</v>
      </c>
      <c r="B1668" s="1392" t="s">
        <v>1189</v>
      </c>
      <c r="C1668" s="1392" t="s">
        <v>1933</v>
      </c>
      <c r="D1668" s="1392" t="s">
        <v>2035</v>
      </c>
      <c r="E1668" s="1392" t="s">
        <v>1885</v>
      </c>
      <c r="F1668" s="1392" t="s">
        <v>1887</v>
      </c>
      <c r="G1668" s="1391">
        <v>16070000</v>
      </c>
    </row>
    <row r="1669" spans="1:7" x14ac:dyDescent="0.25">
      <c r="A1669" s="1392" t="s">
        <v>2576</v>
      </c>
      <c r="B1669" s="1392" t="s">
        <v>1189</v>
      </c>
      <c r="C1669" s="1392" t="s">
        <v>1933</v>
      </c>
      <c r="D1669" s="1392" t="s">
        <v>2035</v>
      </c>
      <c r="E1669" s="1392" t="s">
        <v>1885</v>
      </c>
      <c r="F1669" s="1392" t="s">
        <v>1888</v>
      </c>
      <c r="G1669" s="1391">
        <v>7238000</v>
      </c>
    </row>
    <row r="1670" spans="1:7" x14ac:dyDescent="0.25">
      <c r="A1670" s="1392" t="s">
        <v>2576</v>
      </c>
      <c r="B1670" s="1392" t="s">
        <v>1189</v>
      </c>
      <c r="C1670" s="1392" t="s">
        <v>1933</v>
      </c>
      <c r="D1670" s="1392" t="s">
        <v>2035</v>
      </c>
      <c r="E1670" s="4536" t="s">
        <v>1889</v>
      </c>
      <c r="F1670" s="4537"/>
      <c r="G1670" s="1391">
        <v>3510000</v>
      </c>
    </row>
    <row r="1671" spans="1:7" x14ac:dyDescent="0.25">
      <c r="A1671" s="1392" t="s">
        <v>2576</v>
      </c>
      <c r="B1671" s="1392" t="s">
        <v>1189</v>
      </c>
      <c r="C1671" s="1392" t="s">
        <v>1933</v>
      </c>
      <c r="D1671" s="1392" t="s">
        <v>2035</v>
      </c>
      <c r="E1671" s="1392" t="s">
        <v>1889</v>
      </c>
      <c r="F1671" s="1392" t="s">
        <v>1890</v>
      </c>
      <c r="G1671" s="1391">
        <v>3160000</v>
      </c>
    </row>
    <row r="1672" spans="1:7" x14ac:dyDescent="0.25">
      <c r="A1672" s="1392" t="s">
        <v>2576</v>
      </c>
      <c r="B1672" s="1392" t="s">
        <v>1189</v>
      </c>
      <c r="C1672" s="1392" t="s">
        <v>1933</v>
      </c>
      <c r="D1672" s="1392" t="s">
        <v>2035</v>
      </c>
      <c r="E1672" s="1392" t="s">
        <v>1889</v>
      </c>
      <c r="F1672" s="1392" t="s">
        <v>1922</v>
      </c>
      <c r="G1672" s="1391">
        <v>350000</v>
      </c>
    </row>
    <row r="1673" spans="1:7" x14ac:dyDescent="0.25">
      <c r="A1673" s="1392" t="s">
        <v>2576</v>
      </c>
      <c r="B1673" s="1392" t="s">
        <v>1189</v>
      </c>
      <c r="C1673" s="1392" t="s">
        <v>1933</v>
      </c>
      <c r="D1673" s="1392" t="s">
        <v>2035</v>
      </c>
      <c r="E1673" s="4536" t="s">
        <v>1896</v>
      </c>
      <c r="F1673" s="4537"/>
      <c r="G1673" s="1391">
        <v>32003000</v>
      </c>
    </row>
    <row r="1674" spans="1:7" x14ac:dyDescent="0.25">
      <c r="A1674" s="1392" t="s">
        <v>2576</v>
      </c>
      <c r="B1674" s="1392" t="s">
        <v>1189</v>
      </c>
      <c r="C1674" s="1392" t="s">
        <v>1933</v>
      </c>
      <c r="D1674" s="1392" t="s">
        <v>2035</v>
      </c>
      <c r="E1674" s="1392" t="s">
        <v>1896</v>
      </c>
      <c r="F1674" s="1392" t="s">
        <v>1900</v>
      </c>
      <c r="G1674" s="1391">
        <v>29953000</v>
      </c>
    </row>
    <row r="1675" spans="1:7" x14ac:dyDescent="0.25">
      <c r="A1675" s="1392" t="s">
        <v>2576</v>
      </c>
      <c r="B1675" s="1392" t="s">
        <v>1189</v>
      </c>
      <c r="C1675" s="1392" t="s">
        <v>1933</v>
      </c>
      <c r="D1675" s="1392" t="s">
        <v>2035</v>
      </c>
      <c r="E1675" s="1392" t="s">
        <v>1896</v>
      </c>
      <c r="F1675" s="1392" t="s">
        <v>1902</v>
      </c>
      <c r="G1675" s="1391">
        <v>2050000</v>
      </c>
    </row>
    <row r="1676" spans="1:7" x14ac:dyDescent="0.25">
      <c r="A1676" s="1392" t="s">
        <v>2576</v>
      </c>
      <c r="B1676" s="1392" t="s">
        <v>1189</v>
      </c>
      <c r="C1676" s="1392" t="s">
        <v>1933</v>
      </c>
      <c r="D1676" s="1392" t="s">
        <v>2035</v>
      </c>
      <c r="E1676" s="4536" t="s">
        <v>1912</v>
      </c>
      <c r="F1676" s="4537"/>
      <c r="G1676" s="1391">
        <v>10570000</v>
      </c>
    </row>
    <row r="1677" spans="1:7" x14ac:dyDescent="0.25">
      <c r="A1677" s="1392" t="s">
        <v>2576</v>
      </c>
      <c r="B1677" s="1392" t="s">
        <v>1189</v>
      </c>
      <c r="C1677" s="1392" t="s">
        <v>1933</v>
      </c>
      <c r="D1677" s="1392" t="s">
        <v>2035</v>
      </c>
      <c r="E1677" s="1392" t="s">
        <v>1912</v>
      </c>
      <c r="F1677" s="1392" t="s">
        <v>1915</v>
      </c>
      <c r="G1677" s="1391">
        <v>800000</v>
      </c>
    </row>
    <row r="1678" spans="1:7" x14ac:dyDescent="0.25">
      <c r="A1678" s="1392" t="s">
        <v>2576</v>
      </c>
      <c r="B1678" s="1392" t="s">
        <v>1189</v>
      </c>
      <c r="C1678" s="1392" t="s">
        <v>1933</v>
      </c>
      <c r="D1678" s="1392" t="s">
        <v>2035</v>
      </c>
      <c r="E1678" s="1392" t="s">
        <v>1912</v>
      </c>
      <c r="F1678" s="1392" t="s">
        <v>1916</v>
      </c>
      <c r="G1678" s="1391">
        <v>9770000</v>
      </c>
    </row>
    <row r="1679" spans="1:7" x14ac:dyDescent="0.25">
      <c r="A1679" s="1392" t="s">
        <v>2576</v>
      </c>
      <c r="B1679" s="1392" t="s">
        <v>1189</v>
      </c>
      <c r="C1679" s="4536" t="s">
        <v>2036</v>
      </c>
      <c r="D1679" s="4537"/>
      <c r="E1679" s="4537"/>
      <c r="F1679" s="4537"/>
      <c r="G1679" s="1391">
        <v>3472429000</v>
      </c>
    </row>
    <row r="1680" spans="1:7" x14ac:dyDescent="0.25">
      <c r="A1680" s="1392" t="s">
        <v>2576</v>
      </c>
      <c r="B1680" s="1392" t="s">
        <v>1189</v>
      </c>
      <c r="C1680" s="1392" t="s">
        <v>2036</v>
      </c>
      <c r="D1680" s="4536" t="s">
        <v>2037</v>
      </c>
      <c r="E1680" s="4537"/>
      <c r="F1680" s="4537"/>
      <c r="G1680" s="1391">
        <v>3472429000</v>
      </c>
    </row>
    <row r="1681" spans="1:7" x14ac:dyDescent="0.25">
      <c r="A1681" s="1392" t="s">
        <v>2576</v>
      </c>
      <c r="B1681" s="1392" t="s">
        <v>1189</v>
      </c>
      <c r="C1681" s="1392" t="s">
        <v>2036</v>
      </c>
      <c r="D1681" s="1392" t="s">
        <v>2037</v>
      </c>
      <c r="E1681" s="4536" t="s">
        <v>2030</v>
      </c>
      <c r="F1681" s="4537"/>
      <c r="G1681" s="1391">
        <v>829000</v>
      </c>
    </row>
    <row r="1682" spans="1:7" x14ac:dyDescent="0.25">
      <c r="A1682" s="1392" t="s">
        <v>2576</v>
      </c>
      <c r="B1682" s="1392" t="s">
        <v>1189</v>
      </c>
      <c r="C1682" s="1392" t="s">
        <v>2036</v>
      </c>
      <c r="D1682" s="1392" t="s">
        <v>2037</v>
      </c>
      <c r="E1682" s="1392" t="s">
        <v>2030</v>
      </c>
      <c r="F1682" s="1392" t="s">
        <v>2031</v>
      </c>
      <c r="G1682" s="1391">
        <v>829000</v>
      </c>
    </row>
    <row r="1683" spans="1:7" x14ac:dyDescent="0.25">
      <c r="A1683" s="1392" t="s">
        <v>2576</v>
      </c>
      <c r="B1683" s="1392" t="s">
        <v>1189</v>
      </c>
      <c r="C1683" s="1392" t="s">
        <v>2036</v>
      </c>
      <c r="D1683" s="1392" t="s">
        <v>2037</v>
      </c>
      <c r="E1683" s="4536" t="s">
        <v>2024</v>
      </c>
      <c r="F1683" s="4537"/>
      <c r="G1683" s="1391">
        <v>2863000000</v>
      </c>
    </row>
    <row r="1684" spans="1:7" x14ac:dyDescent="0.25">
      <c r="A1684" s="1392" t="s">
        <v>2576</v>
      </c>
      <c r="B1684" s="1392" t="s">
        <v>1189</v>
      </c>
      <c r="C1684" s="1392" t="s">
        <v>2036</v>
      </c>
      <c r="D1684" s="1392" t="s">
        <v>2037</v>
      </c>
      <c r="E1684" s="1392" t="s">
        <v>2024</v>
      </c>
      <c r="F1684" s="1392" t="s">
        <v>2025</v>
      </c>
      <c r="G1684" s="1391">
        <v>2863000000</v>
      </c>
    </row>
    <row r="1685" spans="1:7" x14ac:dyDescent="0.25">
      <c r="A1685" s="1392" t="s">
        <v>2576</v>
      </c>
      <c r="B1685" s="1392" t="s">
        <v>1189</v>
      </c>
      <c r="C1685" s="1392" t="s">
        <v>2036</v>
      </c>
      <c r="D1685" s="1392" t="s">
        <v>2037</v>
      </c>
      <c r="E1685" s="4536" t="s">
        <v>2046</v>
      </c>
      <c r="F1685" s="4537"/>
      <c r="G1685" s="1391">
        <v>403100000</v>
      </c>
    </row>
    <row r="1686" spans="1:7" x14ac:dyDescent="0.25">
      <c r="A1686" s="1392" t="s">
        <v>2576</v>
      </c>
      <c r="B1686" s="1392" t="s">
        <v>1189</v>
      </c>
      <c r="C1686" s="1392" t="s">
        <v>2036</v>
      </c>
      <c r="D1686" s="1392" t="s">
        <v>2037</v>
      </c>
      <c r="E1686" s="1392" t="s">
        <v>2046</v>
      </c>
      <c r="F1686" s="1392" t="s">
        <v>2047</v>
      </c>
      <c r="G1686" s="1391">
        <v>403100000</v>
      </c>
    </row>
    <row r="1687" spans="1:7" x14ac:dyDescent="0.25">
      <c r="A1687" s="1392" t="s">
        <v>2576</v>
      </c>
      <c r="B1687" s="1392" t="s">
        <v>1189</v>
      </c>
      <c r="C1687" s="1392" t="s">
        <v>2036</v>
      </c>
      <c r="D1687" s="1392" t="s">
        <v>2037</v>
      </c>
      <c r="E1687" s="4536" t="s">
        <v>2026</v>
      </c>
      <c r="F1687" s="4537"/>
      <c r="G1687" s="1391">
        <v>205500000</v>
      </c>
    </row>
    <row r="1688" spans="1:7" x14ac:dyDescent="0.25">
      <c r="A1688" s="1392" t="s">
        <v>2576</v>
      </c>
      <c r="B1688" s="1392" t="s">
        <v>1189</v>
      </c>
      <c r="C1688" s="1392" t="s">
        <v>2036</v>
      </c>
      <c r="D1688" s="1392" t="s">
        <v>2037</v>
      </c>
      <c r="E1688" s="1392" t="s">
        <v>2026</v>
      </c>
      <c r="F1688" s="1392" t="s">
        <v>2027</v>
      </c>
      <c r="G1688" s="1391">
        <v>95000000</v>
      </c>
    </row>
    <row r="1689" spans="1:7" x14ac:dyDescent="0.25">
      <c r="A1689" s="1392" t="s">
        <v>2576</v>
      </c>
      <c r="B1689" s="1392" t="s">
        <v>1189</v>
      </c>
      <c r="C1689" s="1392" t="s">
        <v>2036</v>
      </c>
      <c r="D1689" s="1392" t="s">
        <v>2037</v>
      </c>
      <c r="E1689" s="1392" t="s">
        <v>2026</v>
      </c>
      <c r="F1689" s="1392" t="s">
        <v>2028</v>
      </c>
      <c r="G1689" s="1391">
        <v>107700000</v>
      </c>
    </row>
    <row r="1690" spans="1:7" x14ac:dyDescent="0.25">
      <c r="A1690" s="1392" t="s">
        <v>2576</v>
      </c>
      <c r="B1690" s="1392" t="s">
        <v>1189</v>
      </c>
      <c r="C1690" s="1392" t="s">
        <v>2036</v>
      </c>
      <c r="D1690" s="1392" t="s">
        <v>2037</v>
      </c>
      <c r="E1690" s="1392" t="s">
        <v>2026</v>
      </c>
      <c r="F1690" s="1392" t="s">
        <v>2029</v>
      </c>
      <c r="G1690" s="1391">
        <v>2800000</v>
      </c>
    </row>
    <row r="1691" spans="1:7" x14ac:dyDescent="0.25">
      <c r="A1691" s="1392" t="s">
        <v>2576</v>
      </c>
      <c r="B1691" s="1392" t="s">
        <v>1189</v>
      </c>
      <c r="C1691" s="4536" t="s">
        <v>2038</v>
      </c>
      <c r="D1691" s="4537"/>
      <c r="E1691" s="4537"/>
      <c r="F1691" s="4537"/>
      <c r="G1691" s="1391">
        <v>2820928536</v>
      </c>
    </row>
    <row r="1692" spans="1:7" x14ac:dyDescent="0.25">
      <c r="A1692" s="1392" t="s">
        <v>2576</v>
      </c>
      <c r="B1692" s="1392" t="s">
        <v>1189</v>
      </c>
      <c r="C1692" s="1392" t="s">
        <v>2038</v>
      </c>
      <c r="D1692" s="4536" t="s">
        <v>2039</v>
      </c>
      <c r="E1692" s="4537"/>
      <c r="F1692" s="4537"/>
      <c r="G1692" s="1391">
        <v>2820928536</v>
      </c>
    </row>
    <row r="1693" spans="1:7" x14ac:dyDescent="0.25">
      <c r="A1693" s="1392" t="s">
        <v>2576</v>
      </c>
      <c r="B1693" s="1392" t="s">
        <v>1189</v>
      </c>
      <c r="C1693" s="1392" t="s">
        <v>2038</v>
      </c>
      <c r="D1693" s="1392" t="s">
        <v>2039</v>
      </c>
      <c r="E1693" s="4536" t="s">
        <v>1848</v>
      </c>
      <c r="F1693" s="4537"/>
      <c r="G1693" s="1391">
        <v>181943897</v>
      </c>
    </row>
    <row r="1694" spans="1:7" x14ac:dyDescent="0.25">
      <c r="A1694" s="1392" t="s">
        <v>2576</v>
      </c>
      <c r="B1694" s="1392" t="s">
        <v>1189</v>
      </c>
      <c r="C1694" s="1392" t="s">
        <v>2038</v>
      </c>
      <c r="D1694" s="1392" t="s">
        <v>2039</v>
      </c>
      <c r="E1694" s="1392" t="s">
        <v>1848</v>
      </c>
      <c r="F1694" s="1392" t="s">
        <v>1849</v>
      </c>
      <c r="G1694" s="1391">
        <v>181943897</v>
      </c>
    </row>
    <row r="1695" spans="1:7" x14ac:dyDescent="0.25">
      <c r="A1695" s="1392" t="s">
        <v>2576</v>
      </c>
      <c r="B1695" s="1392" t="s">
        <v>1189</v>
      </c>
      <c r="C1695" s="1392" t="s">
        <v>2038</v>
      </c>
      <c r="D1695" s="1392" t="s">
        <v>2039</v>
      </c>
      <c r="E1695" s="4536" t="s">
        <v>1851</v>
      </c>
      <c r="F1695" s="4537"/>
      <c r="G1695" s="1391">
        <v>57685050</v>
      </c>
    </row>
    <row r="1696" spans="1:7" x14ac:dyDescent="0.25">
      <c r="A1696" s="1392" t="s">
        <v>2576</v>
      </c>
      <c r="B1696" s="1392" t="s">
        <v>1189</v>
      </c>
      <c r="C1696" s="1392" t="s">
        <v>2038</v>
      </c>
      <c r="D1696" s="1392" t="s">
        <v>2039</v>
      </c>
      <c r="E1696" s="1392" t="s">
        <v>1851</v>
      </c>
      <c r="F1696" s="1392" t="s">
        <v>1852</v>
      </c>
      <c r="G1696" s="1391">
        <v>57685050</v>
      </c>
    </row>
    <row r="1697" spans="1:7" x14ac:dyDescent="0.25">
      <c r="A1697" s="1392" t="s">
        <v>2576</v>
      </c>
      <c r="B1697" s="1392" t="s">
        <v>1189</v>
      </c>
      <c r="C1697" s="1392" t="s">
        <v>2038</v>
      </c>
      <c r="D1697" s="1392" t="s">
        <v>2039</v>
      </c>
      <c r="E1697" s="4536" t="s">
        <v>1853</v>
      </c>
      <c r="F1697" s="4537"/>
      <c r="G1697" s="1391">
        <v>84448391</v>
      </c>
    </row>
    <row r="1698" spans="1:7" x14ac:dyDescent="0.25">
      <c r="A1698" s="1392" t="s">
        <v>2576</v>
      </c>
      <c r="B1698" s="1392" t="s">
        <v>1189</v>
      </c>
      <c r="C1698" s="1392" t="s">
        <v>2038</v>
      </c>
      <c r="D1698" s="1392" t="s">
        <v>2039</v>
      </c>
      <c r="E1698" s="1392" t="s">
        <v>1853</v>
      </c>
      <c r="F1698" s="1392" t="s">
        <v>1854</v>
      </c>
      <c r="G1698" s="1391">
        <v>2682000</v>
      </c>
    </row>
    <row r="1699" spans="1:7" x14ac:dyDescent="0.25">
      <c r="A1699" s="1392" t="s">
        <v>2576</v>
      </c>
      <c r="B1699" s="1392" t="s">
        <v>1189</v>
      </c>
      <c r="C1699" s="1392" t="s">
        <v>2038</v>
      </c>
      <c r="D1699" s="1392" t="s">
        <v>2039</v>
      </c>
      <c r="E1699" s="1392" t="s">
        <v>1853</v>
      </c>
      <c r="F1699" s="1392" t="s">
        <v>1855</v>
      </c>
      <c r="G1699" s="1391">
        <v>30545000</v>
      </c>
    </row>
    <row r="1700" spans="1:7" x14ac:dyDescent="0.25">
      <c r="A1700" s="1392" t="s">
        <v>2576</v>
      </c>
      <c r="B1700" s="1392" t="s">
        <v>1189</v>
      </c>
      <c r="C1700" s="1392" t="s">
        <v>2038</v>
      </c>
      <c r="D1700" s="1392" t="s">
        <v>2039</v>
      </c>
      <c r="E1700" s="1392" t="s">
        <v>1853</v>
      </c>
      <c r="F1700" s="1392" t="s">
        <v>1856</v>
      </c>
      <c r="G1700" s="1391">
        <v>27794494</v>
      </c>
    </row>
    <row r="1701" spans="1:7" x14ac:dyDescent="0.25">
      <c r="A1701" s="1392" t="s">
        <v>2576</v>
      </c>
      <c r="B1701" s="1392" t="s">
        <v>1189</v>
      </c>
      <c r="C1701" s="1392" t="s">
        <v>2038</v>
      </c>
      <c r="D1701" s="1392" t="s">
        <v>2039</v>
      </c>
      <c r="E1701" s="1392" t="s">
        <v>1853</v>
      </c>
      <c r="F1701" s="1392" t="s">
        <v>1936</v>
      </c>
      <c r="G1701" s="1391">
        <v>10728000</v>
      </c>
    </row>
    <row r="1702" spans="1:7" x14ac:dyDescent="0.25">
      <c r="A1702" s="1392" t="s">
        <v>2576</v>
      </c>
      <c r="B1702" s="1392" t="s">
        <v>1189</v>
      </c>
      <c r="C1702" s="1392" t="s">
        <v>2038</v>
      </c>
      <c r="D1702" s="1392" t="s">
        <v>2039</v>
      </c>
      <c r="E1702" s="1392" t="s">
        <v>1853</v>
      </c>
      <c r="F1702" s="1392" t="s">
        <v>1858</v>
      </c>
      <c r="G1702" s="1391">
        <v>4619000</v>
      </c>
    </row>
    <row r="1703" spans="1:7" x14ac:dyDescent="0.25">
      <c r="A1703" s="1392" t="s">
        <v>2576</v>
      </c>
      <c r="B1703" s="1392" t="s">
        <v>1189</v>
      </c>
      <c r="C1703" s="1392" t="s">
        <v>2038</v>
      </c>
      <c r="D1703" s="1392" t="s">
        <v>2039</v>
      </c>
      <c r="E1703" s="1392" t="s">
        <v>1853</v>
      </c>
      <c r="F1703" s="1392" t="s">
        <v>1929</v>
      </c>
      <c r="G1703" s="1391">
        <v>8079897</v>
      </c>
    </row>
    <row r="1704" spans="1:7" x14ac:dyDescent="0.25">
      <c r="A1704" s="1392" t="s">
        <v>2576</v>
      </c>
      <c r="B1704" s="1392" t="s">
        <v>1189</v>
      </c>
      <c r="C1704" s="1392" t="s">
        <v>2038</v>
      </c>
      <c r="D1704" s="1392" t="s">
        <v>2039</v>
      </c>
      <c r="E1704" s="4536" t="s">
        <v>1860</v>
      </c>
      <c r="F1704" s="4537"/>
      <c r="G1704" s="1391">
        <v>2250000</v>
      </c>
    </row>
    <row r="1705" spans="1:7" x14ac:dyDescent="0.25">
      <c r="A1705" s="1392" t="s">
        <v>2576</v>
      </c>
      <c r="B1705" s="1392" t="s">
        <v>1189</v>
      </c>
      <c r="C1705" s="1392" t="s">
        <v>2038</v>
      </c>
      <c r="D1705" s="1392" t="s">
        <v>2039</v>
      </c>
      <c r="E1705" s="1392" t="s">
        <v>1860</v>
      </c>
      <c r="F1705" s="1392" t="s">
        <v>1861</v>
      </c>
      <c r="G1705" s="1391">
        <v>2250000</v>
      </c>
    </row>
    <row r="1706" spans="1:7" x14ac:dyDescent="0.25">
      <c r="A1706" s="1392" t="s">
        <v>2576</v>
      </c>
      <c r="B1706" s="1392" t="s">
        <v>1189</v>
      </c>
      <c r="C1706" s="1392" t="s">
        <v>2038</v>
      </c>
      <c r="D1706" s="1392" t="s">
        <v>2039</v>
      </c>
      <c r="E1706" s="4536" t="s">
        <v>1862</v>
      </c>
      <c r="F1706" s="4537"/>
      <c r="G1706" s="1391">
        <v>58820783</v>
      </c>
    </row>
    <row r="1707" spans="1:7" x14ac:dyDescent="0.25">
      <c r="A1707" s="1392" t="s">
        <v>2576</v>
      </c>
      <c r="B1707" s="1392" t="s">
        <v>1189</v>
      </c>
      <c r="C1707" s="1392" t="s">
        <v>2038</v>
      </c>
      <c r="D1707" s="1392" t="s">
        <v>2039</v>
      </c>
      <c r="E1707" s="1392" t="s">
        <v>1862</v>
      </c>
      <c r="F1707" s="1392" t="s">
        <v>1863</v>
      </c>
      <c r="G1707" s="1391">
        <v>43802709</v>
      </c>
    </row>
    <row r="1708" spans="1:7" x14ac:dyDescent="0.25">
      <c r="A1708" s="1392" t="s">
        <v>2576</v>
      </c>
      <c r="B1708" s="1392" t="s">
        <v>1189</v>
      </c>
      <c r="C1708" s="1392" t="s">
        <v>2038</v>
      </c>
      <c r="D1708" s="1392" t="s">
        <v>2039</v>
      </c>
      <c r="E1708" s="1392" t="s">
        <v>1862</v>
      </c>
      <c r="F1708" s="1392" t="s">
        <v>1864</v>
      </c>
      <c r="G1708" s="1391">
        <v>7509037</v>
      </c>
    </row>
    <row r="1709" spans="1:7" x14ac:dyDescent="0.25">
      <c r="A1709" s="1392" t="s">
        <v>2576</v>
      </c>
      <c r="B1709" s="1392" t="s">
        <v>1189</v>
      </c>
      <c r="C1709" s="1392" t="s">
        <v>2038</v>
      </c>
      <c r="D1709" s="1392" t="s">
        <v>2039</v>
      </c>
      <c r="E1709" s="1392" t="s">
        <v>1862</v>
      </c>
      <c r="F1709" s="1392" t="s">
        <v>1865</v>
      </c>
      <c r="G1709" s="1391">
        <v>5006027</v>
      </c>
    </row>
    <row r="1710" spans="1:7" x14ac:dyDescent="0.25">
      <c r="A1710" s="1392" t="s">
        <v>2576</v>
      </c>
      <c r="B1710" s="1392" t="s">
        <v>1189</v>
      </c>
      <c r="C1710" s="1392" t="s">
        <v>2038</v>
      </c>
      <c r="D1710" s="1392" t="s">
        <v>2039</v>
      </c>
      <c r="E1710" s="1392" t="s">
        <v>1862</v>
      </c>
      <c r="F1710" s="1392" t="s">
        <v>1866</v>
      </c>
      <c r="G1710" s="1391">
        <v>2503010</v>
      </c>
    </row>
    <row r="1711" spans="1:7" x14ac:dyDescent="0.25">
      <c r="A1711" s="1392" t="s">
        <v>2576</v>
      </c>
      <c r="B1711" s="1392" t="s">
        <v>1189</v>
      </c>
      <c r="C1711" s="1392" t="s">
        <v>2038</v>
      </c>
      <c r="D1711" s="1392" t="s">
        <v>2039</v>
      </c>
      <c r="E1711" s="4536" t="s">
        <v>1867</v>
      </c>
      <c r="F1711" s="4537"/>
      <c r="G1711" s="1391">
        <v>85200778</v>
      </c>
    </row>
    <row r="1712" spans="1:7" x14ac:dyDescent="0.25">
      <c r="A1712" s="1392" t="s">
        <v>2576</v>
      </c>
      <c r="B1712" s="1392" t="s">
        <v>1189</v>
      </c>
      <c r="C1712" s="1392" t="s">
        <v>2038</v>
      </c>
      <c r="D1712" s="1392" t="s">
        <v>2039</v>
      </c>
      <c r="E1712" s="1392" t="s">
        <v>1867</v>
      </c>
      <c r="F1712" s="1392" t="s">
        <v>1868</v>
      </c>
      <c r="G1712" s="1391">
        <v>85200778</v>
      </c>
    </row>
    <row r="1713" spans="1:7" x14ac:dyDescent="0.25">
      <c r="A1713" s="1392" t="s">
        <v>2576</v>
      </c>
      <c r="B1713" s="1392" t="s">
        <v>1189</v>
      </c>
      <c r="C1713" s="1392" t="s">
        <v>2038</v>
      </c>
      <c r="D1713" s="1392" t="s">
        <v>2039</v>
      </c>
      <c r="E1713" s="4536" t="s">
        <v>1869</v>
      </c>
      <c r="F1713" s="4537"/>
      <c r="G1713" s="1391">
        <v>17752748</v>
      </c>
    </row>
    <row r="1714" spans="1:7" x14ac:dyDescent="0.25">
      <c r="A1714" s="1392" t="s">
        <v>2576</v>
      </c>
      <c r="B1714" s="1392" t="s">
        <v>1189</v>
      </c>
      <c r="C1714" s="1392" t="s">
        <v>2038</v>
      </c>
      <c r="D1714" s="1392" t="s">
        <v>2039</v>
      </c>
      <c r="E1714" s="1392" t="s">
        <v>1869</v>
      </c>
      <c r="F1714" s="1392" t="s">
        <v>1870</v>
      </c>
      <c r="G1714" s="1391">
        <v>8563376</v>
      </c>
    </row>
    <row r="1715" spans="1:7" x14ac:dyDescent="0.25">
      <c r="A1715" s="1392" t="s">
        <v>2576</v>
      </c>
      <c r="B1715" s="1392" t="s">
        <v>1189</v>
      </c>
      <c r="C1715" s="1392" t="s">
        <v>2038</v>
      </c>
      <c r="D1715" s="1392" t="s">
        <v>2039</v>
      </c>
      <c r="E1715" s="1392" t="s">
        <v>1869</v>
      </c>
      <c r="F1715" s="1392" t="s">
        <v>1871</v>
      </c>
      <c r="G1715" s="1391">
        <v>3492476</v>
      </c>
    </row>
    <row r="1716" spans="1:7" x14ac:dyDescent="0.25">
      <c r="A1716" s="1392" t="s">
        <v>2576</v>
      </c>
      <c r="B1716" s="1392" t="s">
        <v>1189</v>
      </c>
      <c r="C1716" s="1392" t="s">
        <v>2038</v>
      </c>
      <c r="D1716" s="1392" t="s">
        <v>2039</v>
      </c>
      <c r="E1716" s="1392" t="s">
        <v>1869</v>
      </c>
      <c r="F1716" s="1392" t="s">
        <v>1872</v>
      </c>
      <c r="G1716" s="1391">
        <v>5156896</v>
      </c>
    </row>
    <row r="1717" spans="1:7" x14ac:dyDescent="0.25">
      <c r="A1717" s="1392" t="s">
        <v>2576</v>
      </c>
      <c r="B1717" s="1392" t="s">
        <v>1189</v>
      </c>
      <c r="C1717" s="1392" t="s">
        <v>2038</v>
      </c>
      <c r="D1717" s="1392" t="s">
        <v>2039</v>
      </c>
      <c r="E1717" s="1392" t="s">
        <v>1869</v>
      </c>
      <c r="F1717" s="1392" t="s">
        <v>1873</v>
      </c>
      <c r="G1717" s="1391">
        <v>540000</v>
      </c>
    </row>
    <row r="1718" spans="1:7" x14ac:dyDescent="0.25">
      <c r="A1718" s="1392" t="s">
        <v>2576</v>
      </c>
      <c r="B1718" s="1392" t="s">
        <v>1189</v>
      </c>
      <c r="C1718" s="1392" t="s">
        <v>2038</v>
      </c>
      <c r="D1718" s="1392" t="s">
        <v>2039</v>
      </c>
      <c r="E1718" s="4536" t="s">
        <v>1874</v>
      </c>
      <c r="F1718" s="4537"/>
      <c r="G1718" s="1391">
        <v>20971000</v>
      </c>
    </row>
    <row r="1719" spans="1:7" x14ac:dyDescent="0.25">
      <c r="A1719" s="1392" t="s">
        <v>2576</v>
      </c>
      <c r="B1719" s="1392" t="s">
        <v>1189</v>
      </c>
      <c r="C1719" s="1392" t="s">
        <v>2038</v>
      </c>
      <c r="D1719" s="1392" t="s">
        <v>2039</v>
      </c>
      <c r="E1719" s="1392" t="s">
        <v>1874</v>
      </c>
      <c r="F1719" s="1392" t="s">
        <v>1875</v>
      </c>
      <c r="G1719" s="1391">
        <v>4289000</v>
      </c>
    </row>
    <row r="1720" spans="1:7" x14ac:dyDescent="0.25">
      <c r="A1720" s="1392" t="s">
        <v>2576</v>
      </c>
      <c r="B1720" s="1392" t="s">
        <v>1189</v>
      </c>
      <c r="C1720" s="1392" t="s">
        <v>2038</v>
      </c>
      <c r="D1720" s="1392" t="s">
        <v>2039</v>
      </c>
      <c r="E1720" s="1392" t="s">
        <v>1874</v>
      </c>
      <c r="F1720" s="1392" t="s">
        <v>1877</v>
      </c>
      <c r="G1720" s="1391">
        <v>16682000</v>
      </c>
    </row>
    <row r="1721" spans="1:7" x14ac:dyDescent="0.25">
      <c r="A1721" s="1392" t="s">
        <v>2576</v>
      </c>
      <c r="B1721" s="1392" t="s">
        <v>1189</v>
      </c>
      <c r="C1721" s="1392" t="s">
        <v>2038</v>
      </c>
      <c r="D1721" s="1392" t="s">
        <v>2039</v>
      </c>
      <c r="E1721" s="4536" t="s">
        <v>1878</v>
      </c>
      <c r="F1721" s="4537"/>
      <c r="G1721" s="1391">
        <v>63380802</v>
      </c>
    </row>
    <row r="1722" spans="1:7" x14ac:dyDescent="0.25">
      <c r="A1722" s="1392" t="s">
        <v>2576</v>
      </c>
      <c r="B1722" s="1392" t="s">
        <v>1189</v>
      </c>
      <c r="C1722" s="1392" t="s">
        <v>2038</v>
      </c>
      <c r="D1722" s="1392" t="s">
        <v>2039</v>
      </c>
      <c r="E1722" s="1392" t="s">
        <v>1878</v>
      </c>
      <c r="F1722" s="1392" t="s">
        <v>1879</v>
      </c>
      <c r="G1722" s="1391">
        <v>546615</v>
      </c>
    </row>
    <row r="1723" spans="1:7" x14ac:dyDescent="0.25">
      <c r="A1723" s="1392" t="s">
        <v>2576</v>
      </c>
      <c r="B1723" s="1392" t="s">
        <v>1189</v>
      </c>
      <c r="C1723" s="1392" t="s">
        <v>2038</v>
      </c>
      <c r="D1723" s="1392" t="s">
        <v>2039</v>
      </c>
      <c r="E1723" s="1392" t="s">
        <v>1878</v>
      </c>
      <c r="F1723" s="1392" t="s">
        <v>1880</v>
      </c>
      <c r="G1723" s="1391">
        <v>500000</v>
      </c>
    </row>
    <row r="1724" spans="1:7" x14ac:dyDescent="0.25">
      <c r="A1724" s="1392" t="s">
        <v>2576</v>
      </c>
      <c r="B1724" s="1392" t="s">
        <v>1189</v>
      </c>
      <c r="C1724" s="1392" t="s">
        <v>2038</v>
      </c>
      <c r="D1724" s="1392" t="s">
        <v>2039</v>
      </c>
      <c r="E1724" s="1392" t="s">
        <v>1878</v>
      </c>
      <c r="F1724" s="1392" t="s">
        <v>1881</v>
      </c>
      <c r="G1724" s="1391">
        <v>11087087</v>
      </c>
    </row>
    <row r="1725" spans="1:7" x14ac:dyDescent="0.25">
      <c r="A1725" s="1392" t="s">
        <v>2576</v>
      </c>
      <c r="B1725" s="1392" t="s">
        <v>1189</v>
      </c>
      <c r="C1725" s="1392" t="s">
        <v>2038</v>
      </c>
      <c r="D1725" s="1392" t="s">
        <v>2039</v>
      </c>
      <c r="E1725" s="1392" t="s">
        <v>1878</v>
      </c>
      <c r="F1725" s="1392" t="s">
        <v>1882</v>
      </c>
      <c r="G1725" s="1391">
        <v>39008000</v>
      </c>
    </row>
    <row r="1726" spans="1:7" x14ac:dyDescent="0.25">
      <c r="A1726" s="1392" t="s">
        <v>2576</v>
      </c>
      <c r="B1726" s="1392" t="s">
        <v>1189</v>
      </c>
      <c r="C1726" s="1392" t="s">
        <v>2038</v>
      </c>
      <c r="D1726" s="1392" t="s">
        <v>2039</v>
      </c>
      <c r="E1726" s="1392" t="s">
        <v>1878</v>
      </c>
      <c r="F1726" s="1392" t="s">
        <v>1883</v>
      </c>
      <c r="G1726" s="1391">
        <v>12239100</v>
      </c>
    </row>
    <row r="1727" spans="1:7" x14ac:dyDescent="0.25">
      <c r="A1727" s="1392" t="s">
        <v>2576</v>
      </c>
      <c r="B1727" s="1392" t="s">
        <v>1189</v>
      </c>
      <c r="C1727" s="1392" t="s">
        <v>2038</v>
      </c>
      <c r="D1727" s="1392" t="s">
        <v>2039</v>
      </c>
      <c r="E1727" s="4536" t="s">
        <v>1885</v>
      </c>
      <c r="F1727" s="4537"/>
      <c r="G1727" s="1391">
        <v>35240000</v>
      </c>
    </row>
    <row r="1728" spans="1:7" x14ac:dyDescent="0.25">
      <c r="A1728" s="1392" t="s">
        <v>2576</v>
      </c>
      <c r="B1728" s="1392" t="s">
        <v>1189</v>
      </c>
      <c r="C1728" s="1392" t="s">
        <v>2038</v>
      </c>
      <c r="D1728" s="1392" t="s">
        <v>2039</v>
      </c>
      <c r="E1728" s="1392" t="s">
        <v>1885</v>
      </c>
      <c r="F1728" s="1392" t="s">
        <v>1927</v>
      </c>
      <c r="G1728" s="1391">
        <v>35240000</v>
      </c>
    </row>
    <row r="1729" spans="1:7" x14ac:dyDescent="0.25">
      <c r="A1729" s="1392" t="s">
        <v>2576</v>
      </c>
      <c r="B1729" s="1392" t="s">
        <v>1189</v>
      </c>
      <c r="C1729" s="1392" t="s">
        <v>2038</v>
      </c>
      <c r="D1729" s="1392" t="s">
        <v>2039</v>
      </c>
      <c r="E1729" s="4536" t="s">
        <v>1889</v>
      </c>
      <c r="F1729" s="4537"/>
      <c r="G1729" s="1391">
        <v>43539192</v>
      </c>
    </row>
    <row r="1730" spans="1:7" x14ac:dyDescent="0.25">
      <c r="A1730" s="1392" t="s">
        <v>2576</v>
      </c>
      <c r="B1730" s="1392" t="s">
        <v>1189</v>
      </c>
      <c r="C1730" s="1392" t="s">
        <v>2038</v>
      </c>
      <c r="D1730" s="1392" t="s">
        <v>2039</v>
      </c>
      <c r="E1730" s="1392" t="s">
        <v>1889</v>
      </c>
      <c r="F1730" s="1392" t="s">
        <v>1890</v>
      </c>
      <c r="G1730" s="1391">
        <v>8300000</v>
      </c>
    </row>
    <row r="1731" spans="1:7" x14ac:dyDescent="0.25">
      <c r="A1731" s="1392" t="s">
        <v>2576</v>
      </c>
      <c r="B1731" s="1392" t="s">
        <v>1189</v>
      </c>
      <c r="C1731" s="1392" t="s">
        <v>2038</v>
      </c>
      <c r="D1731" s="1392" t="s">
        <v>2039</v>
      </c>
      <c r="E1731" s="1392" t="s">
        <v>1889</v>
      </c>
      <c r="F1731" s="1392" t="s">
        <v>1891</v>
      </c>
      <c r="G1731" s="1391">
        <v>15800000</v>
      </c>
    </row>
    <row r="1732" spans="1:7" x14ac:dyDescent="0.25">
      <c r="A1732" s="1392" t="s">
        <v>2576</v>
      </c>
      <c r="B1732" s="1392" t="s">
        <v>1189</v>
      </c>
      <c r="C1732" s="1392" t="s">
        <v>2038</v>
      </c>
      <c r="D1732" s="1392" t="s">
        <v>2039</v>
      </c>
      <c r="E1732" s="1392" t="s">
        <v>1889</v>
      </c>
      <c r="F1732" s="1392" t="s">
        <v>1892</v>
      </c>
      <c r="G1732" s="1391">
        <v>19200000</v>
      </c>
    </row>
    <row r="1733" spans="1:7" x14ac:dyDescent="0.25">
      <c r="A1733" s="1392" t="s">
        <v>2576</v>
      </c>
      <c r="B1733" s="1392" t="s">
        <v>1189</v>
      </c>
      <c r="C1733" s="1392" t="s">
        <v>2038</v>
      </c>
      <c r="D1733" s="1392" t="s">
        <v>2039</v>
      </c>
      <c r="E1733" s="1392" t="s">
        <v>1889</v>
      </c>
      <c r="F1733" s="1392" t="s">
        <v>1922</v>
      </c>
      <c r="G1733" s="1391">
        <v>239192</v>
      </c>
    </row>
    <row r="1734" spans="1:7" x14ac:dyDescent="0.25">
      <c r="A1734" s="1392" t="s">
        <v>2576</v>
      </c>
      <c r="B1734" s="1392" t="s">
        <v>1189</v>
      </c>
      <c r="C1734" s="1392" t="s">
        <v>2038</v>
      </c>
      <c r="D1734" s="1392" t="s">
        <v>2039</v>
      </c>
      <c r="E1734" s="4536" t="s">
        <v>1893</v>
      </c>
      <c r="F1734" s="4537"/>
      <c r="G1734" s="1391">
        <v>71570000</v>
      </c>
    </row>
    <row r="1735" spans="1:7" x14ac:dyDescent="0.25">
      <c r="A1735" s="1392" t="s">
        <v>2576</v>
      </c>
      <c r="B1735" s="1392" t="s">
        <v>1189</v>
      </c>
      <c r="C1735" s="1392" t="s">
        <v>2038</v>
      </c>
      <c r="D1735" s="1392" t="s">
        <v>2039</v>
      </c>
      <c r="E1735" s="1392" t="s">
        <v>1893</v>
      </c>
      <c r="F1735" s="1392" t="s">
        <v>1894</v>
      </c>
      <c r="G1735" s="1391">
        <v>6400000</v>
      </c>
    </row>
    <row r="1736" spans="1:7" x14ac:dyDescent="0.25">
      <c r="A1736" s="1392" t="s">
        <v>2576</v>
      </c>
      <c r="B1736" s="1392" t="s">
        <v>1189</v>
      </c>
      <c r="C1736" s="1392" t="s">
        <v>2038</v>
      </c>
      <c r="D1736" s="1392" t="s">
        <v>2039</v>
      </c>
      <c r="E1736" s="1392" t="s">
        <v>1893</v>
      </c>
      <c r="F1736" s="1392" t="s">
        <v>1981</v>
      </c>
      <c r="G1736" s="1391">
        <v>14000000</v>
      </c>
    </row>
    <row r="1737" spans="1:7" x14ac:dyDescent="0.25">
      <c r="A1737" s="1392" t="s">
        <v>2576</v>
      </c>
      <c r="B1737" s="1392" t="s">
        <v>1189</v>
      </c>
      <c r="C1737" s="1392" t="s">
        <v>2038</v>
      </c>
      <c r="D1737" s="1392" t="s">
        <v>2039</v>
      </c>
      <c r="E1737" s="1392" t="s">
        <v>1893</v>
      </c>
      <c r="F1737" s="1392" t="s">
        <v>2051</v>
      </c>
      <c r="G1737" s="1391">
        <v>20420000</v>
      </c>
    </row>
    <row r="1738" spans="1:7" x14ac:dyDescent="0.25">
      <c r="A1738" s="1392" t="s">
        <v>2576</v>
      </c>
      <c r="B1738" s="1392" t="s">
        <v>1189</v>
      </c>
      <c r="C1738" s="1392" t="s">
        <v>2038</v>
      </c>
      <c r="D1738" s="1392" t="s">
        <v>2039</v>
      </c>
      <c r="E1738" s="1392" t="s">
        <v>1893</v>
      </c>
      <c r="F1738" s="1392" t="s">
        <v>1895</v>
      </c>
      <c r="G1738" s="1391">
        <v>30750000</v>
      </c>
    </row>
    <row r="1739" spans="1:7" x14ac:dyDescent="0.25">
      <c r="A1739" s="1392" t="s">
        <v>2576</v>
      </c>
      <c r="B1739" s="1392" t="s">
        <v>1189</v>
      </c>
      <c r="C1739" s="1392" t="s">
        <v>2038</v>
      </c>
      <c r="D1739" s="1392" t="s">
        <v>2039</v>
      </c>
      <c r="E1739" s="4536" t="s">
        <v>1896</v>
      </c>
      <c r="F1739" s="4537"/>
      <c r="G1739" s="1391">
        <v>928789623</v>
      </c>
    </row>
    <row r="1740" spans="1:7" x14ac:dyDescent="0.25">
      <c r="A1740" s="1392" t="s">
        <v>2576</v>
      </c>
      <c r="B1740" s="1392" t="s">
        <v>1189</v>
      </c>
      <c r="C1740" s="1392" t="s">
        <v>2038</v>
      </c>
      <c r="D1740" s="1392" t="s">
        <v>2039</v>
      </c>
      <c r="E1740" s="1392" t="s">
        <v>1896</v>
      </c>
      <c r="F1740" s="1392" t="s">
        <v>2040</v>
      </c>
      <c r="G1740" s="1391">
        <v>20000000</v>
      </c>
    </row>
    <row r="1741" spans="1:7" x14ac:dyDescent="0.25">
      <c r="A1741" s="1392" t="s">
        <v>2576</v>
      </c>
      <c r="B1741" s="1392" t="s">
        <v>1189</v>
      </c>
      <c r="C1741" s="1392" t="s">
        <v>2038</v>
      </c>
      <c r="D1741" s="1392" t="s">
        <v>2039</v>
      </c>
      <c r="E1741" s="1392" t="s">
        <v>1896</v>
      </c>
      <c r="F1741" s="1392" t="s">
        <v>1900</v>
      </c>
      <c r="G1741" s="1391">
        <v>18620194</v>
      </c>
    </row>
    <row r="1742" spans="1:7" x14ac:dyDescent="0.25">
      <c r="A1742" s="1392" t="s">
        <v>2576</v>
      </c>
      <c r="B1742" s="1392" t="s">
        <v>1189</v>
      </c>
      <c r="C1742" s="1392" t="s">
        <v>2038</v>
      </c>
      <c r="D1742" s="1392" t="s">
        <v>2039</v>
      </c>
      <c r="E1742" s="1392" t="s">
        <v>1896</v>
      </c>
      <c r="F1742" s="1392" t="s">
        <v>1902</v>
      </c>
      <c r="G1742" s="1391">
        <v>890169429</v>
      </c>
    </row>
    <row r="1743" spans="1:7" x14ac:dyDescent="0.25">
      <c r="A1743" s="1392" t="s">
        <v>2576</v>
      </c>
      <c r="B1743" s="1392" t="s">
        <v>1189</v>
      </c>
      <c r="C1743" s="1392" t="s">
        <v>2038</v>
      </c>
      <c r="D1743" s="1392" t="s">
        <v>2039</v>
      </c>
      <c r="E1743" s="4536" t="s">
        <v>1906</v>
      </c>
      <c r="F1743" s="4537"/>
      <c r="G1743" s="1391">
        <v>302359400</v>
      </c>
    </row>
    <row r="1744" spans="1:7" x14ac:dyDescent="0.25">
      <c r="A1744" s="1392" t="s">
        <v>2576</v>
      </c>
      <c r="B1744" s="1392" t="s">
        <v>1189</v>
      </c>
      <c r="C1744" s="1392" t="s">
        <v>2038</v>
      </c>
      <c r="D1744" s="1392" t="s">
        <v>2039</v>
      </c>
      <c r="E1744" s="1392" t="s">
        <v>1906</v>
      </c>
      <c r="F1744" s="1392" t="s">
        <v>1907</v>
      </c>
      <c r="G1744" s="1391">
        <v>629400</v>
      </c>
    </row>
    <row r="1745" spans="1:7" x14ac:dyDescent="0.25">
      <c r="A1745" s="1392" t="s">
        <v>2576</v>
      </c>
      <c r="B1745" s="1392" t="s">
        <v>1189</v>
      </c>
      <c r="C1745" s="1392" t="s">
        <v>2038</v>
      </c>
      <c r="D1745" s="1392" t="s">
        <v>2039</v>
      </c>
      <c r="E1745" s="1392" t="s">
        <v>1906</v>
      </c>
      <c r="F1745" s="1392" t="s">
        <v>1909</v>
      </c>
      <c r="G1745" s="1391">
        <v>301730000</v>
      </c>
    </row>
    <row r="1746" spans="1:7" x14ac:dyDescent="0.25">
      <c r="A1746" s="1392" t="s">
        <v>2576</v>
      </c>
      <c r="B1746" s="1392" t="s">
        <v>1189</v>
      </c>
      <c r="C1746" s="1392" t="s">
        <v>2038</v>
      </c>
      <c r="D1746" s="1392" t="s">
        <v>2039</v>
      </c>
      <c r="E1746" s="4536" t="s">
        <v>1912</v>
      </c>
      <c r="F1746" s="4537"/>
      <c r="G1746" s="1391">
        <v>14190000</v>
      </c>
    </row>
    <row r="1747" spans="1:7" x14ac:dyDescent="0.25">
      <c r="A1747" s="1392" t="s">
        <v>2576</v>
      </c>
      <c r="B1747" s="1392" t="s">
        <v>1189</v>
      </c>
      <c r="C1747" s="1392" t="s">
        <v>2038</v>
      </c>
      <c r="D1747" s="1392" t="s">
        <v>2039</v>
      </c>
      <c r="E1747" s="1392" t="s">
        <v>1912</v>
      </c>
      <c r="F1747" s="1392" t="s">
        <v>1915</v>
      </c>
      <c r="G1747" s="1391">
        <v>5620000</v>
      </c>
    </row>
    <row r="1748" spans="1:7" x14ac:dyDescent="0.25">
      <c r="A1748" s="1392" t="s">
        <v>2576</v>
      </c>
      <c r="B1748" s="1392" t="s">
        <v>1189</v>
      </c>
      <c r="C1748" s="1392" t="s">
        <v>2038</v>
      </c>
      <c r="D1748" s="1392" t="s">
        <v>2039</v>
      </c>
      <c r="E1748" s="1392" t="s">
        <v>1912</v>
      </c>
      <c r="F1748" s="1392" t="s">
        <v>1916</v>
      </c>
      <c r="G1748" s="1391">
        <v>8570000</v>
      </c>
    </row>
    <row r="1749" spans="1:7" x14ac:dyDescent="0.25">
      <c r="A1749" s="1392" t="s">
        <v>2576</v>
      </c>
      <c r="B1749" s="1392" t="s">
        <v>1189</v>
      </c>
      <c r="C1749" s="1392" t="s">
        <v>2038</v>
      </c>
      <c r="D1749" s="1392" t="s">
        <v>2039</v>
      </c>
      <c r="E1749" s="4536" t="s">
        <v>2024</v>
      </c>
      <c r="F1749" s="4537"/>
      <c r="G1749" s="1391">
        <v>800000000</v>
      </c>
    </row>
    <row r="1750" spans="1:7" x14ac:dyDescent="0.25">
      <c r="A1750" s="1392" t="s">
        <v>2576</v>
      </c>
      <c r="B1750" s="1392" t="s">
        <v>1189</v>
      </c>
      <c r="C1750" s="1392" t="s">
        <v>2038</v>
      </c>
      <c r="D1750" s="1392" t="s">
        <v>2039</v>
      </c>
      <c r="E1750" s="1392" t="s">
        <v>2024</v>
      </c>
      <c r="F1750" s="1392" t="s">
        <v>2025</v>
      </c>
      <c r="G1750" s="1391">
        <v>800000000</v>
      </c>
    </row>
    <row r="1751" spans="1:7" x14ac:dyDescent="0.25">
      <c r="A1751" s="1392" t="s">
        <v>2576</v>
      </c>
      <c r="B1751" s="1392" t="s">
        <v>1189</v>
      </c>
      <c r="C1751" s="1392" t="s">
        <v>2038</v>
      </c>
      <c r="D1751" s="1392" t="s">
        <v>2039</v>
      </c>
      <c r="E1751" s="4536" t="s">
        <v>2026</v>
      </c>
      <c r="F1751" s="4537"/>
      <c r="G1751" s="1391">
        <v>52786872</v>
      </c>
    </row>
    <row r="1752" spans="1:7" x14ac:dyDescent="0.25">
      <c r="A1752" s="1392" t="s">
        <v>2576</v>
      </c>
      <c r="B1752" s="1392" t="s">
        <v>1189</v>
      </c>
      <c r="C1752" s="1392" t="s">
        <v>2038</v>
      </c>
      <c r="D1752" s="1392" t="s">
        <v>2039</v>
      </c>
      <c r="E1752" s="1392" t="s">
        <v>2026</v>
      </c>
      <c r="F1752" s="1392" t="s">
        <v>2028</v>
      </c>
      <c r="G1752" s="1391">
        <v>52786872</v>
      </c>
    </row>
    <row r="1753" spans="1:7" x14ac:dyDescent="0.25">
      <c r="A1753" s="1392" t="s">
        <v>2576</v>
      </c>
      <c r="B1753" s="1392" t="s">
        <v>1189</v>
      </c>
      <c r="C1753" s="4536" t="s">
        <v>2044</v>
      </c>
      <c r="D1753" s="4537"/>
      <c r="E1753" s="4537"/>
      <c r="F1753" s="4537"/>
      <c r="G1753" s="1391">
        <v>3411489619</v>
      </c>
    </row>
    <row r="1754" spans="1:7" x14ac:dyDescent="0.25">
      <c r="A1754" s="1392" t="s">
        <v>2576</v>
      </c>
      <c r="B1754" s="1392" t="s">
        <v>1189</v>
      </c>
      <c r="C1754" s="1392" t="s">
        <v>2044</v>
      </c>
      <c r="D1754" s="4536" t="s">
        <v>2045</v>
      </c>
      <c r="E1754" s="4537"/>
      <c r="F1754" s="4537"/>
      <c r="G1754" s="1391">
        <v>3411489619</v>
      </c>
    </row>
    <row r="1755" spans="1:7" x14ac:dyDescent="0.25">
      <c r="A1755" s="1392" t="s">
        <v>2576</v>
      </c>
      <c r="B1755" s="1392" t="s">
        <v>1189</v>
      </c>
      <c r="C1755" s="1392" t="s">
        <v>2044</v>
      </c>
      <c r="D1755" s="1392" t="s">
        <v>2045</v>
      </c>
      <c r="E1755" s="4536" t="s">
        <v>1848</v>
      </c>
      <c r="F1755" s="4537"/>
      <c r="G1755" s="1391">
        <v>592488964</v>
      </c>
    </row>
    <row r="1756" spans="1:7" x14ac:dyDescent="0.25">
      <c r="A1756" s="1392" t="s">
        <v>2576</v>
      </c>
      <c r="B1756" s="1392" t="s">
        <v>1189</v>
      </c>
      <c r="C1756" s="1392" t="s">
        <v>2044</v>
      </c>
      <c r="D1756" s="1392" t="s">
        <v>2045</v>
      </c>
      <c r="E1756" s="1392" t="s">
        <v>1848</v>
      </c>
      <c r="F1756" s="1392" t="s">
        <v>1849</v>
      </c>
      <c r="G1756" s="1391">
        <v>592488964</v>
      </c>
    </row>
    <row r="1757" spans="1:7" x14ac:dyDescent="0.25">
      <c r="A1757" s="1392" t="s">
        <v>2576</v>
      </c>
      <c r="B1757" s="1392" t="s">
        <v>1189</v>
      </c>
      <c r="C1757" s="1392" t="s">
        <v>2044</v>
      </c>
      <c r="D1757" s="1392" t="s">
        <v>2045</v>
      </c>
      <c r="E1757" s="4536" t="s">
        <v>1853</v>
      </c>
      <c r="F1757" s="4537"/>
      <c r="G1757" s="1391">
        <v>129114257</v>
      </c>
    </row>
    <row r="1758" spans="1:7" x14ac:dyDescent="0.25">
      <c r="A1758" s="1392" t="s">
        <v>2576</v>
      </c>
      <c r="B1758" s="1392" t="s">
        <v>1189</v>
      </c>
      <c r="C1758" s="1392" t="s">
        <v>2044</v>
      </c>
      <c r="D1758" s="1392" t="s">
        <v>2045</v>
      </c>
      <c r="E1758" s="1392" t="s">
        <v>1853</v>
      </c>
      <c r="F1758" s="1392" t="s">
        <v>1854</v>
      </c>
      <c r="G1758" s="1391">
        <v>3576000</v>
      </c>
    </row>
    <row r="1759" spans="1:7" x14ac:dyDescent="0.25">
      <c r="A1759" s="1392" t="s">
        <v>2576</v>
      </c>
      <c r="B1759" s="1392" t="s">
        <v>1189</v>
      </c>
      <c r="C1759" s="1392" t="s">
        <v>2044</v>
      </c>
      <c r="D1759" s="1392" t="s">
        <v>2045</v>
      </c>
      <c r="E1759" s="1392" t="s">
        <v>1853</v>
      </c>
      <c r="F1759" s="1392" t="s">
        <v>1855</v>
      </c>
      <c r="G1759" s="1391">
        <v>85675000</v>
      </c>
    </row>
    <row r="1760" spans="1:7" x14ac:dyDescent="0.25">
      <c r="A1760" s="1392" t="s">
        <v>2576</v>
      </c>
      <c r="B1760" s="1392" t="s">
        <v>1189</v>
      </c>
      <c r="C1760" s="1392" t="s">
        <v>2044</v>
      </c>
      <c r="D1760" s="1392" t="s">
        <v>2045</v>
      </c>
      <c r="E1760" s="1392" t="s">
        <v>1853</v>
      </c>
      <c r="F1760" s="1392" t="s">
        <v>1856</v>
      </c>
      <c r="G1760" s="1391">
        <v>26304257</v>
      </c>
    </row>
    <row r="1761" spans="1:7" x14ac:dyDescent="0.25">
      <c r="A1761" s="1392" t="s">
        <v>2576</v>
      </c>
      <c r="B1761" s="1392" t="s">
        <v>1189</v>
      </c>
      <c r="C1761" s="1392" t="s">
        <v>2044</v>
      </c>
      <c r="D1761" s="1392" t="s">
        <v>2045</v>
      </c>
      <c r="E1761" s="1392" t="s">
        <v>1853</v>
      </c>
      <c r="F1761" s="1392" t="s">
        <v>1936</v>
      </c>
      <c r="G1761" s="1391">
        <v>13559000</v>
      </c>
    </row>
    <row r="1762" spans="1:7" x14ac:dyDescent="0.25">
      <c r="A1762" s="1392" t="s">
        <v>2576</v>
      </c>
      <c r="B1762" s="1392" t="s">
        <v>1189</v>
      </c>
      <c r="C1762" s="1392" t="s">
        <v>2044</v>
      </c>
      <c r="D1762" s="1392" t="s">
        <v>2045</v>
      </c>
      <c r="E1762" s="4536" t="s">
        <v>1940</v>
      </c>
      <c r="F1762" s="4537"/>
      <c r="G1762" s="1391">
        <v>17739092</v>
      </c>
    </row>
    <row r="1763" spans="1:7" x14ac:dyDescent="0.25">
      <c r="A1763" s="1392" t="s">
        <v>2576</v>
      </c>
      <c r="B1763" s="1392" t="s">
        <v>1189</v>
      </c>
      <c r="C1763" s="1392" t="s">
        <v>2044</v>
      </c>
      <c r="D1763" s="1392" t="s">
        <v>2045</v>
      </c>
      <c r="E1763" s="1392" t="s">
        <v>1940</v>
      </c>
      <c r="F1763" s="1392" t="s">
        <v>1967</v>
      </c>
      <c r="G1763" s="1391">
        <v>17739092</v>
      </c>
    </row>
    <row r="1764" spans="1:7" x14ac:dyDescent="0.25">
      <c r="A1764" s="1392" t="s">
        <v>2576</v>
      </c>
      <c r="B1764" s="1392" t="s">
        <v>1189</v>
      </c>
      <c r="C1764" s="1392" t="s">
        <v>2044</v>
      </c>
      <c r="D1764" s="1392" t="s">
        <v>2045</v>
      </c>
      <c r="E1764" s="4536" t="s">
        <v>1860</v>
      </c>
      <c r="F1764" s="4537"/>
      <c r="G1764" s="1391">
        <v>6740000</v>
      </c>
    </row>
    <row r="1765" spans="1:7" x14ac:dyDescent="0.25">
      <c r="A1765" s="1392" t="s">
        <v>2576</v>
      </c>
      <c r="B1765" s="1392" t="s">
        <v>1189</v>
      </c>
      <c r="C1765" s="1392" t="s">
        <v>2044</v>
      </c>
      <c r="D1765" s="1392" t="s">
        <v>2045</v>
      </c>
      <c r="E1765" s="1392" t="s">
        <v>1860</v>
      </c>
      <c r="F1765" s="1392" t="s">
        <v>1861</v>
      </c>
      <c r="G1765" s="1391">
        <v>6740000</v>
      </c>
    </row>
    <row r="1766" spans="1:7" x14ac:dyDescent="0.25">
      <c r="A1766" s="1392" t="s">
        <v>2576</v>
      </c>
      <c r="B1766" s="1392" t="s">
        <v>1189</v>
      </c>
      <c r="C1766" s="1392" t="s">
        <v>2044</v>
      </c>
      <c r="D1766" s="1392" t="s">
        <v>2045</v>
      </c>
      <c r="E1766" s="4536" t="s">
        <v>1862</v>
      </c>
      <c r="F1766" s="4537"/>
      <c r="G1766" s="1391">
        <v>140228072</v>
      </c>
    </row>
    <row r="1767" spans="1:7" x14ac:dyDescent="0.25">
      <c r="A1767" s="1392" t="s">
        <v>2576</v>
      </c>
      <c r="B1767" s="1392" t="s">
        <v>1189</v>
      </c>
      <c r="C1767" s="1392" t="s">
        <v>2044</v>
      </c>
      <c r="D1767" s="1392" t="s">
        <v>2045</v>
      </c>
      <c r="E1767" s="1392" t="s">
        <v>1862</v>
      </c>
      <c r="F1767" s="1392" t="s">
        <v>1863</v>
      </c>
      <c r="G1767" s="1391">
        <v>104425160</v>
      </c>
    </row>
    <row r="1768" spans="1:7" x14ac:dyDescent="0.25">
      <c r="A1768" s="1392" t="s">
        <v>2576</v>
      </c>
      <c r="B1768" s="1392" t="s">
        <v>1189</v>
      </c>
      <c r="C1768" s="1392" t="s">
        <v>2044</v>
      </c>
      <c r="D1768" s="1392" t="s">
        <v>2045</v>
      </c>
      <c r="E1768" s="1392" t="s">
        <v>1862</v>
      </c>
      <c r="F1768" s="1392" t="s">
        <v>1864</v>
      </c>
      <c r="G1768" s="1391">
        <v>17901456</v>
      </c>
    </row>
    <row r="1769" spans="1:7" x14ac:dyDescent="0.25">
      <c r="A1769" s="1392" t="s">
        <v>2576</v>
      </c>
      <c r="B1769" s="1392" t="s">
        <v>1189</v>
      </c>
      <c r="C1769" s="1392" t="s">
        <v>2044</v>
      </c>
      <c r="D1769" s="1392" t="s">
        <v>2045</v>
      </c>
      <c r="E1769" s="1392" t="s">
        <v>1862</v>
      </c>
      <c r="F1769" s="1392" t="s">
        <v>1865</v>
      </c>
      <c r="G1769" s="1391">
        <v>11934304</v>
      </c>
    </row>
    <row r="1770" spans="1:7" x14ac:dyDescent="0.25">
      <c r="A1770" s="1392" t="s">
        <v>2576</v>
      </c>
      <c r="B1770" s="1392" t="s">
        <v>1189</v>
      </c>
      <c r="C1770" s="1392" t="s">
        <v>2044</v>
      </c>
      <c r="D1770" s="1392" t="s">
        <v>2045</v>
      </c>
      <c r="E1770" s="1392" t="s">
        <v>1862</v>
      </c>
      <c r="F1770" s="1392" t="s">
        <v>1866</v>
      </c>
      <c r="G1770" s="1391">
        <v>5967152</v>
      </c>
    </row>
    <row r="1771" spans="1:7" x14ac:dyDescent="0.25">
      <c r="A1771" s="1392" t="s">
        <v>2576</v>
      </c>
      <c r="B1771" s="1392" t="s">
        <v>1189</v>
      </c>
      <c r="C1771" s="1392" t="s">
        <v>2044</v>
      </c>
      <c r="D1771" s="1392" t="s">
        <v>2045</v>
      </c>
      <c r="E1771" s="4536" t="s">
        <v>1867</v>
      </c>
      <c r="F1771" s="4537"/>
      <c r="G1771" s="1391">
        <v>33874041</v>
      </c>
    </row>
    <row r="1772" spans="1:7" x14ac:dyDescent="0.25">
      <c r="A1772" s="1392" t="s">
        <v>2576</v>
      </c>
      <c r="B1772" s="1392" t="s">
        <v>1189</v>
      </c>
      <c r="C1772" s="1392" t="s">
        <v>2044</v>
      </c>
      <c r="D1772" s="1392" t="s">
        <v>2045</v>
      </c>
      <c r="E1772" s="1392" t="s">
        <v>1867</v>
      </c>
      <c r="F1772" s="1392" t="s">
        <v>1868</v>
      </c>
      <c r="G1772" s="1391">
        <v>33874041</v>
      </c>
    </row>
    <row r="1773" spans="1:7" x14ac:dyDescent="0.25">
      <c r="A1773" s="1392" t="s">
        <v>2576</v>
      </c>
      <c r="B1773" s="1392" t="s">
        <v>1189</v>
      </c>
      <c r="C1773" s="1392" t="s">
        <v>2044</v>
      </c>
      <c r="D1773" s="1392" t="s">
        <v>2045</v>
      </c>
      <c r="E1773" s="4536" t="s">
        <v>1869</v>
      </c>
      <c r="F1773" s="4537"/>
      <c r="G1773" s="1391">
        <v>35168219</v>
      </c>
    </row>
    <row r="1774" spans="1:7" x14ac:dyDescent="0.25">
      <c r="A1774" s="1392" t="s">
        <v>2576</v>
      </c>
      <c r="B1774" s="1392" t="s">
        <v>1189</v>
      </c>
      <c r="C1774" s="1392" t="s">
        <v>2044</v>
      </c>
      <c r="D1774" s="1392" t="s">
        <v>2045</v>
      </c>
      <c r="E1774" s="1392" t="s">
        <v>1869</v>
      </c>
      <c r="F1774" s="1392" t="s">
        <v>1870</v>
      </c>
      <c r="G1774" s="1391">
        <v>31835625</v>
      </c>
    </row>
    <row r="1775" spans="1:7" x14ac:dyDescent="0.25">
      <c r="A1775" s="1392" t="s">
        <v>2576</v>
      </c>
      <c r="B1775" s="1392" t="s">
        <v>1189</v>
      </c>
      <c r="C1775" s="1392" t="s">
        <v>2044</v>
      </c>
      <c r="D1775" s="1392" t="s">
        <v>2045</v>
      </c>
      <c r="E1775" s="1392" t="s">
        <v>1869</v>
      </c>
      <c r="F1775" s="1392" t="s">
        <v>1871</v>
      </c>
      <c r="G1775" s="1391">
        <v>1828794</v>
      </c>
    </row>
    <row r="1776" spans="1:7" x14ac:dyDescent="0.25">
      <c r="A1776" s="1392" t="s">
        <v>2576</v>
      </c>
      <c r="B1776" s="1392" t="s">
        <v>1189</v>
      </c>
      <c r="C1776" s="1392" t="s">
        <v>2044</v>
      </c>
      <c r="D1776" s="1392" t="s">
        <v>2045</v>
      </c>
      <c r="E1776" s="1392" t="s">
        <v>1869</v>
      </c>
      <c r="F1776" s="1392" t="s">
        <v>1872</v>
      </c>
      <c r="G1776" s="1391">
        <v>963800</v>
      </c>
    </row>
    <row r="1777" spans="1:7" x14ac:dyDescent="0.25">
      <c r="A1777" s="1392" t="s">
        <v>2576</v>
      </c>
      <c r="B1777" s="1392" t="s">
        <v>1189</v>
      </c>
      <c r="C1777" s="1392" t="s">
        <v>2044</v>
      </c>
      <c r="D1777" s="1392" t="s">
        <v>2045</v>
      </c>
      <c r="E1777" s="1392" t="s">
        <v>1869</v>
      </c>
      <c r="F1777" s="1392" t="s">
        <v>1873</v>
      </c>
      <c r="G1777" s="1391">
        <v>540000</v>
      </c>
    </row>
    <row r="1778" spans="1:7" ht="15" customHeight="1" x14ac:dyDescent="0.25">
      <c r="A1778" s="1392" t="s">
        <v>2576</v>
      </c>
      <c r="B1778" s="1392" t="s">
        <v>1189</v>
      </c>
      <c r="C1778" s="1392" t="s">
        <v>2044</v>
      </c>
      <c r="D1778" s="1392" t="s">
        <v>2045</v>
      </c>
      <c r="E1778" s="4536" t="s">
        <v>1874</v>
      </c>
      <c r="F1778" s="4537"/>
      <c r="G1778" s="1391">
        <v>8305000</v>
      </c>
    </row>
    <row r="1779" spans="1:7" ht="17.25" customHeight="1" x14ac:dyDescent="0.25">
      <c r="A1779" s="1392" t="s">
        <v>2576</v>
      </c>
      <c r="B1779" s="1392" t="s">
        <v>1189</v>
      </c>
      <c r="C1779" s="1392" t="s">
        <v>2044</v>
      </c>
      <c r="D1779" s="1392" t="s">
        <v>2045</v>
      </c>
      <c r="E1779" s="1392" t="s">
        <v>1874</v>
      </c>
      <c r="F1779" s="1392" t="s">
        <v>1875</v>
      </c>
      <c r="G1779" s="1391">
        <v>1305000</v>
      </c>
    </row>
    <row r="1780" spans="1:7" ht="24" customHeight="1" x14ac:dyDescent="0.25">
      <c r="A1780" s="1392" t="s">
        <v>2576</v>
      </c>
      <c r="B1780" s="1392" t="s">
        <v>1189</v>
      </c>
      <c r="C1780" s="1392" t="s">
        <v>2044</v>
      </c>
      <c r="D1780" s="1392" t="s">
        <v>2045</v>
      </c>
      <c r="E1780" s="1392" t="s">
        <v>1874</v>
      </c>
      <c r="F1780" s="1392" t="s">
        <v>1876</v>
      </c>
      <c r="G1780" s="1391">
        <v>4950000</v>
      </c>
    </row>
    <row r="1781" spans="1:7" x14ac:dyDescent="0.25">
      <c r="A1781" s="1392" t="s">
        <v>2576</v>
      </c>
      <c r="B1781" s="1392" t="s">
        <v>1189</v>
      </c>
      <c r="C1781" s="1392" t="s">
        <v>2044</v>
      </c>
      <c r="D1781" s="1392" t="s">
        <v>2045</v>
      </c>
      <c r="E1781" s="1392" t="s">
        <v>1874</v>
      </c>
      <c r="F1781" s="1392" t="s">
        <v>1877</v>
      </c>
      <c r="G1781" s="1391">
        <v>2050000</v>
      </c>
    </row>
    <row r="1782" spans="1:7" x14ac:dyDescent="0.25">
      <c r="A1782" s="1392" t="s">
        <v>2576</v>
      </c>
      <c r="B1782" s="1392" t="s">
        <v>1189</v>
      </c>
      <c r="C1782" s="1392" t="s">
        <v>2044</v>
      </c>
      <c r="D1782" s="1392" t="s">
        <v>2045</v>
      </c>
      <c r="E1782" s="4536" t="s">
        <v>1878</v>
      </c>
      <c r="F1782" s="4537"/>
      <c r="G1782" s="1391">
        <v>594220</v>
      </c>
    </row>
    <row r="1783" spans="1:7" x14ac:dyDescent="0.25">
      <c r="A1783" s="1392" t="s">
        <v>2576</v>
      </c>
      <c r="B1783" s="1392" t="s">
        <v>1189</v>
      </c>
      <c r="C1783" s="1392" t="s">
        <v>2044</v>
      </c>
      <c r="D1783" s="1392" t="s">
        <v>2045</v>
      </c>
      <c r="E1783" s="1392" t="s">
        <v>1878</v>
      </c>
      <c r="F1783" s="1392" t="s">
        <v>1879</v>
      </c>
      <c r="G1783" s="1391">
        <v>44000</v>
      </c>
    </row>
    <row r="1784" spans="1:7" x14ac:dyDescent="0.25">
      <c r="A1784" s="1392" t="s">
        <v>2576</v>
      </c>
      <c r="B1784" s="1392" t="s">
        <v>1189</v>
      </c>
      <c r="C1784" s="1392" t="s">
        <v>2044</v>
      </c>
      <c r="D1784" s="1392" t="s">
        <v>2045</v>
      </c>
      <c r="E1784" s="1392" t="s">
        <v>1878</v>
      </c>
      <c r="F1784" s="1392" t="s">
        <v>1881</v>
      </c>
      <c r="G1784" s="1391">
        <v>550220</v>
      </c>
    </row>
    <row r="1785" spans="1:7" x14ac:dyDescent="0.25">
      <c r="A1785" s="1392" t="s">
        <v>2576</v>
      </c>
      <c r="B1785" s="1392" t="s">
        <v>1189</v>
      </c>
      <c r="C1785" s="1392" t="s">
        <v>2044</v>
      </c>
      <c r="D1785" s="1392" t="s">
        <v>2045</v>
      </c>
      <c r="E1785" s="4536" t="s">
        <v>1889</v>
      </c>
      <c r="F1785" s="4537"/>
      <c r="G1785" s="1391">
        <v>46428192</v>
      </c>
    </row>
    <row r="1786" spans="1:7" x14ac:dyDescent="0.25">
      <c r="A1786" s="1392" t="s">
        <v>2576</v>
      </c>
      <c r="B1786" s="1392" t="s">
        <v>1189</v>
      </c>
      <c r="C1786" s="1392" t="s">
        <v>2044</v>
      </c>
      <c r="D1786" s="1392" t="s">
        <v>2045</v>
      </c>
      <c r="E1786" s="1392" t="s">
        <v>1889</v>
      </c>
      <c r="F1786" s="1392" t="s">
        <v>1890</v>
      </c>
      <c r="G1786" s="1391">
        <v>3000000</v>
      </c>
    </row>
    <row r="1787" spans="1:7" x14ac:dyDescent="0.25">
      <c r="A1787" s="1392" t="s">
        <v>2576</v>
      </c>
      <c r="B1787" s="1392" t="s">
        <v>1189</v>
      </c>
      <c r="C1787" s="1392" t="s">
        <v>2044</v>
      </c>
      <c r="D1787" s="1392" t="s">
        <v>2045</v>
      </c>
      <c r="E1787" s="1392" t="s">
        <v>1889</v>
      </c>
      <c r="F1787" s="1392" t="s">
        <v>1891</v>
      </c>
      <c r="G1787" s="1391">
        <v>1750000</v>
      </c>
    </row>
    <row r="1788" spans="1:7" x14ac:dyDescent="0.25">
      <c r="A1788" s="1392" t="s">
        <v>2576</v>
      </c>
      <c r="B1788" s="1392" t="s">
        <v>1189</v>
      </c>
      <c r="C1788" s="1392" t="s">
        <v>2044</v>
      </c>
      <c r="D1788" s="1392" t="s">
        <v>2045</v>
      </c>
      <c r="E1788" s="1392" t="s">
        <v>1889</v>
      </c>
      <c r="F1788" s="1392" t="s">
        <v>1892</v>
      </c>
      <c r="G1788" s="1391">
        <v>41200000</v>
      </c>
    </row>
    <row r="1789" spans="1:7" x14ac:dyDescent="0.25">
      <c r="A1789" s="1392" t="s">
        <v>2576</v>
      </c>
      <c r="B1789" s="1392" t="s">
        <v>1189</v>
      </c>
      <c r="C1789" s="1392" t="s">
        <v>2044</v>
      </c>
      <c r="D1789" s="1392" t="s">
        <v>2045</v>
      </c>
      <c r="E1789" s="1392" t="s">
        <v>1889</v>
      </c>
      <c r="F1789" s="1392" t="s">
        <v>1922</v>
      </c>
      <c r="G1789" s="1391">
        <v>478192</v>
      </c>
    </row>
    <row r="1790" spans="1:7" x14ac:dyDescent="0.25">
      <c r="A1790" s="1392" t="s">
        <v>2576</v>
      </c>
      <c r="B1790" s="1392" t="s">
        <v>1189</v>
      </c>
      <c r="C1790" s="1392" t="s">
        <v>2044</v>
      </c>
      <c r="D1790" s="1392" t="s">
        <v>2045</v>
      </c>
      <c r="E1790" s="4536" t="s">
        <v>1893</v>
      </c>
      <c r="F1790" s="4537"/>
      <c r="G1790" s="1391">
        <v>7500000</v>
      </c>
    </row>
    <row r="1791" spans="1:7" x14ac:dyDescent="0.25">
      <c r="A1791" s="1392" t="s">
        <v>2576</v>
      </c>
      <c r="B1791" s="1392" t="s">
        <v>1189</v>
      </c>
      <c r="C1791" s="1392" t="s">
        <v>2044</v>
      </c>
      <c r="D1791" s="1392" t="s">
        <v>2045</v>
      </c>
      <c r="E1791" s="1392" t="s">
        <v>1893</v>
      </c>
      <c r="F1791" s="1392" t="s">
        <v>1895</v>
      </c>
      <c r="G1791" s="1391">
        <v>7500000</v>
      </c>
    </row>
    <row r="1792" spans="1:7" x14ac:dyDescent="0.25">
      <c r="A1792" s="1392" t="s">
        <v>2576</v>
      </c>
      <c r="B1792" s="1392" t="s">
        <v>1189</v>
      </c>
      <c r="C1792" s="1392" t="s">
        <v>2044</v>
      </c>
      <c r="D1792" s="1392" t="s">
        <v>2045</v>
      </c>
      <c r="E1792" s="4536" t="s">
        <v>1896</v>
      </c>
      <c r="F1792" s="4537"/>
      <c r="G1792" s="1391">
        <v>34140000</v>
      </c>
    </row>
    <row r="1793" spans="1:7" x14ac:dyDescent="0.25">
      <c r="A1793" s="1392" t="s">
        <v>2576</v>
      </c>
      <c r="B1793" s="1392" t="s">
        <v>1189</v>
      </c>
      <c r="C1793" s="1392" t="s">
        <v>2044</v>
      </c>
      <c r="D1793" s="1392" t="s">
        <v>2045</v>
      </c>
      <c r="E1793" s="1392" t="s">
        <v>1896</v>
      </c>
      <c r="F1793" s="1392" t="s">
        <v>1900</v>
      </c>
      <c r="G1793" s="1391">
        <v>11790000</v>
      </c>
    </row>
    <row r="1794" spans="1:7" x14ac:dyDescent="0.25">
      <c r="A1794" s="1392" t="s">
        <v>2576</v>
      </c>
      <c r="B1794" s="1392" t="s">
        <v>1189</v>
      </c>
      <c r="C1794" s="1392" t="s">
        <v>2044</v>
      </c>
      <c r="D1794" s="1392" t="s">
        <v>2045</v>
      </c>
      <c r="E1794" s="1392" t="s">
        <v>1896</v>
      </c>
      <c r="F1794" s="1392" t="s">
        <v>1901</v>
      </c>
      <c r="G1794" s="1391">
        <v>6140000</v>
      </c>
    </row>
    <row r="1795" spans="1:7" x14ac:dyDescent="0.25">
      <c r="A1795" s="1392" t="s">
        <v>2576</v>
      </c>
      <c r="B1795" s="1392" t="s">
        <v>1189</v>
      </c>
      <c r="C1795" s="1392" t="s">
        <v>2044</v>
      </c>
      <c r="D1795" s="1392" t="s">
        <v>2045</v>
      </c>
      <c r="E1795" s="1392" t="s">
        <v>1896</v>
      </c>
      <c r="F1795" s="1392" t="s">
        <v>1902</v>
      </c>
      <c r="G1795" s="1391">
        <v>16210000</v>
      </c>
    </row>
    <row r="1796" spans="1:7" ht="13.9" customHeight="1" x14ac:dyDescent="0.25">
      <c r="A1796" s="1392" t="s">
        <v>2576</v>
      </c>
      <c r="B1796" s="1392" t="s">
        <v>1189</v>
      </c>
      <c r="C1796" s="1392" t="s">
        <v>2044</v>
      </c>
      <c r="D1796" s="1392" t="s">
        <v>2045</v>
      </c>
      <c r="E1796" s="4536" t="s">
        <v>1906</v>
      </c>
      <c r="F1796" s="4537"/>
      <c r="G1796" s="1391">
        <v>4900000</v>
      </c>
    </row>
    <row r="1797" spans="1:7" ht="16.149999999999999" customHeight="1" x14ac:dyDescent="0.25">
      <c r="A1797" s="1392" t="s">
        <v>2576</v>
      </c>
      <c r="B1797" s="1392" t="s">
        <v>1189</v>
      </c>
      <c r="C1797" s="1392" t="s">
        <v>2044</v>
      </c>
      <c r="D1797" s="1392" t="s">
        <v>2045</v>
      </c>
      <c r="E1797" s="1392" t="s">
        <v>1906</v>
      </c>
      <c r="F1797" s="1392" t="s">
        <v>1909</v>
      </c>
      <c r="G1797" s="1391">
        <v>4900000</v>
      </c>
    </row>
    <row r="1798" spans="1:7" ht="18" customHeight="1" x14ac:dyDescent="0.25">
      <c r="A1798" s="1392" t="s">
        <v>2576</v>
      </c>
      <c r="B1798" s="1392" t="s">
        <v>1189</v>
      </c>
      <c r="C1798" s="1392" t="s">
        <v>2044</v>
      </c>
      <c r="D1798" s="1392" t="s">
        <v>2045</v>
      </c>
      <c r="E1798" s="4536" t="s">
        <v>1912</v>
      </c>
      <c r="F1798" s="4537"/>
      <c r="G1798" s="1391">
        <v>10994300</v>
      </c>
    </row>
    <row r="1799" spans="1:7" x14ac:dyDescent="0.25">
      <c r="A1799" s="1392" t="s">
        <v>2576</v>
      </c>
      <c r="B1799" s="1392" t="s">
        <v>1189</v>
      </c>
      <c r="C1799" s="1392" t="s">
        <v>2044</v>
      </c>
      <c r="D1799" s="1392" t="s">
        <v>2045</v>
      </c>
      <c r="E1799" s="1392" t="s">
        <v>1912</v>
      </c>
      <c r="F1799" s="1392" t="s">
        <v>1913</v>
      </c>
      <c r="G1799" s="1391">
        <v>6098000</v>
      </c>
    </row>
    <row r="1800" spans="1:7" x14ac:dyDescent="0.25">
      <c r="A1800" s="1392" t="s">
        <v>2576</v>
      </c>
      <c r="B1800" s="1392" t="s">
        <v>1189</v>
      </c>
      <c r="C1800" s="1392" t="s">
        <v>2044</v>
      </c>
      <c r="D1800" s="1392" t="s">
        <v>2045</v>
      </c>
      <c r="E1800" s="1392" t="s">
        <v>1912</v>
      </c>
      <c r="F1800" s="1392" t="s">
        <v>1914</v>
      </c>
      <c r="G1800" s="1391">
        <v>1026300</v>
      </c>
    </row>
    <row r="1801" spans="1:7" x14ac:dyDescent="0.25">
      <c r="A1801" s="1392" t="s">
        <v>2576</v>
      </c>
      <c r="B1801" s="1392" t="s">
        <v>1189</v>
      </c>
      <c r="C1801" s="1392" t="s">
        <v>2044</v>
      </c>
      <c r="D1801" s="1392" t="s">
        <v>2045</v>
      </c>
      <c r="E1801" s="1392" t="s">
        <v>1912</v>
      </c>
      <c r="F1801" s="1392" t="s">
        <v>1915</v>
      </c>
      <c r="G1801" s="1391">
        <v>2400000</v>
      </c>
    </row>
    <row r="1802" spans="1:7" x14ac:dyDescent="0.25">
      <c r="A1802" s="1392" t="s">
        <v>2576</v>
      </c>
      <c r="B1802" s="1392" t="s">
        <v>1189</v>
      </c>
      <c r="C1802" s="1392" t="s">
        <v>2044</v>
      </c>
      <c r="D1802" s="1392" t="s">
        <v>2045</v>
      </c>
      <c r="E1802" s="1392" t="s">
        <v>1912</v>
      </c>
      <c r="F1802" s="1392" t="s">
        <v>1916</v>
      </c>
      <c r="G1802" s="1391">
        <v>1470000</v>
      </c>
    </row>
    <row r="1803" spans="1:7" x14ac:dyDescent="0.25">
      <c r="A1803" s="1392" t="s">
        <v>2576</v>
      </c>
      <c r="B1803" s="1392" t="s">
        <v>1189</v>
      </c>
      <c r="C1803" s="1392" t="s">
        <v>2044</v>
      </c>
      <c r="D1803" s="1392" t="s">
        <v>2045</v>
      </c>
      <c r="E1803" s="4536" t="s">
        <v>2030</v>
      </c>
      <c r="F1803" s="4537"/>
      <c r="G1803" s="1391">
        <v>36958285</v>
      </c>
    </row>
    <row r="1804" spans="1:7" x14ac:dyDescent="0.25">
      <c r="A1804" s="1392" t="s">
        <v>2576</v>
      </c>
      <c r="B1804" s="1392" t="s">
        <v>1189</v>
      </c>
      <c r="C1804" s="1392" t="s">
        <v>2044</v>
      </c>
      <c r="D1804" s="1392" t="s">
        <v>2045</v>
      </c>
      <c r="E1804" s="1392" t="s">
        <v>2030</v>
      </c>
      <c r="F1804" s="1392" t="s">
        <v>2031</v>
      </c>
      <c r="G1804" s="1391">
        <v>36958285</v>
      </c>
    </row>
    <row r="1805" spans="1:7" x14ac:dyDescent="0.25">
      <c r="A1805" s="1392" t="s">
        <v>2576</v>
      </c>
      <c r="B1805" s="1392" t="s">
        <v>1189</v>
      </c>
      <c r="C1805" s="1392" t="s">
        <v>2044</v>
      </c>
      <c r="D1805" s="1392" t="s">
        <v>2045</v>
      </c>
      <c r="E1805" s="4536" t="s">
        <v>2024</v>
      </c>
      <c r="F1805" s="4537"/>
      <c r="G1805" s="1391">
        <v>389014465</v>
      </c>
    </row>
    <row r="1806" spans="1:7" x14ac:dyDescent="0.25">
      <c r="A1806" s="1392" t="s">
        <v>2576</v>
      </c>
      <c r="B1806" s="1392" t="s">
        <v>1189</v>
      </c>
      <c r="C1806" s="1392" t="s">
        <v>2044</v>
      </c>
      <c r="D1806" s="1392" t="s">
        <v>2045</v>
      </c>
      <c r="E1806" s="1392" t="s">
        <v>2024</v>
      </c>
      <c r="F1806" s="1392" t="s">
        <v>2025</v>
      </c>
      <c r="G1806" s="1391">
        <v>389014465</v>
      </c>
    </row>
    <row r="1807" spans="1:7" x14ac:dyDescent="0.25">
      <c r="A1807" s="1392" t="s">
        <v>2576</v>
      </c>
      <c r="B1807" s="1392" t="s">
        <v>1189</v>
      </c>
      <c r="C1807" s="1392" t="s">
        <v>2044</v>
      </c>
      <c r="D1807" s="1392" t="s">
        <v>2045</v>
      </c>
      <c r="E1807" s="4536" t="s">
        <v>2046</v>
      </c>
      <c r="F1807" s="4537"/>
      <c r="G1807" s="1391">
        <v>1714509562</v>
      </c>
    </row>
    <row r="1808" spans="1:7" x14ac:dyDescent="0.25">
      <c r="A1808" s="1392" t="s">
        <v>2576</v>
      </c>
      <c r="B1808" s="1392" t="s">
        <v>1189</v>
      </c>
      <c r="C1808" s="1392" t="s">
        <v>2044</v>
      </c>
      <c r="D1808" s="1392" t="s">
        <v>2045</v>
      </c>
      <c r="E1808" s="1392" t="s">
        <v>2046</v>
      </c>
      <c r="F1808" s="1392" t="s">
        <v>2047</v>
      </c>
      <c r="G1808" s="1391">
        <v>1714509562</v>
      </c>
    </row>
    <row r="1809" spans="1:7" x14ac:dyDescent="0.25">
      <c r="A1809" s="1392" t="s">
        <v>2576</v>
      </c>
      <c r="B1809" s="1392" t="s">
        <v>1189</v>
      </c>
      <c r="C1809" s="1392" t="s">
        <v>2044</v>
      </c>
      <c r="D1809" s="1392" t="s">
        <v>2045</v>
      </c>
      <c r="E1809" s="4536" t="s">
        <v>2026</v>
      </c>
      <c r="F1809" s="4537"/>
      <c r="G1809" s="1391">
        <v>202792950</v>
      </c>
    </row>
    <row r="1810" spans="1:7" x14ac:dyDescent="0.25">
      <c r="A1810" s="1392" t="s">
        <v>2576</v>
      </c>
      <c r="B1810" s="1392" t="s">
        <v>1189</v>
      </c>
      <c r="C1810" s="1392" t="s">
        <v>2044</v>
      </c>
      <c r="D1810" s="1392" t="s">
        <v>2045</v>
      </c>
      <c r="E1810" s="1392" t="s">
        <v>2026</v>
      </c>
      <c r="F1810" s="1392" t="s">
        <v>2027</v>
      </c>
      <c r="G1810" s="1391">
        <v>33594300</v>
      </c>
    </row>
    <row r="1811" spans="1:7" x14ac:dyDescent="0.25">
      <c r="A1811" s="1392" t="s">
        <v>2576</v>
      </c>
      <c r="B1811" s="1392" t="s">
        <v>1189</v>
      </c>
      <c r="C1811" s="1392" t="s">
        <v>2044</v>
      </c>
      <c r="D1811" s="1392" t="s">
        <v>2045</v>
      </c>
      <c r="E1811" s="1392" t="s">
        <v>2026</v>
      </c>
      <c r="F1811" s="1392" t="s">
        <v>2028</v>
      </c>
      <c r="G1811" s="1391">
        <v>169198650</v>
      </c>
    </row>
    <row r="1812" spans="1:7" x14ac:dyDescent="0.25">
      <c r="A1812" s="1392" t="s">
        <v>2576</v>
      </c>
      <c r="B1812" s="1392" t="s">
        <v>1189</v>
      </c>
      <c r="C1812" s="4536" t="s">
        <v>2048</v>
      </c>
      <c r="D1812" s="4537"/>
      <c r="E1812" s="4537"/>
      <c r="F1812" s="4537"/>
      <c r="G1812" s="1391">
        <v>1483032115</v>
      </c>
    </row>
    <row r="1813" spans="1:7" x14ac:dyDescent="0.25">
      <c r="A1813" s="1392" t="s">
        <v>2576</v>
      </c>
      <c r="B1813" s="1392" t="s">
        <v>1189</v>
      </c>
      <c r="C1813" s="1392" t="s">
        <v>2048</v>
      </c>
      <c r="D1813" s="4536" t="s">
        <v>2049</v>
      </c>
      <c r="E1813" s="4537"/>
      <c r="F1813" s="4537"/>
      <c r="G1813" s="1391">
        <v>1483032115</v>
      </c>
    </row>
    <row r="1814" spans="1:7" x14ac:dyDescent="0.25">
      <c r="A1814" s="1392" t="s">
        <v>2576</v>
      </c>
      <c r="B1814" s="1392" t="s">
        <v>1189</v>
      </c>
      <c r="C1814" s="1392" t="s">
        <v>2048</v>
      </c>
      <c r="D1814" s="1392" t="s">
        <v>2049</v>
      </c>
      <c r="E1814" s="4536" t="s">
        <v>1848</v>
      </c>
      <c r="F1814" s="4537"/>
      <c r="G1814" s="1391">
        <v>51673205</v>
      </c>
    </row>
    <row r="1815" spans="1:7" x14ac:dyDescent="0.25">
      <c r="A1815" s="1392" t="s">
        <v>2576</v>
      </c>
      <c r="B1815" s="1392" t="s">
        <v>1189</v>
      </c>
      <c r="C1815" s="1392" t="s">
        <v>2048</v>
      </c>
      <c r="D1815" s="1392" t="s">
        <v>2049</v>
      </c>
      <c r="E1815" s="1392" t="s">
        <v>1848</v>
      </c>
      <c r="F1815" s="1392" t="s">
        <v>1849</v>
      </c>
      <c r="G1815" s="1391">
        <v>51673205</v>
      </c>
    </row>
    <row r="1816" spans="1:7" x14ac:dyDescent="0.25">
      <c r="A1816" s="1392" t="s">
        <v>2576</v>
      </c>
      <c r="B1816" s="1392" t="s">
        <v>1189</v>
      </c>
      <c r="C1816" s="1392" t="s">
        <v>2048</v>
      </c>
      <c r="D1816" s="1392" t="s">
        <v>2049</v>
      </c>
      <c r="E1816" s="4536" t="s">
        <v>1853</v>
      </c>
      <c r="F1816" s="4537"/>
      <c r="G1816" s="1391">
        <v>9584086</v>
      </c>
    </row>
    <row r="1817" spans="1:7" x14ac:dyDescent="0.25">
      <c r="A1817" s="1392" t="s">
        <v>2576</v>
      </c>
      <c r="B1817" s="1392" t="s">
        <v>1189</v>
      </c>
      <c r="C1817" s="1392" t="s">
        <v>2048</v>
      </c>
      <c r="D1817" s="1392" t="s">
        <v>2049</v>
      </c>
      <c r="E1817" s="1392" t="s">
        <v>1853</v>
      </c>
      <c r="F1817" s="1392" t="s">
        <v>1855</v>
      </c>
      <c r="G1817" s="1391">
        <v>8940000</v>
      </c>
    </row>
    <row r="1818" spans="1:7" x14ac:dyDescent="0.25">
      <c r="A1818" s="1392" t="s">
        <v>2576</v>
      </c>
      <c r="B1818" s="1392" t="s">
        <v>1189</v>
      </c>
      <c r="C1818" s="1392" t="s">
        <v>2048</v>
      </c>
      <c r="D1818" s="1392" t="s">
        <v>2049</v>
      </c>
      <c r="E1818" s="1392" t="s">
        <v>1853</v>
      </c>
      <c r="F1818" s="1392" t="s">
        <v>1856</v>
      </c>
      <c r="G1818" s="1391">
        <v>644086</v>
      </c>
    </row>
    <row r="1819" spans="1:7" x14ac:dyDescent="0.25">
      <c r="A1819" s="1392" t="s">
        <v>2576</v>
      </c>
      <c r="B1819" s="1392" t="s">
        <v>1189</v>
      </c>
      <c r="C1819" s="1392" t="s">
        <v>2048</v>
      </c>
      <c r="D1819" s="1392" t="s">
        <v>2049</v>
      </c>
      <c r="E1819" s="4536" t="s">
        <v>1860</v>
      </c>
      <c r="F1819" s="4537"/>
      <c r="G1819" s="1391">
        <v>450000</v>
      </c>
    </row>
    <row r="1820" spans="1:7" x14ac:dyDescent="0.25">
      <c r="A1820" s="1392" t="s">
        <v>2576</v>
      </c>
      <c r="B1820" s="1392" t="s">
        <v>1189</v>
      </c>
      <c r="C1820" s="1392" t="s">
        <v>2048</v>
      </c>
      <c r="D1820" s="1392" t="s">
        <v>2049</v>
      </c>
      <c r="E1820" s="1392" t="s">
        <v>1860</v>
      </c>
      <c r="F1820" s="1392" t="s">
        <v>1861</v>
      </c>
      <c r="G1820" s="1391">
        <v>450000</v>
      </c>
    </row>
    <row r="1821" spans="1:7" x14ac:dyDescent="0.25">
      <c r="A1821" s="1392" t="s">
        <v>2576</v>
      </c>
      <c r="B1821" s="1392" t="s">
        <v>1189</v>
      </c>
      <c r="C1821" s="1392" t="s">
        <v>2048</v>
      </c>
      <c r="D1821" s="1392" t="s">
        <v>2049</v>
      </c>
      <c r="E1821" s="4536" t="s">
        <v>1862</v>
      </c>
      <c r="F1821" s="4537"/>
      <c r="G1821" s="1391">
        <v>12143200</v>
      </c>
    </row>
    <row r="1822" spans="1:7" x14ac:dyDescent="0.25">
      <c r="A1822" s="1392" t="s">
        <v>2576</v>
      </c>
      <c r="B1822" s="1392" t="s">
        <v>1189</v>
      </c>
      <c r="C1822" s="1392" t="s">
        <v>2048</v>
      </c>
      <c r="D1822" s="1392" t="s">
        <v>2049</v>
      </c>
      <c r="E1822" s="1392" t="s">
        <v>1862</v>
      </c>
      <c r="F1822" s="1392" t="s">
        <v>1863</v>
      </c>
      <c r="G1822" s="1391">
        <v>9042812</v>
      </c>
    </row>
    <row r="1823" spans="1:7" x14ac:dyDescent="0.25">
      <c r="A1823" s="1392" t="s">
        <v>2576</v>
      </c>
      <c r="B1823" s="1392" t="s">
        <v>1189</v>
      </c>
      <c r="C1823" s="1392" t="s">
        <v>2048</v>
      </c>
      <c r="D1823" s="1392" t="s">
        <v>2049</v>
      </c>
      <c r="E1823" s="1392" t="s">
        <v>1862</v>
      </c>
      <c r="F1823" s="1392" t="s">
        <v>1864</v>
      </c>
      <c r="G1823" s="1391">
        <v>1550192</v>
      </c>
    </row>
    <row r="1824" spans="1:7" x14ac:dyDescent="0.25">
      <c r="A1824" s="1392" t="s">
        <v>2576</v>
      </c>
      <c r="B1824" s="1392" t="s">
        <v>1189</v>
      </c>
      <c r="C1824" s="1392" t="s">
        <v>2048</v>
      </c>
      <c r="D1824" s="1392" t="s">
        <v>2049</v>
      </c>
      <c r="E1824" s="1392" t="s">
        <v>1862</v>
      </c>
      <c r="F1824" s="1392" t="s">
        <v>1865</v>
      </c>
      <c r="G1824" s="1391">
        <v>1033464</v>
      </c>
    </row>
    <row r="1825" spans="1:7" x14ac:dyDescent="0.25">
      <c r="A1825" s="1392" t="s">
        <v>2576</v>
      </c>
      <c r="B1825" s="1392" t="s">
        <v>1189</v>
      </c>
      <c r="C1825" s="1392" t="s">
        <v>2048</v>
      </c>
      <c r="D1825" s="1392" t="s">
        <v>2049</v>
      </c>
      <c r="E1825" s="1392" t="s">
        <v>1862</v>
      </c>
      <c r="F1825" s="1392" t="s">
        <v>1866</v>
      </c>
      <c r="G1825" s="1391">
        <v>516732</v>
      </c>
    </row>
    <row r="1826" spans="1:7" x14ac:dyDescent="0.25">
      <c r="A1826" s="1392" t="s">
        <v>2576</v>
      </c>
      <c r="B1826" s="1392" t="s">
        <v>1189</v>
      </c>
      <c r="C1826" s="1392" t="s">
        <v>2048</v>
      </c>
      <c r="D1826" s="1392" t="s">
        <v>2049</v>
      </c>
      <c r="E1826" s="4536" t="s">
        <v>1867</v>
      </c>
      <c r="F1826" s="4537"/>
      <c r="G1826" s="1391">
        <v>441100</v>
      </c>
    </row>
    <row r="1827" spans="1:7" x14ac:dyDescent="0.25">
      <c r="A1827" s="1392" t="s">
        <v>2576</v>
      </c>
      <c r="B1827" s="1392" t="s">
        <v>1189</v>
      </c>
      <c r="C1827" s="1392" t="s">
        <v>2048</v>
      </c>
      <c r="D1827" s="1392" t="s">
        <v>2049</v>
      </c>
      <c r="E1827" s="1392" t="s">
        <v>1867</v>
      </c>
      <c r="F1827" s="1392" t="s">
        <v>1868</v>
      </c>
      <c r="G1827" s="1391">
        <v>441100</v>
      </c>
    </row>
    <row r="1828" spans="1:7" x14ac:dyDescent="0.25">
      <c r="A1828" s="1392" t="s">
        <v>2576</v>
      </c>
      <c r="B1828" s="1392" t="s">
        <v>1189</v>
      </c>
      <c r="C1828" s="1392" t="s">
        <v>2048</v>
      </c>
      <c r="D1828" s="1392" t="s">
        <v>2049</v>
      </c>
      <c r="E1828" s="4536" t="s">
        <v>1869</v>
      </c>
      <c r="F1828" s="4537"/>
      <c r="G1828" s="1391">
        <v>901479</v>
      </c>
    </row>
    <row r="1829" spans="1:7" x14ac:dyDescent="0.25">
      <c r="A1829" s="1392" t="s">
        <v>2576</v>
      </c>
      <c r="B1829" s="1392" t="s">
        <v>1189</v>
      </c>
      <c r="C1829" s="1392" t="s">
        <v>2048</v>
      </c>
      <c r="D1829" s="1392" t="s">
        <v>2049</v>
      </c>
      <c r="E1829" s="1392" t="s">
        <v>1869</v>
      </c>
      <c r="F1829" s="1392" t="s">
        <v>1870</v>
      </c>
      <c r="G1829" s="1391">
        <v>380780</v>
      </c>
    </row>
    <row r="1830" spans="1:7" x14ac:dyDescent="0.25">
      <c r="A1830" s="1392" t="s">
        <v>2576</v>
      </c>
      <c r="B1830" s="1392" t="s">
        <v>1189</v>
      </c>
      <c r="C1830" s="1392" t="s">
        <v>2048</v>
      </c>
      <c r="D1830" s="1392" t="s">
        <v>2049</v>
      </c>
      <c r="E1830" s="1392" t="s">
        <v>1869</v>
      </c>
      <c r="F1830" s="1392" t="s">
        <v>1871</v>
      </c>
      <c r="G1830" s="1391">
        <v>520699</v>
      </c>
    </row>
    <row r="1831" spans="1:7" x14ac:dyDescent="0.25">
      <c r="A1831" s="1392" t="s">
        <v>2576</v>
      </c>
      <c r="B1831" s="1392" t="s">
        <v>1189</v>
      </c>
      <c r="C1831" s="1392" t="s">
        <v>2048</v>
      </c>
      <c r="D1831" s="1392" t="s">
        <v>2049</v>
      </c>
      <c r="E1831" s="4536" t="s">
        <v>1874</v>
      </c>
      <c r="F1831" s="4537"/>
      <c r="G1831" s="1391">
        <v>34495000</v>
      </c>
    </row>
    <row r="1832" spans="1:7" x14ac:dyDescent="0.25">
      <c r="A1832" s="1392" t="s">
        <v>2576</v>
      </c>
      <c r="B1832" s="1392" t="s">
        <v>1189</v>
      </c>
      <c r="C1832" s="1392" t="s">
        <v>2048</v>
      </c>
      <c r="D1832" s="1392" t="s">
        <v>2049</v>
      </c>
      <c r="E1832" s="1392" t="s">
        <v>1874</v>
      </c>
      <c r="F1832" s="1392" t="s">
        <v>1876</v>
      </c>
      <c r="G1832" s="1391">
        <v>34495000</v>
      </c>
    </row>
    <row r="1833" spans="1:7" x14ac:dyDescent="0.25">
      <c r="A1833" s="1392" t="s">
        <v>2576</v>
      </c>
      <c r="B1833" s="1392" t="s">
        <v>1189</v>
      </c>
      <c r="C1833" s="1392" t="s">
        <v>2048</v>
      </c>
      <c r="D1833" s="1392" t="s">
        <v>2049</v>
      </c>
      <c r="E1833" s="4536" t="s">
        <v>1878</v>
      </c>
      <c r="F1833" s="4537"/>
      <c r="G1833" s="1391">
        <v>9340130</v>
      </c>
    </row>
    <row r="1834" spans="1:7" x14ac:dyDescent="0.25">
      <c r="A1834" s="1392" t="s">
        <v>2576</v>
      </c>
      <c r="B1834" s="1392" t="s">
        <v>1189</v>
      </c>
      <c r="C1834" s="1392" t="s">
        <v>2048</v>
      </c>
      <c r="D1834" s="1392" t="s">
        <v>2049</v>
      </c>
      <c r="E1834" s="1392" t="s">
        <v>1878</v>
      </c>
      <c r="F1834" s="1392" t="s">
        <v>1879</v>
      </c>
      <c r="G1834" s="1391">
        <v>134130</v>
      </c>
    </row>
    <row r="1835" spans="1:7" x14ac:dyDescent="0.25">
      <c r="A1835" s="1392" t="s">
        <v>2576</v>
      </c>
      <c r="B1835" s="1392" t="s">
        <v>1189</v>
      </c>
      <c r="C1835" s="1392" t="s">
        <v>2048</v>
      </c>
      <c r="D1835" s="1392" t="s">
        <v>2049</v>
      </c>
      <c r="E1835" s="1392" t="s">
        <v>1878</v>
      </c>
      <c r="F1835" s="1392" t="s">
        <v>1880</v>
      </c>
      <c r="G1835" s="1391">
        <v>2400000</v>
      </c>
    </row>
    <row r="1836" spans="1:7" x14ac:dyDescent="0.25">
      <c r="A1836" s="1392" t="s">
        <v>2576</v>
      </c>
      <c r="B1836" s="1392" t="s">
        <v>1189</v>
      </c>
      <c r="C1836" s="1392" t="s">
        <v>2048</v>
      </c>
      <c r="D1836" s="1392" t="s">
        <v>2049</v>
      </c>
      <c r="E1836" s="1392" t="s">
        <v>1878</v>
      </c>
      <c r="F1836" s="1392" t="s">
        <v>1881</v>
      </c>
      <c r="G1836" s="1391">
        <v>506000</v>
      </c>
    </row>
    <row r="1837" spans="1:7" x14ac:dyDescent="0.25">
      <c r="A1837" s="1392" t="s">
        <v>2576</v>
      </c>
      <c r="B1837" s="1392" t="s">
        <v>1189</v>
      </c>
      <c r="C1837" s="1392" t="s">
        <v>2048</v>
      </c>
      <c r="D1837" s="1392" t="s">
        <v>2049</v>
      </c>
      <c r="E1837" s="1392" t="s">
        <v>1878</v>
      </c>
      <c r="F1837" s="1392" t="s">
        <v>1882</v>
      </c>
      <c r="G1837" s="1391">
        <v>6300000</v>
      </c>
    </row>
    <row r="1838" spans="1:7" x14ac:dyDescent="0.25">
      <c r="A1838" s="1392" t="s">
        <v>2576</v>
      </c>
      <c r="B1838" s="1392" t="s">
        <v>1189</v>
      </c>
      <c r="C1838" s="1392" t="s">
        <v>2048</v>
      </c>
      <c r="D1838" s="1392" t="s">
        <v>2049</v>
      </c>
      <c r="E1838" s="4536" t="s">
        <v>1889</v>
      </c>
      <c r="F1838" s="4537"/>
      <c r="G1838" s="1391">
        <v>58047000</v>
      </c>
    </row>
    <row r="1839" spans="1:7" x14ac:dyDescent="0.25">
      <c r="A1839" s="1392" t="s">
        <v>2576</v>
      </c>
      <c r="B1839" s="1392" t="s">
        <v>1189</v>
      </c>
      <c r="C1839" s="1392" t="s">
        <v>2048</v>
      </c>
      <c r="D1839" s="1392" t="s">
        <v>2049</v>
      </c>
      <c r="E1839" s="1392" t="s">
        <v>1889</v>
      </c>
      <c r="F1839" s="1392" t="s">
        <v>1890</v>
      </c>
      <c r="G1839" s="1391">
        <v>7100000</v>
      </c>
    </row>
    <row r="1840" spans="1:7" x14ac:dyDescent="0.25">
      <c r="A1840" s="1392" t="s">
        <v>2576</v>
      </c>
      <c r="B1840" s="1392" t="s">
        <v>1189</v>
      </c>
      <c r="C1840" s="1392" t="s">
        <v>2048</v>
      </c>
      <c r="D1840" s="1392" t="s">
        <v>2049</v>
      </c>
      <c r="E1840" s="1392" t="s">
        <v>1889</v>
      </c>
      <c r="F1840" s="1392" t="s">
        <v>1891</v>
      </c>
      <c r="G1840" s="1391">
        <v>43400000</v>
      </c>
    </row>
    <row r="1841" spans="1:7" x14ac:dyDescent="0.25">
      <c r="A1841" s="1392" t="s">
        <v>2576</v>
      </c>
      <c r="B1841" s="1392" t="s">
        <v>1189</v>
      </c>
      <c r="C1841" s="1392" t="s">
        <v>2048</v>
      </c>
      <c r="D1841" s="1392" t="s">
        <v>2049</v>
      </c>
      <c r="E1841" s="1392" t="s">
        <v>1889</v>
      </c>
      <c r="F1841" s="1392" t="s">
        <v>1892</v>
      </c>
      <c r="G1841" s="1391">
        <v>4800000</v>
      </c>
    </row>
    <row r="1842" spans="1:7" x14ac:dyDescent="0.25">
      <c r="A1842" s="1392" t="s">
        <v>2576</v>
      </c>
      <c r="B1842" s="1392" t="s">
        <v>1189</v>
      </c>
      <c r="C1842" s="1392" t="s">
        <v>2048</v>
      </c>
      <c r="D1842" s="1392" t="s">
        <v>2049</v>
      </c>
      <c r="E1842" s="1392" t="s">
        <v>1889</v>
      </c>
      <c r="F1842" s="1392" t="s">
        <v>1922</v>
      </c>
      <c r="G1842" s="1391">
        <v>2747000</v>
      </c>
    </row>
    <row r="1843" spans="1:7" x14ac:dyDescent="0.25">
      <c r="A1843" s="1392" t="s">
        <v>2576</v>
      </c>
      <c r="B1843" s="1392" t="s">
        <v>1189</v>
      </c>
      <c r="C1843" s="1392" t="s">
        <v>2048</v>
      </c>
      <c r="D1843" s="1392" t="s">
        <v>2049</v>
      </c>
      <c r="E1843" s="4536" t="s">
        <v>1893</v>
      </c>
      <c r="F1843" s="4537"/>
      <c r="G1843" s="1391">
        <v>11700000</v>
      </c>
    </row>
    <row r="1844" spans="1:7" x14ac:dyDescent="0.25">
      <c r="A1844" s="1392" t="s">
        <v>2576</v>
      </c>
      <c r="B1844" s="1392" t="s">
        <v>1189</v>
      </c>
      <c r="C1844" s="1392" t="s">
        <v>2048</v>
      </c>
      <c r="D1844" s="1392" t="s">
        <v>2049</v>
      </c>
      <c r="E1844" s="1392" t="s">
        <v>1893</v>
      </c>
      <c r="F1844" s="1392" t="s">
        <v>1894</v>
      </c>
      <c r="G1844" s="1391">
        <v>6200000</v>
      </c>
    </row>
    <row r="1845" spans="1:7" x14ac:dyDescent="0.25">
      <c r="A1845" s="1392" t="s">
        <v>2576</v>
      </c>
      <c r="B1845" s="1392" t="s">
        <v>1189</v>
      </c>
      <c r="C1845" s="1392" t="s">
        <v>2048</v>
      </c>
      <c r="D1845" s="1392" t="s">
        <v>2049</v>
      </c>
      <c r="E1845" s="1392" t="s">
        <v>1893</v>
      </c>
      <c r="F1845" s="1392" t="s">
        <v>2051</v>
      </c>
      <c r="G1845" s="1391">
        <v>4300000</v>
      </c>
    </row>
    <row r="1846" spans="1:7" x14ac:dyDescent="0.25">
      <c r="A1846" s="1392" t="s">
        <v>2576</v>
      </c>
      <c r="B1846" s="1392" t="s">
        <v>1189</v>
      </c>
      <c r="C1846" s="1392" t="s">
        <v>2048</v>
      </c>
      <c r="D1846" s="1392" t="s">
        <v>2049</v>
      </c>
      <c r="E1846" s="1392" t="s">
        <v>1893</v>
      </c>
      <c r="F1846" s="1392" t="s">
        <v>1895</v>
      </c>
      <c r="G1846" s="1391">
        <v>1200000</v>
      </c>
    </row>
    <row r="1847" spans="1:7" x14ac:dyDescent="0.25">
      <c r="A1847" s="1392" t="s">
        <v>2576</v>
      </c>
      <c r="B1847" s="1392" t="s">
        <v>1189</v>
      </c>
      <c r="C1847" s="1392" t="s">
        <v>2048</v>
      </c>
      <c r="D1847" s="1392" t="s">
        <v>2049</v>
      </c>
      <c r="E1847" s="4536" t="s">
        <v>1906</v>
      </c>
      <c r="F1847" s="4537"/>
      <c r="G1847" s="1391">
        <v>324717000</v>
      </c>
    </row>
    <row r="1848" spans="1:7" x14ac:dyDescent="0.25">
      <c r="A1848" s="1392" t="s">
        <v>2576</v>
      </c>
      <c r="B1848" s="1392" t="s">
        <v>1189</v>
      </c>
      <c r="C1848" s="1392" t="s">
        <v>2048</v>
      </c>
      <c r="D1848" s="1392" t="s">
        <v>2049</v>
      </c>
      <c r="E1848" s="1392" t="s">
        <v>1906</v>
      </c>
      <c r="F1848" s="1392" t="s">
        <v>1908</v>
      </c>
      <c r="G1848" s="1391">
        <v>18800000</v>
      </c>
    </row>
    <row r="1849" spans="1:7" x14ac:dyDescent="0.25">
      <c r="A1849" s="1392" t="s">
        <v>2576</v>
      </c>
      <c r="B1849" s="1392" t="s">
        <v>1189</v>
      </c>
      <c r="C1849" s="1392" t="s">
        <v>2048</v>
      </c>
      <c r="D1849" s="1392" t="s">
        <v>2049</v>
      </c>
      <c r="E1849" s="1392" t="s">
        <v>1906</v>
      </c>
      <c r="F1849" s="1392" t="s">
        <v>1909</v>
      </c>
      <c r="G1849" s="1391">
        <v>305917000</v>
      </c>
    </row>
    <row r="1850" spans="1:7" x14ac:dyDescent="0.25">
      <c r="A1850" s="1392" t="s">
        <v>2576</v>
      </c>
      <c r="B1850" s="1392" t="s">
        <v>1189</v>
      </c>
      <c r="C1850" s="1392" t="s">
        <v>2048</v>
      </c>
      <c r="D1850" s="1392" t="s">
        <v>2049</v>
      </c>
      <c r="E1850" s="4536" t="s">
        <v>1912</v>
      </c>
      <c r="F1850" s="4537"/>
      <c r="G1850" s="1391">
        <v>380000</v>
      </c>
    </row>
    <row r="1851" spans="1:7" x14ac:dyDescent="0.25">
      <c r="A1851" s="1392" t="s">
        <v>2576</v>
      </c>
      <c r="B1851" s="1392" t="s">
        <v>1189</v>
      </c>
      <c r="C1851" s="1392" t="s">
        <v>2048</v>
      </c>
      <c r="D1851" s="1392" t="s">
        <v>2049</v>
      </c>
      <c r="E1851" s="1392" t="s">
        <v>1912</v>
      </c>
      <c r="F1851" s="1392" t="s">
        <v>1916</v>
      </c>
      <c r="G1851" s="1391">
        <v>380000</v>
      </c>
    </row>
    <row r="1852" spans="1:7" x14ac:dyDescent="0.25">
      <c r="A1852" s="1392" t="s">
        <v>2576</v>
      </c>
      <c r="B1852" s="1392" t="s">
        <v>1189</v>
      </c>
      <c r="C1852" s="1392" t="s">
        <v>2048</v>
      </c>
      <c r="D1852" s="1392" t="s">
        <v>2049</v>
      </c>
      <c r="E1852" s="4536" t="s">
        <v>2030</v>
      </c>
      <c r="F1852" s="4537"/>
      <c r="G1852" s="1391">
        <v>46000</v>
      </c>
    </row>
    <row r="1853" spans="1:7" x14ac:dyDescent="0.25">
      <c r="A1853" s="1392" t="s">
        <v>2576</v>
      </c>
      <c r="B1853" s="1392" t="s">
        <v>1189</v>
      </c>
      <c r="C1853" s="1392" t="s">
        <v>2048</v>
      </c>
      <c r="D1853" s="1392" t="s">
        <v>2049</v>
      </c>
      <c r="E1853" s="1392" t="s">
        <v>2030</v>
      </c>
      <c r="F1853" s="1392" t="s">
        <v>2031</v>
      </c>
      <c r="G1853" s="1391">
        <v>46000</v>
      </c>
    </row>
    <row r="1854" spans="1:7" x14ac:dyDescent="0.25">
      <c r="A1854" s="1392" t="s">
        <v>2576</v>
      </c>
      <c r="B1854" s="1392" t="s">
        <v>1189</v>
      </c>
      <c r="C1854" s="1392" t="s">
        <v>2048</v>
      </c>
      <c r="D1854" s="1392" t="s">
        <v>2049</v>
      </c>
      <c r="E1854" s="4536" t="s">
        <v>2041</v>
      </c>
      <c r="F1854" s="4537"/>
      <c r="G1854" s="1391">
        <v>7548574</v>
      </c>
    </row>
    <row r="1855" spans="1:7" x14ac:dyDescent="0.25">
      <c r="A1855" s="1392" t="s">
        <v>2576</v>
      </c>
      <c r="B1855" s="1392" t="s">
        <v>1189</v>
      </c>
      <c r="C1855" s="1392" t="s">
        <v>2048</v>
      </c>
      <c r="D1855" s="1392" t="s">
        <v>2049</v>
      </c>
      <c r="E1855" s="1392" t="s">
        <v>2041</v>
      </c>
      <c r="F1855" s="1392" t="s">
        <v>2043</v>
      </c>
      <c r="G1855" s="1391">
        <v>3020574</v>
      </c>
    </row>
    <row r="1856" spans="1:7" x14ac:dyDescent="0.25">
      <c r="A1856" s="1392" t="s">
        <v>2576</v>
      </c>
      <c r="B1856" s="1392" t="s">
        <v>1189</v>
      </c>
      <c r="C1856" s="1392" t="s">
        <v>2048</v>
      </c>
      <c r="D1856" s="1392" t="s">
        <v>2049</v>
      </c>
      <c r="E1856" s="1392" t="s">
        <v>2041</v>
      </c>
      <c r="F1856" s="1392" t="s">
        <v>2247</v>
      </c>
      <c r="G1856" s="1391">
        <v>4528000</v>
      </c>
    </row>
    <row r="1857" spans="1:7" x14ac:dyDescent="0.25">
      <c r="A1857" s="1392" t="s">
        <v>2576</v>
      </c>
      <c r="B1857" s="1392" t="s">
        <v>1189</v>
      </c>
      <c r="C1857" s="1392" t="s">
        <v>2048</v>
      </c>
      <c r="D1857" s="1392" t="s">
        <v>2049</v>
      </c>
      <c r="E1857" s="4536" t="s">
        <v>2024</v>
      </c>
      <c r="F1857" s="4537"/>
      <c r="G1857" s="1391">
        <v>800981831</v>
      </c>
    </row>
    <row r="1858" spans="1:7" x14ac:dyDescent="0.25">
      <c r="A1858" s="1392" t="s">
        <v>2576</v>
      </c>
      <c r="B1858" s="1392" t="s">
        <v>1189</v>
      </c>
      <c r="C1858" s="1392" t="s">
        <v>2048</v>
      </c>
      <c r="D1858" s="1392" t="s">
        <v>2049</v>
      </c>
      <c r="E1858" s="1392" t="s">
        <v>2024</v>
      </c>
      <c r="F1858" s="1392" t="s">
        <v>2025</v>
      </c>
      <c r="G1858" s="1391">
        <v>800981831</v>
      </c>
    </row>
    <row r="1859" spans="1:7" x14ac:dyDescent="0.25">
      <c r="A1859" s="1392" t="s">
        <v>2576</v>
      </c>
      <c r="B1859" s="1392" t="s">
        <v>1189</v>
      </c>
      <c r="C1859" s="1392" t="s">
        <v>2048</v>
      </c>
      <c r="D1859" s="1392" t="s">
        <v>2049</v>
      </c>
      <c r="E1859" s="4536" t="s">
        <v>2026</v>
      </c>
      <c r="F1859" s="4537"/>
      <c r="G1859" s="1391">
        <v>160583510</v>
      </c>
    </row>
    <row r="1860" spans="1:7" x14ac:dyDescent="0.25">
      <c r="A1860" s="1392" t="s">
        <v>2576</v>
      </c>
      <c r="B1860" s="1392" t="s">
        <v>1189</v>
      </c>
      <c r="C1860" s="1392" t="s">
        <v>2048</v>
      </c>
      <c r="D1860" s="1392" t="s">
        <v>2049</v>
      </c>
      <c r="E1860" s="1392" t="s">
        <v>2026</v>
      </c>
      <c r="F1860" s="1392" t="s">
        <v>2027</v>
      </c>
      <c r="G1860" s="1391">
        <v>14256100</v>
      </c>
    </row>
    <row r="1861" spans="1:7" x14ac:dyDescent="0.25">
      <c r="A1861" s="1392" t="s">
        <v>2576</v>
      </c>
      <c r="B1861" s="1392" t="s">
        <v>1189</v>
      </c>
      <c r="C1861" s="1392" t="s">
        <v>2048</v>
      </c>
      <c r="D1861" s="1392" t="s">
        <v>2049</v>
      </c>
      <c r="E1861" s="1392" t="s">
        <v>2026</v>
      </c>
      <c r="F1861" s="1392" t="s">
        <v>2028</v>
      </c>
      <c r="G1861" s="1391">
        <v>96435410</v>
      </c>
    </row>
    <row r="1862" spans="1:7" x14ac:dyDescent="0.25">
      <c r="A1862" s="1392" t="s">
        <v>2576</v>
      </c>
      <c r="B1862" s="1392" t="s">
        <v>1189</v>
      </c>
      <c r="C1862" s="1392" t="s">
        <v>2048</v>
      </c>
      <c r="D1862" s="1392" t="s">
        <v>2049</v>
      </c>
      <c r="E1862" s="1392" t="s">
        <v>2026</v>
      </c>
      <c r="F1862" s="1392" t="s">
        <v>2029</v>
      </c>
      <c r="G1862" s="1391">
        <v>49892000</v>
      </c>
    </row>
    <row r="1863" spans="1:7" x14ac:dyDescent="0.25">
      <c r="A1863" s="1392" t="s">
        <v>2576</v>
      </c>
      <c r="B1863" s="1392" t="s">
        <v>1189</v>
      </c>
      <c r="C1863" s="4536" t="s">
        <v>1970</v>
      </c>
      <c r="D1863" s="4537"/>
      <c r="E1863" s="4537"/>
      <c r="F1863" s="4537"/>
      <c r="G1863" s="1391">
        <v>541310748</v>
      </c>
    </row>
    <row r="1864" spans="1:7" x14ac:dyDescent="0.25">
      <c r="A1864" s="1392" t="s">
        <v>2576</v>
      </c>
      <c r="B1864" s="1392" t="s">
        <v>1189</v>
      </c>
      <c r="C1864" s="1392" t="s">
        <v>1970</v>
      </c>
      <c r="D1864" s="4536" t="s">
        <v>2050</v>
      </c>
      <c r="E1864" s="4537"/>
      <c r="F1864" s="4537"/>
      <c r="G1864" s="1391">
        <v>541310748</v>
      </c>
    </row>
    <row r="1865" spans="1:7" x14ac:dyDescent="0.25">
      <c r="A1865" s="1392" t="s">
        <v>2576</v>
      </c>
      <c r="B1865" s="1392" t="s">
        <v>1189</v>
      </c>
      <c r="C1865" s="1392" t="s">
        <v>1970</v>
      </c>
      <c r="D1865" s="1392" t="s">
        <v>2050</v>
      </c>
      <c r="E1865" s="4536" t="s">
        <v>1848</v>
      </c>
      <c r="F1865" s="4537"/>
      <c r="G1865" s="1391">
        <v>158945217</v>
      </c>
    </row>
    <row r="1866" spans="1:7" x14ac:dyDescent="0.25">
      <c r="A1866" s="1392" t="s">
        <v>2576</v>
      </c>
      <c r="B1866" s="1392" t="s">
        <v>1189</v>
      </c>
      <c r="C1866" s="1392" t="s">
        <v>1970</v>
      </c>
      <c r="D1866" s="1392" t="s">
        <v>2050</v>
      </c>
      <c r="E1866" s="1392" t="s">
        <v>1848</v>
      </c>
      <c r="F1866" s="1392" t="s">
        <v>1850</v>
      </c>
      <c r="G1866" s="1391">
        <v>158945217</v>
      </c>
    </row>
    <row r="1867" spans="1:7" x14ac:dyDescent="0.25">
      <c r="A1867" s="1392" t="s">
        <v>2576</v>
      </c>
      <c r="B1867" s="1392" t="s">
        <v>1189</v>
      </c>
      <c r="C1867" s="1392" t="s">
        <v>1970</v>
      </c>
      <c r="D1867" s="1392" t="s">
        <v>2050</v>
      </c>
      <c r="E1867" s="4536" t="s">
        <v>1862</v>
      </c>
      <c r="F1867" s="4537"/>
      <c r="G1867" s="1391">
        <v>20020245</v>
      </c>
    </row>
    <row r="1868" spans="1:7" x14ac:dyDescent="0.25">
      <c r="A1868" s="1392" t="s">
        <v>2576</v>
      </c>
      <c r="B1868" s="1392" t="s">
        <v>1189</v>
      </c>
      <c r="C1868" s="1392" t="s">
        <v>1970</v>
      </c>
      <c r="D1868" s="1392" t="s">
        <v>2050</v>
      </c>
      <c r="E1868" s="1392" t="s">
        <v>1862</v>
      </c>
      <c r="F1868" s="1392" t="s">
        <v>1863</v>
      </c>
      <c r="G1868" s="1391">
        <v>14908692</v>
      </c>
    </row>
    <row r="1869" spans="1:7" x14ac:dyDescent="0.25">
      <c r="A1869" s="1392" t="s">
        <v>2576</v>
      </c>
      <c r="B1869" s="1392" t="s">
        <v>1189</v>
      </c>
      <c r="C1869" s="1392" t="s">
        <v>1970</v>
      </c>
      <c r="D1869" s="1392" t="s">
        <v>2050</v>
      </c>
      <c r="E1869" s="1392" t="s">
        <v>1862</v>
      </c>
      <c r="F1869" s="1392" t="s">
        <v>1864</v>
      </c>
      <c r="G1869" s="1391">
        <v>2555778</v>
      </c>
    </row>
    <row r="1870" spans="1:7" x14ac:dyDescent="0.25">
      <c r="A1870" s="1392" t="s">
        <v>2576</v>
      </c>
      <c r="B1870" s="1392" t="s">
        <v>1189</v>
      </c>
      <c r="C1870" s="1392" t="s">
        <v>1970</v>
      </c>
      <c r="D1870" s="1392" t="s">
        <v>2050</v>
      </c>
      <c r="E1870" s="1392" t="s">
        <v>1862</v>
      </c>
      <c r="F1870" s="1392" t="s">
        <v>1865</v>
      </c>
      <c r="G1870" s="1391">
        <v>1703850</v>
      </c>
    </row>
    <row r="1871" spans="1:7" x14ac:dyDescent="0.25">
      <c r="A1871" s="1392" t="s">
        <v>2576</v>
      </c>
      <c r="B1871" s="1392" t="s">
        <v>1189</v>
      </c>
      <c r="C1871" s="1392" t="s">
        <v>1970</v>
      </c>
      <c r="D1871" s="1392" t="s">
        <v>2050</v>
      </c>
      <c r="E1871" s="1392" t="s">
        <v>1862</v>
      </c>
      <c r="F1871" s="1392" t="s">
        <v>1866</v>
      </c>
      <c r="G1871" s="1391">
        <v>851925</v>
      </c>
    </row>
    <row r="1872" spans="1:7" x14ac:dyDescent="0.25">
      <c r="A1872" s="1392" t="s">
        <v>2576</v>
      </c>
      <c r="B1872" s="1392" t="s">
        <v>1189</v>
      </c>
      <c r="C1872" s="1392" t="s">
        <v>1970</v>
      </c>
      <c r="D1872" s="1392" t="s">
        <v>2050</v>
      </c>
      <c r="E1872" s="4536" t="s">
        <v>1869</v>
      </c>
      <c r="F1872" s="4537"/>
      <c r="G1872" s="1391">
        <v>93321000</v>
      </c>
    </row>
    <row r="1873" spans="1:7" x14ac:dyDescent="0.25">
      <c r="A1873" s="1392" t="s">
        <v>2576</v>
      </c>
      <c r="B1873" s="1392" t="s">
        <v>1189</v>
      </c>
      <c r="C1873" s="1392" t="s">
        <v>1970</v>
      </c>
      <c r="D1873" s="1392" t="s">
        <v>2050</v>
      </c>
      <c r="E1873" s="1392" t="s">
        <v>1869</v>
      </c>
      <c r="F1873" s="1392" t="s">
        <v>1873</v>
      </c>
      <c r="G1873" s="1391">
        <v>20000000</v>
      </c>
    </row>
    <row r="1874" spans="1:7" x14ac:dyDescent="0.25">
      <c r="A1874" s="1392" t="s">
        <v>2576</v>
      </c>
      <c r="B1874" s="1392" t="s">
        <v>1189</v>
      </c>
      <c r="C1874" s="1392" t="s">
        <v>1970</v>
      </c>
      <c r="D1874" s="1392" t="s">
        <v>2050</v>
      </c>
      <c r="E1874" s="1392" t="s">
        <v>1869</v>
      </c>
      <c r="F1874" s="1392" t="s">
        <v>1948</v>
      </c>
      <c r="G1874" s="1391">
        <v>73321000</v>
      </c>
    </row>
    <row r="1875" spans="1:7" x14ac:dyDescent="0.25">
      <c r="A1875" s="1392" t="s">
        <v>2576</v>
      </c>
      <c r="B1875" s="1392" t="s">
        <v>1189</v>
      </c>
      <c r="C1875" s="1392" t="s">
        <v>1970</v>
      </c>
      <c r="D1875" s="1392" t="s">
        <v>2050</v>
      </c>
      <c r="E1875" s="4536" t="s">
        <v>1896</v>
      </c>
      <c r="F1875" s="4537"/>
      <c r="G1875" s="1391">
        <v>244691286</v>
      </c>
    </row>
    <row r="1876" spans="1:7" x14ac:dyDescent="0.25">
      <c r="A1876" s="1392" t="s">
        <v>2576</v>
      </c>
      <c r="B1876" s="1392" t="s">
        <v>1189</v>
      </c>
      <c r="C1876" s="1392" t="s">
        <v>1970</v>
      </c>
      <c r="D1876" s="1392" t="s">
        <v>2050</v>
      </c>
      <c r="E1876" s="1392" t="s">
        <v>1896</v>
      </c>
      <c r="F1876" s="1392" t="s">
        <v>2040</v>
      </c>
      <c r="G1876" s="1391">
        <v>24495000</v>
      </c>
    </row>
    <row r="1877" spans="1:7" x14ac:dyDescent="0.25">
      <c r="A1877" s="1392" t="s">
        <v>2576</v>
      </c>
      <c r="B1877" s="1392" t="s">
        <v>1189</v>
      </c>
      <c r="C1877" s="1392" t="s">
        <v>1970</v>
      </c>
      <c r="D1877" s="1392" t="s">
        <v>2050</v>
      </c>
      <c r="E1877" s="1392" t="s">
        <v>1896</v>
      </c>
      <c r="F1877" s="1392" t="s">
        <v>1902</v>
      </c>
      <c r="G1877" s="1391">
        <v>220196286</v>
      </c>
    </row>
    <row r="1878" spans="1:7" x14ac:dyDescent="0.25">
      <c r="A1878" s="1392" t="s">
        <v>2576</v>
      </c>
      <c r="B1878" s="1392" t="s">
        <v>1189</v>
      </c>
      <c r="C1878" s="1392" t="s">
        <v>1970</v>
      </c>
      <c r="D1878" s="1392" t="s">
        <v>2050</v>
      </c>
      <c r="E1878" s="4536" t="s">
        <v>1906</v>
      </c>
      <c r="F1878" s="4537"/>
      <c r="G1878" s="1391">
        <v>24333000</v>
      </c>
    </row>
    <row r="1879" spans="1:7" x14ac:dyDescent="0.25">
      <c r="A1879" s="1392" t="s">
        <v>2576</v>
      </c>
      <c r="B1879" s="1392" t="s">
        <v>1189</v>
      </c>
      <c r="C1879" s="1392" t="s">
        <v>1970</v>
      </c>
      <c r="D1879" s="1392" t="s">
        <v>2050</v>
      </c>
      <c r="E1879" s="1392" t="s">
        <v>1906</v>
      </c>
      <c r="F1879" s="1392" t="s">
        <v>1907</v>
      </c>
      <c r="G1879" s="1391">
        <v>18150000</v>
      </c>
    </row>
    <row r="1880" spans="1:7" x14ac:dyDescent="0.25">
      <c r="A1880" s="1392" t="s">
        <v>2576</v>
      </c>
      <c r="B1880" s="1392" t="s">
        <v>1189</v>
      </c>
      <c r="C1880" s="1392" t="s">
        <v>1970</v>
      </c>
      <c r="D1880" s="1392" t="s">
        <v>2050</v>
      </c>
      <c r="E1880" s="1392" t="s">
        <v>1906</v>
      </c>
      <c r="F1880" s="1392" t="s">
        <v>1908</v>
      </c>
      <c r="G1880" s="1391">
        <v>2100000</v>
      </c>
    </row>
    <row r="1881" spans="1:7" x14ac:dyDescent="0.25">
      <c r="A1881" s="1392" t="s">
        <v>2576</v>
      </c>
      <c r="B1881" s="1392" t="s">
        <v>1189</v>
      </c>
      <c r="C1881" s="1392" t="s">
        <v>1970</v>
      </c>
      <c r="D1881" s="1392" t="s">
        <v>2050</v>
      </c>
      <c r="E1881" s="1392" t="s">
        <v>1906</v>
      </c>
      <c r="F1881" s="1392" t="s">
        <v>1909</v>
      </c>
      <c r="G1881" s="1391">
        <v>4083000</v>
      </c>
    </row>
    <row r="1882" spans="1:7" x14ac:dyDescent="0.25">
      <c r="A1882" s="1392" t="s">
        <v>2576</v>
      </c>
      <c r="B1882" s="1392" t="s">
        <v>1189</v>
      </c>
      <c r="C1882" s="4536" t="s">
        <v>1919</v>
      </c>
      <c r="D1882" s="4537"/>
      <c r="E1882" s="4537"/>
      <c r="F1882" s="4537"/>
      <c r="G1882" s="1391">
        <v>20756870206</v>
      </c>
    </row>
    <row r="1883" spans="1:7" x14ac:dyDescent="0.25">
      <c r="A1883" s="1392" t="s">
        <v>2576</v>
      </c>
      <c r="B1883" s="1392" t="s">
        <v>1189</v>
      </c>
      <c r="C1883" s="1392" t="s">
        <v>1919</v>
      </c>
      <c r="D1883" s="4536" t="s">
        <v>1920</v>
      </c>
      <c r="E1883" s="4537"/>
      <c r="F1883" s="4537"/>
      <c r="G1883" s="1391">
        <v>3207515424</v>
      </c>
    </row>
    <row r="1884" spans="1:7" x14ac:dyDescent="0.25">
      <c r="A1884" s="1392" t="s">
        <v>2576</v>
      </c>
      <c r="B1884" s="1392" t="s">
        <v>1189</v>
      </c>
      <c r="C1884" s="1392" t="s">
        <v>1919</v>
      </c>
      <c r="D1884" s="1392" t="s">
        <v>1920</v>
      </c>
      <c r="E1884" s="4536" t="s">
        <v>1848</v>
      </c>
      <c r="F1884" s="4537"/>
      <c r="G1884" s="1391">
        <v>726491015</v>
      </c>
    </row>
    <row r="1885" spans="1:7" x14ac:dyDescent="0.25">
      <c r="A1885" s="1392" t="s">
        <v>2576</v>
      </c>
      <c r="B1885" s="1392" t="s">
        <v>1189</v>
      </c>
      <c r="C1885" s="1392" t="s">
        <v>1919</v>
      </c>
      <c r="D1885" s="1392" t="s">
        <v>1920</v>
      </c>
      <c r="E1885" s="1392" t="s">
        <v>1848</v>
      </c>
      <c r="F1885" s="1392" t="s">
        <v>1849</v>
      </c>
      <c r="G1885" s="1391">
        <v>726491015</v>
      </c>
    </row>
    <row r="1886" spans="1:7" x14ac:dyDescent="0.25">
      <c r="A1886" s="1392" t="s">
        <v>2576</v>
      </c>
      <c r="B1886" s="1392" t="s">
        <v>1189</v>
      </c>
      <c r="C1886" s="1392" t="s">
        <v>1919</v>
      </c>
      <c r="D1886" s="1392" t="s">
        <v>1920</v>
      </c>
      <c r="E1886" s="4536" t="s">
        <v>1853</v>
      </c>
      <c r="F1886" s="4537"/>
      <c r="G1886" s="1391">
        <v>289472159</v>
      </c>
    </row>
    <row r="1887" spans="1:7" x14ac:dyDescent="0.25">
      <c r="A1887" s="1392" t="s">
        <v>2576</v>
      </c>
      <c r="B1887" s="1392" t="s">
        <v>1189</v>
      </c>
      <c r="C1887" s="1392" t="s">
        <v>1919</v>
      </c>
      <c r="D1887" s="1392" t="s">
        <v>1920</v>
      </c>
      <c r="E1887" s="1392" t="s">
        <v>1853</v>
      </c>
      <c r="F1887" s="1392" t="s">
        <v>1854</v>
      </c>
      <c r="G1887" s="1391">
        <v>8490170</v>
      </c>
    </row>
    <row r="1888" spans="1:7" x14ac:dyDescent="0.25">
      <c r="A1888" s="1392" t="s">
        <v>2576</v>
      </c>
      <c r="B1888" s="1392" t="s">
        <v>1189</v>
      </c>
      <c r="C1888" s="1392" t="s">
        <v>1919</v>
      </c>
      <c r="D1888" s="1392" t="s">
        <v>1920</v>
      </c>
      <c r="E1888" s="1392" t="s">
        <v>1853</v>
      </c>
      <c r="F1888" s="1392" t="s">
        <v>1855</v>
      </c>
      <c r="G1888" s="1391">
        <v>102810000</v>
      </c>
    </row>
    <row r="1889" spans="1:7" x14ac:dyDescent="0.25">
      <c r="A1889" s="1392" t="s">
        <v>2576</v>
      </c>
      <c r="B1889" s="1392" t="s">
        <v>1189</v>
      </c>
      <c r="C1889" s="1392" t="s">
        <v>1919</v>
      </c>
      <c r="D1889" s="1392" t="s">
        <v>1920</v>
      </c>
      <c r="E1889" s="1392" t="s">
        <v>1853</v>
      </c>
      <c r="F1889" s="1392" t="s">
        <v>1856</v>
      </c>
      <c r="G1889" s="1391">
        <v>64024579</v>
      </c>
    </row>
    <row r="1890" spans="1:7" x14ac:dyDescent="0.25">
      <c r="A1890" s="1392" t="s">
        <v>2576</v>
      </c>
      <c r="B1890" s="1392" t="s">
        <v>1189</v>
      </c>
      <c r="C1890" s="1392" t="s">
        <v>1919</v>
      </c>
      <c r="D1890" s="1392" t="s">
        <v>1920</v>
      </c>
      <c r="E1890" s="1392" t="s">
        <v>1853</v>
      </c>
      <c r="F1890" s="1392" t="s">
        <v>1937</v>
      </c>
      <c r="G1890" s="1391">
        <v>110203380</v>
      </c>
    </row>
    <row r="1891" spans="1:7" x14ac:dyDescent="0.25">
      <c r="A1891" s="1392" t="s">
        <v>2576</v>
      </c>
      <c r="B1891" s="1392" t="s">
        <v>1189</v>
      </c>
      <c r="C1891" s="1392" t="s">
        <v>1919</v>
      </c>
      <c r="D1891" s="1392" t="s">
        <v>1920</v>
      </c>
      <c r="E1891" s="1392" t="s">
        <v>1853</v>
      </c>
      <c r="F1891" s="1392" t="s">
        <v>1858</v>
      </c>
      <c r="G1891" s="1391">
        <v>2831000</v>
      </c>
    </row>
    <row r="1892" spans="1:7" x14ac:dyDescent="0.25">
      <c r="A1892" s="1392" t="s">
        <v>2576</v>
      </c>
      <c r="B1892" s="1392" t="s">
        <v>1189</v>
      </c>
      <c r="C1892" s="1392" t="s">
        <v>1919</v>
      </c>
      <c r="D1892" s="1392" t="s">
        <v>1920</v>
      </c>
      <c r="E1892" s="1392" t="s">
        <v>1853</v>
      </c>
      <c r="F1892" s="1392" t="s">
        <v>1929</v>
      </c>
      <c r="G1892" s="1391">
        <v>1113030</v>
      </c>
    </row>
    <row r="1893" spans="1:7" x14ac:dyDescent="0.25">
      <c r="A1893" s="1392" t="s">
        <v>2576</v>
      </c>
      <c r="B1893" s="1392" t="s">
        <v>1189</v>
      </c>
      <c r="C1893" s="1392" t="s">
        <v>1919</v>
      </c>
      <c r="D1893" s="1392" t="s">
        <v>1920</v>
      </c>
      <c r="E1893" s="4536" t="s">
        <v>1860</v>
      </c>
      <c r="F1893" s="4537"/>
      <c r="G1893" s="1391">
        <v>6150000</v>
      </c>
    </row>
    <row r="1894" spans="1:7" x14ac:dyDescent="0.25">
      <c r="A1894" s="1392" t="s">
        <v>2576</v>
      </c>
      <c r="B1894" s="1392" t="s">
        <v>1189</v>
      </c>
      <c r="C1894" s="1392" t="s">
        <v>1919</v>
      </c>
      <c r="D1894" s="1392" t="s">
        <v>1920</v>
      </c>
      <c r="E1894" s="1392" t="s">
        <v>1860</v>
      </c>
      <c r="F1894" s="1392" t="s">
        <v>1861</v>
      </c>
      <c r="G1894" s="1391">
        <v>6150000</v>
      </c>
    </row>
    <row r="1895" spans="1:7" x14ac:dyDescent="0.25">
      <c r="A1895" s="1392" t="s">
        <v>2576</v>
      </c>
      <c r="B1895" s="1392" t="s">
        <v>1189</v>
      </c>
      <c r="C1895" s="1392" t="s">
        <v>1919</v>
      </c>
      <c r="D1895" s="1392" t="s">
        <v>1920</v>
      </c>
      <c r="E1895" s="4536" t="s">
        <v>1862</v>
      </c>
      <c r="F1895" s="4537"/>
      <c r="G1895" s="1391">
        <v>171515517</v>
      </c>
    </row>
    <row r="1896" spans="1:7" x14ac:dyDescent="0.25">
      <c r="A1896" s="1392" t="s">
        <v>2576</v>
      </c>
      <c r="B1896" s="1392" t="s">
        <v>1189</v>
      </c>
      <c r="C1896" s="1392" t="s">
        <v>1919</v>
      </c>
      <c r="D1896" s="1392" t="s">
        <v>1920</v>
      </c>
      <c r="E1896" s="1392" t="s">
        <v>1862</v>
      </c>
      <c r="F1896" s="1392" t="s">
        <v>1863</v>
      </c>
      <c r="G1896" s="1391">
        <v>128765392</v>
      </c>
    </row>
    <row r="1897" spans="1:7" x14ac:dyDescent="0.25">
      <c r="A1897" s="1392" t="s">
        <v>2576</v>
      </c>
      <c r="B1897" s="1392" t="s">
        <v>1189</v>
      </c>
      <c r="C1897" s="1392" t="s">
        <v>1919</v>
      </c>
      <c r="D1897" s="1392" t="s">
        <v>1920</v>
      </c>
      <c r="E1897" s="1392" t="s">
        <v>1862</v>
      </c>
      <c r="F1897" s="1392" t="s">
        <v>1864</v>
      </c>
      <c r="G1897" s="1391">
        <v>22580964</v>
      </c>
    </row>
    <row r="1898" spans="1:7" x14ac:dyDescent="0.25">
      <c r="A1898" s="1392" t="s">
        <v>2576</v>
      </c>
      <c r="B1898" s="1392" t="s">
        <v>1189</v>
      </c>
      <c r="C1898" s="1392" t="s">
        <v>1919</v>
      </c>
      <c r="D1898" s="1392" t="s">
        <v>1920</v>
      </c>
      <c r="E1898" s="1392" t="s">
        <v>1862</v>
      </c>
      <c r="F1898" s="1392" t="s">
        <v>1865</v>
      </c>
      <c r="G1898" s="1391">
        <v>14716044</v>
      </c>
    </row>
    <row r="1899" spans="1:7" x14ac:dyDescent="0.25">
      <c r="A1899" s="1392" t="s">
        <v>2576</v>
      </c>
      <c r="B1899" s="1392" t="s">
        <v>1189</v>
      </c>
      <c r="C1899" s="1392" t="s">
        <v>1919</v>
      </c>
      <c r="D1899" s="1392" t="s">
        <v>1920</v>
      </c>
      <c r="E1899" s="1392" t="s">
        <v>1862</v>
      </c>
      <c r="F1899" s="1392" t="s">
        <v>1866</v>
      </c>
      <c r="G1899" s="1391">
        <v>5453117</v>
      </c>
    </row>
    <row r="1900" spans="1:7" x14ac:dyDescent="0.25">
      <c r="A1900" s="1392" t="s">
        <v>2576</v>
      </c>
      <c r="B1900" s="1392" t="s">
        <v>1189</v>
      </c>
      <c r="C1900" s="1392" t="s">
        <v>1919</v>
      </c>
      <c r="D1900" s="1392" t="s">
        <v>1920</v>
      </c>
      <c r="E1900" s="4536" t="s">
        <v>1867</v>
      </c>
      <c r="F1900" s="4537"/>
      <c r="G1900" s="1391">
        <v>134047023</v>
      </c>
    </row>
    <row r="1901" spans="1:7" x14ac:dyDescent="0.25">
      <c r="A1901" s="1392" t="s">
        <v>2576</v>
      </c>
      <c r="B1901" s="1392" t="s">
        <v>1189</v>
      </c>
      <c r="C1901" s="1392" t="s">
        <v>1919</v>
      </c>
      <c r="D1901" s="1392" t="s">
        <v>1920</v>
      </c>
      <c r="E1901" s="1392" t="s">
        <v>1867</v>
      </c>
      <c r="F1901" s="1392" t="s">
        <v>1868</v>
      </c>
      <c r="G1901" s="1391">
        <v>134047023</v>
      </c>
    </row>
    <row r="1902" spans="1:7" x14ac:dyDescent="0.25">
      <c r="A1902" s="1392" t="s">
        <v>2576</v>
      </c>
      <c r="B1902" s="1392" t="s">
        <v>1189</v>
      </c>
      <c r="C1902" s="1392" t="s">
        <v>1919</v>
      </c>
      <c r="D1902" s="1392" t="s">
        <v>1920</v>
      </c>
      <c r="E1902" s="4536" t="s">
        <v>1869</v>
      </c>
      <c r="F1902" s="4537"/>
      <c r="G1902" s="1391">
        <v>7100374</v>
      </c>
    </row>
    <row r="1903" spans="1:7" x14ac:dyDescent="0.25">
      <c r="A1903" s="1392" t="s">
        <v>2576</v>
      </c>
      <c r="B1903" s="1392" t="s">
        <v>1189</v>
      </c>
      <c r="C1903" s="1392" t="s">
        <v>1919</v>
      </c>
      <c r="D1903" s="1392" t="s">
        <v>1920</v>
      </c>
      <c r="E1903" s="1392" t="s">
        <v>1869</v>
      </c>
      <c r="F1903" s="1392" t="s">
        <v>1870</v>
      </c>
      <c r="G1903" s="1391">
        <v>5364399</v>
      </c>
    </row>
    <row r="1904" spans="1:7" x14ac:dyDescent="0.25">
      <c r="A1904" s="1392" t="s">
        <v>2576</v>
      </c>
      <c r="B1904" s="1392" t="s">
        <v>1189</v>
      </c>
      <c r="C1904" s="1392" t="s">
        <v>1919</v>
      </c>
      <c r="D1904" s="1392" t="s">
        <v>1920</v>
      </c>
      <c r="E1904" s="1392" t="s">
        <v>1869</v>
      </c>
      <c r="F1904" s="1392" t="s">
        <v>1871</v>
      </c>
      <c r="G1904" s="1391">
        <v>1015975</v>
      </c>
    </row>
    <row r="1905" spans="1:7" x14ac:dyDescent="0.25">
      <c r="A1905" s="1392" t="s">
        <v>2576</v>
      </c>
      <c r="B1905" s="1392" t="s">
        <v>1189</v>
      </c>
      <c r="C1905" s="1392" t="s">
        <v>1919</v>
      </c>
      <c r="D1905" s="1392" t="s">
        <v>1920</v>
      </c>
      <c r="E1905" s="1392" t="s">
        <v>1869</v>
      </c>
      <c r="F1905" s="1392" t="s">
        <v>1873</v>
      </c>
      <c r="G1905" s="1391">
        <v>720000</v>
      </c>
    </row>
    <row r="1906" spans="1:7" x14ac:dyDescent="0.25">
      <c r="A1906" s="1392" t="s">
        <v>2576</v>
      </c>
      <c r="B1906" s="1392" t="s">
        <v>1189</v>
      </c>
      <c r="C1906" s="1392" t="s">
        <v>1919</v>
      </c>
      <c r="D1906" s="1392" t="s">
        <v>1920</v>
      </c>
      <c r="E1906" s="4536" t="s">
        <v>1874</v>
      </c>
      <c r="F1906" s="4537"/>
      <c r="G1906" s="1391">
        <v>84767000</v>
      </c>
    </row>
    <row r="1907" spans="1:7" x14ac:dyDescent="0.25">
      <c r="A1907" s="1392" t="s">
        <v>2576</v>
      </c>
      <c r="B1907" s="1392" t="s">
        <v>1189</v>
      </c>
      <c r="C1907" s="1392" t="s">
        <v>1919</v>
      </c>
      <c r="D1907" s="1392" t="s">
        <v>1920</v>
      </c>
      <c r="E1907" s="1392" t="s">
        <v>1874</v>
      </c>
      <c r="F1907" s="1392" t="s">
        <v>1875</v>
      </c>
      <c r="G1907" s="1391">
        <v>8247000</v>
      </c>
    </row>
    <row r="1908" spans="1:7" x14ac:dyDescent="0.25">
      <c r="A1908" s="1392" t="s">
        <v>2576</v>
      </c>
      <c r="B1908" s="1392" t="s">
        <v>1189</v>
      </c>
      <c r="C1908" s="1392" t="s">
        <v>1919</v>
      </c>
      <c r="D1908" s="1392" t="s">
        <v>1920</v>
      </c>
      <c r="E1908" s="1392" t="s">
        <v>1874</v>
      </c>
      <c r="F1908" s="1392" t="s">
        <v>1876</v>
      </c>
      <c r="G1908" s="1391">
        <v>58650000</v>
      </c>
    </row>
    <row r="1909" spans="1:7" x14ac:dyDescent="0.25">
      <c r="A1909" s="1392" t="s">
        <v>2576</v>
      </c>
      <c r="B1909" s="1392" t="s">
        <v>1189</v>
      </c>
      <c r="C1909" s="1392" t="s">
        <v>1919</v>
      </c>
      <c r="D1909" s="1392" t="s">
        <v>1920</v>
      </c>
      <c r="E1909" s="1392" t="s">
        <v>1874</v>
      </c>
      <c r="F1909" s="1392" t="s">
        <v>1877</v>
      </c>
      <c r="G1909" s="1391">
        <v>17870000</v>
      </c>
    </row>
    <row r="1910" spans="1:7" x14ac:dyDescent="0.25">
      <c r="A1910" s="1392" t="s">
        <v>2576</v>
      </c>
      <c r="B1910" s="1392" t="s">
        <v>1189</v>
      </c>
      <c r="C1910" s="1392" t="s">
        <v>1919</v>
      </c>
      <c r="D1910" s="1392" t="s">
        <v>1920</v>
      </c>
      <c r="E1910" s="4536" t="s">
        <v>1878</v>
      </c>
      <c r="F1910" s="4537"/>
      <c r="G1910" s="1391">
        <v>2114313</v>
      </c>
    </row>
    <row r="1911" spans="1:7" x14ac:dyDescent="0.25">
      <c r="A1911" s="1392" t="s">
        <v>2576</v>
      </c>
      <c r="B1911" s="1392" t="s">
        <v>1189</v>
      </c>
      <c r="C1911" s="1392" t="s">
        <v>1919</v>
      </c>
      <c r="D1911" s="1392" t="s">
        <v>1920</v>
      </c>
      <c r="E1911" s="1392" t="s">
        <v>1878</v>
      </c>
      <c r="F1911" s="1392" t="s">
        <v>1879</v>
      </c>
      <c r="G1911" s="1391">
        <v>464313</v>
      </c>
    </row>
    <row r="1912" spans="1:7" x14ac:dyDescent="0.25">
      <c r="A1912" s="1392" t="s">
        <v>2576</v>
      </c>
      <c r="B1912" s="1392" t="s">
        <v>1189</v>
      </c>
      <c r="C1912" s="1392" t="s">
        <v>1919</v>
      </c>
      <c r="D1912" s="1392" t="s">
        <v>1920</v>
      </c>
      <c r="E1912" s="1392" t="s">
        <v>1878</v>
      </c>
      <c r="F1912" s="1392" t="s">
        <v>1881</v>
      </c>
      <c r="G1912" s="1391">
        <v>1650000</v>
      </c>
    </row>
    <row r="1913" spans="1:7" x14ac:dyDescent="0.25">
      <c r="A1913" s="1392" t="s">
        <v>2576</v>
      </c>
      <c r="B1913" s="1392" t="s">
        <v>1189</v>
      </c>
      <c r="C1913" s="1392" t="s">
        <v>1919</v>
      </c>
      <c r="D1913" s="1392" t="s">
        <v>1920</v>
      </c>
      <c r="E1913" s="4536" t="s">
        <v>1885</v>
      </c>
      <c r="F1913" s="4537"/>
      <c r="G1913" s="1391">
        <v>420494000</v>
      </c>
    </row>
    <row r="1914" spans="1:7" x14ac:dyDescent="0.25">
      <c r="A1914" s="1392" t="s">
        <v>2576</v>
      </c>
      <c r="B1914" s="1392" t="s">
        <v>1189</v>
      </c>
      <c r="C1914" s="1392" t="s">
        <v>1919</v>
      </c>
      <c r="D1914" s="1392" t="s">
        <v>1920</v>
      </c>
      <c r="E1914" s="1392" t="s">
        <v>1885</v>
      </c>
      <c r="F1914" s="1392" t="s">
        <v>1925</v>
      </c>
      <c r="G1914" s="1391">
        <v>37436000</v>
      </c>
    </row>
    <row r="1915" spans="1:7" x14ac:dyDescent="0.25">
      <c r="A1915" s="1392" t="s">
        <v>2576</v>
      </c>
      <c r="B1915" s="1392" t="s">
        <v>1189</v>
      </c>
      <c r="C1915" s="1392" t="s">
        <v>1919</v>
      </c>
      <c r="D1915" s="1392" t="s">
        <v>1920</v>
      </c>
      <c r="E1915" s="1392" t="s">
        <v>1885</v>
      </c>
      <c r="F1915" s="1392" t="s">
        <v>1886</v>
      </c>
      <c r="G1915" s="1391">
        <v>31200000</v>
      </c>
    </row>
    <row r="1916" spans="1:7" x14ac:dyDescent="0.25">
      <c r="A1916" s="1392" t="s">
        <v>2576</v>
      </c>
      <c r="B1916" s="1392" t="s">
        <v>1189</v>
      </c>
      <c r="C1916" s="1392" t="s">
        <v>1919</v>
      </c>
      <c r="D1916" s="1392" t="s">
        <v>1920</v>
      </c>
      <c r="E1916" s="1392" t="s">
        <v>1885</v>
      </c>
      <c r="F1916" s="1392" t="s">
        <v>1887</v>
      </c>
      <c r="G1916" s="1391">
        <v>117940000</v>
      </c>
    </row>
    <row r="1917" spans="1:7" x14ac:dyDescent="0.25">
      <c r="A1917" s="1392" t="s">
        <v>2576</v>
      </c>
      <c r="B1917" s="1392" t="s">
        <v>1189</v>
      </c>
      <c r="C1917" s="1392" t="s">
        <v>1919</v>
      </c>
      <c r="D1917" s="1392" t="s">
        <v>1920</v>
      </c>
      <c r="E1917" s="1392" t="s">
        <v>1885</v>
      </c>
      <c r="F1917" s="1392" t="s">
        <v>1888</v>
      </c>
      <c r="G1917" s="1391">
        <v>233918000</v>
      </c>
    </row>
    <row r="1918" spans="1:7" x14ac:dyDescent="0.25">
      <c r="A1918" s="1392" t="s">
        <v>2576</v>
      </c>
      <c r="B1918" s="1392" t="s">
        <v>1189</v>
      </c>
      <c r="C1918" s="1392" t="s">
        <v>1919</v>
      </c>
      <c r="D1918" s="1392" t="s">
        <v>1920</v>
      </c>
      <c r="E1918" s="4536" t="s">
        <v>1889</v>
      </c>
      <c r="F1918" s="4537"/>
      <c r="G1918" s="1391">
        <v>128265000</v>
      </c>
    </row>
    <row r="1919" spans="1:7" x14ac:dyDescent="0.25">
      <c r="A1919" s="1392" t="s">
        <v>2576</v>
      </c>
      <c r="B1919" s="1392" t="s">
        <v>1189</v>
      </c>
      <c r="C1919" s="1392" t="s">
        <v>1919</v>
      </c>
      <c r="D1919" s="1392" t="s">
        <v>1920</v>
      </c>
      <c r="E1919" s="1392" t="s">
        <v>1889</v>
      </c>
      <c r="F1919" s="1392" t="s">
        <v>1921</v>
      </c>
      <c r="G1919" s="1391">
        <v>2952400</v>
      </c>
    </row>
    <row r="1920" spans="1:7" x14ac:dyDescent="0.25">
      <c r="A1920" s="1392" t="s">
        <v>2576</v>
      </c>
      <c r="B1920" s="1392" t="s">
        <v>1189</v>
      </c>
      <c r="C1920" s="1392" t="s">
        <v>1919</v>
      </c>
      <c r="D1920" s="1392" t="s">
        <v>1920</v>
      </c>
      <c r="E1920" s="1392" t="s">
        <v>1889</v>
      </c>
      <c r="F1920" s="1392" t="s">
        <v>1890</v>
      </c>
      <c r="G1920" s="1391">
        <v>73100000</v>
      </c>
    </row>
    <row r="1921" spans="1:7" x14ac:dyDescent="0.25">
      <c r="A1921" s="1392" t="s">
        <v>2576</v>
      </c>
      <c r="B1921" s="1392" t="s">
        <v>1189</v>
      </c>
      <c r="C1921" s="1392" t="s">
        <v>1919</v>
      </c>
      <c r="D1921" s="1392" t="s">
        <v>1920</v>
      </c>
      <c r="E1921" s="1392" t="s">
        <v>1889</v>
      </c>
      <c r="F1921" s="1392" t="s">
        <v>1891</v>
      </c>
      <c r="G1921" s="1391">
        <v>2350000</v>
      </c>
    </row>
    <row r="1922" spans="1:7" x14ac:dyDescent="0.25">
      <c r="A1922" s="1392" t="s">
        <v>2576</v>
      </c>
      <c r="B1922" s="1392" t="s">
        <v>1189</v>
      </c>
      <c r="C1922" s="1392" t="s">
        <v>1919</v>
      </c>
      <c r="D1922" s="1392" t="s">
        <v>1920</v>
      </c>
      <c r="E1922" s="1392" t="s">
        <v>1889</v>
      </c>
      <c r="F1922" s="1392" t="s">
        <v>1892</v>
      </c>
      <c r="G1922" s="1391">
        <v>4200000</v>
      </c>
    </row>
    <row r="1923" spans="1:7" x14ac:dyDescent="0.25">
      <c r="A1923" s="1392" t="s">
        <v>2576</v>
      </c>
      <c r="B1923" s="1392" t="s">
        <v>1189</v>
      </c>
      <c r="C1923" s="1392" t="s">
        <v>1919</v>
      </c>
      <c r="D1923" s="1392" t="s">
        <v>1920</v>
      </c>
      <c r="E1923" s="1392" t="s">
        <v>1889</v>
      </c>
      <c r="F1923" s="1392" t="s">
        <v>1922</v>
      </c>
      <c r="G1923" s="1391">
        <v>45662600</v>
      </c>
    </row>
    <row r="1924" spans="1:7" x14ac:dyDescent="0.25">
      <c r="A1924" s="1392" t="s">
        <v>2576</v>
      </c>
      <c r="B1924" s="1392" t="s">
        <v>1189</v>
      </c>
      <c r="C1924" s="1392" t="s">
        <v>1919</v>
      </c>
      <c r="D1924" s="1392" t="s">
        <v>1920</v>
      </c>
      <c r="E1924" s="4536" t="s">
        <v>1893</v>
      </c>
      <c r="F1924" s="4537"/>
      <c r="G1924" s="1391">
        <v>43750000</v>
      </c>
    </row>
    <row r="1925" spans="1:7" x14ac:dyDescent="0.25">
      <c r="A1925" s="1392" t="s">
        <v>2576</v>
      </c>
      <c r="B1925" s="1392" t="s">
        <v>1189</v>
      </c>
      <c r="C1925" s="1392" t="s">
        <v>1919</v>
      </c>
      <c r="D1925" s="1392" t="s">
        <v>1920</v>
      </c>
      <c r="E1925" s="1392" t="s">
        <v>1893</v>
      </c>
      <c r="F1925" s="1392" t="s">
        <v>1894</v>
      </c>
      <c r="G1925" s="1391">
        <v>6500000</v>
      </c>
    </row>
    <row r="1926" spans="1:7" x14ac:dyDescent="0.25">
      <c r="A1926" s="1392" t="s">
        <v>2576</v>
      </c>
      <c r="B1926" s="1392" t="s">
        <v>1189</v>
      </c>
      <c r="C1926" s="1392" t="s">
        <v>1919</v>
      </c>
      <c r="D1926" s="1392" t="s">
        <v>1920</v>
      </c>
      <c r="E1926" s="1392" t="s">
        <v>1893</v>
      </c>
      <c r="F1926" s="1392" t="s">
        <v>1895</v>
      </c>
      <c r="G1926" s="1391">
        <v>37250000</v>
      </c>
    </row>
    <row r="1927" spans="1:7" x14ac:dyDescent="0.25">
      <c r="A1927" s="1392" t="s">
        <v>2576</v>
      </c>
      <c r="B1927" s="1392" t="s">
        <v>1189</v>
      </c>
      <c r="C1927" s="1392" t="s">
        <v>1919</v>
      </c>
      <c r="D1927" s="1392" t="s">
        <v>1920</v>
      </c>
      <c r="E1927" s="4536" t="s">
        <v>1896</v>
      </c>
      <c r="F1927" s="4537"/>
      <c r="G1927" s="1391">
        <v>22653000</v>
      </c>
    </row>
    <row r="1928" spans="1:7" x14ac:dyDescent="0.25">
      <c r="A1928" s="1392" t="s">
        <v>2576</v>
      </c>
      <c r="B1928" s="1392" t="s">
        <v>1189</v>
      </c>
      <c r="C1928" s="1392" t="s">
        <v>1919</v>
      </c>
      <c r="D1928" s="1392" t="s">
        <v>1920</v>
      </c>
      <c r="E1928" s="1392" t="s">
        <v>1896</v>
      </c>
      <c r="F1928" s="1392" t="s">
        <v>1900</v>
      </c>
      <c r="G1928" s="1391">
        <v>14642000</v>
      </c>
    </row>
    <row r="1929" spans="1:7" x14ac:dyDescent="0.25">
      <c r="A1929" s="1392" t="s">
        <v>2576</v>
      </c>
      <c r="B1929" s="1392" t="s">
        <v>1189</v>
      </c>
      <c r="C1929" s="1392" t="s">
        <v>1919</v>
      </c>
      <c r="D1929" s="1392" t="s">
        <v>1920</v>
      </c>
      <c r="E1929" s="1392" t="s">
        <v>1896</v>
      </c>
      <c r="F1929" s="1392" t="s">
        <v>1928</v>
      </c>
      <c r="G1929" s="1391">
        <v>8011000</v>
      </c>
    </row>
    <row r="1930" spans="1:7" x14ac:dyDescent="0.25">
      <c r="A1930" s="1392" t="s">
        <v>2576</v>
      </c>
      <c r="B1930" s="1392" t="s">
        <v>1189</v>
      </c>
      <c r="C1930" s="1392" t="s">
        <v>1919</v>
      </c>
      <c r="D1930" s="1392" t="s">
        <v>1920</v>
      </c>
      <c r="E1930" s="4536" t="s">
        <v>1903</v>
      </c>
      <c r="F1930" s="4537"/>
      <c r="G1930" s="1391">
        <v>14960000</v>
      </c>
    </row>
    <row r="1931" spans="1:7" x14ac:dyDescent="0.25">
      <c r="A1931" s="1392" t="s">
        <v>2576</v>
      </c>
      <c r="B1931" s="1392" t="s">
        <v>1189</v>
      </c>
      <c r="C1931" s="1392" t="s">
        <v>1919</v>
      </c>
      <c r="D1931" s="1392" t="s">
        <v>1920</v>
      </c>
      <c r="E1931" s="1392" t="s">
        <v>1903</v>
      </c>
      <c r="F1931" s="1392" t="s">
        <v>1904</v>
      </c>
      <c r="G1931" s="1391">
        <v>14960000</v>
      </c>
    </row>
    <row r="1932" spans="1:7" x14ac:dyDescent="0.25">
      <c r="A1932" s="1392" t="s">
        <v>2576</v>
      </c>
      <c r="B1932" s="1392" t="s">
        <v>1189</v>
      </c>
      <c r="C1932" s="1392" t="s">
        <v>1919</v>
      </c>
      <c r="D1932" s="1392" t="s">
        <v>1920</v>
      </c>
      <c r="E1932" s="4536" t="s">
        <v>1906</v>
      </c>
      <c r="F1932" s="4537"/>
      <c r="G1932" s="1391">
        <v>395000</v>
      </c>
    </row>
    <row r="1933" spans="1:7" x14ac:dyDescent="0.25">
      <c r="A1933" s="1392" t="s">
        <v>2576</v>
      </c>
      <c r="B1933" s="1392" t="s">
        <v>1189</v>
      </c>
      <c r="C1933" s="1392" t="s">
        <v>1919</v>
      </c>
      <c r="D1933" s="1392" t="s">
        <v>1920</v>
      </c>
      <c r="E1933" s="1392" t="s">
        <v>1906</v>
      </c>
      <c r="F1933" s="1392" t="s">
        <v>1909</v>
      </c>
      <c r="G1933" s="1391">
        <v>395000</v>
      </c>
    </row>
    <row r="1934" spans="1:7" x14ac:dyDescent="0.25">
      <c r="A1934" s="1392" t="s">
        <v>2576</v>
      </c>
      <c r="B1934" s="1392" t="s">
        <v>1189</v>
      </c>
      <c r="C1934" s="1392" t="s">
        <v>1919</v>
      </c>
      <c r="D1934" s="1392" t="s">
        <v>1920</v>
      </c>
      <c r="E1934" s="4536" t="s">
        <v>1912</v>
      </c>
      <c r="F1934" s="4537"/>
      <c r="G1934" s="1391">
        <v>1155341023</v>
      </c>
    </row>
    <row r="1935" spans="1:7" x14ac:dyDescent="0.25">
      <c r="A1935" s="1392" t="s">
        <v>2576</v>
      </c>
      <c r="B1935" s="1392" t="s">
        <v>1189</v>
      </c>
      <c r="C1935" s="1392" t="s">
        <v>1919</v>
      </c>
      <c r="D1935" s="1392" t="s">
        <v>1920</v>
      </c>
      <c r="E1935" s="1392" t="s">
        <v>1912</v>
      </c>
      <c r="F1935" s="1392" t="s">
        <v>1915</v>
      </c>
      <c r="G1935" s="1391">
        <v>6600000</v>
      </c>
    </row>
    <row r="1936" spans="1:7" x14ac:dyDescent="0.25">
      <c r="A1936" s="1392" t="s">
        <v>2576</v>
      </c>
      <c r="B1936" s="1392" t="s">
        <v>1189</v>
      </c>
      <c r="C1936" s="1392" t="s">
        <v>1919</v>
      </c>
      <c r="D1936" s="1392" t="s">
        <v>1920</v>
      </c>
      <c r="E1936" s="1392" t="s">
        <v>1912</v>
      </c>
      <c r="F1936" s="1392" t="s">
        <v>1916</v>
      </c>
      <c r="G1936" s="1391">
        <v>1148741023</v>
      </c>
    </row>
    <row r="1937" spans="1:7" x14ac:dyDescent="0.25">
      <c r="A1937" s="1392" t="s">
        <v>2576</v>
      </c>
      <c r="B1937" s="1392" t="s">
        <v>1189</v>
      </c>
      <c r="C1937" s="1392" t="s">
        <v>1919</v>
      </c>
      <c r="D1937" s="4536" t="s">
        <v>2052</v>
      </c>
      <c r="E1937" s="4537"/>
      <c r="F1937" s="4537"/>
      <c r="G1937" s="1391">
        <v>6739892510</v>
      </c>
    </row>
    <row r="1938" spans="1:7" x14ac:dyDescent="0.25">
      <c r="A1938" s="1392" t="s">
        <v>2576</v>
      </c>
      <c r="B1938" s="1392" t="s">
        <v>1189</v>
      </c>
      <c r="C1938" s="1392" t="s">
        <v>1919</v>
      </c>
      <c r="D1938" s="1392" t="s">
        <v>2052</v>
      </c>
      <c r="E1938" s="4536" t="s">
        <v>1848</v>
      </c>
      <c r="F1938" s="4537"/>
      <c r="G1938" s="1391">
        <v>132000000</v>
      </c>
    </row>
    <row r="1939" spans="1:7" x14ac:dyDescent="0.25">
      <c r="A1939" s="1392" t="s">
        <v>2576</v>
      </c>
      <c r="B1939" s="1392" t="s">
        <v>1189</v>
      </c>
      <c r="C1939" s="1392" t="s">
        <v>1919</v>
      </c>
      <c r="D1939" s="1392" t="s">
        <v>2052</v>
      </c>
      <c r="E1939" s="1392" t="s">
        <v>1848</v>
      </c>
      <c r="F1939" s="1392" t="s">
        <v>1850</v>
      </c>
      <c r="G1939" s="1391">
        <v>132000000</v>
      </c>
    </row>
    <row r="1940" spans="1:7" x14ac:dyDescent="0.25">
      <c r="A1940" s="1392" t="s">
        <v>2576</v>
      </c>
      <c r="B1940" s="1392" t="s">
        <v>1189</v>
      </c>
      <c r="C1940" s="1392" t="s">
        <v>1919</v>
      </c>
      <c r="D1940" s="1392" t="s">
        <v>2052</v>
      </c>
      <c r="E1940" s="4536" t="s">
        <v>1853</v>
      </c>
      <c r="F1940" s="4537"/>
      <c r="G1940" s="1391">
        <v>88908260</v>
      </c>
    </row>
    <row r="1941" spans="1:7" x14ac:dyDescent="0.25">
      <c r="A1941" s="1392" t="s">
        <v>2576</v>
      </c>
      <c r="B1941" s="1392" t="s">
        <v>1189</v>
      </c>
      <c r="C1941" s="1392" t="s">
        <v>1919</v>
      </c>
      <c r="D1941" s="1392" t="s">
        <v>2052</v>
      </c>
      <c r="E1941" s="1392" t="s">
        <v>1853</v>
      </c>
      <c r="F1941" s="1392" t="s">
        <v>1856</v>
      </c>
      <c r="G1941" s="1391">
        <v>14000000</v>
      </c>
    </row>
    <row r="1942" spans="1:7" x14ac:dyDescent="0.25">
      <c r="A1942" s="1392" t="s">
        <v>2576</v>
      </c>
      <c r="B1942" s="1392" t="s">
        <v>1189</v>
      </c>
      <c r="C1942" s="1392" t="s">
        <v>1919</v>
      </c>
      <c r="D1942" s="1392" t="s">
        <v>2052</v>
      </c>
      <c r="E1942" s="1392" t="s">
        <v>1853</v>
      </c>
      <c r="F1942" s="1392" t="s">
        <v>1939</v>
      </c>
      <c r="G1942" s="1391">
        <v>74908260</v>
      </c>
    </row>
    <row r="1943" spans="1:7" x14ac:dyDescent="0.25">
      <c r="A1943" s="1392" t="s">
        <v>2576</v>
      </c>
      <c r="B1943" s="1392" t="s">
        <v>1189</v>
      </c>
      <c r="C1943" s="1392" t="s">
        <v>1919</v>
      </c>
      <c r="D1943" s="1392" t="s">
        <v>2052</v>
      </c>
      <c r="E1943" s="4536" t="s">
        <v>1869</v>
      </c>
      <c r="F1943" s="4537"/>
      <c r="G1943" s="1391">
        <v>2994050</v>
      </c>
    </row>
    <row r="1944" spans="1:7" x14ac:dyDescent="0.25">
      <c r="A1944" s="1392" t="s">
        <v>2576</v>
      </c>
      <c r="B1944" s="1392" t="s">
        <v>1189</v>
      </c>
      <c r="C1944" s="1392" t="s">
        <v>1919</v>
      </c>
      <c r="D1944" s="1392" t="s">
        <v>2052</v>
      </c>
      <c r="E1944" s="1392" t="s">
        <v>1869</v>
      </c>
      <c r="F1944" s="1392" t="s">
        <v>1872</v>
      </c>
      <c r="G1944" s="1391">
        <v>2994050</v>
      </c>
    </row>
    <row r="1945" spans="1:7" x14ac:dyDescent="0.25">
      <c r="A1945" s="1392" t="s">
        <v>2576</v>
      </c>
      <c r="B1945" s="1392" t="s">
        <v>1189</v>
      </c>
      <c r="C1945" s="1392" t="s">
        <v>1919</v>
      </c>
      <c r="D1945" s="1392" t="s">
        <v>2052</v>
      </c>
      <c r="E1945" s="4536" t="s">
        <v>1874</v>
      </c>
      <c r="F1945" s="4537"/>
      <c r="G1945" s="1391">
        <v>13583000</v>
      </c>
    </row>
    <row r="1946" spans="1:7" x14ac:dyDescent="0.25">
      <c r="A1946" s="1392" t="s">
        <v>2576</v>
      </c>
      <c r="B1946" s="1392" t="s">
        <v>1189</v>
      </c>
      <c r="C1946" s="1392" t="s">
        <v>1919</v>
      </c>
      <c r="D1946" s="1392" t="s">
        <v>2052</v>
      </c>
      <c r="E1946" s="1392" t="s">
        <v>1874</v>
      </c>
      <c r="F1946" s="1392" t="s">
        <v>1875</v>
      </c>
      <c r="G1946" s="1391">
        <v>13083000</v>
      </c>
    </row>
    <row r="1947" spans="1:7" x14ac:dyDescent="0.25">
      <c r="A1947" s="1392" t="s">
        <v>2576</v>
      </c>
      <c r="B1947" s="1392" t="s">
        <v>1189</v>
      </c>
      <c r="C1947" s="1392" t="s">
        <v>1919</v>
      </c>
      <c r="D1947" s="1392" t="s">
        <v>2052</v>
      </c>
      <c r="E1947" s="1392" t="s">
        <v>1874</v>
      </c>
      <c r="F1947" s="1392" t="s">
        <v>1876</v>
      </c>
      <c r="G1947" s="1391">
        <v>500000</v>
      </c>
    </row>
    <row r="1948" spans="1:7" x14ac:dyDescent="0.25">
      <c r="A1948" s="1392" t="s">
        <v>2576</v>
      </c>
      <c r="B1948" s="1392" t="s">
        <v>1189</v>
      </c>
      <c r="C1948" s="1392" t="s">
        <v>1919</v>
      </c>
      <c r="D1948" s="1392" t="s">
        <v>2052</v>
      </c>
      <c r="E1948" s="4536" t="s">
        <v>1896</v>
      </c>
      <c r="F1948" s="4537"/>
      <c r="G1948" s="1391">
        <v>10840000</v>
      </c>
    </row>
    <row r="1949" spans="1:7" x14ac:dyDescent="0.25">
      <c r="A1949" s="1392" t="s">
        <v>2576</v>
      </c>
      <c r="B1949" s="1392" t="s">
        <v>1189</v>
      </c>
      <c r="C1949" s="1392" t="s">
        <v>1919</v>
      </c>
      <c r="D1949" s="1392" t="s">
        <v>2052</v>
      </c>
      <c r="E1949" s="1392" t="s">
        <v>1896</v>
      </c>
      <c r="F1949" s="1392" t="s">
        <v>1900</v>
      </c>
      <c r="G1949" s="1391">
        <v>4000000</v>
      </c>
    </row>
    <row r="1950" spans="1:7" x14ac:dyDescent="0.25">
      <c r="A1950" s="1392" t="s">
        <v>2576</v>
      </c>
      <c r="B1950" s="1392" t="s">
        <v>1189</v>
      </c>
      <c r="C1950" s="1392" t="s">
        <v>1919</v>
      </c>
      <c r="D1950" s="1392" t="s">
        <v>2052</v>
      </c>
      <c r="E1950" s="1392" t="s">
        <v>1896</v>
      </c>
      <c r="F1950" s="1392" t="s">
        <v>1901</v>
      </c>
      <c r="G1950" s="1391">
        <v>6840000</v>
      </c>
    </row>
    <row r="1951" spans="1:7" x14ac:dyDescent="0.25">
      <c r="A1951" s="1392" t="s">
        <v>2576</v>
      </c>
      <c r="B1951" s="1392" t="s">
        <v>1189</v>
      </c>
      <c r="C1951" s="1392" t="s">
        <v>1919</v>
      </c>
      <c r="D1951" s="1392" t="s">
        <v>2052</v>
      </c>
      <c r="E1951" s="4536" t="s">
        <v>1906</v>
      </c>
      <c r="F1951" s="4537"/>
      <c r="G1951" s="1391">
        <v>4048000</v>
      </c>
    </row>
    <row r="1952" spans="1:7" x14ac:dyDescent="0.25">
      <c r="A1952" s="1392" t="s">
        <v>2576</v>
      </c>
      <c r="B1952" s="1392" t="s">
        <v>1189</v>
      </c>
      <c r="C1952" s="1392" t="s">
        <v>1919</v>
      </c>
      <c r="D1952" s="1392" t="s">
        <v>2052</v>
      </c>
      <c r="E1952" s="1392" t="s">
        <v>1906</v>
      </c>
      <c r="F1952" s="1392" t="s">
        <v>1907</v>
      </c>
      <c r="G1952" s="1391">
        <v>4048000</v>
      </c>
    </row>
    <row r="1953" spans="1:7" x14ac:dyDescent="0.25">
      <c r="A1953" s="1392" t="s">
        <v>2576</v>
      </c>
      <c r="B1953" s="1392" t="s">
        <v>1189</v>
      </c>
      <c r="C1953" s="1392" t="s">
        <v>1919</v>
      </c>
      <c r="D1953" s="1392" t="s">
        <v>2052</v>
      </c>
      <c r="E1953" s="4536" t="s">
        <v>1912</v>
      </c>
      <c r="F1953" s="4537"/>
      <c r="G1953" s="1391">
        <v>6487519200</v>
      </c>
    </row>
    <row r="1954" spans="1:7" x14ac:dyDescent="0.25">
      <c r="A1954" s="1392" t="s">
        <v>2576</v>
      </c>
      <c r="B1954" s="1392" t="s">
        <v>1189</v>
      </c>
      <c r="C1954" s="1392" t="s">
        <v>1919</v>
      </c>
      <c r="D1954" s="1392" t="s">
        <v>2052</v>
      </c>
      <c r="E1954" s="1392" t="s">
        <v>1912</v>
      </c>
      <c r="F1954" s="1392" t="s">
        <v>1913</v>
      </c>
      <c r="G1954" s="1391">
        <v>3190000</v>
      </c>
    </row>
    <row r="1955" spans="1:7" x14ac:dyDescent="0.25">
      <c r="A1955" s="1392" t="s">
        <v>2576</v>
      </c>
      <c r="B1955" s="1392" t="s">
        <v>1189</v>
      </c>
      <c r="C1955" s="1392" t="s">
        <v>1919</v>
      </c>
      <c r="D1955" s="1392" t="s">
        <v>2052</v>
      </c>
      <c r="E1955" s="1392" t="s">
        <v>1912</v>
      </c>
      <c r="F1955" s="1392" t="s">
        <v>1916</v>
      </c>
      <c r="G1955" s="1391">
        <v>6484329200</v>
      </c>
    </row>
    <row r="1956" spans="1:7" x14ac:dyDescent="0.25">
      <c r="A1956" s="1392" t="s">
        <v>2576</v>
      </c>
      <c r="B1956" s="1392" t="s">
        <v>1189</v>
      </c>
      <c r="C1956" s="1392" t="s">
        <v>1919</v>
      </c>
      <c r="D1956" s="4536" t="s">
        <v>2005</v>
      </c>
      <c r="E1956" s="4537"/>
      <c r="F1956" s="4537"/>
      <c r="G1956" s="1391">
        <v>2519909499</v>
      </c>
    </row>
    <row r="1957" spans="1:7" x14ac:dyDescent="0.25">
      <c r="A1957" s="1392" t="s">
        <v>2576</v>
      </c>
      <c r="B1957" s="1392" t="s">
        <v>1189</v>
      </c>
      <c r="C1957" s="1392" t="s">
        <v>1919</v>
      </c>
      <c r="D1957" s="1392" t="s">
        <v>2005</v>
      </c>
      <c r="E1957" s="4536" t="s">
        <v>2030</v>
      </c>
      <c r="F1957" s="4537"/>
      <c r="G1957" s="1391">
        <v>168000</v>
      </c>
    </row>
    <row r="1958" spans="1:7" x14ac:dyDescent="0.25">
      <c r="A1958" s="1392" t="s">
        <v>2576</v>
      </c>
      <c r="B1958" s="1392" t="s">
        <v>1189</v>
      </c>
      <c r="C1958" s="1392" t="s">
        <v>1919</v>
      </c>
      <c r="D1958" s="1392" t="s">
        <v>2005</v>
      </c>
      <c r="E1958" s="1392" t="s">
        <v>2030</v>
      </c>
      <c r="F1958" s="1392" t="s">
        <v>2031</v>
      </c>
      <c r="G1958" s="1391">
        <v>168000</v>
      </c>
    </row>
    <row r="1959" spans="1:7" x14ac:dyDescent="0.25">
      <c r="A1959" s="1392" t="s">
        <v>2576</v>
      </c>
      <c r="B1959" s="1392" t="s">
        <v>1189</v>
      </c>
      <c r="C1959" s="1392" t="s">
        <v>1919</v>
      </c>
      <c r="D1959" s="1392" t="s">
        <v>2005</v>
      </c>
      <c r="E1959" s="4536" t="s">
        <v>2024</v>
      </c>
      <c r="F1959" s="4537"/>
      <c r="G1959" s="1391">
        <v>2284856178</v>
      </c>
    </row>
    <row r="1960" spans="1:7" x14ac:dyDescent="0.25">
      <c r="A1960" s="1392" t="s">
        <v>2576</v>
      </c>
      <c r="B1960" s="1392" t="s">
        <v>1189</v>
      </c>
      <c r="C1960" s="1392" t="s">
        <v>1919</v>
      </c>
      <c r="D1960" s="1392" t="s">
        <v>2005</v>
      </c>
      <c r="E1960" s="1392" t="s">
        <v>2024</v>
      </c>
      <c r="F1960" s="1392" t="s">
        <v>2025</v>
      </c>
      <c r="G1960" s="1391">
        <v>2284856178</v>
      </c>
    </row>
    <row r="1961" spans="1:7" x14ac:dyDescent="0.25">
      <c r="A1961" s="1392" t="s">
        <v>2576</v>
      </c>
      <c r="B1961" s="1392" t="s">
        <v>1189</v>
      </c>
      <c r="C1961" s="1392" t="s">
        <v>1919</v>
      </c>
      <c r="D1961" s="1392" t="s">
        <v>2005</v>
      </c>
      <c r="E1961" s="4536" t="s">
        <v>2026</v>
      </c>
      <c r="F1961" s="4537"/>
      <c r="G1961" s="1391">
        <v>234885321</v>
      </c>
    </row>
    <row r="1962" spans="1:7" x14ac:dyDescent="0.25">
      <c r="A1962" s="1392" t="s">
        <v>2576</v>
      </c>
      <c r="B1962" s="1392" t="s">
        <v>1189</v>
      </c>
      <c r="C1962" s="1392" t="s">
        <v>1919</v>
      </c>
      <c r="D1962" s="1392" t="s">
        <v>2005</v>
      </c>
      <c r="E1962" s="1392" t="s">
        <v>2026</v>
      </c>
      <c r="F1962" s="1392" t="s">
        <v>2027</v>
      </c>
      <c r="G1962" s="1391">
        <v>12200000</v>
      </c>
    </row>
    <row r="1963" spans="1:7" x14ac:dyDescent="0.25">
      <c r="A1963" s="1392" t="s">
        <v>2576</v>
      </c>
      <c r="B1963" s="1392" t="s">
        <v>1189</v>
      </c>
      <c r="C1963" s="1392" t="s">
        <v>1919</v>
      </c>
      <c r="D1963" s="1392" t="s">
        <v>2005</v>
      </c>
      <c r="E1963" s="1392" t="s">
        <v>2026</v>
      </c>
      <c r="F1963" s="1392" t="s">
        <v>2028</v>
      </c>
      <c r="G1963" s="1391">
        <v>213754321</v>
      </c>
    </row>
    <row r="1964" spans="1:7" x14ac:dyDescent="0.25">
      <c r="A1964" s="1392" t="s">
        <v>2576</v>
      </c>
      <c r="B1964" s="1392" t="s">
        <v>1189</v>
      </c>
      <c r="C1964" s="1392" t="s">
        <v>1919</v>
      </c>
      <c r="D1964" s="1392" t="s">
        <v>2005</v>
      </c>
      <c r="E1964" s="1392" t="s">
        <v>2026</v>
      </c>
      <c r="F1964" s="1392" t="s">
        <v>2029</v>
      </c>
      <c r="G1964" s="1391">
        <v>8931000</v>
      </c>
    </row>
    <row r="1965" spans="1:7" x14ac:dyDescent="0.25">
      <c r="A1965" s="1392" t="s">
        <v>2576</v>
      </c>
      <c r="B1965" s="1392" t="s">
        <v>1189</v>
      </c>
      <c r="C1965" s="1392" t="s">
        <v>1919</v>
      </c>
      <c r="D1965" s="4536" t="s">
        <v>1931</v>
      </c>
      <c r="E1965" s="4537"/>
      <c r="F1965" s="4537"/>
      <c r="G1965" s="1391">
        <v>1265344295</v>
      </c>
    </row>
    <row r="1966" spans="1:7" x14ac:dyDescent="0.25">
      <c r="A1966" s="1392" t="s">
        <v>2576</v>
      </c>
      <c r="B1966" s="1392" t="s">
        <v>1189</v>
      </c>
      <c r="C1966" s="1392" t="s">
        <v>1919</v>
      </c>
      <c r="D1966" s="1392" t="s">
        <v>1931</v>
      </c>
      <c r="E1966" s="4536" t="s">
        <v>1896</v>
      </c>
      <c r="F1966" s="4537"/>
      <c r="G1966" s="1391">
        <v>54654295</v>
      </c>
    </row>
    <row r="1967" spans="1:7" x14ac:dyDescent="0.25">
      <c r="A1967" s="1392" t="s">
        <v>2576</v>
      </c>
      <c r="B1967" s="1392" t="s">
        <v>1189</v>
      </c>
      <c r="C1967" s="1392" t="s">
        <v>1919</v>
      </c>
      <c r="D1967" s="1392" t="s">
        <v>1931</v>
      </c>
      <c r="E1967" s="1392" t="s">
        <v>1896</v>
      </c>
      <c r="F1967" s="1392" t="s">
        <v>1932</v>
      </c>
      <c r="G1967" s="1391">
        <v>54654295</v>
      </c>
    </row>
    <row r="1968" spans="1:7" x14ac:dyDescent="0.25">
      <c r="A1968" s="1392" t="s">
        <v>2576</v>
      </c>
      <c r="B1968" s="1392" t="s">
        <v>1189</v>
      </c>
      <c r="C1968" s="1392" t="s">
        <v>1919</v>
      </c>
      <c r="D1968" s="1392" t="s">
        <v>1931</v>
      </c>
      <c r="E1968" s="4536" t="s">
        <v>2024</v>
      </c>
      <c r="F1968" s="4537"/>
      <c r="G1968" s="1391">
        <v>1091670000</v>
      </c>
    </row>
    <row r="1969" spans="1:7" x14ac:dyDescent="0.25">
      <c r="A1969" s="1392" t="s">
        <v>2576</v>
      </c>
      <c r="B1969" s="1392" t="s">
        <v>1189</v>
      </c>
      <c r="C1969" s="1392" t="s">
        <v>1919</v>
      </c>
      <c r="D1969" s="1392" t="s">
        <v>1931</v>
      </c>
      <c r="E1969" s="1392" t="s">
        <v>2024</v>
      </c>
      <c r="F1969" s="1392" t="s">
        <v>2025</v>
      </c>
      <c r="G1969" s="1391">
        <v>1091670000</v>
      </c>
    </row>
    <row r="1970" spans="1:7" x14ac:dyDescent="0.25">
      <c r="A1970" s="1392" t="s">
        <v>2576</v>
      </c>
      <c r="B1970" s="1392" t="s">
        <v>1189</v>
      </c>
      <c r="C1970" s="1392" t="s">
        <v>1919</v>
      </c>
      <c r="D1970" s="1392" t="s">
        <v>1931</v>
      </c>
      <c r="E1970" s="4536" t="s">
        <v>2026</v>
      </c>
      <c r="F1970" s="4537"/>
      <c r="G1970" s="1391">
        <v>119020000</v>
      </c>
    </row>
    <row r="1971" spans="1:7" x14ac:dyDescent="0.25">
      <c r="A1971" s="1392" t="s">
        <v>2576</v>
      </c>
      <c r="B1971" s="1392" t="s">
        <v>1189</v>
      </c>
      <c r="C1971" s="1392" t="s">
        <v>1919</v>
      </c>
      <c r="D1971" s="1392" t="s">
        <v>1931</v>
      </c>
      <c r="E1971" s="1392" t="s">
        <v>2026</v>
      </c>
      <c r="F1971" s="1392" t="s">
        <v>2027</v>
      </c>
      <c r="G1971" s="1391">
        <v>10230000</v>
      </c>
    </row>
    <row r="1972" spans="1:7" x14ac:dyDescent="0.25">
      <c r="A1972" s="1392" t="s">
        <v>2576</v>
      </c>
      <c r="B1972" s="1392" t="s">
        <v>1189</v>
      </c>
      <c r="C1972" s="1392" t="s">
        <v>1919</v>
      </c>
      <c r="D1972" s="1392" t="s">
        <v>1931</v>
      </c>
      <c r="E1972" s="1392" t="s">
        <v>2026</v>
      </c>
      <c r="F1972" s="1392" t="s">
        <v>2028</v>
      </c>
      <c r="G1972" s="1391">
        <v>108790000</v>
      </c>
    </row>
    <row r="1973" spans="1:7" x14ac:dyDescent="0.25">
      <c r="A1973" s="1392" t="s">
        <v>2576</v>
      </c>
      <c r="B1973" s="1392" t="s">
        <v>1189</v>
      </c>
      <c r="C1973" s="1392" t="s">
        <v>1919</v>
      </c>
      <c r="D1973" s="4536" t="s">
        <v>2053</v>
      </c>
      <c r="E1973" s="4537"/>
      <c r="F1973" s="4537"/>
      <c r="G1973" s="1391">
        <v>4861260217</v>
      </c>
    </row>
    <row r="1974" spans="1:7" x14ac:dyDescent="0.25">
      <c r="A1974" s="1392" t="s">
        <v>2576</v>
      </c>
      <c r="B1974" s="1392" t="s">
        <v>1189</v>
      </c>
      <c r="C1974" s="1392" t="s">
        <v>1919</v>
      </c>
      <c r="D1974" s="1392" t="s">
        <v>2053</v>
      </c>
      <c r="E1974" s="4536" t="s">
        <v>2041</v>
      </c>
      <c r="F1974" s="4537"/>
      <c r="G1974" s="1391">
        <v>725263604</v>
      </c>
    </row>
    <row r="1975" spans="1:7" x14ac:dyDescent="0.25">
      <c r="A1975" s="1392" t="s">
        <v>2576</v>
      </c>
      <c r="B1975" s="1392" t="s">
        <v>1189</v>
      </c>
      <c r="C1975" s="1392" t="s">
        <v>1919</v>
      </c>
      <c r="D1975" s="1392" t="s">
        <v>2053</v>
      </c>
      <c r="E1975" s="1392" t="s">
        <v>2041</v>
      </c>
      <c r="F1975" s="1392" t="s">
        <v>2042</v>
      </c>
      <c r="G1975" s="1391">
        <v>725263604</v>
      </c>
    </row>
    <row r="1976" spans="1:7" x14ac:dyDescent="0.25">
      <c r="A1976" s="1392" t="s">
        <v>2576</v>
      </c>
      <c r="B1976" s="1392" t="s">
        <v>1189</v>
      </c>
      <c r="C1976" s="1392" t="s">
        <v>1919</v>
      </c>
      <c r="D1976" s="1392" t="s">
        <v>2053</v>
      </c>
      <c r="E1976" s="4536" t="s">
        <v>2024</v>
      </c>
      <c r="F1976" s="4537"/>
      <c r="G1976" s="1391">
        <v>3580264613</v>
      </c>
    </row>
    <row r="1977" spans="1:7" x14ac:dyDescent="0.25">
      <c r="A1977" s="1392" t="s">
        <v>2576</v>
      </c>
      <c r="B1977" s="1392" t="s">
        <v>1189</v>
      </c>
      <c r="C1977" s="1392" t="s">
        <v>1919</v>
      </c>
      <c r="D1977" s="1392" t="s">
        <v>2053</v>
      </c>
      <c r="E1977" s="1392" t="s">
        <v>2024</v>
      </c>
      <c r="F1977" s="1392" t="s">
        <v>2025</v>
      </c>
      <c r="G1977" s="1391">
        <v>3580264613</v>
      </c>
    </row>
    <row r="1978" spans="1:7" x14ac:dyDescent="0.25">
      <c r="A1978" s="1392" t="s">
        <v>2576</v>
      </c>
      <c r="B1978" s="1392" t="s">
        <v>1189</v>
      </c>
      <c r="C1978" s="1392" t="s">
        <v>1919</v>
      </c>
      <c r="D1978" s="1392" t="s">
        <v>2053</v>
      </c>
      <c r="E1978" s="4536" t="s">
        <v>2026</v>
      </c>
      <c r="F1978" s="4537"/>
      <c r="G1978" s="1391">
        <v>555732000</v>
      </c>
    </row>
    <row r="1979" spans="1:7" x14ac:dyDescent="0.25">
      <c r="A1979" s="1392" t="s">
        <v>2576</v>
      </c>
      <c r="B1979" s="1392" t="s">
        <v>1189</v>
      </c>
      <c r="C1979" s="1392" t="s">
        <v>1919</v>
      </c>
      <c r="D1979" s="1392" t="s">
        <v>2053</v>
      </c>
      <c r="E1979" s="1392" t="s">
        <v>2026</v>
      </c>
      <c r="F1979" s="1392" t="s">
        <v>2027</v>
      </c>
      <c r="G1979" s="1391">
        <v>100000000</v>
      </c>
    </row>
    <row r="1980" spans="1:7" x14ac:dyDescent="0.25">
      <c r="A1980" s="1392" t="s">
        <v>2576</v>
      </c>
      <c r="B1980" s="1392" t="s">
        <v>1189</v>
      </c>
      <c r="C1980" s="1392" t="s">
        <v>1919</v>
      </c>
      <c r="D1980" s="1392" t="s">
        <v>2053</v>
      </c>
      <c r="E1980" s="1392" t="s">
        <v>2026</v>
      </c>
      <c r="F1980" s="1392" t="s">
        <v>2028</v>
      </c>
      <c r="G1980" s="1391">
        <v>417700000</v>
      </c>
    </row>
    <row r="1981" spans="1:7" x14ac:dyDescent="0.25">
      <c r="A1981" s="1392" t="s">
        <v>2576</v>
      </c>
      <c r="B1981" s="1392" t="s">
        <v>1189</v>
      </c>
      <c r="C1981" s="1392" t="s">
        <v>1919</v>
      </c>
      <c r="D1981" s="1392" t="s">
        <v>2053</v>
      </c>
      <c r="E1981" s="1392" t="s">
        <v>2026</v>
      </c>
      <c r="F1981" s="1392" t="s">
        <v>2029</v>
      </c>
      <c r="G1981" s="1391">
        <v>38032000</v>
      </c>
    </row>
    <row r="1982" spans="1:7" x14ac:dyDescent="0.25">
      <c r="A1982" s="1392" t="s">
        <v>2576</v>
      </c>
      <c r="B1982" s="1392" t="s">
        <v>1189</v>
      </c>
      <c r="C1982" s="1392" t="s">
        <v>1919</v>
      </c>
      <c r="D1982" s="4536" t="s">
        <v>2054</v>
      </c>
      <c r="E1982" s="4537"/>
      <c r="F1982" s="4537"/>
      <c r="G1982" s="1391">
        <v>1924591041</v>
      </c>
    </row>
    <row r="1983" spans="1:7" x14ac:dyDescent="0.25">
      <c r="A1983" s="1392" t="s">
        <v>2576</v>
      </c>
      <c r="B1983" s="1392" t="s">
        <v>1189</v>
      </c>
      <c r="C1983" s="1392" t="s">
        <v>1919</v>
      </c>
      <c r="D1983" s="1392" t="s">
        <v>2054</v>
      </c>
      <c r="E1983" s="4536" t="s">
        <v>1869</v>
      </c>
      <c r="F1983" s="4537"/>
      <c r="G1983" s="1391">
        <v>82532671</v>
      </c>
    </row>
    <row r="1984" spans="1:7" x14ac:dyDescent="0.25">
      <c r="A1984" s="1392" t="s">
        <v>2576</v>
      </c>
      <c r="B1984" s="1392" t="s">
        <v>1189</v>
      </c>
      <c r="C1984" s="1392" t="s">
        <v>1919</v>
      </c>
      <c r="D1984" s="1392" t="s">
        <v>2054</v>
      </c>
      <c r="E1984" s="1392" t="s">
        <v>1869</v>
      </c>
      <c r="F1984" s="1392" t="s">
        <v>1870</v>
      </c>
      <c r="G1984" s="1391">
        <v>75877871</v>
      </c>
    </row>
    <row r="1985" spans="1:7" x14ac:dyDescent="0.25">
      <c r="A1985" s="1392" t="s">
        <v>2576</v>
      </c>
      <c r="B1985" s="1392" t="s">
        <v>1189</v>
      </c>
      <c r="C1985" s="1392" t="s">
        <v>1919</v>
      </c>
      <c r="D1985" s="1392" t="s">
        <v>2054</v>
      </c>
      <c r="E1985" s="1392" t="s">
        <v>1869</v>
      </c>
      <c r="F1985" s="1392" t="s">
        <v>1872</v>
      </c>
      <c r="G1985" s="1391">
        <v>6654800</v>
      </c>
    </row>
    <row r="1986" spans="1:7" x14ac:dyDescent="0.25">
      <c r="A1986" s="1392" t="s">
        <v>2576</v>
      </c>
      <c r="B1986" s="1392" t="s">
        <v>1189</v>
      </c>
      <c r="C1986" s="1392" t="s">
        <v>1919</v>
      </c>
      <c r="D1986" s="1392" t="s">
        <v>2054</v>
      </c>
      <c r="E1986" s="4536" t="s">
        <v>1893</v>
      </c>
      <c r="F1986" s="4537"/>
      <c r="G1986" s="1391">
        <v>17880000</v>
      </c>
    </row>
    <row r="1987" spans="1:7" x14ac:dyDescent="0.25">
      <c r="A1987" s="1392" t="s">
        <v>2576</v>
      </c>
      <c r="B1987" s="1392" t="s">
        <v>1189</v>
      </c>
      <c r="C1987" s="1392" t="s">
        <v>1919</v>
      </c>
      <c r="D1987" s="1392" t="s">
        <v>2054</v>
      </c>
      <c r="E1987" s="1392" t="s">
        <v>1893</v>
      </c>
      <c r="F1987" s="1392" t="s">
        <v>1895</v>
      </c>
      <c r="G1987" s="1391">
        <v>17880000</v>
      </c>
    </row>
    <row r="1988" spans="1:7" x14ac:dyDescent="0.25">
      <c r="A1988" s="1392" t="s">
        <v>2576</v>
      </c>
      <c r="B1988" s="1392" t="s">
        <v>1189</v>
      </c>
      <c r="C1988" s="1392" t="s">
        <v>1919</v>
      </c>
      <c r="D1988" s="1392" t="s">
        <v>2054</v>
      </c>
      <c r="E1988" s="4536" t="s">
        <v>1896</v>
      </c>
      <c r="F1988" s="4537"/>
      <c r="G1988" s="1391">
        <v>1502357528</v>
      </c>
    </row>
    <row r="1989" spans="1:7" x14ac:dyDescent="0.25">
      <c r="A1989" s="1392" t="s">
        <v>2576</v>
      </c>
      <c r="B1989" s="1392" t="s">
        <v>1189</v>
      </c>
      <c r="C1989" s="1392" t="s">
        <v>1919</v>
      </c>
      <c r="D1989" s="1392" t="s">
        <v>2054</v>
      </c>
      <c r="E1989" s="1392" t="s">
        <v>1896</v>
      </c>
      <c r="F1989" s="1392" t="s">
        <v>2040</v>
      </c>
      <c r="G1989" s="1391">
        <v>4400000</v>
      </c>
    </row>
    <row r="1990" spans="1:7" x14ac:dyDescent="0.25">
      <c r="A1990" s="1392" t="s">
        <v>2576</v>
      </c>
      <c r="B1990" s="1392" t="s">
        <v>1189</v>
      </c>
      <c r="C1990" s="1392" t="s">
        <v>1919</v>
      </c>
      <c r="D1990" s="1392" t="s">
        <v>2054</v>
      </c>
      <c r="E1990" s="1392" t="s">
        <v>1896</v>
      </c>
      <c r="F1990" s="1392" t="s">
        <v>1932</v>
      </c>
      <c r="G1990" s="1391">
        <v>947957528</v>
      </c>
    </row>
    <row r="1991" spans="1:7" x14ac:dyDescent="0.25">
      <c r="A1991" s="1392" t="s">
        <v>2576</v>
      </c>
      <c r="B1991" s="1392" t="s">
        <v>1189</v>
      </c>
      <c r="C1991" s="1392" t="s">
        <v>1919</v>
      </c>
      <c r="D1991" s="1392" t="s">
        <v>2054</v>
      </c>
      <c r="E1991" s="1392" t="s">
        <v>1896</v>
      </c>
      <c r="F1991" s="1392" t="s">
        <v>1902</v>
      </c>
      <c r="G1991" s="1391">
        <v>550000000</v>
      </c>
    </row>
    <row r="1992" spans="1:7" x14ac:dyDescent="0.25">
      <c r="A1992" s="1392" t="s">
        <v>2576</v>
      </c>
      <c r="B1992" s="1392" t="s">
        <v>1189</v>
      </c>
      <c r="C1992" s="1392" t="s">
        <v>1919</v>
      </c>
      <c r="D1992" s="1392" t="s">
        <v>2054</v>
      </c>
      <c r="E1992" s="4536" t="s">
        <v>1906</v>
      </c>
      <c r="F1992" s="4537"/>
      <c r="G1992" s="1391">
        <v>510000</v>
      </c>
    </row>
    <row r="1993" spans="1:7" x14ac:dyDescent="0.25">
      <c r="A1993" s="1392" t="s">
        <v>2576</v>
      </c>
      <c r="B1993" s="1392" t="s">
        <v>1189</v>
      </c>
      <c r="C1993" s="1392" t="s">
        <v>1919</v>
      </c>
      <c r="D1993" s="1392" t="s">
        <v>2054</v>
      </c>
      <c r="E1993" s="1392" t="s">
        <v>1906</v>
      </c>
      <c r="F1993" s="1392" t="s">
        <v>1907</v>
      </c>
      <c r="G1993" s="1391">
        <v>510000</v>
      </c>
    </row>
    <row r="1994" spans="1:7" x14ac:dyDescent="0.25">
      <c r="A1994" s="1392" t="s">
        <v>2576</v>
      </c>
      <c r="B1994" s="1392" t="s">
        <v>1189</v>
      </c>
      <c r="C1994" s="1392" t="s">
        <v>1919</v>
      </c>
      <c r="D1994" s="1392" t="s">
        <v>2054</v>
      </c>
      <c r="E1994" s="4536" t="s">
        <v>1912</v>
      </c>
      <c r="F1994" s="4537"/>
      <c r="G1994" s="1391">
        <v>30750000</v>
      </c>
    </row>
    <row r="1995" spans="1:7" x14ac:dyDescent="0.25">
      <c r="A1995" s="1392" t="s">
        <v>2576</v>
      </c>
      <c r="B1995" s="1392" t="s">
        <v>1189</v>
      </c>
      <c r="C1995" s="1392" t="s">
        <v>1919</v>
      </c>
      <c r="D1995" s="1392" t="s">
        <v>2054</v>
      </c>
      <c r="E1995" s="1392" t="s">
        <v>1912</v>
      </c>
      <c r="F1995" s="1392" t="s">
        <v>1916</v>
      </c>
      <c r="G1995" s="1391">
        <v>30750000</v>
      </c>
    </row>
    <row r="1996" spans="1:7" x14ac:dyDescent="0.25">
      <c r="A1996" s="1392" t="s">
        <v>2576</v>
      </c>
      <c r="B1996" s="1392" t="s">
        <v>1189</v>
      </c>
      <c r="C1996" s="1392" t="s">
        <v>1919</v>
      </c>
      <c r="D1996" s="1392" t="s">
        <v>2054</v>
      </c>
      <c r="E1996" s="4536" t="s">
        <v>2024</v>
      </c>
      <c r="F1996" s="4537"/>
      <c r="G1996" s="1391">
        <v>241439842</v>
      </c>
    </row>
    <row r="1997" spans="1:7" x14ac:dyDescent="0.25">
      <c r="A1997" s="1392" t="s">
        <v>2576</v>
      </c>
      <c r="B1997" s="1392" t="s">
        <v>1189</v>
      </c>
      <c r="C1997" s="1392" t="s">
        <v>1919</v>
      </c>
      <c r="D1997" s="1392" t="s">
        <v>2054</v>
      </c>
      <c r="E1997" s="1392" t="s">
        <v>2024</v>
      </c>
      <c r="F1997" s="1392" t="s">
        <v>2025</v>
      </c>
      <c r="G1997" s="1391">
        <v>241439842</v>
      </c>
    </row>
    <row r="1998" spans="1:7" x14ac:dyDescent="0.25">
      <c r="A1998" s="1392" t="s">
        <v>2576</v>
      </c>
      <c r="B1998" s="1392" t="s">
        <v>1189</v>
      </c>
      <c r="C1998" s="1392" t="s">
        <v>1919</v>
      </c>
      <c r="D1998" s="1392" t="s">
        <v>2054</v>
      </c>
      <c r="E1998" s="4536" t="s">
        <v>2026</v>
      </c>
      <c r="F1998" s="4537"/>
      <c r="G1998" s="1391">
        <v>49121000</v>
      </c>
    </row>
    <row r="1999" spans="1:7" x14ac:dyDescent="0.25">
      <c r="A1999" s="1392" t="s">
        <v>2576</v>
      </c>
      <c r="B1999" s="1392" t="s">
        <v>1189</v>
      </c>
      <c r="C1999" s="1392" t="s">
        <v>1919</v>
      </c>
      <c r="D1999" s="1392" t="s">
        <v>2054</v>
      </c>
      <c r="E1999" s="1392" t="s">
        <v>2026</v>
      </c>
      <c r="F1999" s="1392" t="s">
        <v>2028</v>
      </c>
      <c r="G1999" s="1391">
        <v>49121000</v>
      </c>
    </row>
    <row r="2000" spans="1:7" x14ac:dyDescent="0.25">
      <c r="A2000" s="1392" t="s">
        <v>2576</v>
      </c>
      <c r="B2000" s="1392" t="s">
        <v>1189</v>
      </c>
      <c r="C2000" s="1392" t="s">
        <v>1919</v>
      </c>
      <c r="D2000" s="4536" t="s">
        <v>2235</v>
      </c>
      <c r="E2000" s="4537"/>
      <c r="F2000" s="4537"/>
      <c r="G2000" s="1391">
        <v>238357220</v>
      </c>
    </row>
    <row r="2001" spans="1:7" x14ac:dyDescent="0.25">
      <c r="A2001" s="1392" t="s">
        <v>2576</v>
      </c>
      <c r="B2001" s="1392" t="s">
        <v>1189</v>
      </c>
      <c r="C2001" s="1392" t="s">
        <v>1919</v>
      </c>
      <c r="D2001" s="1392" t="s">
        <v>2235</v>
      </c>
      <c r="E2001" s="4536" t="s">
        <v>1869</v>
      </c>
      <c r="F2001" s="4537"/>
      <c r="G2001" s="1391">
        <v>1054620</v>
      </c>
    </row>
    <row r="2002" spans="1:7" x14ac:dyDescent="0.25">
      <c r="A2002" s="1392" t="s">
        <v>2576</v>
      </c>
      <c r="B2002" s="1392" t="s">
        <v>1189</v>
      </c>
      <c r="C2002" s="1392" t="s">
        <v>1919</v>
      </c>
      <c r="D2002" s="1392" t="s">
        <v>2235</v>
      </c>
      <c r="E2002" s="1392" t="s">
        <v>1869</v>
      </c>
      <c r="F2002" s="1392" t="s">
        <v>1872</v>
      </c>
      <c r="G2002" s="1391">
        <v>1054620</v>
      </c>
    </row>
    <row r="2003" spans="1:7" x14ac:dyDescent="0.25">
      <c r="A2003" s="1392" t="s">
        <v>2576</v>
      </c>
      <c r="B2003" s="1392" t="s">
        <v>1189</v>
      </c>
      <c r="C2003" s="1392" t="s">
        <v>1919</v>
      </c>
      <c r="D2003" s="1392" t="s">
        <v>2235</v>
      </c>
      <c r="E2003" s="4536" t="s">
        <v>1874</v>
      </c>
      <c r="F2003" s="4537"/>
      <c r="G2003" s="1391">
        <v>3600000</v>
      </c>
    </row>
    <row r="2004" spans="1:7" x14ac:dyDescent="0.25">
      <c r="A2004" s="1392" t="s">
        <v>2576</v>
      </c>
      <c r="B2004" s="1392" t="s">
        <v>1189</v>
      </c>
      <c r="C2004" s="1392" t="s">
        <v>1919</v>
      </c>
      <c r="D2004" s="1392" t="s">
        <v>2235</v>
      </c>
      <c r="E2004" s="1392" t="s">
        <v>1874</v>
      </c>
      <c r="F2004" s="1392" t="s">
        <v>1875</v>
      </c>
      <c r="G2004" s="1391">
        <v>3600000</v>
      </c>
    </row>
    <row r="2005" spans="1:7" x14ac:dyDescent="0.25">
      <c r="A2005" s="1392" t="s">
        <v>2576</v>
      </c>
      <c r="B2005" s="1392" t="s">
        <v>1189</v>
      </c>
      <c r="C2005" s="1392" t="s">
        <v>1919</v>
      </c>
      <c r="D2005" s="1392" t="s">
        <v>2235</v>
      </c>
      <c r="E2005" s="4536" t="s">
        <v>1878</v>
      </c>
      <c r="F2005" s="4537"/>
      <c r="G2005" s="1391">
        <v>39312000</v>
      </c>
    </row>
    <row r="2006" spans="1:7" x14ac:dyDescent="0.25">
      <c r="A2006" s="1392" t="s">
        <v>2576</v>
      </c>
      <c r="B2006" s="1392" t="s">
        <v>1189</v>
      </c>
      <c r="C2006" s="1392" t="s">
        <v>1919</v>
      </c>
      <c r="D2006" s="1392" t="s">
        <v>2235</v>
      </c>
      <c r="E2006" s="1392" t="s">
        <v>1878</v>
      </c>
      <c r="F2006" s="1392" t="s">
        <v>1882</v>
      </c>
      <c r="G2006" s="1391">
        <v>39312000</v>
      </c>
    </row>
    <row r="2007" spans="1:7" x14ac:dyDescent="0.25">
      <c r="A2007" s="1392" t="s">
        <v>2576</v>
      </c>
      <c r="B2007" s="1392" t="s">
        <v>1189</v>
      </c>
      <c r="C2007" s="1392" t="s">
        <v>1919</v>
      </c>
      <c r="D2007" s="1392" t="s">
        <v>2235</v>
      </c>
      <c r="E2007" s="4536" t="s">
        <v>1885</v>
      </c>
      <c r="F2007" s="4537"/>
      <c r="G2007" s="1391">
        <v>16270000</v>
      </c>
    </row>
    <row r="2008" spans="1:7" x14ac:dyDescent="0.25">
      <c r="A2008" s="1392" t="s">
        <v>2576</v>
      </c>
      <c r="B2008" s="1392" t="s">
        <v>1189</v>
      </c>
      <c r="C2008" s="1392" t="s">
        <v>1919</v>
      </c>
      <c r="D2008" s="1392" t="s">
        <v>2235</v>
      </c>
      <c r="E2008" s="1392" t="s">
        <v>1885</v>
      </c>
      <c r="F2008" s="1392" t="s">
        <v>1925</v>
      </c>
      <c r="G2008" s="1391">
        <v>7700000</v>
      </c>
    </row>
    <row r="2009" spans="1:7" x14ac:dyDescent="0.25">
      <c r="A2009" s="1392" t="s">
        <v>2576</v>
      </c>
      <c r="B2009" s="1392" t="s">
        <v>1189</v>
      </c>
      <c r="C2009" s="1392" t="s">
        <v>1919</v>
      </c>
      <c r="D2009" s="1392" t="s">
        <v>2235</v>
      </c>
      <c r="E2009" s="1392" t="s">
        <v>1885</v>
      </c>
      <c r="F2009" s="1392" t="s">
        <v>1886</v>
      </c>
      <c r="G2009" s="1391">
        <v>1200000</v>
      </c>
    </row>
    <row r="2010" spans="1:7" x14ac:dyDescent="0.25">
      <c r="A2010" s="1392" t="s">
        <v>2576</v>
      </c>
      <c r="B2010" s="1392" t="s">
        <v>1189</v>
      </c>
      <c r="C2010" s="1392" t="s">
        <v>1919</v>
      </c>
      <c r="D2010" s="1392" t="s">
        <v>2235</v>
      </c>
      <c r="E2010" s="1392" t="s">
        <v>1885</v>
      </c>
      <c r="F2010" s="1392" t="s">
        <v>1927</v>
      </c>
      <c r="G2010" s="1391">
        <v>170000</v>
      </c>
    </row>
    <row r="2011" spans="1:7" x14ac:dyDescent="0.25">
      <c r="A2011" s="1392" t="s">
        <v>2576</v>
      </c>
      <c r="B2011" s="1392" t="s">
        <v>1189</v>
      </c>
      <c r="C2011" s="1392" t="s">
        <v>1919</v>
      </c>
      <c r="D2011" s="1392" t="s">
        <v>2235</v>
      </c>
      <c r="E2011" s="1392" t="s">
        <v>1885</v>
      </c>
      <c r="F2011" s="1392" t="s">
        <v>1888</v>
      </c>
      <c r="G2011" s="1391">
        <v>7200000</v>
      </c>
    </row>
    <row r="2012" spans="1:7" x14ac:dyDescent="0.25">
      <c r="A2012" s="1392" t="s">
        <v>2576</v>
      </c>
      <c r="B2012" s="1392" t="s">
        <v>1189</v>
      </c>
      <c r="C2012" s="1392" t="s">
        <v>1919</v>
      </c>
      <c r="D2012" s="1392" t="s">
        <v>2235</v>
      </c>
      <c r="E2012" s="4536" t="s">
        <v>1889</v>
      </c>
      <c r="F2012" s="4537"/>
      <c r="G2012" s="1391">
        <v>3385600</v>
      </c>
    </row>
    <row r="2013" spans="1:7" x14ac:dyDescent="0.25">
      <c r="A2013" s="1392" t="s">
        <v>2576</v>
      </c>
      <c r="B2013" s="1392" t="s">
        <v>1189</v>
      </c>
      <c r="C2013" s="1392" t="s">
        <v>1919</v>
      </c>
      <c r="D2013" s="1392" t="s">
        <v>2235</v>
      </c>
      <c r="E2013" s="1392" t="s">
        <v>1889</v>
      </c>
      <c r="F2013" s="1392" t="s">
        <v>1890</v>
      </c>
      <c r="G2013" s="1391">
        <v>3100000</v>
      </c>
    </row>
    <row r="2014" spans="1:7" x14ac:dyDescent="0.25">
      <c r="A2014" s="1392" t="s">
        <v>2576</v>
      </c>
      <c r="B2014" s="1392" t="s">
        <v>1189</v>
      </c>
      <c r="C2014" s="1392" t="s">
        <v>1919</v>
      </c>
      <c r="D2014" s="1392" t="s">
        <v>2235</v>
      </c>
      <c r="E2014" s="1392" t="s">
        <v>1889</v>
      </c>
      <c r="F2014" s="1392" t="s">
        <v>1922</v>
      </c>
      <c r="G2014" s="1391">
        <v>285600</v>
      </c>
    </row>
    <row r="2015" spans="1:7" x14ac:dyDescent="0.25">
      <c r="A2015" s="1392" t="s">
        <v>2576</v>
      </c>
      <c r="B2015" s="1392" t="s">
        <v>1189</v>
      </c>
      <c r="C2015" s="1392" t="s">
        <v>1919</v>
      </c>
      <c r="D2015" s="1392" t="s">
        <v>2235</v>
      </c>
      <c r="E2015" s="4536" t="s">
        <v>1893</v>
      </c>
      <c r="F2015" s="4537"/>
      <c r="G2015" s="1391">
        <v>4440000</v>
      </c>
    </row>
    <row r="2016" spans="1:7" x14ac:dyDescent="0.25">
      <c r="A2016" s="1392" t="s">
        <v>2576</v>
      </c>
      <c r="B2016" s="1392" t="s">
        <v>1189</v>
      </c>
      <c r="C2016" s="1392" t="s">
        <v>1919</v>
      </c>
      <c r="D2016" s="1392" t="s">
        <v>2235</v>
      </c>
      <c r="E2016" s="1392" t="s">
        <v>1893</v>
      </c>
      <c r="F2016" s="1392" t="s">
        <v>1895</v>
      </c>
      <c r="G2016" s="1391">
        <v>4440000</v>
      </c>
    </row>
    <row r="2017" spans="1:7" x14ac:dyDescent="0.25">
      <c r="A2017" s="1392" t="s">
        <v>2576</v>
      </c>
      <c r="B2017" s="1392" t="s">
        <v>1189</v>
      </c>
      <c r="C2017" s="1392" t="s">
        <v>1919</v>
      </c>
      <c r="D2017" s="1392" t="s">
        <v>2235</v>
      </c>
      <c r="E2017" s="4536" t="s">
        <v>1906</v>
      </c>
      <c r="F2017" s="4537"/>
      <c r="G2017" s="1391">
        <v>30060000</v>
      </c>
    </row>
    <row r="2018" spans="1:7" x14ac:dyDescent="0.25">
      <c r="A2018" s="1392" t="s">
        <v>2576</v>
      </c>
      <c r="B2018" s="1392" t="s">
        <v>1189</v>
      </c>
      <c r="C2018" s="1392" t="s">
        <v>1919</v>
      </c>
      <c r="D2018" s="1392" t="s">
        <v>2235</v>
      </c>
      <c r="E2018" s="1392" t="s">
        <v>1906</v>
      </c>
      <c r="F2018" s="1392" t="s">
        <v>1909</v>
      </c>
      <c r="G2018" s="1391">
        <v>30060000</v>
      </c>
    </row>
    <row r="2019" spans="1:7" x14ac:dyDescent="0.25">
      <c r="A2019" s="1392" t="s">
        <v>2576</v>
      </c>
      <c r="B2019" s="1392" t="s">
        <v>1189</v>
      </c>
      <c r="C2019" s="1392" t="s">
        <v>1919</v>
      </c>
      <c r="D2019" s="1392" t="s">
        <v>2235</v>
      </c>
      <c r="E2019" s="4536" t="s">
        <v>1912</v>
      </c>
      <c r="F2019" s="4537"/>
      <c r="G2019" s="1391">
        <v>19635000</v>
      </c>
    </row>
    <row r="2020" spans="1:7" x14ac:dyDescent="0.25">
      <c r="A2020" s="1392" t="s">
        <v>2576</v>
      </c>
      <c r="B2020" s="1392" t="s">
        <v>1189</v>
      </c>
      <c r="C2020" s="1392" t="s">
        <v>1919</v>
      </c>
      <c r="D2020" s="1392" t="s">
        <v>2235</v>
      </c>
      <c r="E2020" s="1392" t="s">
        <v>1912</v>
      </c>
      <c r="F2020" s="1392" t="s">
        <v>1915</v>
      </c>
      <c r="G2020" s="1391">
        <v>4635000</v>
      </c>
    </row>
    <row r="2021" spans="1:7" x14ac:dyDescent="0.25">
      <c r="A2021" s="1392" t="s">
        <v>2576</v>
      </c>
      <c r="B2021" s="1392" t="s">
        <v>1189</v>
      </c>
      <c r="C2021" s="1392" t="s">
        <v>1919</v>
      </c>
      <c r="D2021" s="1392" t="s">
        <v>2235</v>
      </c>
      <c r="E2021" s="1392" t="s">
        <v>1912</v>
      </c>
      <c r="F2021" s="1392" t="s">
        <v>1916</v>
      </c>
      <c r="G2021" s="1391">
        <v>15000000</v>
      </c>
    </row>
    <row r="2022" spans="1:7" x14ac:dyDescent="0.25">
      <c r="A2022" s="1392" t="s">
        <v>2576</v>
      </c>
      <c r="B2022" s="1392" t="s">
        <v>1189</v>
      </c>
      <c r="C2022" s="1392" t="s">
        <v>1919</v>
      </c>
      <c r="D2022" s="1392" t="s">
        <v>2235</v>
      </c>
      <c r="E2022" s="4536" t="s">
        <v>1983</v>
      </c>
      <c r="F2022" s="4537"/>
      <c r="G2022" s="1391">
        <v>3600000</v>
      </c>
    </row>
    <row r="2023" spans="1:7" x14ac:dyDescent="0.25">
      <c r="A2023" s="1392" t="s">
        <v>2576</v>
      </c>
      <c r="B2023" s="1392" t="s">
        <v>1189</v>
      </c>
      <c r="C2023" s="1392" t="s">
        <v>1919</v>
      </c>
      <c r="D2023" s="1392" t="s">
        <v>2235</v>
      </c>
      <c r="E2023" s="1392" t="s">
        <v>1983</v>
      </c>
      <c r="F2023" s="1392" t="s">
        <v>2240</v>
      </c>
      <c r="G2023" s="1391">
        <v>3600000</v>
      </c>
    </row>
    <row r="2024" spans="1:7" x14ac:dyDescent="0.25">
      <c r="A2024" s="1392" t="s">
        <v>2576</v>
      </c>
      <c r="B2024" s="1392" t="s">
        <v>1189</v>
      </c>
      <c r="C2024" s="1392" t="s">
        <v>1919</v>
      </c>
      <c r="D2024" s="1392" t="s">
        <v>2235</v>
      </c>
      <c r="E2024" s="4536" t="s">
        <v>2024</v>
      </c>
      <c r="F2024" s="4537"/>
      <c r="G2024" s="1391">
        <v>117000000</v>
      </c>
    </row>
    <row r="2025" spans="1:7" x14ac:dyDescent="0.25">
      <c r="A2025" s="1392" t="s">
        <v>2576</v>
      </c>
      <c r="B2025" s="1392" t="s">
        <v>1189</v>
      </c>
      <c r="C2025" s="1392" t="s">
        <v>1919</v>
      </c>
      <c r="D2025" s="1392" t="s">
        <v>2235</v>
      </c>
      <c r="E2025" s="1392" t="s">
        <v>2024</v>
      </c>
      <c r="F2025" s="1392" t="s">
        <v>2025</v>
      </c>
      <c r="G2025" s="1391">
        <v>117000000</v>
      </c>
    </row>
    <row r="2026" spans="1:7" x14ac:dyDescent="0.25">
      <c r="A2026" s="1392" t="s">
        <v>2576</v>
      </c>
      <c r="B2026" s="1392" t="s">
        <v>1189</v>
      </c>
      <c r="C2026" s="4536" t="s">
        <v>1846</v>
      </c>
      <c r="D2026" s="4537"/>
      <c r="E2026" s="4537"/>
      <c r="F2026" s="4537"/>
      <c r="G2026" s="1391">
        <v>6929842334</v>
      </c>
    </row>
    <row r="2027" spans="1:7" x14ac:dyDescent="0.25">
      <c r="A2027" s="1392" t="s">
        <v>2576</v>
      </c>
      <c r="B2027" s="1392" t="s">
        <v>1189</v>
      </c>
      <c r="C2027" s="1392" t="s">
        <v>1846</v>
      </c>
      <c r="D2027" s="4536" t="s">
        <v>1847</v>
      </c>
      <c r="E2027" s="4537"/>
      <c r="F2027" s="4537"/>
      <c r="G2027" s="1391">
        <v>6853356334</v>
      </c>
    </row>
    <row r="2028" spans="1:7" x14ac:dyDescent="0.25">
      <c r="A2028" s="1392" t="s">
        <v>2576</v>
      </c>
      <c r="B2028" s="1392" t="s">
        <v>1189</v>
      </c>
      <c r="C2028" s="1392" t="s">
        <v>1846</v>
      </c>
      <c r="D2028" s="1392" t="s">
        <v>1847</v>
      </c>
      <c r="E2028" s="4536" t="s">
        <v>1896</v>
      </c>
      <c r="F2028" s="4537"/>
      <c r="G2028" s="1391">
        <v>2383095882</v>
      </c>
    </row>
    <row r="2029" spans="1:7" x14ac:dyDescent="0.25">
      <c r="A2029" s="1392" t="s">
        <v>2576</v>
      </c>
      <c r="B2029" s="1392" t="s">
        <v>1189</v>
      </c>
      <c r="C2029" s="1392" t="s">
        <v>1846</v>
      </c>
      <c r="D2029" s="1392" t="s">
        <v>1847</v>
      </c>
      <c r="E2029" s="1392" t="s">
        <v>1896</v>
      </c>
      <c r="F2029" s="1392" t="s">
        <v>1899</v>
      </c>
      <c r="G2029" s="1391">
        <v>1400000000</v>
      </c>
    </row>
    <row r="2030" spans="1:7" x14ac:dyDescent="0.25">
      <c r="A2030" s="1392" t="s">
        <v>2576</v>
      </c>
      <c r="B2030" s="1392" t="s">
        <v>1189</v>
      </c>
      <c r="C2030" s="1392" t="s">
        <v>1846</v>
      </c>
      <c r="D2030" s="1392" t="s">
        <v>1847</v>
      </c>
      <c r="E2030" s="1392" t="s">
        <v>1896</v>
      </c>
      <c r="F2030" s="1392" t="s">
        <v>2055</v>
      </c>
      <c r="G2030" s="1391">
        <v>150000000</v>
      </c>
    </row>
    <row r="2031" spans="1:7" x14ac:dyDescent="0.25">
      <c r="A2031" s="1392" t="s">
        <v>2576</v>
      </c>
      <c r="B2031" s="1392" t="s">
        <v>1189</v>
      </c>
      <c r="C2031" s="1392" t="s">
        <v>1846</v>
      </c>
      <c r="D2031" s="1392" t="s">
        <v>1847</v>
      </c>
      <c r="E2031" s="1392" t="s">
        <v>1896</v>
      </c>
      <c r="F2031" s="1392" t="s">
        <v>1902</v>
      </c>
      <c r="G2031" s="1391">
        <v>833095882</v>
      </c>
    </row>
    <row r="2032" spans="1:7" x14ac:dyDescent="0.25">
      <c r="A2032" s="1392" t="s">
        <v>2576</v>
      </c>
      <c r="B2032" s="1392" t="s">
        <v>1189</v>
      </c>
      <c r="C2032" s="1392" t="s">
        <v>1846</v>
      </c>
      <c r="D2032" s="1392" t="s">
        <v>1847</v>
      </c>
      <c r="E2032" s="4536" t="s">
        <v>2030</v>
      </c>
      <c r="F2032" s="4537"/>
      <c r="G2032" s="1391">
        <v>10432800</v>
      </c>
    </row>
    <row r="2033" spans="1:7" x14ac:dyDescent="0.25">
      <c r="A2033" s="1392" t="s">
        <v>2576</v>
      </c>
      <c r="B2033" s="1392" t="s">
        <v>1189</v>
      </c>
      <c r="C2033" s="1392" t="s">
        <v>1846</v>
      </c>
      <c r="D2033" s="1392" t="s">
        <v>1847</v>
      </c>
      <c r="E2033" s="1392" t="s">
        <v>2030</v>
      </c>
      <c r="F2033" s="1392" t="s">
        <v>2031</v>
      </c>
      <c r="G2033" s="1391">
        <v>10432800</v>
      </c>
    </row>
    <row r="2034" spans="1:7" x14ac:dyDescent="0.25">
      <c r="A2034" s="1392" t="s">
        <v>2576</v>
      </c>
      <c r="B2034" s="1392" t="s">
        <v>1189</v>
      </c>
      <c r="C2034" s="1392" t="s">
        <v>1846</v>
      </c>
      <c r="D2034" s="1392" t="s">
        <v>1847</v>
      </c>
      <c r="E2034" s="4536" t="s">
        <v>2024</v>
      </c>
      <c r="F2034" s="4537"/>
      <c r="G2034" s="1391">
        <v>3854603225</v>
      </c>
    </row>
    <row r="2035" spans="1:7" x14ac:dyDescent="0.25">
      <c r="A2035" s="1392" t="s">
        <v>2576</v>
      </c>
      <c r="B2035" s="1392" t="s">
        <v>1189</v>
      </c>
      <c r="C2035" s="1392" t="s">
        <v>1846</v>
      </c>
      <c r="D2035" s="1392" t="s">
        <v>1847</v>
      </c>
      <c r="E2035" s="1392" t="s">
        <v>2024</v>
      </c>
      <c r="F2035" s="1392" t="s">
        <v>2025</v>
      </c>
      <c r="G2035" s="1391">
        <v>3854603225</v>
      </c>
    </row>
    <row r="2036" spans="1:7" x14ac:dyDescent="0.25">
      <c r="A2036" s="1392" t="s">
        <v>2576</v>
      </c>
      <c r="B2036" s="1392" t="s">
        <v>1189</v>
      </c>
      <c r="C2036" s="1392" t="s">
        <v>1846</v>
      </c>
      <c r="D2036" s="1392" t="s">
        <v>1847</v>
      </c>
      <c r="E2036" s="4536" t="s">
        <v>2026</v>
      </c>
      <c r="F2036" s="4537"/>
      <c r="G2036" s="1391">
        <v>605224427</v>
      </c>
    </row>
    <row r="2037" spans="1:7" x14ac:dyDescent="0.25">
      <c r="A2037" s="1392" t="s">
        <v>2576</v>
      </c>
      <c r="B2037" s="1392" t="s">
        <v>1189</v>
      </c>
      <c r="C2037" s="1392" t="s">
        <v>1846</v>
      </c>
      <c r="D2037" s="1392" t="s">
        <v>1847</v>
      </c>
      <c r="E2037" s="1392" t="s">
        <v>2026</v>
      </c>
      <c r="F2037" s="1392" t="s">
        <v>2027</v>
      </c>
      <c r="G2037" s="1391">
        <v>36141498</v>
      </c>
    </row>
    <row r="2038" spans="1:7" x14ac:dyDescent="0.25">
      <c r="A2038" s="1392" t="s">
        <v>2576</v>
      </c>
      <c r="B2038" s="1392" t="s">
        <v>1189</v>
      </c>
      <c r="C2038" s="1392" t="s">
        <v>1846</v>
      </c>
      <c r="D2038" s="1392" t="s">
        <v>1847</v>
      </c>
      <c r="E2038" s="1392" t="s">
        <v>2026</v>
      </c>
      <c r="F2038" s="1392" t="s">
        <v>2028</v>
      </c>
      <c r="G2038" s="1391">
        <v>461033593</v>
      </c>
    </row>
    <row r="2039" spans="1:7" x14ac:dyDescent="0.25">
      <c r="A2039" s="1392" t="s">
        <v>2576</v>
      </c>
      <c r="B2039" s="1392" t="s">
        <v>1189</v>
      </c>
      <c r="C2039" s="1392" t="s">
        <v>1846</v>
      </c>
      <c r="D2039" s="1392" t="s">
        <v>1847</v>
      </c>
      <c r="E2039" s="1392" t="s">
        <v>2026</v>
      </c>
      <c r="F2039" s="1392" t="s">
        <v>2029</v>
      </c>
      <c r="G2039" s="1391">
        <v>108049336</v>
      </c>
    </row>
    <row r="2040" spans="1:7" x14ac:dyDescent="0.25">
      <c r="A2040" s="1392" t="s">
        <v>2576</v>
      </c>
      <c r="B2040" s="1392" t="s">
        <v>1189</v>
      </c>
      <c r="C2040" s="1392" t="s">
        <v>1846</v>
      </c>
      <c r="D2040" s="4536" t="s">
        <v>1993</v>
      </c>
      <c r="E2040" s="4537"/>
      <c r="F2040" s="4537"/>
      <c r="G2040" s="1391">
        <v>76486000</v>
      </c>
    </row>
    <row r="2041" spans="1:7" x14ac:dyDescent="0.25">
      <c r="A2041" s="1392" t="s">
        <v>2576</v>
      </c>
      <c r="B2041" s="1392" t="s">
        <v>1189</v>
      </c>
      <c r="C2041" s="1392" t="s">
        <v>1846</v>
      </c>
      <c r="D2041" s="1392" t="s">
        <v>1993</v>
      </c>
      <c r="E2041" s="4536" t="s">
        <v>1853</v>
      </c>
      <c r="F2041" s="4537"/>
      <c r="G2041" s="1391">
        <v>57216000</v>
      </c>
    </row>
    <row r="2042" spans="1:7" x14ac:dyDescent="0.25">
      <c r="A2042" s="1392" t="s">
        <v>2576</v>
      </c>
      <c r="B2042" s="1392" t="s">
        <v>1189</v>
      </c>
      <c r="C2042" s="1392" t="s">
        <v>1846</v>
      </c>
      <c r="D2042" s="1392" t="s">
        <v>1993</v>
      </c>
      <c r="E2042" s="1392" t="s">
        <v>1853</v>
      </c>
      <c r="F2042" s="1392" t="s">
        <v>1939</v>
      </c>
      <c r="G2042" s="1391">
        <v>57216000</v>
      </c>
    </row>
    <row r="2043" spans="1:7" x14ac:dyDescent="0.25">
      <c r="A2043" s="1392" t="s">
        <v>2576</v>
      </c>
      <c r="B2043" s="1392" t="s">
        <v>1189</v>
      </c>
      <c r="C2043" s="1392" t="s">
        <v>1846</v>
      </c>
      <c r="D2043" s="1392" t="s">
        <v>1993</v>
      </c>
      <c r="E2043" s="4536" t="s">
        <v>1874</v>
      </c>
      <c r="F2043" s="4537"/>
      <c r="G2043" s="1391">
        <v>1600000</v>
      </c>
    </row>
    <row r="2044" spans="1:7" x14ac:dyDescent="0.25">
      <c r="A2044" s="1392" t="s">
        <v>2576</v>
      </c>
      <c r="B2044" s="1392" t="s">
        <v>1189</v>
      </c>
      <c r="C2044" s="1392" t="s">
        <v>1846</v>
      </c>
      <c r="D2044" s="1392" t="s">
        <v>1993</v>
      </c>
      <c r="E2044" s="1392" t="s">
        <v>1874</v>
      </c>
      <c r="F2044" s="1392" t="s">
        <v>1875</v>
      </c>
      <c r="G2044" s="1391">
        <v>200000</v>
      </c>
    </row>
    <row r="2045" spans="1:7" x14ac:dyDescent="0.25">
      <c r="A2045" s="1392" t="s">
        <v>2576</v>
      </c>
      <c r="B2045" s="1392" t="s">
        <v>1189</v>
      </c>
      <c r="C2045" s="1392" t="s">
        <v>1846</v>
      </c>
      <c r="D2045" s="1392" t="s">
        <v>1993</v>
      </c>
      <c r="E2045" s="1392" t="s">
        <v>1874</v>
      </c>
      <c r="F2045" s="1392" t="s">
        <v>1876</v>
      </c>
      <c r="G2045" s="1391">
        <v>1400000</v>
      </c>
    </row>
    <row r="2046" spans="1:7" x14ac:dyDescent="0.25">
      <c r="A2046" s="1392" t="s">
        <v>2576</v>
      </c>
      <c r="B2046" s="1392" t="s">
        <v>1189</v>
      </c>
      <c r="C2046" s="1392" t="s">
        <v>1846</v>
      </c>
      <c r="D2046" s="1392" t="s">
        <v>1993</v>
      </c>
      <c r="E2046" s="4536" t="s">
        <v>1878</v>
      </c>
      <c r="F2046" s="4537"/>
      <c r="G2046" s="1391">
        <v>2380000</v>
      </c>
    </row>
    <row r="2047" spans="1:7" x14ac:dyDescent="0.25">
      <c r="A2047" s="1392" t="s">
        <v>2576</v>
      </c>
      <c r="B2047" s="1392" t="s">
        <v>1189</v>
      </c>
      <c r="C2047" s="1392" t="s">
        <v>1846</v>
      </c>
      <c r="D2047" s="1392" t="s">
        <v>1993</v>
      </c>
      <c r="E2047" s="1392" t="s">
        <v>1878</v>
      </c>
      <c r="F2047" s="1392" t="s">
        <v>1880</v>
      </c>
      <c r="G2047" s="1391">
        <v>400000</v>
      </c>
    </row>
    <row r="2048" spans="1:7" x14ac:dyDescent="0.25">
      <c r="A2048" s="1392" t="s">
        <v>2576</v>
      </c>
      <c r="B2048" s="1392" t="s">
        <v>1189</v>
      </c>
      <c r="C2048" s="1392" t="s">
        <v>1846</v>
      </c>
      <c r="D2048" s="1392" t="s">
        <v>1993</v>
      </c>
      <c r="E2048" s="1392" t="s">
        <v>1878</v>
      </c>
      <c r="F2048" s="1392" t="s">
        <v>1881</v>
      </c>
      <c r="G2048" s="1391">
        <v>1980000</v>
      </c>
    </row>
    <row r="2049" spans="1:8" x14ac:dyDescent="0.25">
      <c r="A2049" s="1392" t="s">
        <v>2576</v>
      </c>
      <c r="B2049" s="1392" t="s">
        <v>1189</v>
      </c>
      <c r="C2049" s="1392" t="s">
        <v>1846</v>
      </c>
      <c r="D2049" s="1392" t="s">
        <v>1993</v>
      </c>
      <c r="E2049" s="4536" t="s">
        <v>1885</v>
      </c>
      <c r="F2049" s="4537"/>
      <c r="G2049" s="1391">
        <v>6360000</v>
      </c>
    </row>
    <row r="2050" spans="1:8" x14ac:dyDescent="0.25">
      <c r="A2050" s="1392" t="s">
        <v>2576</v>
      </c>
      <c r="B2050" s="1392" t="s">
        <v>1189</v>
      </c>
      <c r="C2050" s="1392" t="s">
        <v>1846</v>
      </c>
      <c r="D2050" s="1392" t="s">
        <v>1993</v>
      </c>
      <c r="E2050" s="1392" t="s">
        <v>1885</v>
      </c>
      <c r="F2050" s="1392" t="s">
        <v>1925</v>
      </c>
      <c r="G2050" s="1391">
        <v>4560000</v>
      </c>
    </row>
    <row r="2051" spans="1:8" x14ac:dyDescent="0.25">
      <c r="A2051" s="1392" t="s">
        <v>2576</v>
      </c>
      <c r="B2051" s="1392" t="s">
        <v>1189</v>
      </c>
      <c r="C2051" s="1392" t="s">
        <v>1846</v>
      </c>
      <c r="D2051" s="1392" t="s">
        <v>1993</v>
      </c>
      <c r="E2051" s="1392" t="s">
        <v>1885</v>
      </c>
      <c r="F2051" s="1392" t="s">
        <v>1886</v>
      </c>
      <c r="G2051" s="1391">
        <v>1800000</v>
      </c>
    </row>
    <row r="2052" spans="1:8" x14ac:dyDescent="0.25">
      <c r="A2052" s="1392" t="s">
        <v>2576</v>
      </c>
      <c r="B2052" s="1392" t="s">
        <v>1189</v>
      </c>
      <c r="C2052" s="1392" t="s">
        <v>1846</v>
      </c>
      <c r="D2052" s="1392" t="s">
        <v>1993</v>
      </c>
      <c r="E2052" s="4536" t="s">
        <v>1889</v>
      </c>
      <c r="F2052" s="4537"/>
      <c r="G2052" s="1391">
        <v>540000</v>
      </c>
    </row>
    <row r="2053" spans="1:8" x14ac:dyDescent="0.25">
      <c r="A2053" s="1392" t="s">
        <v>2576</v>
      </c>
      <c r="B2053" s="1392" t="s">
        <v>1189</v>
      </c>
      <c r="C2053" s="1392" t="s">
        <v>1846</v>
      </c>
      <c r="D2053" s="1392" t="s">
        <v>1993</v>
      </c>
      <c r="E2053" s="1392" t="s">
        <v>1889</v>
      </c>
      <c r="F2053" s="1392" t="s">
        <v>1890</v>
      </c>
      <c r="G2053" s="1391">
        <v>540000</v>
      </c>
    </row>
    <row r="2054" spans="1:8" x14ac:dyDescent="0.25">
      <c r="A2054" s="1392" t="s">
        <v>2576</v>
      </c>
      <c r="B2054" s="1392" t="s">
        <v>1189</v>
      </c>
      <c r="C2054" s="1392" t="s">
        <v>1846</v>
      </c>
      <c r="D2054" s="1392" t="s">
        <v>1993</v>
      </c>
      <c r="E2054" s="4536" t="s">
        <v>1896</v>
      </c>
      <c r="F2054" s="4537"/>
      <c r="G2054" s="1391">
        <v>2700000</v>
      </c>
    </row>
    <row r="2055" spans="1:8" x14ac:dyDescent="0.25">
      <c r="A2055" s="1392" t="s">
        <v>2576</v>
      </c>
      <c r="B2055" s="1392" t="s">
        <v>1189</v>
      </c>
      <c r="C2055" s="1392" t="s">
        <v>1846</v>
      </c>
      <c r="D2055" s="1392" t="s">
        <v>1993</v>
      </c>
      <c r="E2055" s="1392" t="s">
        <v>1896</v>
      </c>
      <c r="F2055" s="1392" t="s">
        <v>1900</v>
      </c>
      <c r="G2055" s="1391">
        <v>150000</v>
      </c>
    </row>
    <row r="2056" spans="1:8" x14ac:dyDescent="0.25">
      <c r="A2056" s="1392" t="s">
        <v>2576</v>
      </c>
      <c r="B2056" s="1392" t="s">
        <v>1189</v>
      </c>
      <c r="C2056" s="1392" t="s">
        <v>1846</v>
      </c>
      <c r="D2056" s="1392" t="s">
        <v>1993</v>
      </c>
      <c r="E2056" s="1392" t="s">
        <v>1896</v>
      </c>
      <c r="F2056" s="1392" t="s">
        <v>1901</v>
      </c>
      <c r="G2056" s="1391">
        <v>2550000</v>
      </c>
    </row>
    <row r="2057" spans="1:8" x14ac:dyDescent="0.25">
      <c r="A2057" s="1392" t="s">
        <v>2576</v>
      </c>
      <c r="B2057" s="1392" t="s">
        <v>1189</v>
      </c>
      <c r="C2057" s="1392" t="s">
        <v>1846</v>
      </c>
      <c r="D2057" s="1392" t="s">
        <v>1993</v>
      </c>
      <c r="E2057" s="4536" t="s">
        <v>1906</v>
      </c>
      <c r="F2057" s="4537"/>
      <c r="G2057" s="1391">
        <v>1320000</v>
      </c>
    </row>
    <row r="2058" spans="1:8" x14ac:dyDescent="0.25">
      <c r="A2058" s="1392" t="s">
        <v>2576</v>
      </c>
      <c r="B2058" s="1392" t="s">
        <v>1189</v>
      </c>
      <c r="C2058" s="1392" t="s">
        <v>1846</v>
      </c>
      <c r="D2058" s="1392" t="s">
        <v>1993</v>
      </c>
      <c r="E2058" s="1392" t="s">
        <v>1906</v>
      </c>
      <c r="F2058" s="1392" t="s">
        <v>1909</v>
      </c>
      <c r="G2058" s="1391">
        <v>1320000</v>
      </c>
    </row>
    <row r="2059" spans="1:8" x14ac:dyDescent="0.25">
      <c r="A2059" s="1392" t="s">
        <v>2576</v>
      </c>
      <c r="B2059" s="1392" t="s">
        <v>1189</v>
      </c>
      <c r="C2059" s="1392" t="s">
        <v>1846</v>
      </c>
      <c r="D2059" s="1392" t="s">
        <v>1993</v>
      </c>
      <c r="E2059" s="4536" t="s">
        <v>1912</v>
      </c>
      <c r="F2059" s="4537"/>
      <c r="G2059" s="1391">
        <v>4370000</v>
      </c>
    </row>
    <row r="2060" spans="1:8" x14ac:dyDescent="0.25">
      <c r="A2060" s="1392" t="s">
        <v>2576</v>
      </c>
      <c r="B2060" s="1392" t="s">
        <v>1189</v>
      </c>
      <c r="C2060" s="1392" t="s">
        <v>1846</v>
      </c>
      <c r="D2060" s="1392" t="s">
        <v>1993</v>
      </c>
      <c r="E2060" s="1392" t="s">
        <v>1912</v>
      </c>
      <c r="F2060" s="1392" t="s">
        <v>1915</v>
      </c>
      <c r="G2060" s="1391">
        <v>4370000</v>
      </c>
    </row>
    <row r="2061" spans="1:8" x14ac:dyDescent="0.25">
      <c r="A2061" s="4536" t="s">
        <v>733</v>
      </c>
      <c r="B2061" s="4537"/>
      <c r="C2061" s="4537"/>
      <c r="D2061" s="4537"/>
      <c r="E2061" s="4537"/>
      <c r="F2061" s="4537"/>
      <c r="G2061" s="1391">
        <v>191043859173</v>
      </c>
      <c r="H2061" s="1448"/>
    </row>
    <row r="2062" spans="1:8" x14ac:dyDescent="0.25">
      <c r="A2062" s="1392" t="s">
        <v>2579</v>
      </c>
      <c r="B2062" s="4536" t="s">
        <v>2056</v>
      </c>
      <c r="C2062" s="4537"/>
      <c r="D2062" s="4537"/>
      <c r="E2062" s="4537"/>
      <c r="F2062" s="4537"/>
      <c r="G2062" s="1391">
        <v>191043859173</v>
      </c>
    </row>
    <row r="2063" spans="1:8" x14ac:dyDescent="0.25">
      <c r="A2063" s="1392" t="s">
        <v>2579</v>
      </c>
      <c r="B2063" s="1392" t="s">
        <v>2056</v>
      </c>
      <c r="C2063" s="4536" t="s">
        <v>321</v>
      </c>
      <c r="D2063" s="4537"/>
      <c r="E2063" s="4537"/>
      <c r="F2063" s="4537"/>
      <c r="G2063" s="1391">
        <v>7947313328</v>
      </c>
    </row>
    <row r="2064" spans="1:8" x14ac:dyDescent="0.25">
      <c r="A2064" s="1392" t="s">
        <v>2579</v>
      </c>
      <c r="B2064" s="1392" t="s">
        <v>2056</v>
      </c>
      <c r="C2064" s="1392" t="s">
        <v>321</v>
      </c>
      <c r="D2064" s="4536" t="s">
        <v>323</v>
      </c>
      <c r="E2064" s="4537"/>
      <c r="F2064" s="4537"/>
      <c r="G2064" s="1391">
        <v>7947313328</v>
      </c>
    </row>
    <row r="2065" spans="1:7" x14ac:dyDescent="0.25">
      <c r="A2065" s="1392" t="s">
        <v>2579</v>
      </c>
      <c r="B2065" s="1392" t="s">
        <v>2056</v>
      </c>
      <c r="C2065" s="1392" t="s">
        <v>321</v>
      </c>
      <c r="D2065" s="1392" t="s">
        <v>323</v>
      </c>
      <c r="E2065" s="4536" t="s">
        <v>1848</v>
      </c>
      <c r="F2065" s="4537"/>
      <c r="G2065" s="1391">
        <v>1004406422</v>
      </c>
    </row>
    <row r="2066" spans="1:7" x14ac:dyDescent="0.25">
      <c r="A2066" s="1392" t="s">
        <v>2579</v>
      </c>
      <c r="B2066" s="1392" t="s">
        <v>2056</v>
      </c>
      <c r="C2066" s="1392" t="s">
        <v>321</v>
      </c>
      <c r="D2066" s="1392" t="s">
        <v>323</v>
      </c>
      <c r="E2066" s="1392" t="s">
        <v>1848</v>
      </c>
      <c r="F2066" s="1392" t="s">
        <v>1849</v>
      </c>
      <c r="G2066" s="1391">
        <v>1004406422</v>
      </c>
    </row>
    <row r="2067" spans="1:7" x14ac:dyDescent="0.25">
      <c r="A2067" s="1392" t="s">
        <v>2579</v>
      </c>
      <c r="B2067" s="1392" t="s">
        <v>2056</v>
      </c>
      <c r="C2067" s="1392" t="s">
        <v>321</v>
      </c>
      <c r="D2067" s="1392" t="s">
        <v>323</v>
      </c>
      <c r="E2067" s="4536" t="s">
        <v>1853</v>
      </c>
      <c r="F2067" s="4537"/>
      <c r="G2067" s="1391">
        <v>1270329316</v>
      </c>
    </row>
    <row r="2068" spans="1:7" x14ac:dyDescent="0.25">
      <c r="A2068" s="1392" t="s">
        <v>2579</v>
      </c>
      <c r="B2068" s="1392" t="s">
        <v>2056</v>
      </c>
      <c r="C2068" s="1392" t="s">
        <v>321</v>
      </c>
      <c r="D2068" s="1392" t="s">
        <v>323</v>
      </c>
      <c r="E2068" s="1392" t="s">
        <v>1853</v>
      </c>
      <c r="F2068" s="1392" t="s">
        <v>1855</v>
      </c>
      <c r="G2068" s="1391">
        <v>177161000</v>
      </c>
    </row>
    <row r="2069" spans="1:7" x14ac:dyDescent="0.25">
      <c r="A2069" s="1392" t="s">
        <v>2579</v>
      </c>
      <c r="B2069" s="1392" t="s">
        <v>2056</v>
      </c>
      <c r="C2069" s="1392" t="s">
        <v>321</v>
      </c>
      <c r="D2069" s="1392" t="s">
        <v>323</v>
      </c>
      <c r="E2069" s="1392" t="s">
        <v>1853</v>
      </c>
      <c r="F2069" s="1392" t="s">
        <v>1856</v>
      </c>
      <c r="G2069" s="1391">
        <v>36438398</v>
      </c>
    </row>
    <row r="2070" spans="1:7" x14ac:dyDescent="0.25">
      <c r="A2070" s="1392" t="s">
        <v>2579</v>
      </c>
      <c r="B2070" s="1392" t="s">
        <v>2056</v>
      </c>
      <c r="C2070" s="1392" t="s">
        <v>321</v>
      </c>
      <c r="D2070" s="1392" t="s">
        <v>323</v>
      </c>
      <c r="E2070" s="1392" t="s">
        <v>1853</v>
      </c>
      <c r="F2070" s="1392" t="s">
        <v>1858</v>
      </c>
      <c r="G2070" s="1391">
        <v>201306450</v>
      </c>
    </row>
    <row r="2071" spans="1:7" x14ac:dyDescent="0.25">
      <c r="A2071" s="1392" t="s">
        <v>2579</v>
      </c>
      <c r="B2071" s="1392" t="s">
        <v>2056</v>
      </c>
      <c r="C2071" s="1392" t="s">
        <v>321</v>
      </c>
      <c r="D2071" s="1392" t="s">
        <v>323</v>
      </c>
      <c r="E2071" s="1392" t="s">
        <v>1853</v>
      </c>
      <c r="F2071" s="1392" t="s">
        <v>1929</v>
      </c>
      <c r="G2071" s="1391">
        <v>136026386</v>
      </c>
    </row>
    <row r="2072" spans="1:7" x14ac:dyDescent="0.25">
      <c r="A2072" s="1392" t="s">
        <v>2579</v>
      </c>
      <c r="B2072" s="1392" t="s">
        <v>2056</v>
      </c>
      <c r="C2072" s="1392" t="s">
        <v>321</v>
      </c>
      <c r="D2072" s="1392" t="s">
        <v>323</v>
      </c>
      <c r="E2072" s="1392" t="s">
        <v>1853</v>
      </c>
      <c r="F2072" s="1392" t="s">
        <v>1953</v>
      </c>
      <c r="G2072" s="1391">
        <v>57700250</v>
      </c>
    </row>
    <row r="2073" spans="1:7" x14ac:dyDescent="0.25">
      <c r="A2073" s="1392" t="s">
        <v>2579</v>
      </c>
      <c r="B2073" s="1392" t="s">
        <v>2056</v>
      </c>
      <c r="C2073" s="1392" t="s">
        <v>321</v>
      </c>
      <c r="D2073" s="1392" t="s">
        <v>323</v>
      </c>
      <c r="E2073" s="1392" t="s">
        <v>1853</v>
      </c>
      <c r="F2073" s="1392" t="s">
        <v>1938</v>
      </c>
      <c r="G2073" s="1391">
        <v>48276000</v>
      </c>
    </row>
    <row r="2074" spans="1:7" x14ac:dyDescent="0.25">
      <c r="A2074" s="1392" t="s">
        <v>2579</v>
      </c>
      <c r="B2074" s="1392" t="s">
        <v>2056</v>
      </c>
      <c r="C2074" s="1392" t="s">
        <v>321</v>
      </c>
      <c r="D2074" s="1392" t="s">
        <v>323</v>
      </c>
      <c r="E2074" s="1392" t="s">
        <v>1853</v>
      </c>
      <c r="F2074" s="1392" t="s">
        <v>1859</v>
      </c>
      <c r="G2074" s="1391">
        <v>244836552</v>
      </c>
    </row>
    <row r="2075" spans="1:7" x14ac:dyDescent="0.25">
      <c r="A2075" s="1392" t="s">
        <v>2579</v>
      </c>
      <c r="B2075" s="1392" t="s">
        <v>2056</v>
      </c>
      <c r="C2075" s="1392" t="s">
        <v>321</v>
      </c>
      <c r="D2075" s="1392" t="s">
        <v>323</v>
      </c>
      <c r="E2075" s="1392" t="s">
        <v>1853</v>
      </c>
      <c r="F2075" s="1392" t="s">
        <v>1939</v>
      </c>
      <c r="G2075" s="1391">
        <v>368584280</v>
      </c>
    </row>
    <row r="2076" spans="1:7" x14ac:dyDescent="0.25">
      <c r="A2076" s="1392" t="s">
        <v>2579</v>
      </c>
      <c r="B2076" s="1392" t="s">
        <v>2056</v>
      </c>
      <c r="C2076" s="1392" t="s">
        <v>321</v>
      </c>
      <c r="D2076" s="1392" t="s">
        <v>323</v>
      </c>
      <c r="E2076" s="4536" t="s">
        <v>1940</v>
      </c>
      <c r="F2076" s="4537"/>
      <c r="G2076" s="1391">
        <v>281610</v>
      </c>
    </row>
    <row r="2077" spans="1:7" x14ac:dyDescent="0.25">
      <c r="A2077" s="1392" t="s">
        <v>2579</v>
      </c>
      <c r="B2077" s="1392" t="s">
        <v>2056</v>
      </c>
      <c r="C2077" s="1392" t="s">
        <v>321</v>
      </c>
      <c r="D2077" s="1392" t="s">
        <v>323</v>
      </c>
      <c r="E2077" s="1392" t="s">
        <v>1940</v>
      </c>
      <c r="F2077" s="1392" t="s">
        <v>2248</v>
      </c>
      <c r="G2077" s="1391">
        <v>281610</v>
      </c>
    </row>
    <row r="2078" spans="1:7" x14ac:dyDescent="0.25">
      <c r="A2078" s="1392" t="s">
        <v>2579</v>
      </c>
      <c r="B2078" s="1392" t="s">
        <v>2056</v>
      </c>
      <c r="C2078" s="1392" t="s">
        <v>321</v>
      </c>
      <c r="D2078" s="1392" t="s">
        <v>323</v>
      </c>
      <c r="E2078" s="4536" t="s">
        <v>1860</v>
      </c>
      <c r="F2078" s="4537"/>
      <c r="G2078" s="1391">
        <v>1943000</v>
      </c>
    </row>
    <row r="2079" spans="1:7" x14ac:dyDescent="0.25">
      <c r="A2079" s="1392" t="s">
        <v>2579</v>
      </c>
      <c r="B2079" s="1392" t="s">
        <v>2056</v>
      </c>
      <c r="C2079" s="1392" t="s">
        <v>321</v>
      </c>
      <c r="D2079" s="1392" t="s">
        <v>323</v>
      </c>
      <c r="E2079" s="1392" t="s">
        <v>1860</v>
      </c>
      <c r="F2079" s="1392" t="s">
        <v>1861</v>
      </c>
      <c r="G2079" s="1391">
        <v>1343000</v>
      </c>
    </row>
    <row r="2080" spans="1:7" x14ac:dyDescent="0.25">
      <c r="A2080" s="1392" t="s">
        <v>2579</v>
      </c>
      <c r="B2080" s="1392" t="s">
        <v>2056</v>
      </c>
      <c r="C2080" s="1392" t="s">
        <v>321</v>
      </c>
      <c r="D2080" s="1392" t="s">
        <v>323</v>
      </c>
      <c r="E2080" s="1392" t="s">
        <v>1860</v>
      </c>
      <c r="F2080" s="1392" t="s">
        <v>1930</v>
      </c>
      <c r="G2080" s="1391">
        <v>600000</v>
      </c>
    </row>
    <row r="2081" spans="1:7" x14ac:dyDescent="0.25">
      <c r="A2081" s="1392" t="s">
        <v>2579</v>
      </c>
      <c r="B2081" s="1392" t="s">
        <v>2056</v>
      </c>
      <c r="C2081" s="1392" t="s">
        <v>321</v>
      </c>
      <c r="D2081" s="1392" t="s">
        <v>323</v>
      </c>
      <c r="E2081" s="4536" t="s">
        <v>1862</v>
      </c>
      <c r="F2081" s="4537"/>
      <c r="G2081" s="1391">
        <v>288281648</v>
      </c>
    </row>
    <row r="2082" spans="1:7" x14ac:dyDescent="0.25">
      <c r="A2082" s="1392" t="s">
        <v>2579</v>
      </c>
      <c r="B2082" s="1392" t="s">
        <v>2056</v>
      </c>
      <c r="C2082" s="1392" t="s">
        <v>321</v>
      </c>
      <c r="D2082" s="1392" t="s">
        <v>323</v>
      </c>
      <c r="E2082" s="1392" t="s">
        <v>1862</v>
      </c>
      <c r="F2082" s="1392" t="s">
        <v>1863</v>
      </c>
      <c r="G2082" s="1391">
        <v>229863717</v>
      </c>
    </row>
    <row r="2083" spans="1:7" x14ac:dyDescent="0.25">
      <c r="A2083" s="1392" t="s">
        <v>2579</v>
      </c>
      <c r="B2083" s="1392" t="s">
        <v>2056</v>
      </c>
      <c r="C2083" s="1392" t="s">
        <v>321</v>
      </c>
      <c r="D2083" s="1392" t="s">
        <v>323</v>
      </c>
      <c r="E2083" s="1392" t="s">
        <v>1862</v>
      </c>
      <c r="F2083" s="1392" t="s">
        <v>1864</v>
      </c>
      <c r="G2083" s="1391">
        <v>37821100</v>
      </c>
    </row>
    <row r="2084" spans="1:7" x14ac:dyDescent="0.25">
      <c r="A2084" s="1392" t="s">
        <v>2579</v>
      </c>
      <c r="B2084" s="1392" t="s">
        <v>2056</v>
      </c>
      <c r="C2084" s="1392" t="s">
        <v>321</v>
      </c>
      <c r="D2084" s="1392" t="s">
        <v>323</v>
      </c>
      <c r="E2084" s="1392" t="s">
        <v>1862</v>
      </c>
      <c r="F2084" s="1392" t="s">
        <v>1865</v>
      </c>
      <c r="G2084" s="1391">
        <v>20596831</v>
      </c>
    </row>
    <row r="2085" spans="1:7" x14ac:dyDescent="0.25">
      <c r="A2085" s="1392" t="s">
        <v>2579</v>
      </c>
      <c r="B2085" s="1392" t="s">
        <v>2056</v>
      </c>
      <c r="C2085" s="1392" t="s">
        <v>321</v>
      </c>
      <c r="D2085" s="1392" t="s">
        <v>323</v>
      </c>
      <c r="E2085" s="4536" t="s">
        <v>2057</v>
      </c>
      <c r="F2085" s="4537"/>
      <c r="G2085" s="1391">
        <v>3092410991</v>
      </c>
    </row>
    <row r="2086" spans="1:7" x14ac:dyDescent="0.25">
      <c r="A2086" s="1392" t="s">
        <v>2579</v>
      </c>
      <c r="B2086" s="1392" t="s">
        <v>2056</v>
      </c>
      <c r="C2086" s="1392" t="s">
        <v>321</v>
      </c>
      <c r="D2086" s="1392" t="s">
        <v>323</v>
      </c>
      <c r="E2086" s="1392" t="s">
        <v>2057</v>
      </c>
      <c r="F2086" s="1392" t="s">
        <v>2058</v>
      </c>
      <c r="G2086" s="1391">
        <v>758872602</v>
      </c>
    </row>
    <row r="2087" spans="1:7" x14ac:dyDescent="0.25">
      <c r="A2087" s="1392" t="s">
        <v>2579</v>
      </c>
      <c r="B2087" s="1392" t="s">
        <v>2056</v>
      </c>
      <c r="C2087" s="1392" t="s">
        <v>321</v>
      </c>
      <c r="D2087" s="1392" t="s">
        <v>323</v>
      </c>
      <c r="E2087" s="1392" t="s">
        <v>2057</v>
      </c>
      <c r="F2087" s="1392" t="s">
        <v>2059</v>
      </c>
      <c r="G2087" s="1391">
        <v>2333538389</v>
      </c>
    </row>
    <row r="2088" spans="1:7" x14ac:dyDescent="0.25">
      <c r="A2088" s="1392" t="s">
        <v>2579</v>
      </c>
      <c r="B2088" s="1392" t="s">
        <v>2056</v>
      </c>
      <c r="C2088" s="1392" t="s">
        <v>321</v>
      </c>
      <c r="D2088" s="1392" t="s">
        <v>323</v>
      </c>
      <c r="E2088" s="4536" t="s">
        <v>1867</v>
      </c>
      <c r="F2088" s="4537"/>
      <c r="G2088" s="1391">
        <v>1105462669</v>
      </c>
    </row>
    <row r="2089" spans="1:7" x14ac:dyDescent="0.25">
      <c r="A2089" s="1392" t="s">
        <v>2579</v>
      </c>
      <c r="B2089" s="1392" t="s">
        <v>2056</v>
      </c>
      <c r="C2089" s="1392" t="s">
        <v>321</v>
      </c>
      <c r="D2089" s="1392" t="s">
        <v>323</v>
      </c>
      <c r="E2089" s="1392" t="s">
        <v>1867</v>
      </c>
      <c r="F2089" s="1392" t="s">
        <v>1868</v>
      </c>
      <c r="G2089" s="1391">
        <v>108592669</v>
      </c>
    </row>
    <row r="2090" spans="1:7" x14ac:dyDescent="0.25">
      <c r="A2090" s="1392" t="s">
        <v>2579</v>
      </c>
      <c r="B2090" s="1392" t="s">
        <v>2056</v>
      </c>
      <c r="C2090" s="1392" t="s">
        <v>321</v>
      </c>
      <c r="D2090" s="1392" t="s">
        <v>323</v>
      </c>
      <c r="E2090" s="1392" t="s">
        <v>1867</v>
      </c>
      <c r="F2090" s="1392" t="s">
        <v>1947</v>
      </c>
      <c r="G2090" s="1391">
        <v>996870000</v>
      </c>
    </row>
    <row r="2091" spans="1:7" x14ac:dyDescent="0.25">
      <c r="A2091" s="1392" t="s">
        <v>2579</v>
      </c>
      <c r="B2091" s="1392" t="s">
        <v>2056</v>
      </c>
      <c r="C2091" s="1392" t="s">
        <v>321</v>
      </c>
      <c r="D2091" s="1392" t="s">
        <v>323</v>
      </c>
      <c r="E2091" s="4536" t="s">
        <v>1874</v>
      </c>
      <c r="F2091" s="4537"/>
      <c r="G2091" s="1391">
        <v>71524000</v>
      </c>
    </row>
    <row r="2092" spans="1:7" x14ac:dyDescent="0.25">
      <c r="A2092" s="1392" t="s">
        <v>2579</v>
      </c>
      <c r="B2092" s="1392" t="s">
        <v>2056</v>
      </c>
      <c r="C2092" s="1392" t="s">
        <v>321</v>
      </c>
      <c r="D2092" s="1392" t="s">
        <v>323</v>
      </c>
      <c r="E2092" s="1392" t="s">
        <v>1874</v>
      </c>
      <c r="F2092" s="1392" t="s">
        <v>1875</v>
      </c>
      <c r="G2092" s="1391">
        <v>43039000</v>
      </c>
    </row>
    <row r="2093" spans="1:7" x14ac:dyDescent="0.25">
      <c r="A2093" s="1392" t="s">
        <v>2579</v>
      </c>
      <c r="B2093" s="1392" t="s">
        <v>2056</v>
      </c>
      <c r="C2093" s="1392" t="s">
        <v>321</v>
      </c>
      <c r="D2093" s="1392" t="s">
        <v>323</v>
      </c>
      <c r="E2093" s="1392" t="s">
        <v>1874</v>
      </c>
      <c r="F2093" s="1392" t="s">
        <v>1876</v>
      </c>
      <c r="G2093" s="1391">
        <v>4300000</v>
      </c>
    </row>
    <row r="2094" spans="1:7" x14ac:dyDescent="0.25">
      <c r="A2094" s="1392" t="s">
        <v>2579</v>
      </c>
      <c r="B2094" s="1392" t="s">
        <v>2056</v>
      </c>
      <c r="C2094" s="1392" t="s">
        <v>321</v>
      </c>
      <c r="D2094" s="1392" t="s">
        <v>323</v>
      </c>
      <c r="E2094" s="1392" t="s">
        <v>1874</v>
      </c>
      <c r="F2094" s="1392" t="s">
        <v>1877</v>
      </c>
      <c r="G2094" s="1391">
        <v>24185000</v>
      </c>
    </row>
    <row r="2095" spans="1:7" x14ac:dyDescent="0.25">
      <c r="A2095" s="1392" t="s">
        <v>2579</v>
      </c>
      <c r="B2095" s="1392" t="s">
        <v>2056</v>
      </c>
      <c r="C2095" s="1392" t="s">
        <v>321</v>
      </c>
      <c r="D2095" s="1392" t="s">
        <v>323</v>
      </c>
      <c r="E2095" s="4536" t="s">
        <v>1878</v>
      </c>
      <c r="F2095" s="4537"/>
      <c r="G2095" s="1391">
        <v>4678800</v>
      </c>
    </row>
    <row r="2096" spans="1:7" x14ac:dyDescent="0.25">
      <c r="A2096" s="1392" t="s">
        <v>2579</v>
      </c>
      <c r="B2096" s="1392" t="s">
        <v>2056</v>
      </c>
      <c r="C2096" s="1392" t="s">
        <v>321</v>
      </c>
      <c r="D2096" s="1392" t="s">
        <v>323</v>
      </c>
      <c r="E2096" s="1392" t="s">
        <v>1878</v>
      </c>
      <c r="F2096" s="1392" t="s">
        <v>1880</v>
      </c>
      <c r="G2096" s="1391">
        <v>400000</v>
      </c>
    </row>
    <row r="2097" spans="1:7" x14ac:dyDescent="0.25">
      <c r="A2097" s="1392" t="s">
        <v>2579</v>
      </c>
      <c r="B2097" s="1392" t="s">
        <v>2056</v>
      </c>
      <c r="C2097" s="1392" t="s">
        <v>321</v>
      </c>
      <c r="D2097" s="1392" t="s">
        <v>323</v>
      </c>
      <c r="E2097" s="1392" t="s">
        <v>1878</v>
      </c>
      <c r="F2097" s="1392" t="s">
        <v>1882</v>
      </c>
      <c r="G2097" s="1391">
        <v>1625000</v>
      </c>
    </row>
    <row r="2098" spans="1:7" x14ac:dyDescent="0.25">
      <c r="A2098" s="1392" t="s">
        <v>2579</v>
      </c>
      <c r="B2098" s="1392" t="s">
        <v>2056</v>
      </c>
      <c r="C2098" s="1392" t="s">
        <v>321</v>
      </c>
      <c r="D2098" s="1392" t="s">
        <v>323</v>
      </c>
      <c r="E2098" s="1392" t="s">
        <v>1878</v>
      </c>
      <c r="F2098" s="1392" t="s">
        <v>1883</v>
      </c>
      <c r="G2098" s="1391">
        <v>2653800</v>
      </c>
    </row>
    <row r="2099" spans="1:7" x14ac:dyDescent="0.25">
      <c r="A2099" s="1392" t="s">
        <v>2579</v>
      </c>
      <c r="B2099" s="1392" t="s">
        <v>2056</v>
      </c>
      <c r="C2099" s="1392" t="s">
        <v>321</v>
      </c>
      <c r="D2099" s="1392" t="s">
        <v>323</v>
      </c>
      <c r="E2099" s="4536" t="s">
        <v>1885</v>
      </c>
      <c r="F2099" s="4537"/>
      <c r="G2099" s="1391">
        <v>224175000</v>
      </c>
    </row>
    <row r="2100" spans="1:7" x14ac:dyDescent="0.25">
      <c r="A2100" s="1392" t="s">
        <v>2579</v>
      </c>
      <c r="B2100" s="1392" t="s">
        <v>2056</v>
      </c>
      <c r="C2100" s="1392" t="s">
        <v>321</v>
      </c>
      <c r="D2100" s="1392" t="s">
        <v>323</v>
      </c>
      <c r="E2100" s="1392" t="s">
        <v>1885</v>
      </c>
      <c r="F2100" s="1392" t="s">
        <v>1925</v>
      </c>
      <c r="G2100" s="1391">
        <v>7205000</v>
      </c>
    </row>
    <row r="2101" spans="1:7" x14ac:dyDescent="0.25">
      <c r="A2101" s="1392" t="s">
        <v>2579</v>
      </c>
      <c r="B2101" s="1392" t="s">
        <v>2056</v>
      </c>
      <c r="C2101" s="1392" t="s">
        <v>321</v>
      </c>
      <c r="D2101" s="1392" t="s">
        <v>323</v>
      </c>
      <c r="E2101" s="1392" t="s">
        <v>1885</v>
      </c>
      <c r="F2101" s="1392" t="s">
        <v>1886</v>
      </c>
      <c r="G2101" s="1391">
        <v>9230000</v>
      </c>
    </row>
    <row r="2102" spans="1:7" x14ac:dyDescent="0.25">
      <c r="A2102" s="1392" t="s">
        <v>2579</v>
      </c>
      <c r="B2102" s="1392" t="s">
        <v>2056</v>
      </c>
      <c r="C2102" s="1392" t="s">
        <v>321</v>
      </c>
      <c r="D2102" s="1392" t="s">
        <v>323</v>
      </c>
      <c r="E2102" s="1392" t="s">
        <v>1885</v>
      </c>
      <c r="F2102" s="1392" t="s">
        <v>1887</v>
      </c>
      <c r="G2102" s="1391">
        <v>190490000</v>
      </c>
    </row>
    <row r="2103" spans="1:7" x14ac:dyDescent="0.25">
      <c r="A2103" s="1392" t="s">
        <v>2579</v>
      </c>
      <c r="B2103" s="1392" t="s">
        <v>2056</v>
      </c>
      <c r="C2103" s="1392" t="s">
        <v>321</v>
      </c>
      <c r="D2103" s="1392" t="s">
        <v>323</v>
      </c>
      <c r="E2103" s="1392" t="s">
        <v>1885</v>
      </c>
      <c r="F2103" s="1392" t="s">
        <v>1888</v>
      </c>
      <c r="G2103" s="1391">
        <v>17250000</v>
      </c>
    </row>
    <row r="2104" spans="1:7" x14ac:dyDescent="0.25">
      <c r="A2104" s="1392" t="s">
        <v>2579</v>
      </c>
      <c r="B2104" s="1392" t="s">
        <v>2056</v>
      </c>
      <c r="C2104" s="1392" t="s">
        <v>321</v>
      </c>
      <c r="D2104" s="1392" t="s">
        <v>323</v>
      </c>
      <c r="E2104" s="4536" t="s">
        <v>1889</v>
      </c>
      <c r="F2104" s="4537"/>
      <c r="G2104" s="1391">
        <v>90844000</v>
      </c>
    </row>
    <row r="2105" spans="1:7" x14ac:dyDescent="0.25">
      <c r="A2105" s="1392" t="s">
        <v>2579</v>
      </c>
      <c r="B2105" s="1392" t="s">
        <v>2056</v>
      </c>
      <c r="C2105" s="1392" t="s">
        <v>321</v>
      </c>
      <c r="D2105" s="1392" t="s">
        <v>323</v>
      </c>
      <c r="E2105" s="1392" t="s">
        <v>1889</v>
      </c>
      <c r="F2105" s="1392" t="s">
        <v>1921</v>
      </c>
      <c r="G2105" s="1391">
        <v>680000</v>
      </c>
    </row>
    <row r="2106" spans="1:7" x14ac:dyDescent="0.25">
      <c r="A2106" s="1392" t="s">
        <v>2579</v>
      </c>
      <c r="B2106" s="1392" t="s">
        <v>2056</v>
      </c>
      <c r="C2106" s="1392" t="s">
        <v>321</v>
      </c>
      <c r="D2106" s="1392" t="s">
        <v>323</v>
      </c>
      <c r="E2106" s="1392" t="s">
        <v>1889</v>
      </c>
      <c r="F2106" s="1392" t="s">
        <v>1890</v>
      </c>
      <c r="G2106" s="1391">
        <v>56444000</v>
      </c>
    </row>
    <row r="2107" spans="1:7" x14ac:dyDescent="0.25">
      <c r="A2107" s="1392" t="s">
        <v>2579</v>
      </c>
      <c r="B2107" s="1392" t="s">
        <v>2056</v>
      </c>
      <c r="C2107" s="1392" t="s">
        <v>321</v>
      </c>
      <c r="D2107" s="1392" t="s">
        <v>323</v>
      </c>
      <c r="E2107" s="1392" t="s">
        <v>1889</v>
      </c>
      <c r="F2107" s="1392" t="s">
        <v>1891</v>
      </c>
      <c r="G2107" s="1391">
        <v>3500000</v>
      </c>
    </row>
    <row r="2108" spans="1:7" x14ac:dyDescent="0.25">
      <c r="A2108" s="1392" t="s">
        <v>2579</v>
      </c>
      <c r="B2108" s="1392" t="s">
        <v>2056</v>
      </c>
      <c r="C2108" s="1392" t="s">
        <v>321</v>
      </c>
      <c r="D2108" s="1392" t="s">
        <v>323</v>
      </c>
      <c r="E2108" s="1392" t="s">
        <v>1889</v>
      </c>
      <c r="F2108" s="1392" t="s">
        <v>1892</v>
      </c>
      <c r="G2108" s="1391">
        <v>15300000</v>
      </c>
    </row>
    <row r="2109" spans="1:7" x14ac:dyDescent="0.25">
      <c r="A2109" s="1392" t="s">
        <v>2579</v>
      </c>
      <c r="B2109" s="1392" t="s">
        <v>2056</v>
      </c>
      <c r="C2109" s="1392" t="s">
        <v>321</v>
      </c>
      <c r="D2109" s="1392" t="s">
        <v>323</v>
      </c>
      <c r="E2109" s="1392" t="s">
        <v>1889</v>
      </c>
      <c r="F2109" s="1392" t="s">
        <v>1922</v>
      </c>
      <c r="G2109" s="1391">
        <v>14920000</v>
      </c>
    </row>
    <row r="2110" spans="1:7" x14ac:dyDescent="0.25">
      <c r="A2110" s="1392" t="s">
        <v>2579</v>
      </c>
      <c r="B2110" s="1392" t="s">
        <v>2056</v>
      </c>
      <c r="C2110" s="1392" t="s">
        <v>321</v>
      </c>
      <c r="D2110" s="1392" t="s">
        <v>323</v>
      </c>
      <c r="E2110" s="4536" t="s">
        <v>1893</v>
      </c>
      <c r="F2110" s="4537"/>
      <c r="G2110" s="1391">
        <v>11990000</v>
      </c>
    </row>
    <row r="2111" spans="1:7" x14ac:dyDescent="0.25">
      <c r="A2111" s="1392" t="s">
        <v>2579</v>
      </c>
      <c r="B2111" s="1392" t="s">
        <v>2056</v>
      </c>
      <c r="C2111" s="1392" t="s">
        <v>321</v>
      </c>
      <c r="D2111" s="1392" t="s">
        <v>323</v>
      </c>
      <c r="E2111" s="1392" t="s">
        <v>1893</v>
      </c>
      <c r="F2111" s="1392" t="s">
        <v>1894</v>
      </c>
      <c r="G2111" s="1391">
        <v>11670000</v>
      </c>
    </row>
    <row r="2112" spans="1:7" x14ac:dyDescent="0.25">
      <c r="A2112" s="1392" t="s">
        <v>2579</v>
      </c>
      <c r="B2112" s="1392" t="s">
        <v>2056</v>
      </c>
      <c r="C2112" s="1392" t="s">
        <v>321</v>
      </c>
      <c r="D2112" s="1392" t="s">
        <v>323</v>
      </c>
      <c r="E2112" s="1392" t="s">
        <v>1893</v>
      </c>
      <c r="F2112" s="1392" t="s">
        <v>1895</v>
      </c>
      <c r="G2112" s="1391">
        <v>320000</v>
      </c>
    </row>
    <row r="2113" spans="1:7" x14ac:dyDescent="0.25">
      <c r="A2113" s="1392" t="s">
        <v>2579</v>
      </c>
      <c r="B2113" s="1392" t="s">
        <v>2056</v>
      </c>
      <c r="C2113" s="1392" t="s">
        <v>321</v>
      </c>
      <c r="D2113" s="1392" t="s">
        <v>323</v>
      </c>
      <c r="E2113" s="4536" t="s">
        <v>1896</v>
      </c>
      <c r="F2113" s="4537"/>
      <c r="G2113" s="1391">
        <v>24179000</v>
      </c>
    </row>
    <row r="2114" spans="1:7" x14ac:dyDescent="0.25">
      <c r="A2114" s="1392" t="s">
        <v>2579</v>
      </c>
      <c r="B2114" s="1392" t="s">
        <v>2056</v>
      </c>
      <c r="C2114" s="1392" t="s">
        <v>321</v>
      </c>
      <c r="D2114" s="1392" t="s">
        <v>323</v>
      </c>
      <c r="E2114" s="1392" t="s">
        <v>1896</v>
      </c>
      <c r="F2114" s="1392" t="s">
        <v>1900</v>
      </c>
      <c r="G2114" s="1391">
        <v>23279000</v>
      </c>
    </row>
    <row r="2115" spans="1:7" x14ac:dyDescent="0.25">
      <c r="A2115" s="1392" t="s">
        <v>2579</v>
      </c>
      <c r="B2115" s="1392" t="s">
        <v>2056</v>
      </c>
      <c r="C2115" s="1392" t="s">
        <v>321</v>
      </c>
      <c r="D2115" s="1392" t="s">
        <v>323</v>
      </c>
      <c r="E2115" s="1392" t="s">
        <v>1896</v>
      </c>
      <c r="F2115" s="1392" t="s">
        <v>1901</v>
      </c>
      <c r="G2115" s="1391">
        <v>900000</v>
      </c>
    </row>
    <row r="2116" spans="1:7" x14ac:dyDescent="0.25">
      <c r="A2116" s="1392" t="s">
        <v>2579</v>
      </c>
      <c r="B2116" s="1392" t="s">
        <v>2056</v>
      </c>
      <c r="C2116" s="1392" t="s">
        <v>321</v>
      </c>
      <c r="D2116" s="1392" t="s">
        <v>323</v>
      </c>
      <c r="E2116" s="4536" t="s">
        <v>1906</v>
      </c>
      <c r="F2116" s="4537"/>
      <c r="G2116" s="1391">
        <v>46592262</v>
      </c>
    </row>
    <row r="2117" spans="1:7" x14ac:dyDescent="0.25">
      <c r="A2117" s="1392" t="s">
        <v>2579</v>
      </c>
      <c r="B2117" s="1392" t="s">
        <v>2056</v>
      </c>
      <c r="C2117" s="1392" t="s">
        <v>321</v>
      </c>
      <c r="D2117" s="1392" t="s">
        <v>323</v>
      </c>
      <c r="E2117" s="1392" t="s">
        <v>1906</v>
      </c>
      <c r="F2117" s="1392" t="s">
        <v>1907</v>
      </c>
      <c r="G2117" s="1391">
        <v>11262262</v>
      </c>
    </row>
    <row r="2118" spans="1:7" x14ac:dyDescent="0.25">
      <c r="A2118" s="1392" t="s">
        <v>2579</v>
      </c>
      <c r="B2118" s="1392" t="s">
        <v>2056</v>
      </c>
      <c r="C2118" s="1392" t="s">
        <v>321</v>
      </c>
      <c r="D2118" s="1392" t="s">
        <v>323</v>
      </c>
      <c r="E2118" s="1392" t="s">
        <v>1906</v>
      </c>
      <c r="F2118" s="1392" t="s">
        <v>1908</v>
      </c>
      <c r="G2118" s="1391">
        <v>11500000</v>
      </c>
    </row>
    <row r="2119" spans="1:7" x14ac:dyDescent="0.25">
      <c r="A2119" s="1392" t="s">
        <v>2579</v>
      </c>
      <c r="B2119" s="1392" t="s">
        <v>2056</v>
      </c>
      <c r="C2119" s="1392" t="s">
        <v>321</v>
      </c>
      <c r="D2119" s="1392" t="s">
        <v>323</v>
      </c>
      <c r="E2119" s="1392" t="s">
        <v>1906</v>
      </c>
      <c r="F2119" s="1392" t="s">
        <v>1909</v>
      </c>
      <c r="G2119" s="1391">
        <v>23830000</v>
      </c>
    </row>
    <row r="2120" spans="1:7" x14ac:dyDescent="0.25">
      <c r="A2120" s="1392" t="s">
        <v>2579</v>
      </c>
      <c r="B2120" s="1392" t="s">
        <v>2056</v>
      </c>
      <c r="C2120" s="1392" t="s">
        <v>321</v>
      </c>
      <c r="D2120" s="1392" t="s">
        <v>323</v>
      </c>
      <c r="E2120" s="4536" t="s">
        <v>1910</v>
      </c>
      <c r="F2120" s="4537"/>
      <c r="G2120" s="1391">
        <v>35672157</v>
      </c>
    </row>
    <row r="2121" spans="1:7" x14ac:dyDescent="0.25">
      <c r="A2121" s="1392" t="s">
        <v>2579</v>
      </c>
      <c r="B2121" s="1392" t="s">
        <v>2056</v>
      </c>
      <c r="C2121" s="1392" t="s">
        <v>321</v>
      </c>
      <c r="D2121" s="1392" t="s">
        <v>323</v>
      </c>
      <c r="E2121" s="1392" t="s">
        <v>1910</v>
      </c>
      <c r="F2121" s="1392" t="s">
        <v>1960</v>
      </c>
      <c r="G2121" s="1391">
        <v>35672157</v>
      </c>
    </row>
    <row r="2122" spans="1:7" x14ac:dyDescent="0.25">
      <c r="A2122" s="1392" t="s">
        <v>2579</v>
      </c>
      <c r="B2122" s="1392" t="s">
        <v>2056</v>
      </c>
      <c r="C2122" s="1392" t="s">
        <v>321</v>
      </c>
      <c r="D2122" s="1392" t="s">
        <v>323</v>
      </c>
      <c r="E2122" s="4536" t="s">
        <v>1912</v>
      </c>
      <c r="F2122" s="4537"/>
      <c r="G2122" s="1391">
        <v>607399050</v>
      </c>
    </row>
    <row r="2123" spans="1:7" x14ac:dyDescent="0.25">
      <c r="A2123" s="1392" t="s">
        <v>2579</v>
      </c>
      <c r="B2123" s="1392" t="s">
        <v>2056</v>
      </c>
      <c r="C2123" s="1392" t="s">
        <v>321</v>
      </c>
      <c r="D2123" s="1392" t="s">
        <v>323</v>
      </c>
      <c r="E2123" s="1392" t="s">
        <v>1912</v>
      </c>
      <c r="F2123" s="1392" t="s">
        <v>1915</v>
      </c>
      <c r="G2123" s="1391">
        <v>31670000</v>
      </c>
    </row>
    <row r="2124" spans="1:7" x14ac:dyDescent="0.25">
      <c r="A2124" s="1392" t="s">
        <v>2579</v>
      </c>
      <c r="B2124" s="1392" t="s">
        <v>2056</v>
      </c>
      <c r="C2124" s="1392" t="s">
        <v>321</v>
      </c>
      <c r="D2124" s="1392" t="s">
        <v>323</v>
      </c>
      <c r="E2124" s="1392" t="s">
        <v>1912</v>
      </c>
      <c r="F2124" s="1392" t="s">
        <v>1916</v>
      </c>
      <c r="G2124" s="1391">
        <v>575729050</v>
      </c>
    </row>
    <row r="2125" spans="1:7" x14ac:dyDescent="0.25">
      <c r="A2125" s="1392" t="s">
        <v>2579</v>
      </c>
      <c r="B2125" s="1392" t="s">
        <v>2056</v>
      </c>
      <c r="C2125" s="1392" t="s">
        <v>321</v>
      </c>
      <c r="D2125" s="1392" t="s">
        <v>323</v>
      </c>
      <c r="E2125" s="4536" t="s">
        <v>1917</v>
      </c>
      <c r="F2125" s="4537"/>
      <c r="G2125" s="1391">
        <v>67143403</v>
      </c>
    </row>
    <row r="2126" spans="1:7" x14ac:dyDescent="0.25">
      <c r="A2126" s="1392" t="s">
        <v>2579</v>
      </c>
      <c r="B2126" s="1392" t="s">
        <v>2056</v>
      </c>
      <c r="C2126" s="1392" t="s">
        <v>321</v>
      </c>
      <c r="D2126" s="1392" t="s">
        <v>323</v>
      </c>
      <c r="E2126" s="1392" t="s">
        <v>1917</v>
      </c>
      <c r="F2126" s="1392" t="s">
        <v>2061</v>
      </c>
      <c r="G2126" s="1391">
        <v>67143403</v>
      </c>
    </row>
    <row r="2127" spans="1:7" x14ac:dyDescent="0.25">
      <c r="A2127" s="1392" t="s">
        <v>2579</v>
      </c>
      <c r="B2127" s="1392" t="s">
        <v>2056</v>
      </c>
      <c r="C2127" s="4536" t="s">
        <v>2003</v>
      </c>
      <c r="D2127" s="4537"/>
      <c r="E2127" s="4537"/>
      <c r="F2127" s="4537"/>
      <c r="G2127" s="1391">
        <v>3210644921</v>
      </c>
    </row>
    <row r="2128" spans="1:7" x14ac:dyDescent="0.25">
      <c r="A2128" s="1392" t="s">
        <v>2579</v>
      </c>
      <c r="B2128" s="1392" t="s">
        <v>2056</v>
      </c>
      <c r="C2128" s="1392" t="s">
        <v>2003</v>
      </c>
      <c r="D2128" s="4536" t="s">
        <v>2004</v>
      </c>
      <c r="E2128" s="4537"/>
      <c r="F2128" s="4537"/>
      <c r="G2128" s="1391">
        <v>3210644921</v>
      </c>
    </row>
    <row r="2129" spans="1:7" x14ac:dyDescent="0.25">
      <c r="A2129" s="1392" t="s">
        <v>2579</v>
      </c>
      <c r="B2129" s="1392" t="s">
        <v>2056</v>
      </c>
      <c r="C2129" s="1392" t="s">
        <v>2003</v>
      </c>
      <c r="D2129" s="1392" t="s">
        <v>2004</v>
      </c>
      <c r="E2129" s="4536" t="s">
        <v>1848</v>
      </c>
      <c r="F2129" s="4537"/>
      <c r="G2129" s="1391">
        <v>133443173</v>
      </c>
    </row>
    <row r="2130" spans="1:7" x14ac:dyDescent="0.25">
      <c r="A2130" s="1392" t="s">
        <v>2579</v>
      </c>
      <c r="B2130" s="1392" t="s">
        <v>2056</v>
      </c>
      <c r="C2130" s="1392" t="s">
        <v>2003</v>
      </c>
      <c r="D2130" s="1392" t="s">
        <v>2004</v>
      </c>
      <c r="E2130" s="1392" t="s">
        <v>1848</v>
      </c>
      <c r="F2130" s="1392" t="s">
        <v>1849</v>
      </c>
      <c r="G2130" s="1391">
        <v>133443173</v>
      </c>
    </row>
    <row r="2131" spans="1:7" x14ac:dyDescent="0.25">
      <c r="A2131" s="1392" t="s">
        <v>2579</v>
      </c>
      <c r="B2131" s="1392" t="s">
        <v>2056</v>
      </c>
      <c r="C2131" s="1392" t="s">
        <v>2003</v>
      </c>
      <c r="D2131" s="1392" t="s">
        <v>2004</v>
      </c>
      <c r="E2131" s="4536" t="s">
        <v>1853</v>
      </c>
      <c r="F2131" s="4537"/>
      <c r="G2131" s="1391">
        <v>101794314</v>
      </c>
    </row>
    <row r="2132" spans="1:7" x14ac:dyDescent="0.25">
      <c r="A2132" s="1392" t="s">
        <v>2579</v>
      </c>
      <c r="B2132" s="1392" t="s">
        <v>2056</v>
      </c>
      <c r="C2132" s="1392" t="s">
        <v>2003</v>
      </c>
      <c r="D2132" s="1392" t="s">
        <v>2004</v>
      </c>
      <c r="E2132" s="1392" t="s">
        <v>1853</v>
      </c>
      <c r="F2132" s="1392" t="s">
        <v>1855</v>
      </c>
      <c r="G2132" s="1391">
        <v>29651000</v>
      </c>
    </row>
    <row r="2133" spans="1:7" x14ac:dyDescent="0.25">
      <c r="A2133" s="1392" t="s">
        <v>2579</v>
      </c>
      <c r="B2133" s="1392" t="s">
        <v>2056</v>
      </c>
      <c r="C2133" s="1392" t="s">
        <v>2003</v>
      </c>
      <c r="D2133" s="1392" t="s">
        <v>2004</v>
      </c>
      <c r="E2133" s="1392" t="s">
        <v>1853</v>
      </c>
      <c r="F2133" s="1392" t="s">
        <v>1935</v>
      </c>
      <c r="G2133" s="1391">
        <v>4297160</v>
      </c>
    </row>
    <row r="2134" spans="1:7" x14ac:dyDescent="0.25">
      <c r="A2134" s="1392" t="s">
        <v>2579</v>
      </c>
      <c r="B2134" s="1392" t="s">
        <v>2056</v>
      </c>
      <c r="C2134" s="1392" t="s">
        <v>2003</v>
      </c>
      <c r="D2134" s="1392" t="s">
        <v>2004</v>
      </c>
      <c r="E2134" s="1392" t="s">
        <v>1853</v>
      </c>
      <c r="F2134" s="1392" t="s">
        <v>1856</v>
      </c>
      <c r="G2134" s="1391">
        <v>9297209</v>
      </c>
    </row>
    <row r="2135" spans="1:7" x14ac:dyDescent="0.25">
      <c r="A2135" s="1392" t="s">
        <v>2579</v>
      </c>
      <c r="B2135" s="1392" t="s">
        <v>2056</v>
      </c>
      <c r="C2135" s="1392" t="s">
        <v>2003</v>
      </c>
      <c r="D2135" s="1392" t="s">
        <v>2004</v>
      </c>
      <c r="E2135" s="1392" t="s">
        <v>1853</v>
      </c>
      <c r="F2135" s="1392" t="s">
        <v>1929</v>
      </c>
      <c r="G2135" s="1391">
        <v>8898520</v>
      </c>
    </row>
    <row r="2136" spans="1:7" x14ac:dyDescent="0.25">
      <c r="A2136" s="1392" t="s">
        <v>2579</v>
      </c>
      <c r="B2136" s="1392" t="s">
        <v>2056</v>
      </c>
      <c r="C2136" s="1392" t="s">
        <v>2003</v>
      </c>
      <c r="D2136" s="1392" t="s">
        <v>2004</v>
      </c>
      <c r="E2136" s="1392" t="s">
        <v>1853</v>
      </c>
      <c r="F2136" s="1392" t="s">
        <v>1938</v>
      </c>
      <c r="G2136" s="1391">
        <v>3129000</v>
      </c>
    </row>
    <row r="2137" spans="1:7" x14ac:dyDescent="0.25">
      <c r="A2137" s="1392" t="s">
        <v>2579</v>
      </c>
      <c r="B2137" s="1392" t="s">
        <v>2056</v>
      </c>
      <c r="C2137" s="1392" t="s">
        <v>2003</v>
      </c>
      <c r="D2137" s="1392" t="s">
        <v>2004</v>
      </c>
      <c r="E2137" s="1392" t="s">
        <v>1853</v>
      </c>
      <c r="F2137" s="1392" t="s">
        <v>1859</v>
      </c>
      <c r="G2137" s="1391">
        <v>46521425</v>
      </c>
    </row>
    <row r="2138" spans="1:7" x14ac:dyDescent="0.25">
      <c r="A2138" s="1392" t="s">
        <v>2579</v>
      </c>
      <c r="B2138" s="1392" t="s">
        <v>2056</v>
      </c>
      <c r="C2138" s="1392" t="s">
        <v>2003</v>
      </c>
      <c r="D2138" s="1392" t="s">
        <v>2004</v>
      </c>
      <c r="E2138" s="4536" t="s">
        <v>1860</v>
      </c>
      <c r="F2138" s="4537"/>
      <c r="G2138" s="1391">
        <v>6961500</v>
      </c>
    </row>
    <row r="2139" spans="1:7" x14ac:dyDescent="0.25">
      <c r="A2139" s="1392" t="s">
        <v>2579</v>
      </c>
      <c r="B2139" s="1392" t="s">
        <v>2056</v>
      </c>
      <c r="C2139" s="1392" t="s">
        <v>2003</v>
      </c>
      <c r="D2139" s="1392" t="s">
        <v>2004</v>
      </c>
      <c r="E2139" s="1392" t="s">
        <v>1860</v>
      </c>
      <c r="F2139" s="1392" t="s">
        <v>1861</v>
      </c>
      <c r="G2139" s="1391">
        <v>6961500</v>
      </c>
    </row>
    <row r="2140" spans="1:7" x14ac:dyDescent="0.25">
      <c r="A2140" s="1392" t="s">
        <v>2579</v>
      </c>
      <c r="B2140" s="1392" t="s">
        <v>2056</v>
      </c>
      <c r="C2140" s="1392" t="s">
        <v>2003</v>
      </c>
      <c r="D2140" s="1392" t="s">
        <v>2004</v>
      </c>
      <c r="E2140" s="4536" t="s">
        <v>1862</v>
      </c>
      <c r="F2140" s="4537"/>
      <c r="G2140" s="1391">
        <v>77162284</v>
      </c>
    </row>
    <row r="2141" spans="1:7" x14ac:dyDescent="0.25">
      <c r="A2141" s="1392" t="s">
        <v>2579</v>
      </c>
      <c r="B2141" s="1392" t="s">
        <v>2056</v>
      </c>
      <c r="C2141" s="1392" t="s">
        <v>2003</v>
      </c>
      <c r="D2141" s="1392" t="s">
        <v>2004</v>
      </c>
      <c r="E2141" s="1392" t="s">
        <v>1862</v>
      </c>
      <c r="F2141" s="1392" t="s">
        <v>1863</v>
      </c>
      <c r="G2141" s="1391">
        <v>66909158</v>
      </c>
    </row>
    <row r="2142" spans="1:7" x14ac:dyDescent="0.25">
      <c r="A2142" s="1392" t="s">
        <v>2579</v>
      </c>
      <c r="B2142" s="1392" t="s">
        <v>2056</v>
      </c>
      <c r="C2142" s="1392" t="s">
        <v>2003</v>
      </c>
      <c r="D2142" s="1392" t="s">
        <v>2004</v>
      </c>
      <c r="E2142" s="1392" t="s">
        <v>1862</v>
      </c>
      <c r="F2142" s="1392" t="s">
        <v>1864</v>
      </c>
      <c r="G2142" s="1391">
        <v>8304400</v>
      </c>
    </row>
    <row r="2143" spans="1:7" x14ac:dyDescent="0.25">
      <c r="A2143" s="1392" t="s">
        <v>2579</v>
      </c>
      <c r="B2143" s="1392" t="s">
        <v>2056</v>
      </c>
      <c r="C2143" s="1392" t="s">
        <v>2003</v>
      </c>
      <c r="D2143" s="1392" t="s">
        <v>2004</v>
      </c>
      <c r="E2143" s="1392" t="s">
        <v>1862</v>
      </c>
      <c r="F2143" s="1392" t="s">
        <v>1865</v>
      </c>
      <c r="G2143" s="1391">
        <v>1948726</v>
      </c>
    </row>
    <row r="2144" spans="1:7" x14ac:dyDescent="0.25">
      <c r="A2144" s="1392" t="s">
        <v>2579</v>
      </c>
      <c r="B2144" s="1392" t="s">
        <v>2056</v>
      </c>
      <c r="C2144" s="1392" t="s">
        <v>2003</v>
      </c>
      <c r="D2144" s="1392" t="s">
        <v>2004</v>
      </c>
      <c r="E2144" s="4536" t="s">
        <v>2057</v>
      </c>
      <c r="F2144" s="4537"/>
      <c r="G2144" s="1391">
        <v>1955247674</v>
      </c>
    </row>
    <row r="2145" spans="1:7" x14ac:dyDescent="0.25">
      <c r="A2145" s="1392" t="s">
        <v>2579</v>
      </c>
      <c r="B2145" s="1392" t="s">
        <v>2056</v>
      </c>
      <c r="C2145" s="1392" t="s">
        <v>2003</v>
      </c>
      <c r="D2145" s="1392" t="s">
        <v>2004</v>
      </c>
      <c r="E2145" s="1392" t="s">
        <v>2057</v>
      </c>
      <c r="F2145" s="1392" t="s">
        <v>2058</v>
      </c>
      <c r="G2145" s="1391">
        <v>431779662</v>
      </c>
    </row>
    <row r="2146" spans="1:7" x14ac:dyDescent="0.25">
      <c r="A2146" s="1392" t="s">
        <v>2579</v>
      </c>
      <c r="B2146" s="1392" t="s">
        <v>2056</v>
      </c>
      <c r="C2146" s="1392" t="s">
        <v>2003</v>
      </c>
      <c r="D2146" s="1392" t="s">
        <v>2004</v>
      </c>
      <c r="E2146" s="1392" t="s">
        <v>2057</v>
      </c>
      <c r="F2146" s="1392" t="s">
        <v>2059</v>
      </c>
      <c r="G2146" s="1391">
        <v>1523468012</v>
      </c>
    </row>
    <row r="2147" spans="1:7" x14ac:dyDescent="0.25">
      <c r="A2147" s="1392" t="s">
        <v>2579</v>
      </c>
      <c r="B2147" s="1392" t="s">
        <v>2056</v>
      </c>
      <c r="C2147" s="1392" t="s">
        <v>2003</v>
      </c>
      <c r="D2147" s="1392" t="s">
        <v>2004</v>
      </c>
      <c r="E2147" s="4536" t="s">
        <v>1867</v>
      </c>
      <c r="F2147" s="4537"/>
      <c r="G2147" s="1391">
        <v>104413498</v>
      </c>
    </row>
    <row r="2148" spans="1:7" x14ac:dyDescent="0.25">
      <c r="A2148" s="1392" t="s">
        <v>2579</v>
      </c>
      <c r="B2148" s="1392" t="s">
        <v>2056</v>
      </c>
      <c r="C2148" s="1392" t="s">
        <v>2003</v>
      </c>
      <c r="D2148" s="1392" t="s">
        <v>2004</v>
      </c>
      <c r="E2148" s="1392" t="s">
        <v>1867</v>
      </c>
      <c r="F2148" s="1392" t="s">
        <v>1868</v>
      </c>
      <c r="G2148" s="1391">
        <v>104413498</v>
      </c>
    </row>
    <row r="2149" spans="1:7" x14ac:dyDescent="0.25">
      <c r="A2149" s="1392" t="s">
        <v>2579</v>
      </c>
      <c r="B2149" s="1392" t="s">
        <v>2056</v>
      </c>
      <c r="C2149" s="1392" t="s">
        <v>2003</v>
      </c>
      <c r="D2149" s="1392" t="s">
        <v>2004</v>
      </c>
      <c r="E2149" s="4536" t="s">
        <v>1869</v>
      </c>
      <c r="F2149" s="4537"/>
      <c r="G2149" s="1391">
        <v>1746987</v>
      </c>
    </row>
    <row r="2150" spans="1:7" x14ac:dyDescent="0.25">
      <c r="A2150" s="1392" t="s">
        <v>2579</v>
      </c>
      <c r="B2150" s="1392" t="s">
        <v>2056</v>
      </c>
      <c r="C2150" s="1392" t="s">
        <v>2003</v>
      </c>
      <c r="D2150" s="1392" t="s">
        <v>2004</v>
      </c>
      <c r="E2150" s="1392" t="s">
        <v>1869</v>
      </c>
      <c r="F2150" s="1392" t="s">
        <v>1870</v>
      </c>
      <c r="G2150" s="1391">
        <v>1746987</v>
      </c>
    </row>
    <row r="2151" spans="1:7" x14ac:dyDescent="0.25">
      <c r="A2151" s="1392" t="s">
        <v>2579</v>
      </c>
      <c r="B2151" s="1392" t="s">
        <v>2056</v>
      </c>
      <c r="C2151" s="1392" t="s">
        <v>2003</v>
      </c>
      <c r="D2151" s="1392" t="s">
        <v>2004</v>
      </c>
      <c r="E2151" s="4536" t="s">
        <v>1874</v>
      </c>
      <c r="F2151" s="4537"/>
      <c r="G2151" s="1391">
        <v>24553000</v>
      </c>
    </row>
    <row r="2152" spans="1:7" x14ac:dyDescent="0.25">
      <c r="A2152" s="1392" t="s">
        <v>2579</v>
      </c>
      <c r="B2152" s="1392" t="s">
        <v>2056</v>
      </c>
      <c r="C2152" s="1392" t="s">
        <v>2003</v>
      </c>
      <c r="D2152" s="1392" t="s">
        <v>2004</v>
      </c>
      <c r="E2152" s="1392" t="s">
        <v>1874</v>
      </c>
      <c r="F2152" s="1392" t="s">
        <v>1875</v>
      </c>
      <c r="G2152" s="1391">
        <v>22203000</v>
      </c>
    </row>
    <row r="2153" spans="1:7" x14ac:dyDescent="0.25">
      <c r="A2153" s="1392" t="s">
        <v>2579</v>
      </c>
      <c r="B2153" s="1392" t="s">
        <v>2056</v>
      </c>
      <c r="C2153" s="1392" t="s">
        <v>2003</v>
      </c>
      <c r="D2153" s="1392" t="s">
        <v>2004</v>
      </c>
      <c r="E2153" s="1392" t="s">
        <v>1874</v>
      </c>
      <c r="F2153" s="1392" t="s">
        <v>1876</v>
      </c>
      <c r="G2153" s="1391">
        <v>1800000</v>
      </c>
    </row>
    <row r="2154" spans="1:7" x14ac:dyDescent="0.25">
      <c r="A2154" s="1392" t="s">
        <v>2579</v>
      </c>
      <c r="B2154" s="1392" t="s">
        <v>2056</v>
      </c>
      <c r="C2154" s="1392" t="s">
        <v>2003</v>
      </c>
      <c r="D2154" s="1392" t="s">
        <v>2004</v>
      </c>
      <c r="E2154" s="1392" t="s">
        <v>1874</v>
      </c>
      <c r="F2154" s="1392" t="s">
        <v>1877</v>
      </c>
      <c r="G2154" s="1391">
        <v>550000</v>
      </c>
    </row>
    <row r="2155" spans="1:7" x14ac:dyDescent="0.25">
      <c r="A2155" s="1392" t="s">
        <v>2579</v>
      </c>
      <c r="B2155" s="1392" t="s">
        <v>2056</v>
      </c>
      <c r="C2155" s="1392" t="s">
        <v>2003</v>
      </c>
      <c r="D2155" s="1392" t="s">
        <v>2004</v>
      </c>
      <c r="E2155" s="4536" t="s">
        <v>1878</v>
      </c>
      <c r="F2155" s="4537"/>
      <c r="G2155" s="1391">
        <v>3850521</v>
      </c>
    </row>
    <row r="2156" spans="1:7" x14ac:dyDescent="0.25">
      <c r="A2156" s="1392" t="s">
        <v>2579</v>
      </c>
      <c r="B2156" s="1392" t="s">
        <v>2056</v>
      </c>
      <c r="C2156" s="1392" t="s">
        <v>2003</v>
      </c>
      <c r="D2156" s="1392" t="s">
        <v>2004</v>
      </c>
      <c r="E2156" s="1392" t="s">
        <v>1878</v>
      </c>
      <c r="F2156" s="1392" t="s">
        <v>1879</v>
      </c>
      <c r="G2156" s="1391">
        <v>2759321</v>
      </c>
    </row>
    <row r="2157" spans="1:7" x14ac:dyDescent="0.25">
      <c r="A2157" s="1392" t="s">
        <v>2579</v>
      </c>
      <c r="B2157" s="1392" t="s">
        <v>2056</v>
      </c>
      <c r="C2157" s="1392" t="s">
        <v>2003</v>
      </c>
      <c r="D2157" s="1392" t="s">
        <v>2004</v>
      </c>
      <c r="E2157" s="1392" t="s">
        <v>1878</v>
      </c>
      <c r="F2157" s="1392" t="s">
        <v>1881</v>
      </c>
      <c r="G2157" s="1391">
        <v>1091200</v>
      </c>
    </row>
    <row r="2158" spans="1:7" x14ac:dyDescent="0.25">
      <c r="A2158" s="1392" t="s">
        <v>2579</v>
      </c>
      <c r="B2158" s="1392" t="s">
        <v>2056</v>
      </c>
      <c r="C2158" s="1392" t="s">
        <v>2003</v>
      </c>
      <c r="D2158" s="1392" t="s">
        <v>2004</v>
      </c>
      <c r="E2158" s="4536" t="s">
        <v>1885</v>
      </c>
      <c r="F2158" s="4537"/>
      <c r="G2158" s="1391">
        <v>112390000</v>
      </c>
    </row>
    <row r="2159" spans="1:7" x14ac:dyDescent="0.25">
      <c r="A2159" s="1392" t="s">
        <v>2579</v>
      </c>
      <c r="B2159" s="1392" t="s">
        <v>2056</v>
      </c>
      <c r="C2159" s="1392" t="s">
        <v>2003</v>
      </c>
      <c r="D2159" s="1392" t="s">
        <v>2004</v>
      </c>
      <c r="E2159" s="1392" t="s">
        <v>1885</v>
      </c>
      <c r="F2159" s="1392" t="s">
        <v>1925</v>
      </c>
      <c r="G2159" s="1391">
        <v>200000</v>
      </c>
    </row>
    <row r="2160" spans="1:7" x14ac:dyDescent="0.25">
      <c r="A2160" s="1392" t="s">
        <v>2579</v>
      </c>
      <c r="B2160" s="1392" t="s">
        <v>2056</v>
      </c>
      <c r="C2160" s="1392" t="s">
        <v>2003</v>
      </c>
      <c r="D2160" s="1392" t="s">
        <v>2004</v>
      </c>
      <c r="E2160" s="1392" t="s">
        <v>1885</v>
      </c>
      <c r="F2160" s="1392" t="s">
        <v>1887</v>
      </c>
      <c r="G2160" s="1391">
        <v>97800000</v>
      </c>
    </row>
    <row r="2161" spans="1:7" x14ac:dyDescent="0.25">
      <c r="A2161" s="1392" t="s">
        <v>2579</v>
      </c>
      <c r="B2161" s="1392" t="s">
        <v>2056</v>
      </c>
      <c r="C2161" s="1392" t="s">
        <v>2003</v>
      </c>
      <c r="D2161" s="1392" t="s">
        <v>2004</v>
      </c>
      <c r="E2161" s="1392" t="s">
        <v>1885</v>
      </c>
      <c r="F2161" s="1392" t="s">
        <v>1888</v>
      </c>
      <c r="G2161" s="1391">
        <v>14390000</v>
      </c>
    </row>
    <row r="2162" spans="1:7" x14ac:dyDescent="0.25">
      <c r="A2162" s="1392" t="s">
        <v>2579</v>
      </c>
      <c r="B2162" s="1392" t="s">
        <v>2056</v>
      </c>
      <c r="C2162" s="1392" t="s">
        <v>2003</v>
      </c>
      <c r="D2162" s="1392" t="s">
        <v>2004</v>
      </c>
      <c r="E2162" s="4536" t="s">
        <v>1889</v>
      </c>
      <c r="F2162" s="4537"/>
      <c r="G2162" s="1391">
        <v>19150000</v>
      </c>
    </row>
    <row r="2163" spans="1:7" x14ac:dyDescent="0.25">
      <c r="A2163" s="1392" t="s">
        <v>2579</v>
      </c>
      <c r="B2163" s="1392" t="s">
        <v>2056</v>
      </c>
      <c r="C2163" s="1392" t="s">
        <v>2003</v>
      </c>
      <c r="D2163" s="1392" t="s">
        <v>2004</v>
      </c>
      <c r="E2163" s="1392" t="s">
        <v>1889</v>
      </c>
      <c r="F2163" s="1392" t="s">
        <v>1921</v>
      </c>
      <c r="G2163" s="1391">
        <v>30000</v>
      </c>
    </row>
    <row r="2164" spans="1:7" x14ac:dyDescent="0.25">
      <c r="A2164" s="1392" t="s">
        <v>2579</v>
      </c>
      <c r="B2164" s="1392" t="s">
        <v>2056</v>
      </c>
      <c r="C2164" s="1392" t="s">
        <v>2003</v>
      </c>
      <c r="D2164" s="1392" t="s">
        <v>2004</v>
      </c>
      <c r="E2164" s="1392" t="s">
        <v>1889</v>
      </c>
      <c r="F2164" s="1392" t="s">
        <v>1890</v>
      </c>
      <c r="G2164" s="1391">
        <v>11590000</v>
      </c>
    </row>
    <row r="2165" spans="1:7" x14ac:dyDescent="0.25">
      <c r="A2165" s="1392" t="s">
        <v>2579</v>
      </c>
      <c r="B2165" s="1392" t="s">
        <v>2056</v>
      </c>
      <c r="C2165" s="1392" t="s">
        <v>2003</v>
      </c>
      <c r="D2165" s="1392" t="s">
        <v>2004</v>
      </c>
      <c r="E2165" s="1392" t="s">
        <v>1889</v>
      </c>
      <c r="F2165" s="1392" t="s">
        <v>1891</v>
      </c>
      <c r="G2165" s="1391">
        <v>750000</v>
      </c>
    </row>
    <row r="2166" spans="1:7" x14ac:dyDescent="0.25">
      <c r="A2166" s="1392" t="s">
        <v>2579</v>
      </c>
      <c r="B2166" s="1392" t="s">
        <v>2056</v>
      </c>
      <c r="C2166" s="1392" t="s">
        <v>2003</v>
      </c>
      <c r="D2166" s="1392" t="s">
        <v>2004</v>
      </c>
      <c r="E2166" s="1392" t="s">
        <v>1889</v>
      </c>
      <c r="F2166" s="1392" t="s">
        <v>1892</v>
      </c>
      <c r="G2166" s="1391">
        <v>2700000</v>
      </c>
    </row>
    <row r="2167" spans="1:7" x14ac:dyDescent="0.25">
      <c r="A2167" s="1392" t="s">
        <v>2579</v>
      </c>
      <c r="B2167" s="1392" t="s">
        <v>2056</v>
      </c>
      <c r="C2167" s="1392" t="s">
        <v>2003</v>
      </c>
      <c r="D2167" s="1392" t="s">
        <v>2004</v>
      </c>
      <c r="E2167" s="1392" t="s">
        <v>1889</v>
      </c>
      <c r="F2167" s="1392" t="s">
        <v>1922</v>
      </c>
      <c r="G2167" s="1391">
        <v>4080000</v>
      </c>
    </row>
    <row r="2168" spans="1:7" x14ac:dyDescent="0.25">
      <c r="A2168" s="1392" t="s">
        <v>2579</v>
      </c>
      <c r="B2168" s="1392" t="s">
        <v>2056</v>
      </c>
      <c r="C2168" s="1392" t="s">
        <v>2003</v>
      </c>
      <c r="D2168" s="1392" t="s">
        <v>2004</v>
      </c>
      <c r="E2168" s="4536" t="s">
        <v>1896</v>
      </c>
      <c r="F2168" s="4537"/>
      <c r="G2168" s="1391">
        <v>20779000</v>
      </c>
    </row>
    <row r="2169" spans="1:7" x14ac:dyDescent="0.25">
      <c r="A2169" s="1392" t="s">
        <v>2579</v>
      </c>
      <c r="B2169" s="1392" t="s">
        <v>2056</v>
      </c>
      <c r="C2169" s="1392" t="s">
        <v>2003</v>
      </c>
      <c r="D2169" s="1392" t="s">
        <v>2004</v>
      </c>
      <c r="E2169" s="1392" t="s">
        <v>1896</v>
      </c>
      <c r="F2169" s="1392" t="s">
        <v>1900</v>
      </c>
      <c r="G2169" s="1391">
        <v>16279000</v>
      </c>
    </row>
    <row r="2170" spans="1:7" x14ac:dyDescent="0.25">
      <c r="A2170" s="1392" t="s">
        <v>2579</v>
      </c>
      <c r="B2170" s="1392" t="s">
        <v>2056</v>
      </c>
      <c r="C2170" s="1392" t="s">
        <v>2003</v>
      </c>
      <c r="D2170" s="1392" t="s">
        <v>2004</v>
      </c>
      <c r="E2170" s="1392" t="s">
        <v>1896</v>
      </c>
      <c r="F2170" s="1392" t="s">
        <v>1901</v>
      </c>
      <c r="G2170" s="1391">
        <v>4500000</v>
      </c>
    </row>
    <row r="2171" spans="1:7" x14ac:dyDescent="0.25">
      <c r="A2171" s="1392" t="s">
        <v>2579</v>
      </c>
      <c r="B2171" s="1392" t="s">
        <v>2056</v>
      </c>
      <c r="C2171" s="1392" t="s">
        <v>2003</v>
      </c>
      <c r="D2171" s="1392" t="s">
        <v>2004</v>
      </c>
      <c r="E2171" s="4536" t="s">
        <v>1906</v>
      </c>
      <c r="F2171" s="4537"/>
      <c r="G2171" s="1391">
        <v>10131000</v>
      </c>
    </row>
    <row r="2172" spans="1:7" x14ac:dyDescent="0.25">
      <c r="A2172" s="1392" t="s">
        <v>2579</v>
      </c>
      <c r="B2172" s="1392" t="s">
        <v>2056</v>
      </c>
      <c r="C2172" s="1392" t="s">
        <v>2003</v>
      </c>
      <c r="D2172" s="1392" t="s">
        <v>2004</v>
      </c>
      <c r="E2172" s="1392" t="s">
        <v>1906</v>
      </c>
      <c r="F2172" s="1392" t="s">
        <v>1907</v>
      </c>
      <c r="G2172" s="1391">
        <v>276000</v>
      </c>
    </row>
    <row r="2173" spans="1:7" x14ac:dyDescent="0.25">
      <c r="A2173" s="1392" t="s">
        <v>2579</v>
      </c>
      <c r="B2173" s="1392" t="s">
        <v>2056</v>
      </c>
      <c r="C2173" s="1392" t="s">
        <v>2003</v>
      </c>
      <c r="D2173" s="1392" t="s">
        <v>2004</v>
      </c>
      <c r="E2173" s="1392" t="s">
        <v>1906</v>
      </c>
      <c r="F2173" s="1392" t="s">
        <v>1909</v>
      </c>
      <c r="G2173" s="1391">
        <v>9855000</v>
      </c>
    </row>
    <row r="2174" spans="1:7" x14ac:dyDescent="0.25">
      <c r="A2174" s="1392" t="s">
        <v>2579</v>
      </c>
      <c r="B2174" s="1392" t="s">
        <v>2056</v>
      </c>
      <c r="C2174" s="1392" t="s">
        <v>2003</v>
      </c>
      <c r="D2174" s="1392" t="s">
        <v>2004</v>
      </c>
      <c r="E2174" s="4536" t="s">
        <v>1923</v>
      </c>
      <c r="F2174" s="4537"/>
      <c r="G2174" s="1391">
        <v>21279620</v>
      </c>
    </row>
    <row r="2175" spans="1:7" x14ac:dyDescent="0.25">
      <c r="A2175" s="1392" t="s">
        <v>2579</v>
      </c>
      <c r="B2175" s="1392" t="s">
        <v>2056</v>
      </c>
      <c r="C2175" s="1392" t="s">
        <v>2003</v>
      </c>
      <c r="D2175" s="1392" t="s">
        <v>2004</v>
      </c>
      <c r="E2175" s="1392" t="s">
        <v>1923</v>
      </c>
      <c r="F2175" s="1392" t="s">
        <v>2007</v>
      </c>
      <c r="G2175" s="1391">
        <v>21279620</v>
      </c>
    </row>
    <row r="2176" spans="1:7" x14ac:dyDescent="0.25">
      <c r="A2176" s="1392" t="s">
        <v>2579</v>
      </c>
      <c r="B2176" s="1392" t="s">
        <v>2056</v>
      </c>
      <c r="C2176" s="1392" t="s">
        <v>2003</v>
      </c>
      <c r="D2176" s="1392" t="s">
        <v>2004</v>
      </c>
      <c r="E2176" s="4536" t="s">
        <v>1910</v>
      </c>
      <c r="F2176" s="4537"/>
      <c r="G2176" s="1391">
        <v>30681000</v>
      </c>
    </row>
    <row r="2177" spans="1:7" x14ac:dyDescent="0.25">
      <c r="A2177" s="1392" t="s">
        <v>2579</v>
      </c>
      <c r="B2177" s="1392" t="s">
        <v>2056</v>
      </c>
      <c r="C2177" s="1392" t="s">
        <v>2003</v>
      </c>
      <c r="D2177" s="1392" t="s">
        <v>2004</v>
      </c>
      <c r="E2177" s="1392" t="s">
        <v>1910</v>
      </c>
      <c r="F2177" s="1392" t="s">
        <v>1960</v>
      </c>
      <c r="G2177" s="1391">
        <v>30681000</v>
      </c>
    </row>
    <row r="2178" spans="1:7" x14ac:dyDescent="0.25">
      <c r="A2178" s="1392" t="s">
        <v>2579</v>
      </c>
      <c r="B2178" s="1392" t="s">
        <v>2056</v>
      </c>
      <c r="C2178" s="1392" t="s">
        <v>2003</v>
      </c>
      <c r="D2178" s="1392" t="s">
        <v>2004</v>
      </c>
      <c r="E2178" s="4536" t="s">
        <v>1912</v>
      </c>
      <c r="F2178" s="4537"/>
      <c r="G2178" s="1391">
        <v>317981000</v>
      </c>
    </row>
    <row r="2179" spans="1:7" x14ac:dyDescent="0.25">
      <c r="A2179" s="1392" t="s">
        <v>2579</v>
      </c>
      <c r="B2179" s="1392" t="s">
        <v>2056</v>
      </c>
      <c r="C2179" s="1392" t="s">
        <v>2003</v>
      </c>
      <c r="D2179" s="1392" t="s">
        <v>2004</v>
      </c>
      <c r="E2179" s="1392" t="s">
        <v>1912</v>
      </c>
      <c r="F2179" s="1392" t="s">
        <v>1915</v>
      </c>
      <c r="G2179" s="1391">
        <v>68240000</v>
      </c>
    </row>
    <row r="2180" spans="1:7" x14ac:dyDescent="0.25">
      <c r="A2180" s="1392" t="s">
        <v>2579</v>
      </c>
      <c r="B2180" s="1392" t="s">
        <v>2056</v>
      </c>
      <c r="C2180" s="1392" t="s">
        <v>2003</v>
      </c>
      <c r="D2180" s="1392" t="s">
        <v>2004</v>
      </c>
      <c r="E2180" s="1392" t="s">
        <v>1912</v>
      </c>
      <c r="F2180" s="1392" t="s">
        <v>1916</v>
      </c>
      <c r="G2180" s="1391">
        <v>249741000</v>
      </c>
    </row>
    <row r="2181" spans="1:7" x14ac:dyDescent="0.25">
      <c r="A2181" s="1392" t="s">
        <v>2579</v>
      </c>
      <c r="B2181" s="1392" t="s">
        <v>2056</v>
      </c>
      <c r="C2181" s="1392" t="s">
        <v>2003</v>
      </c>
      <c r="D2181" s="1392" t="s">
        <v>2004</v>
      </c>
      <c r="E2181" s="4536" t="s">
        <v>1917</v>
      </c>
      <c r="F2181" s="4537"/>
      <c r="G2181" s="1391">
        <v>269080350</v>
      </c>
    </row>
    <row r="2182" spans="1:7" x14ac:dyDescent="0.25">
      <c r="A2182" s="1392" t="s">
        <v>2579</v>
      </c>
      <c r="B2182" s="1392" t="s">
        <v>2056</v>
      </c>
      <c r="C2182" s="1392" t="s">
        <v>2003</v>
      </c>
      <c r="D2182" s="1392" t="s">
        <v>2004</v>
      </c>
      <c r="E2182" s="1392" t="s">
        <v>1917</v>
      </c>
      <c r="F2182" s="1392" t="s">
        <v>1918</v>
      </c>
      <c r="G2182" s="1391">
        <v>124043825</v>
      </c>
    </row>
    <row r="2183" spans="1:7" x14ac:dyDescent="0.25">
      <c r="A2183" s="1392" t="s">
        <v>2579</v>
      </c>
      <c r="B2183" s="1392" t="s">
        <v>2056</v>
      </c>
      <c r="C2183" s="1392" t="s">
        <v>2003</v>
      </c>
      <c r="D2183" s="1392" t="s">
        <v>2004</v>
      </c>
      <c r="E2183" s="1392" t="s">
        <v>1917</v>
      </c>
      <c r="F2183" s="1392" t="s">
        <v>2061</v>
      </c>
      <c r="G2183" s="1391">
        <v>145036525</v>
      </c>
    </row>
    <row r="2184" spans="1:7" x14ac:dyDescent="0.25">
      <c r="A2184" s="1392" t="s">
        <v>2579</v>
      </c>
      <c r="B2184" s="1392" t="s">
        <v>2056</v>
      </c>
      <c r="C2184" s="4536" t="s">
        <v>1933</v>
      </c>
      <c r="D2184" s="4537"/>
      <c r="E2184" s="4537"/>
      <c r="F2184" s="4537"/>
      <c r="G2184" s="1391">
        <v>700308795</v>
      </c>
    </row>
    <row r="2185" spans="1:7" x14ac:dyDescent="0.25">
      <c r="A2185" s="1392" t="s">
        <v>2579</v>
      </c>
      <c r="B2185" s="1392" t="s">
        <v>2056</v>
      </c>
      <c r="C2185" s="1392" t="s">
        <v>1933</v>
      </c>
      <c r="D2185" s="4536" t="s">
        <v>1934</v>
      </c>
      <c r="E2185" s="4537"/>
      <c r="F2185" s="4537"/>
      <c r="G2185" s="1391">
        <v>629584654</v>
      </c>
    </row>
    <row r="2186" spans="1:7" x14ac:dyDescent="0.25">
      <c r="A2186" s="1392" t="s">
        <v>2579</v>
      </c>
      <c r="B2186" s="1392" t="s">
        <v>2056</v>
      </c>
      <c r="C2186" s="1392" t="s">
        <v>1933</v>
      </c>
      <c r="D2186" s="1392" t="s">
        <v>1934</v>
      </c>
      <c r="E2186" s="4536" t="s">
        <v>2030</v>
      </c>
      <c r="F2186" s="4537"/>
      <c r="G2186" s="1391">
        <v>239121</v>
      </c>
    </row>
    <row r="2187" spans="1:7" x14ac:dyDescent="0.25">
      <c r="A2187" s="1392" t="s">
        <v>2579</v>
      </c>
      <c r="B2187" s="1392" t="s">
        <v>2056</v>
      </c>
      <c r="C2187" s="1392" t="s">
        <v>1933</v>
      </c>
      <c r="D2187" s="1392" t="s">
        <v>1934</v>
      </c>
      <c r="E2187" s="1392" t="s">
        <v>2030</v>
      </c>
      <c r="F2187" s="1392" t="s">
        <v>2031</v>
      </c>
      <c r="G2187" s="1391">
        <v>239121</v>
      </c>
    </row>
    <row r="2188" spans="1:7" x14ac:dyDescent="0.25">
      <c r="A2188" s="1392" t="s">
        <v>2579</v>
      </c>
      <c r="B2188" s="1392" t="s">
        <v>2056</v>
      </c>
      <c r="C2188" s="1392" t="s">
        <v>1933</v>
      </c>
      <c r="D2188" s="1392" t="s">
        <v>1934</v>
      </c>
      <c r="E2188" s="4536" t="s">
        <v>2024</v>
      </c>
      <c r="F2188" s="4537"/>
      <c r="G2188" s="1391">
        <v>509405186</v>
      </c>
    </row>
    <row r="2189" spans="1:7" x14ac:dyDescent="0.25">
      <c r="A2189" s="1392" t="s">
        <v>2579</v>
      </c>
      <c r="B2189" s="1392" t="s">
        <v>2056</v>
      </c>
      <c r="C2189" s="1392" t="s">
        <v>1933</v>
      </c>
      <c r="D2189" s="1392" t="s">
        <v>1934</v>
      </c>
      <c r="E2189" s="1392" t="s">
        <v>2024</v>
      </c>
      <c r="F2189" s="1392" t="s">
        <v>2025</v>
      </c>
      <c r="G2189" s="1391">
        <v>509405186</v>
      </c>
    </row>
    <row r="2190" spans="1:7" x14ac:dyDescent="0.25">
      <c r="A2190" s="1392" t="s">
        <v>2579</v>
      </c>
      <c r="B2190" s="1392" t="s">
        <v>2056</v>
      </c>
      <c r="C2190" s="1392" t="s">
        <v>1933</v>
      </c>
      <c r="D2190" s="1392" t="s">
        <v>1934</v>
      </c>
      <c r="E2190" s="4536" t="s">
        <v>2026</v>
      </c>
      <c r="F2190" s="4537"/>
      <c r="G2190" s="1391">
        <v>119940347</v>
      </c>
    </row>
    <row r="2191" spans="1:7" x14ac:dyDescent="0.25">
      <c r="A2191" s="1392" t="s">
        <v>2579</v>
      </c>
      <c r="B2191" s="1392" t="s">
        <v>2056</v>
      </c>
      <c r="C2191" s="1392" t="s">
        <v>1933</v>
      </c>
      <c r="D2191" s="1392" t="s">
        <v>1934</v>
      </c>
      <c r="E2191" s="1392" t="s">
        <v>2026</v>
      </c>
      <c r="F2191" s="1392" t="s">
        <v>2027</v>
      </c>
      <c r="G2191" s="1391">
        <v>43243845</v>
      </c>
    </row>
    <row r="2192" spans="1:7" x14ac:dyDescent="0.25">
      <c r="A2192" s="1392" t="s">
        <v>2579</v>
      </c>
      <c r="B2192" s="1392" t="s">
        <v>2056</v>
      </c>
      <c r="C2192" s="1392" t="s">
        <v>1933</v>
      </c>
      <c r="D2192" s="1392" t="s">
        <v>1934</v>
      </c>
      <c r="E2192" s="1392" t="s">
        <v>2026</v>
      </c>
      <c r="F2192" s="1392" t="s">
        <v>2028</v>
      </c>
      <c r="G2192" s="1391">
        <v>67357715</v>
      </c>
    </row>
    <row r="2193" spans="1:7" x14ac:dyDescent="0.25">
      <c r="A2193" s="1392" t="s">
        <v>2579</v>
      </c>
      <c r="B2193" s="1392" t="s">
        <v>2056</v>
      </c>
      <c r="C2193" s="1392" t="s">
        <v>1933</v>
      </c>
      <c r="D2193" s="1392" t="s">
        <v>1934</v>
      </c>
      <c r="E2193" s="1392" t="s">
        <v>2026</v>
      </c>
      <c r="F2193" s="1392" t="s">
        <v>2029</v>
      </c>
      <c r="G2193" s="1391">
        <v>9338787</v>
      </c>
    </row>
    <row r="2194" spans="1:7" x14ac:dyDescent="0.25">
      <c r="A2194" s="1392" t="s">
        <v>2579</v>
      </c>
      <c r="B2194" s="1392" t="s">
        <v>2056</v>
      </c>
      <c r="C2194" s="1392" t="s">
        <v>1933</v>
      </c>
      <c r="D2194" s="4536" t="s">
        <v>1954</v>
      </c>
      <c r="E2194" s="4537"/>
      <c r="F2194" s="4537"/>
      <c r="G2194" s="1391">
        <v>70724141</v>
      </c>
    </row>
    <row r="2195" spans="1:7" x14ac:dyDescent="0.25">
      <c r="A2195" s="1392" t="s">
        <v>2579</v>
      </c>
      <c r="B2195" s="1392" t="s">
        <v>2056</v>
      </c>
      <c r="C2195" s="1392" t="s">
        <v>1933</v>
      </c>
      <c r="D2195" s="1392" t="s">
        <v>1954</v>
      </c>
      <c r="E2195" s="4536" t="s">
        <v>1896</v>
      </c>
      <c r="F2195" s="4537"/>
      <c r="G2195" s="1391">
        <v>70724141</v>
      </c>
    </row>
    <row r="2196" spans="1:7" x14ac:dyDescent="0.25">
      <c r="A2196" s="1392" t="s">
        <v>2579</v>
      </c>
      <c r="B2196" s="1392" t="s">
        <v>2056</v>
      </c>
      <c r="C2196" s="1392" t="s">
        <v>1933</v>
      </c>
      <c r="D2196" s="1392" t="s">
        <v>1954</v>
      </c>
      <c r="E2196" s="1392" t="s">
        <v>1896</v>
      </c>
      <c r="F2196" s="1392" t="s">
        <v>1902</v>
      </c>
      <c r="G2196" s="1391">
        <v>70724141</v>
      </c>
    </row>
    <row r="2197" spans="1:7" x14ac:dyDescent="0.25">
      <c r="A2197" s="1392" t="s">
        <v>2579</v>
      </c>
      <c r="B2197" s="1392" t="s">
        <v>2056</v>
      </c>
      <c r="C2197" s="4536" t="s">
        <v>2038</v>
      </c>
      <c r="D2197" s="4537"/>
      <c r="E2197" s="4537"/>
      <c r="F2197" s="4537"/>
      <c r="G2197" s="1391">
        <v>9872973391</v>
      </c>
    </row>
    <row r="2198" spans="1:7" x14ac:dyDescent="0.25">
      <c r="A2198" s="1392" t="s">
        <v>2579</v>
      </c>
      <c r="B2198" s="1392" t="s">
        <v>2056</v>
      </c>
      <c r="C2198" s="1392" t="s">
        <v>2038</v>
      </c>
      <c r="D2198" s="4536" t="s">
        <v>2039</v>
      </c>
      <c r="E2198" s="4537"/>
      <c r="F2198" s="4537"/>
      <c r="G2198" s="1391">
        <v>9872973391</v>
      </c>
    </row>
    <row r="2199" spans="1:7" x14ac:dyDescent="0.25">
      <c r="A2199" s="1392" t="s">
        <v>2579</v>
      </c>
      <c r="B2199" s="1392" t="s">
        <v>2056</v>
      </c>
      <c r="C2199" s="1392" t="s">
        <v>2038</v>
      </c>
      <c r="D2199" s="1392" t="s">
        <v>2039</v>
      </c>
      <c r="E2199" s="4536" t="s">
        <v>1853</v>
      </c>
      <c r="F2199" s="4537"/>
      <c r="G2199" s="1391">
        <v>6567344</v>
      </c>
    </row>
    <row r="2200" spans="1:7" x14ac:dyDescent="0.25">
      <c r="A2200" s="1392" t="s">
        <v>2579</v>
      </c>
      <c r="B2200" s="1392" t="s">
        <v>2056</v>
      </c>
      <c r="C2200" s="1392" t="s">
        <v>2038</v>
      </c>
      <c r="D2200" s="1392" t="s">
        <v>2039</v>
      </c>
      <c r="E2200" s="1392" t="s">
        <v>1853</v>
      </c>
      <c r="F2200" s="1392" t="s">
        <v>1856</v>
      </c>
      <c r="G2200" s="1391">
        <v>6567344</v>
      </c>
    </row>
    <row r="2201" spans="1:7" x14ac:dyDescent="0.25">
      <c r="A2201" s="1392" t="s">
        <v>2579</v>
      </c>
      <c r="B2201" s="1392" t="s">
        <v>2056</v>
      </c>
      <c r="C2201" s="1392" t="s">
        <v>2038</v>
      </c>
      <c r="D2201" s="1392" t="s">
        <v>2039</v>
      </c>
      <c r="E2201" s="4536" t="s">
        <v>2057</v>
      </c>
      <c r="F2201" s="4537"/>
      <c r="G2201" s="1391">
        <v>35760000</v>
      </c>
    </row>
    <row r="2202" spans="1:7" x14ac:dyDescent="0.25">
      <c r="A2202" s="1392" t="s">
        <v>2579</v>
      </c>
      <c r="B2202" s="1392" t="s">
        <v>2056</v>
      </c>
      <c r="C2202" s="1392" t="s">
        <v>2038</v>
      </c>
      <c r="D2202" s="1392" t="s">
        <v>2039</v>
      </c>
      <c r="E2202" s="1392" t="s">
        <v>2057</v>
      </c>
      <c r="F2202" s="1392" t="s">
        <v>2059</v>
      </c>
      <c r="G2202" s="1391">
        <v>35760000</v>
      </c>
    </row>
    <row r="2203" spans="1:7" x14ac:dyDescent="0.25">
      <c r="A2203" s="1392" t="s">
        <v>2579</v>
      </c>
      <c r="B2203" s="1392" t="s">
        <v>2056</v>
      </c>
      <c r="C2203" s="1392" t="s">
        <v>2038</v>
      </c>
      <c r="D2203" s="1392" t="s">
        <v>2039</v>
      </c>
      <c r="E2203" s="4536" t="s">
        <v>1867</v>
      </c>
      <c r="F2203" s="4537"/>
      <c r="G2203" s="1391">
        <v>6538000</v>
      </c>
    </row>
    <row r="2204" spans="1:7" x14ac:dyDescent="0.25">
      <c r="A2204" s="1392" t="s">
        <v>2579</v>
      </c>
      <c r="B2204" s="1392" t="s">
        <v>2056</v>
      </c>
      <c r="C2204" s="1392" t="s">
        <v>2038</v>
      </c>
      <c r="D2204" s="1392" t="s">
        <v>2039</v>
      </c>
      <c r="E2204" s="1392" t="s">
        <v>1867</v>
      </c>
      <c r="F2204" s="1392" t="s">
        <v>1868</v>
      </c>
      <c r="G2204" s="1391">
        <v>6538000</v>
      </c>
    </row>
    <row r="2205" spans="1:7" x14ac:dyDescent="0.25">
      <c r="A2205" s="1392" t="s">
        <v>2579</v>
      </c>
      <c r="B2205" s="1392" t="s">
        <v>2056</v>
      </c>
      <c r="C2205" s="1392" t="s">
        <v>2038</v>
      </c>
      <c r="D2205" s="1392" t="s">
        <v>2039</v>
      </c>
      <c r="E2205" s="4536" t="s">
        <v>1874</v>
      </c>
      <c r="F2205" s="4537"/>
      <c r="G2205" s="1391">
        <v>322124727</v>
      </c>
    </row>
    <row r="2206" spans="1:7" x14ac:dyDescent="0.25">
      <c r="A2206" s="1392" t="s">
        <v>2579</v>
      </c>
      <c r="B2206" s="1392" t="s">
        <v>2056</v>
      </c>
      <c r="C2206" s="1392" t="s">
        <v>2038</v>
      </c>
      <c r="D2206" s="1392" t="s">
        <v>2039</v>
      </c>
      <c r="E2206" s="1392" t="s">
        <v>1874</v>
      </c>
      <c r="F2206" s="1392" t="s">
        <v>1876</v>
      </c>
      <c r="G2206" s="1391">
        <v>267674727</v>
      </c>
    </row>
    <row r="2207" spans="1:7" x14ac:dyDescent="0.25">
      <c r="A2207" s="1392" t="s">
        <v>2579</v>
      </c>
      <c r="B2207" s="1392" t="s">
        <v>2056</v>
      </c>
      <c r="C2207" s="1392" t="s">
        <v>2038</v>
      </c>
      <c r="D2207" s="1392" t="s">
        <v>2039</v>
      </c>
      <c r="E2207" s="1392" t="s">
        <v>1874</v>
      </c>
      <c r="F2207" s="1392" t="s">
        <v>1877</v>
      </c>
      <c r="G2207" s="1391">
        <v>54450000</v>
      </c>
    </row>
    <row r="2208" spans="1:7" x14ac:dyDescent="0.25">
      <c r="A2208" s="1392" t="s">
        <v>2579</v>
      </c>
      <c r="B2208" s="1392" t="s">
        <v>2056</v>
      </c>
      <c r="C2208" s="1392" t="s">
        <v>2038</v>
      </c>
      <c r="D2208" s="1392" t="s">
        <v>2039</v>
      </c>
      <c r="E2208" s="4536" t="s">
        <v>1878</v>
      </c>
      <c r="F2208" s="4537"/>
      <c r="G2208" s="1391">
        <v>88940000</v>
      </c>
    </row>
    <row r="2209" spans="1:7" x14ac:dyDescent="0.25">
      <c r="A2209" s="1392" t="s">
        <v>2579</v>
      </c>
      <c r="B2209" s="1392" t="s">
        <v>2056</v>
      </c>
      <c r="C2209" s="1392" t="s">
        <v>2038</v>
      </c>
      <c r="D2209" s="1392" t="s">
        <v>2039</v>
      </c>
      <c r="E2209" s="1392" t="s">
        <v>1878</v>
      </c>
      <c r="F2209" s="1392" t="s">
        <v>1882</v>
      </c>
      <c r="G2209" s="1391">
        <v>88940000</v>
      </c>
    </row>
    <row r="2210" spans="1:7" x14ac:dyDescent="0.25">
      <c r="A2210" s="1392" t="s">
        <v>2579</v>
      </c>
      <c r="B2210" s="1392" t="s">
        <v>2056</v>
      </c>
      <c r="C2210" s="1392" t="s">
        <v>2038</v>
      </c>
      <c r="D2210" s="1392" t="s">
        <v>2039</v>
      </c>
      <c r="E2210" s="4536" t="s">
        <v>1885</v>
      </c>
      <c r="F2210" s="4537"/>
      <c r="G2210" s="1391">
        <v>40860000</v>
      </c>
    </row>
    <row r="2211" spans="1:7" x14ac:dyDescent="0.25">
      <c r="A2211" s="1392" t="s">
        <v>2579</v>
      </c>
      <c r="B2211" s="1392" t="s">
        <v>2056</v>
      </c>
      <c r="C2211" s="1392" t="s">
        <v>2038</v>
      </c>
      <c r="D2211" s="1392" t="s">
        <v>2039</v>
      </c>
      <c r="E2211" s="1392" t="s">
        <v>1885</v>
      </c>
      <c r="F2211" s="1392" t="s">
        <v>1887</v>
      </c>
      <c r="G2211" s="1391">
        <v>34460000</v>
      </c>
    </row>
    <row r="2212" spans="1:7" x14ac:dyDescent="0.25">
      <c r="A2212" s="1392" t="s">
        <v>2579</v>
      </c>
      <c r="B2212" s="1392" t="s">
        <v>2056</v>
      </c>
      <c r="C2212" s="1392" t="s">
        <v>2038</v>
      </c>
      <c r="D2212" s="1392" t="s">
        <v>2039</v>
      </c>
      <c r="E2212" s="1392" t="s">
        <v>1885</v>
      </c>
      <c r="F2212" s="1392" t="s">
        <v>1888</v>
      </c>
      <c r="G2212" s="1391">
        <v>6400000</v>
      </c>
    </row>
    <row r="2213" spans="1:7" x14ac:dyDescent="0.25">
      <c r="A2213" s="1392" t="s">
        <v>2579</v>
      </c>
      <c r="B2213" s="1392" t="s">
        <v>2056</v>
      </c>
      <c r="C2213" s="1392" t="s">
        <v>2038</v>
      </c>
      <c r="D2213" s="1392" t="s">
        <v>2039</v>
      </c>
      <c r="E2213" s="4536" t="s">
        <v>1889</v>
      </c>
      <c r="F2213" s="4537"/>
      <c r="G2213" s="1391">
        <v>11875000</v>
      </c>
    </row>
    <row r="2214" spans="1:7" x14ac:dyDescent="0.25">
      <c r="A2214" s="1392" t="s">
        <v>2579</v>
      </c>
      <c r="B2214" s="1392" t="s">
        <v>2056</v>
      </c>
      <c r="C2214" s="1392" t="s">
        <v>2038</v>
      </c>
      <c r="D2214" s="1392" t="s">
        <v>2039</v>
      </c>
      <c r="E2214" s="1392" t="s">
        <v>1889</v>
      </c>
      <c r="F2214" s="1392" t="s">
        <v>1890</v>
      </c>
      <c r="G2214" s="1391">
        <v>1595000</v>
      </c>
    </row>
    <row r="2215" spans="1:7" x14ac:dyDescent="0.25">
      <c r="A2215" s="1392" t="s">
        <v>2579</v>
      </c>
      <c r="B2215" s="1392" t="s">
        <v>2056</v>
      </c>
      <c r="C2215" s="1392" t="s">
        <v>2038</v>
      </c>
      <c r="D2215" s="1392" t="s">
        <v>2039</v>
      </c>
      <c r="E2215" s="1392" t="s">
        <v>1889</v>
      </c>
      <c r="F2215" s="1392" t="s">
        <v>1891</v>
      </c>
      <c r="G2215" s="1391">
        <v>9650000</v>
      </c>
    </row>
    <row r="2216" spans="1:7" x14ac:dyDescent="0.25">
      <c r="A2216" s="1392" t="s">
        <v>2579</v>
      </c>
      <c r="B2216" s="1392" t="s">
        <v>2056</v>
      </c>
      <c r="C2216" s="1392" t="s">
        <v>2038</v>
      </c>
      <c r="D2216" s="1392" t="s">
        <v>2039</v>
      </c>
      <c r="E2216" s="1392" t="s">
        <v>1889</v>
      </c>
      <c r="F2216" s="1392" t="s">
        <v>1922</v>
      </c>
      <c r="G2216" s="1391">
        <v>630000</v>
      </c>
    </row>
    <row r="2217" spans="1:7" x14ac:dyDescent="0.25">
      <c r="A2217" s="1392" t="s">
        <v>2579</v>
      </c>
      <c r="B2217" s="1392" t="s">
        <v>2056</v>
      </c>
      <c r="C2217" s="1392" t="s">
        <v>2038</v>
      </c>
      <c r="D2217" s="1392" t="s">
        <v>2039</v>
      </c>
      <c r="E2217" s="4536" t="s">
        <v>1893</v>
      </c>
      <c r="F2217" s="4537"/>
      <c r="G2217" s="1391">
        <v>75906000</v>
      </c>
    </row>
    <row r="2218" spans="1:7" x14ac:dyDescent="0.25">
      <c r="A2218" s="1392" t="s">
        <v>2579</v>
      </c>
      <c r="B2218" s="1392" t="s">
        <v>2056</v>
      </c>
      <c r="C2218" s="1392" t="s">
        <v>2038</v>
      </c>
      <c r="D2218" s="1392" t="s">
        <v>2039</v>
      </c>
      <c r="E2218" s="1392" t="s">
        <v>1893</v>
      </c>
      <c r="F2218" s="1392" t="s">
        <v>2051</v>
      </c>
      <c r="G2218" s="1391">
        <v>17433000</v>
      </c>
    </row>
    <row r="2219" spans="1:7" x14ac:dyDescent="0.25">
      <c r="A2219" s="1392" t="s">
        <v>2579</v>
      </c>
      <c r="B2219" s="1392" t="s">
        <v>2056</v>
      </c>
      <c r="C2219" s="1392" t="s">
        <v>2038</v>
      </c>
      <c r="D2219" s="1392" t="s">
        <v>2039</v>
      </c>
      <c r="E2219" s="1392" t="s">
        <v>1893</v>
      </c>
      <c r="F2219" s="1392" t="s">
        <v>1895</v>
      </c>
      <c r="G2219" s="1391">
        <v>58473000</v>
      </c>
    </row>
    <row r="2220" spans="1:7" x14ac:dyDescent="0.25">
      <c r="A2220" s="1392" t="s">
        <v>2579</v>
      </c>
      <c r="B2220" s="1392" t="s">
        <v>2056</v>
      </c>
      <c r="C2220" s="1392" t="s">
        <v>2038</v>
      </c>
      <c r="D2220" s="1392" t="s">
        <v>2039</v>
      </c>
      <c r="E2220" s="4536" t="s">
        <v>1896</v>
      </c>
      <c r="F2220" s="4537"/>
      <c r="G2220" s="1391">
        <v>873567269</v>
      </c>
    </row>
    <row r="2221" spans="1:7" x14ac:dyDescent="0.25">
      <c r="A2221" s="1392" t="s">
        <v>2579</v>
      </c>
      <c r="B2221" s="1392" t="s">
        <v>2056</v>
      </c>
      <c r="C2221" s="1392" t="s">
        <v>2038</v>
      </c>
      <c r="D2221" s="1392" t="s">
        <v>2039</v>
      </c>
      <c r="E2221" s="1392" t="s">
        <v>1896</v>
      </c>
      <c r="F2221" s="1392" t="s">
        <v>1899</v>
      </c>
      <c r="G2221" s="1391">
        <v>272360635</v>
      </c>
    </row>
    <row r="2222" spans="1:7" x14ac:dyDescent="0.25">
      <c r="A2222" s="1392" t="s">
        <v>2579</v>
      </c>
      <c r="B2222" s="1392" t="s">
        <v>2056</v>
      </c>
      <c r="C2222" s="1392" t="s">
        <v>2038</v>
      </c>
      <c r="D2222" s="1392" t="s">
        <v>2039</v>
      </c>
      <c r="E2222" s="1392" t="s">
        <v>1896</v>
      </c>
      <c r="F2222" s="1392" t="s">
        <v>2055</v>
      </c>
      <c r="G2222" s="1391">
        <v>47572504</v>
      </c>
    </row>
    <row r="2223" spans="1:7" x14ac:dyDescent="0.25">
      <c r="A2223" s="1392" t="s">
        <v>2579</v>
      </c>
      <c r="B2223" s="1392" t="s">
        <v>2056</v>
      </c>
      <c r="C2223" s="1392" t="s">
        <v>2038</v>
      </c>
      <c r="D2223" s="1392" t="s">
        <v>2039</v>
      </c>
      <c r="E2223" s="1392" t="s">
        <v>1896</v>
      </c>
      <c r="F2223" s="1392" t="s">
        <v>1932</v>
      </c>
      <c r="G2223" s="1391">
        <v>142988133</v>
      </c>
    </row>
    <row r="2224" spans="1:7" x14ac:dyDescent="0.25">
      <c r="A2224" s="1392" t="s">
        <v>2579</v>
      </c>
      <c r="B2224" s="1392" t="s">
        <v>2056</v>
      </c>
      <c r="C2224" s="1392" t="s">
        <v>2038</v>
      </c>
      <c r="D2224" s="1392" t="s">
        <v>2039</v>
      </c>
      <c r="E2224" s="1392" t="s">
        <v>1896</v>
      </c>
      <c r="F2224" s="1392" t="s">
        <v>2006</v>
      </c>
      <c r="G2224" s="1391">
        <v>50968306</v>
      </c>
    </row>
    <row r="2225" spans="1:7" x14ac:dyDescent="0.25">
      <c r="A2225" s="1392" t="s">
        <v>2579</v>
      </c>
      <c r="B2225" s="1392" t="s">
        <v>2056</v>
      </c>
      <c r="C2225" s="1392" t="s">
        <v>2038</v>
      </c>
      <c r="D2225" s="1392" t="s">
        <v>2039</v>
      </c>
      <c r="E2225" s="1392" t="s">
        <v>1896</v>
      </c>
      <c r="F2225" s="1392" t="s">
        <v>1902</v>
      </c>
      <c r="G2225" s="1391">
        <v>359677691</v>
      </c>
    </row>
    <row r="2226" spans="1:7" x14ac:dyDescent="0.25">
      <c r="A2226" s="1392" t="s">
        <v>2579</v>
      </c>
      <c r="B2226" s="1392" t="s">
        <v>2056</v>
      </c>
      <c r="C2226" s="1392" t="s">
        <v>2038</v>
      </c>
      <c r="D2226" s="1392" t="s">
        <v>2039</v>
      </c>
      <c r="E2226" s="4536" t="s">
        <v>1903</v>
      </c>
      <c r="F2226" s="4537"/>
      <c r="G2226" s="1391">
        <v>399450000</v>
      </c>
    </row>
    <row r="2227" spans="1:7" x14ac:dyDescent="0.25">
      <c r="A2227" s="1392" t="s">
        <v>2579</v>
      </c>
      <c r="B2227" s="1392" t="s">
        <v>2056</v>
      </c>
      <c r="C2227" s="1392" t="s">
        <v>2038</v>
      </c>
      <c r="D2227" s="1392" t="s">
        <v>2039</v>
      </c>
      <c r="E2227" s="1392" t="s">
        <v>1903</v>
      </c>
      <c r="F2227" s="1392" t="s">
        <v>1950</v>
      </c>
      <c r="G2227" s="1391">
        <v>246150000</v>
      </c>
    </row>
    <row r="2228" spans="1:7" x14ac:dyDescent="0.25">
      <c r="A2228" s="1392" t="s">
        <v>2579</v>
      </c>
      <c r="B2228" s="1392" t="s">
        <v>2056</v>
      </c>
      <c r="C2228" s="1392" t="s">
        <v>2038</v>
      </c>
      <c r="D2228" s="1392" t="s">
        <v>2039</v>
      </c>
      <c r="E2228" s="1392" t="s">
        <v>1903</v>
      </c>
      <c r="F2228" s="1392" t="s">
        <v>1904</v>
      </c>
      <c r="G2228" s="1391">
        <v>40000000</v>
      </c>
    </row>
    <row r="2229" spans="1:7" x14ac:dyDescent="0.25">
      <c r="A2229" s="1392" t="s">
        <v>2579</v>
      </c>
      <c r="B2229" s="1392" t="s">
        <v>2056</v>
      </c>
      <c r="C2229" s="1392" t="s">
        <v>2038</v>
      </c>
      <c r="D2229" s="1392" t="s">
        <v>2039</v>
      </c>
      <c r="E2229" s="1392" t="s">
        <v>1903</v>
      </c>
      <c r="F2229" s="1392" t="s">
        <v>1905</v>
      </c>
      <c r="G2229" s="1391">
        <v>113300000</v>
      </c>
    </row>
    <row r="2230" spans="1:7" x14ac:dyDescent="0.25">
      <c r="A2230" s="1392" t="s">
        <v>2579</v>
      </c>
      <c r="B2230" s="1392" t="s">
        <v>2056</v>
      </c>
      <c r="C2230" s="1392" t="s">
        <v>2038</v>
      </c>
      <c r="D2230" s="1392" t="s">
        <v>2039</v>
      </c>
      <c r="E2230" s="4536" t="s">
        <v>1906</v>
      </c>
      <c r="F2230" s="4537"/>
      <c r="G2230" s="1391">
        <v>52620000</v>
      </c>
    </row>
    <row r="2231" spans="1:7" x14ac:dyDescent="0.25">
      <c r="A2231" s="1392" t="s">
        <v>2579</v>
      </c>
      <c r="B2231" s="1392" t="s">
        <v>2056</v>
      </c>
      <c r="C2231" s="1392" t="s">
        <v>2038</v>
      </c>
      <c r="D2231" s="1392" t="s">
        <v>2039</v>
      </c>
      <c r="E2231" s="1392" t="s">
        <v>1906</v>
      </c>
      <c r="F2231" s="1392" t="s">
        <v>1908</v>
      </c>
      <c r="G2231" s="1391">
        <v>2890000</v>
      </c>
    </row>
    <row r="2232" spans="1:7" x14ac:dyDescent="0.25">
      <c r="A2232" s="1392" t="s">
        <v>2579</v>
      </c>
      <c r="B2232" s="1392" t="s">
        <v>2056</v>
      </c>
      <c r="C2232" s="1392" t="s">
        <v>2038</v>
      </c>
      <c r="D2232" s="1392" t="s">
        <v>2039</v>
      </c>
      <c r="E2232" s="1392" t="s">
        <v>1906</v>
      </c>
      <c r="F2232" s="1392" t="s">
        <v>1909</v>
      </c>
      <c r="G2232" s="1391">
        <v>49730000</v>
      </c>
    </row>
    <row r="2233" spans="1:7" x14ac:dyDescent="0.25">
      <c r="A2233" s="1392" t="s">
        <v>2579</v>
      </c>
      <c r="B2233" s="1392" t="s">
        <v>2056</v>
      </c>
      <c r="C2233" s="1392" t="s">
        <v>2038</v>
      </c>
      <c r="D2233" s="1392" t="s">
        <v>2039</v>
      </c>
      <c r="E2233" s="4536" t="s">
        <v>1923</v>
      </c>
      <c r="F2233" s="4537"/>
      <c r="G2233" s="1391">
        <v>30000000</v>
      </c>
    </row>
    <row r="2234" spans="1:7" x14ac:dyDescent="0.25">
      <c r="A2234" s="1392" t="s">
        <v>2579</v>
      </c>
      <c r="B2234" s="1392" t="s">
        <v>2056</v>
      </c>
      <c r="C2234" s="1392" t="s">
        <v>2038</v>
      </c>
      <c r="D2234" s="1392" t="s">
        <v>2039</v>
      </c>
      <c r="E2234" s="1392" t="s">
        <v>1923</v>
      </c>
      <c r="F2234" s="1392" t="s">
        <v>2007</v>
      </c>
      <c r="G2234" s="1391">
        <v>30000000</v>
      </c>
    </row>
    <row r="2235" spans="1:7" x14ac:dyDescent="0.25">
      <c r="A2235" s="1392" t="s">
        <v>2579</v>
      </c>
      <c r="B2235" s="1392" t="s">
        <v>2056</v>
      </c>
      <c r="C2235" s="1392" t="s">
        <v>2038</v>
      </c>
      <c r="D2235" s="1392" t="s">
        <v>2039</v>
      </c>
      <c r="E2235" s="4536" t="s">
        <v>1912</v>
      </c>
      <c r="F2235" s="4537"/>
      <c r="G2235" s="1391">
        <v>261097000</v>
      </c>
    </row>
    <row r="2236" spans="1:7" x14ac:dyDescent="0.25">
      <c r="A2236" s="1392" t="s">
        <v>2579</v>
      </c>
      <c r="B2236" s="1392" t="s">
        <v>2056</v>
      </c>
      <c r="C2236" s="1392" t="s">
        <v>2038</v>
      </c>
      <c r="D2236" s="1392" t="s">
        <v>2039</v>
      </c>
      <c r="E2236" s="1392" t="s">
        <v>1912</v>
      </c>
      <c r="F2236" s="1392" t="s">
        <v>1915</v>
      </c>
      <c r="G2236" s="1391">
        <v>4720000</v>
      </c>
    </row>
    <row r="2237" spans="1:7" x14ac:dyDescent="0.25">
      <c r="A2237" s="1392" t="s">
        <v>2579</v>
      </c>
      <c r="B2237" s="1392" t="s">
        <v>2056</v>
      </c>
      <c r="C2237" s="1392" t="s">
        <v>2038</v>
      </c>
      <c r="D2237" s="1392" t="s">
        <v>2039</v>
      </c>
      <c r="E2237" s="1392" t="s">
        <v>1912</v>
      </c>
      <c r="F2237" s="1392" t="s">
        <v>1916</v>
      </c>
      <c r="G2237" s="1391">
        <v>256377000</v>
      </c>
    </row>
    <row r="2238" spans="1:7" x14ac:dyDescent="0.25">
      <c r="A2238" s="1392" t="s">
        <v>2579</v>
      </c>
      <c r="B2238" s="1392" t="s">
        <v>2056</v>
      </c>
      <c r="C2238" s="1392" t="s">
        <v>2038</v>
      </c>
      <c r="D2238" s="1392" t="s">
        <v>2039</v>
      </c>
      <c r="E2238" s="4536" t="s">
        <v>2030</v>
      </c>
      <c r="F2238" s="4537"/>
      <c r="G2238" s="1391">
        <v>87000</v>
      </c>
    </row>
    <row r="2239" spans="1:7" x14ac:dyDescent="0.25">
      <c r="A2239" s="1392" t="s">
        <v>2579</v>
      </c>
      <c r="B2239" s="1392" t="s">
        <v>2056</v>
      </c>
      <c r="C2239" s="1392" t="s">
        <v>2038</v>
      </c>
      <c r="D2239" s="1392" t="s">
        <v>2039</v>
      </c>
      <c r="E2239" s="1392" t="s">
        <v>2030</v>
      </c>
      <c r="F2239" s="1392" t="s">
        <v>2031</v>
      </c>
      <c r="G2239" s="1391">
        <v>87000</v>
      </c>
    </row>
    <row r="2240" spans="1:7" x14ac:dyDescent="0.25">
      <c r="A2240" s="1392" t="s">
        <v>2579</v>
      </c>
      <c r="B2240" s="1392" t="s">
        <v>2056</v>
      </c>
      <c r="C2240" s="1392" t="s">
        <v>2038</v>
      </c>
      <c r="D2240" s="1392" t="s">
        <v>2039</v>
      </c>
      <c r="E2240" s="4536" t="s">
        <v>2024</v>
      </c>
      <c r="F2240" s="4537"/>
      <c r="G2240" s="1391">
        <v>6473287631</v>
      </c>
    </row>
    <row r="2241" spans="1:7" x14ac:dyDescent="0.25">
      <c r="A2241" s="1392" t="s">
        <v>2579</v>
      </c>
      <c r="B2241" s="1392" t="s">
        <v>2056</v>
      </c>
      <c r="C2241" s="1392" t="s">
        <v>2038</v>
      </c>
      <c r="D2241" s="1392" t="s">
        <v>2039</v>
      </c>
      <c r="E2241" s="1392" t="s">
        <v>2024</v>
      </c>
      <c r="F2241" s="1392" t="s">
        <v>2025</v>
      </c>
      <c r="G2241" s="1391">
        <v>6473287631</v>
      </c>
    </row>
    <row r="2242" spans="1:7" x14ac:dyDescent="0.25">
      <c r="A2242" s="1392" t="s">
        <v>2579</v>
      </c>
      <c r="B2242" s="1392" t="s">
        <v>2056</v>
      </c>
      <c r="C2242" s="1392" t="s">
        <v>2038</v>
      </c>
      <c r="D2242" s="1392" t="s">
        <v>2039</v>
      </c>
      <c r="E2242" s="4536" t="s">
        <v>2046</v>
      </c>
      <c r="F2242" s="4537"/>
      <c r="G2242" s="1391">
        <v>943140900</v>
      </c>
    </row>
    <row r="2243" spans="1:7" x14ac:dyDescent="0.25">
      <c r="A2243" s="1392" t="s">
        <v>2579</v>
      </c>
      <c r="B2243" s="1392" t="s">
        <v>2056</v>
      </c>
      <c r="C2243" s="1392" t="s">
        <v>2038</v>
      </c>
      <c r="D2243" s="1392" t="s">
        <v>2039</v>
      </c>
      <c r="E2243" s="1392" t="s">
        <v>2046</v>
      </c>
      <c r="F2243" s="1392" t="s">
        <v>2047</v>
      </c>
      <c r="G2243" s="1391">
        <v>943140900</v>
      </c>
    </row>
    <row r="2244" spans="1:7" x14ac:dyDescent="0.25">
      <c r="A2244" s="1392" t="s">
        <v>2579</v>
      </c>
      <c r="B2244" s="1392" t="s">
        <v>2056</v>
      </c>
      <c r="C2244" s="1392" t="s">
        <v>2038</v>
      </c>
      <c r="D2244" s="1392" t="s">
        <v>2039</v>
      </c>
      <c r="E2244" s="4536" t="s">
        <v>2026</v>
      </c>
      <c r="F2244" s="4537"/>
      <c r="G2244" s="1391">
        <v>251152520</v>
      </c>
    </row>
    <row r="2245" spans="1:7" x14ac:dyDescent="0.25">
      <c r="A2245" s="1392" t="s">
        <v>2579</v>
      </c>
      <c r="B2245" s="1392" t="s">
        <v>2056</v>
      </c>
      <c r="C2245" s="1392" t="s">
        <v>2038</v>
      </c>
      <c r="D2245" s="1392" t="s">
        <v>2039</v>
      </c>
      <c r="E2245" s="1392" t="s">
        <v>2026</v>
      </c>
      <c r="F2245" s="1392" t="s">
        <v>2027</v>
      </c>
      <c r="G2245" s="1391">
        <v>194652114</v>
      </c>
    </row>
    <row r="2246" spans="1:7" x14ac:dyDescent="0.25">
      <c r="A2246" s="1392" t="s">
        <v>2579</v>
      </c>
      <c r="B2246" s="1392" t="s">
        <v>2056</v>
      </c>
      <c r="C2246" s="1392" t="s">
        <v>2038</v>
      </c>
      <c r="D2246" s="1392" t="s">
        <v>2039</v>
      </c>
      <c r="E2246" s="1392" t="s">
        <v>2026</v>
      </c>
      <c r="F2246" s="1392" t="s">
        <v>2028</v>
      </c>
      <c r="G2246" s="1391">
        <v>11175000</v>
      </c>
    </row>
    <row r="2247" spans="1:7" x14ac:dyDescent="0.25">
      <c r="A2247" s="1392" t="s">
        <v>2579</v>
      </c>
      <c r="B2247" s="1392" t="s">
        <v>2056</v>
      </c>
      <c r="C2247" s="1392" t="s">
        <v>2038</v>
      </c>
      <c r="D2247" s="1392" t="s">
        <v>2039</v>
      </c>
      <c r="E2247" s="1392" t="s">
        <v>2026</v>
      </c>
      <c r="F2247" s="1392" t="s">
        <v>2029</v>
      </c>
      <c r="G2247" s="1391">
        <v>45325406</v>
      </c>
    </row>
    <row r="2248" spans="1:7" x14ac:dyDescent="0.25">
      <c r="A2248" s="1392" t="s">
        <v>2579</v>
      </c>
      <c r="B2248" s="1392" t="s">
        <v>2056</v>
      </c>
      <c r="C2248" s="4536" t="s">
        <v>2044</v>
      </c>
      <c r="D2248" s="4537"/>
      <c r="E2248" s="4537"/>
      <c r="F2248" s="4537"/>
      <c r="G2248" s="1391">
        <v>902886329</v>
      </c>
    </row>
    <row r="2249" spans="1:7" x14ac:dyDescent="0.25">
      <c r="A2249" s="1392" t="s">
        <v>2579</v>
      </c>
      <c r="B2249" s="1392" t="s">
        <v>2056</v>
      </c>
      <c r="C2249" s="1392" t="s">
        <v>2044</v>
      </c>
      <c r="D2249" s="4536" t="s">
        <v>2045</v>
      </c>
      <c r="E2249" s="4537"/>
      <c r="F2249" s="4537"/>
      <c r="G2249" s="1391">
        <v>902886329</v>
      </c>
    </row>
    <row r="2250" spans="1:7" x14ac:dyDescent="0.25">
      <c r="A2250" s="1392" t="s">
        <v>2579</v>
      </c>
      <c r="B2250" s="1392" t="s">
        <v>2056</v>
      </c>
      <c r="C2250" s="1392" t="s">
        <v>2044</v>
      </c>
      <c r="D2250" s="1392" t="s">
        <v>2045</v>
      </c>
      <c r="E2250" s="4536" t="s">
        <v>1853</v>
      </c>
      <c r="F2250" s="4537"/>
      <c r="G2250" s="1391">
        <v>6112047</v>
      </c>
    </row>
    <row r="2251" spans="1:7" x14ac:dyDescent="0.25">
      <c r="A2251" s="1392" t="s">
        <v>2579</v>
      </c>
      <c r="B2251" s="1392" t="s">
        <v>2056</v>
      </c>
      <c r="C2251" s="1392" t="s">
        <v>2044</v>
      </c>
      <c r="D2251" s="1392" t="s">
        <v>2045</v>
      </c>
      <c r="E2251" s="1392" t="s">
        <v>1853</v>
      </c>
      <c r="F2251" s="1392" t="s">
        <v>1856</v>
      </c>
      <c r="G2251" s="1391">
        <v>6112047</v>
      </c>
    </row>
    <row r="2252" spans="1:7" x14ac:dyDescent="0.25">
      <c r="A2252" s="1392" t="s">
        <v>2579</v>
      </c>
      <c r="B2252" s="1392" t="s">
        <v>2056</v>
      </c>
      <c r="C2252" s="1392" t="s">
        <v>2044</v>
      </c>
      <c r="D2252" s="1392" t="s">
        <v>2045</v>
      </c>
      <c r="E2252" s="4536" t="s">
        <v>1860</v>
      </c>
      <c r="F2252" s="4537"/>
      <c r="G2252" s="1391">
        <v>450000</v>
      </c>
    </row>
    <row r="2253" spans="1:7" x14ac:dyDescent="0.25">
      <c r="A2253" s="1392" t="s">
        <v>2579</v>
      </c>
      <c r="B2253" s="1392" t="s">
        <v>2056</v>
      </c>
      <c r="C2253" s="1392" t="s">
        <v>2044</v>
      </c>
      <c r="D2253" s="1392" t="s">
        <v>2045</v>
      </c>
      <c r="E2253" s="1392" t="s">
        <v>1860</v>
      </c>
      <c r="F2253" s="1392" t="s">
        <v>1861</v>
      </c>
      <c r="G2253" s="1391">
        <v>450000</v>
      </c>
    </row>
    <row r="2254" spans="1:7" x14ac:dyDescent="0.25">
      <c r="A2254" s="1392" t="s">
        <v>2579</v>
      </c>
      <c r="B2254" s="1392" t="s">
        <v>2056</v>
      </c>
      <c r="C2254" s="1392" t="s">
        <v>2044</v>
      </c>
      <c r="D2254" s="1392" t="s">
        <v>2045</v>
      </c>
      <c r="E2254" s="4536" t="s">
        <v>2057</v>
      </c>
      <c r="F2254" s="4537"/>
      <c r="G2254" s="1391">
        <v>44704470</v>
      </c>
    </row>
    <row r="2255" spans="1:7" x14ac:dyDescent="0.25">
      <c r="A2255" s="1392" t="s">
        <v>2579</v>
      </c>
      <c r="B2255" s="1392" t="s">
        <v>2056</v>
      </c>
      <c r="C2255" s="1392" t="s">
        <v>2044</v>
      </c>
      <c r="D2255" s="1392" t="s">
        <v>2045</v>
      </c>
      <c r="E2255" s="1392" t="s">
        <v>2057</v>
      </c>
      <c r="F2255" s="1392" t="s">
        <v>2058</v>
      </c>
      <c r="G2255" s="1391">
        <v>44704470</v>
      </c>
    </row>
    <row r="2256" spans="1:7" x14ac:dyDescent="0.25">
      <c r="A2256" s="1392" t="s">
        <v>2579</v>
      </c>
      <c r="B2256" s="1392" t="s">
        <v>2056</v>
      </c>
      <c r="C2256" s="1392" t="s">
        <v>2044</v>
      </c>
      <c r="D2256" s="1392" t="s">
        <v>2045</v>
      </c>
      <c r="E2256" s="4536" t="s">
        <v>1867</v>
      </c>
      <c r="F2256" s="4537"/>
      <c r="G2256" s="1391">
        <v>9686050</v>
      </c>
    </row>
    <row r="2257" spans="1:7" x14ac:dyDescent="0.25">
      <c r="A2257" s="1392" t="s">
        <v>2579</v>
      </c>
      <c r="B2257" s="1392" t="s">
        <v>2056</v>
      </c>
      <c r="C2257" s="1392" t="s">
        <v>2044</v>
      </c>
      <c r="D2257" s="1392" t="s">
        <v>2045</v>
      </c>
      <c r="E2257" s="1392" t="s">
        <v>1867</v>
      </c>
      <c r="F2257" s="1392" t="s">
        <v>1868</v>
      </c>
      <c r="G2257" s="1391">
        <v>9686050</v>
      </c>
    </row>
    <row r="2258" spans="1:7" x14ac:dyDescent="0.25">
      <c r="A2258" s="1392" t="s">
        <v>2579</v>
      </c>
      <c r="B2258" s="1392" t="s">
        <v>2056</v>
      </c>
      <c r="C2258" s="1392" t="s">
        <v>2044</v>
      </c>
      <c r="D2258" s="1392" t="s">
        <v>2045</v>
      </c>
      <c r="E2258" s="4536" t="s">
        <v>1874</v>
      </c>
      <c r="F2258" s="4537"/>
      <c r="G2258" s="1391">
        <v>21858000</v>
      </c>
    </row>
    <row r="2259" spans="1:7" x14ac:dyDescent="0.25">
      <c r="A2259" s="1392" t="s">
        <v>2579</v>
      </c>
      <c r="B2259" s="1392" t="s">
        <v>2056</v>
      </c>
      <c r="C2259" s="1392" t="s">
        <v>2044</v>
      </c>
      <c r="D2259" s="1392" t="s">
        <v>2045</v>
      </c>
      <c r="E2259" s="1392" t="s">
        <v>1874</v>
      </c>
      <c r="F2259" s="1392" t="s">
        <v>1875</v>
      </c>
      <c r="G2259" s="1391">
        <v>3190000</v>
      </c>
    </row>
    <row r="2260" spans="1:7" x14ac:dyDescent="0.25">
      <c r="A2260" s="1392" t="s">
        <v>2579</v>
      </c>
      <c r="B2260" s="1392" t="s">
        <v>2056</v>
      </c>
      <c r="C2260" s="1392" t="s">
        <v>2044</v>
      </c>
      <c r="D2260" s="1392" t="s">
        <v>2045</v>
      </c>
      <c r="E2260" s="1392" t="s">
        <v>1874</v>
      </c>
      <c r="F2260" s="1392" t="s">
        <v>1876</v>
      </c>
      <c r="G2260" s="1391">
        <v>3150000</v>
      </c>
    </row>
    <row r="2261" spans="1:7" x14ac:dyDescent="0.25">
      <c r="A2261" s="1392" t="s">
        <v>2579</v>
      </c>
      <c r="B2261" s="1392" t="s">
        <v>2056</v>
      </c>
      <c r="C2261" s="1392" t="s">
        <v>2044</v>
      </c>
      <c r="D2261" s="1392" t="s">
        <v>2045</v>
      </c>
      <c r="E2261" s="1392" t="s">
        <v>1874</v>
      </c>
      <c r="F2261" s="1392" t="s">
        <v>1877</v>
      </c>
      <c r="G2261" s="1391">
        <v>15518000</v>
      </c>
    </row>
    <row r="2262" spans="1:7" x14ac:dyDescent="0.25">
      <c r="A2262" s="1392" t="s">
        <v>2579</v>
      </c>
      <c r="B2262" s="1392" t="s">
        <v>2056</v>
      </c>
      <c r="C2262" s="1392" t="s">
        <v>2044</v>
      </c>
      <c r="D2262" s="1392" t="s">
        <v>2045</v>
      </c>
      <c r="E2262" s="4536" t="s">
        <v>1889</v>
      </c>
      <c r="F2262" s="4537"/>
      <c r="G2262" s="1391">
        <v>1750000</v>
      </c>
    </row>
    <row r="2263" spans="1:7" x14ac:dyDescent="0.25">
      <c r="A2263" s="1392" t="s">
        <v>2579</v>
      </c>
      <c r="B2263" s="1392" t="s">
        <v>2056</v>
      </c>
      <c r="C2263" s="1392" t="s">
        <v>2044</v>
      </c>
      <c r="D2263" s="1392" t="s">
        <v>2045</v>
      </c>
      <c r="E2263" s="1392" t="s">
        <v>1889</v>
      </c>
      <c r="F2263" s="1392" t="s">
        <v>1890</v>
      </c>
      <c r="G2263" s="1391">
        <v>1000000</v>
      </c>
    </row>
    <row r="2264" spans="1:7" x14ac:dyDescent="0.25">
      <c r="A2264" s="1392" t="s">
        <v>2579</v>
      </c>
      <c r="B2264" s="1392" t="s">
        <v>2056</v>
      </c>
      <c r="C2264" s="1392" t="s">
        <v>2044</v>
      </c>
      <c r="D2264" s="1392" t="s">
        <v>2045</v>
      </c>
      <c r="E2264" s="1392" t="s">
        <v>1889</v>
      </c>
      <c r="F2264" s="1392" t="s">
        <v>1891</v>
      </c>
      <c r="G2264" s="1391">
        <v>750000</v>
      </c>
    </row>
    <row r="2265" spans="1:7" x14ac:dyDescent="0.25">
      <c r="A2265" s="1392" t="s">
        <v>2579</v>
      </c>
      <c r="B2265" s="1392" t="s">
        <v>2056</v>
      </c>
      <c r="C2265" s="1392" t="s">
        <v>2044</v>
      </c>
      <c r="D2265" s="1392" t="s">
        <v>2045</v>
      </c>
      <c r="E2265" s="4536" t="s">
        <v>1893</v>
      </c>
      <c r="F2265" s="4537"/>
      <c r="G2265" s="1391">
        <v>3480000</v>
      </c>
    </row>
    <row r="2266" spans="1:7" x14ac:dyDescent="0.25">
      <c r="A2266" s="1392" t="s">
        <v>2579</v>
      </c>
      <c r="B2266" s="1392" t="s">
        <v>2056</v>
      </c>
      <c r="C2266" s="1392" t="s">
        <v>2044</v>
      </c>
      <c r="D2266" s="1392" t="s">
        <v>2045</v>
      </c>
      <c r="E2266" s="1392" t="s">
        <v>1893</v>
      </c>
      <c r="F2266" s="1392" t="s">
        <v>1895</v>
      </c>
      <c r="G2266" s="1391">
        <v>3480000</v>
      </c>
    </row>
    <row r="2267" spans="1:7" x14ac:dyDescent="0.25">
      <c r="A2267" s="1392" t="s">
        <v>2579</v>
      </c>
      <c r="B2267" s="1392" t="s">
        <v>2056</v>
      </c>
      <c r="C2267" s="1392" t="s">
        <v>2044</v>
      </c>
      <c r="D2267" s="1392" t="s">
        <v>2045</v>
      </c>
      <c r="E2267" s="4536" t="s">
        <v>1896</v>
      </c>
      <c r="F2267" s="4537"/>
      <c r="G2267" s="1391">
        <v>71809000</v>
      </c>
    </row>
    <row r="2268" spans="1:7" x14ac:dyDescent="0.25">
      <c r="A2268" s="1392" t="s">
        <v>2579</v>
      </c>
      <c r="B2268" s="1392" t="s">
        <v>2056</v>
      </c>
      <c r="C2268" s="1392" t="s">
        <v>2044</v>
      </c>
      <c r="D2268" s="1392" t="s">
        <v>2045</v>
      </c>
      <c r="E2268" s="1392" t="s">
        <v>1896</v>
      </c>
      <c r="F2268" s="1392" t="s">
        <v>1900</v>
      </c>
      <c r="G2268" s="1391">
        <v>8519000</v>
      </c>
    </row>
    <row r="2269" spans="1:7" x14ac:dyDescent="0.25">
      <c r="A2269" s="1392" t="s">
        <v>2579</v>
      </c>
      <c r="B2269" s="1392" t="s">
        <v>2056</v>
      </c>
      <c r="C2269" s="1392" t="s">
        <v>2044</v>
      </c>
      <c r="D2269" s="1392" t="s">
        <v>2045</v>
      </c>
      <c r="E2269" s="1392" t="s">
        <v>1896</v>
      </c>
      <c r="F2269" s="1392" t="s">
        <v>1902</v>
      </c>
      <c r="G2269" s="1391">
        <v>63290000</v>
      </c>
    </row>
    <row r="2270" spans="1:7" x14ac:dyDescent="0.25">
      <c r="A2270" s="1392" t="s">
        <v>2579</v>
      </c>
      <c r="B2270" s="1392" t="s">
        <v>2056</v>
      </c>
      <c r="C2270" s="1392" t="s">
        <v>2044</v>
      </c>
      <c r="D2270" s="1392" t="s">
        <v>2045</v>
      </c>
      <c r="E2270" s="4536" t="s">
        <v>1903</v>
      </c>
      <c r="F2270" s="4537"/>
      <c r="G2270" s="1391">
        <v>489499462</v>
      </c>
    </row>
    <row r="2271" spans="1:7" x14ac:dyDescent="0.25">
      <c r="A2271" s="1392" t="s">
        <v>2579</v>
      </c>
      <c r="B2271" s="1392" t="s">
        <v>2056</v>
      </c>
      <c r="C2271" s="1392" t="s">
        <v>2044</v>
      </c>
      <c r="D2271" s="1392" t="s">
        <v>2045</v>
      </c>
      <c r="E2271" s="1392" t="s">
        <v>1903</v>
      </c>
      <c r="F2271" s="1392" t="s">
        <v>1905</v>
      </c>
      <c r="G2271" s="1391">
        <v>489499462</v>
      </c>
    </row>
    <row r="2272" spans="1:7" x14ac:dyDescent="0.25">
      <c r="A2272" s="1392" t="s">
        <v>2579</v>
      </c>
      <c r="B2272" s="1392" t="s">
        <v>2056</v>
      </c>
      <c r="C2272" s="1392" t="s">
        <v>2044</v>
      </c>
      <c r="D2272" s="1392" t="s">
        <v>2045</v>
      </c>
      <c r="E2272" s="4536" t="s">
        <v>1906</v>
      </c>
      <c r="F2272" s="4537"/>
      <c r="G2272" s="1391">
        <v>7695000</v>
      </c>
    </row>
    <row r="2273" spans="1:7" x14ac:dyDescent="0.25">
      <c r="A2273" s="1392" t="s">
        <v>2579</v>
      </c>
      <c r="B2273" s="1392" t="s">
        <v>2056</v>
      </c>
      <c r="C2273" s="1392" t="s">
        <v>2044</v>
      </c>
      <c r="D2273" s="1392" t="s">
        <v>2045</v>
      </c>
      <c r="E2273" s="1392" t="s">
        <v>1906</v>
      </c>
      <c r="F2273" s="1392" t="s">
        <v>1907</v>
      </c>
      <c r="G2273" s="1391">
        <v>5895000</v>
      </c>
    </row>
    <row r="2274" spans="1:7" x14ac:dyDescent="0.25">
      <c r="A2274" s="1392" t="s">
        <v>2579</v>
      </c>
      <c r="B2274" s="1392" t="s">
        <v>2056</v>
      </c>
      <c r="C2274" s="1392" t="s">
        <v>2044</v>
      </c>
      <c r="D2274" s="1392" t="s">
        <v>2045</v>
      </c>
      <c r="E2274" s="1392" t="s">
        <v>1906</v>
      </c>
      <c r="F2274" s="1392" t="s">
        <v>1909</v>
      </c>
      <c r="G2274" s="1391">
        <v>1800000</v>
      </c>
    </row>
    <row r="2275" spans="1:7" x14ac:dyDescent="0.25">
      <c r="A2275" s="1392" t="s">
        <v>2579</v>
      </c>
      <c r="B2275" s="1392" t="s">
        <v>2056</v>
      </c>
      <c r="C2275" s="1392" t="s">
        <v>2044</v>
      </c>
      <c r="D2275" s="1392" t="s">
        <v>2045</v>
      </c>
      <c r="E2275" s="4536" t="s">
        <v>1912</v>
      </c>
      <c r="F2275" s="4537"/>
      <c r="G2275" s="1391">
        <v>18886000</v>
      </c>
    </row>
    <row r="2276" spans="1:7" x14ac:dyDescent="0.25">
      <c r="A2276" s="1392" t="s">
        <v>2579</v>
      </c>
      <c r="B2276" s="1392" t="s">
        <v>2056</v>
      </c>
      <c r="C2276" s="1392" t="s">
        <v>2044</v>
      </c>
      <c r="D2276" s="1392" t="s">
        <v>2045</v>
      </c>
      <c r="E2276" s="1392" t="s">
        <v>1912</v>
      </c>
      <c r="F2276" s="1392" t="s">
        <v>1916</v>
      </c>
      <c r="G2276" s="1391">
        <v>18886000</v>
      </c>
    </row>
    <row r="2277" spans="1:7" x14ac:dyDescent="0.25">
      <c r="A2277" s="1392" t="s">
        <v>2579</v>
      </c>
      <c r="B2277" s="1392" t="s">
        <v>2056</v>
      </c>
      <c r="C2277" s="1392" t="s">
        <v>2044</v>
      </c>
      <c r="D2277" s="1392" t="s">
        <v>2045</v>
      </c>
      <c r="E2277" s="4536" t="s">
        <v>2046</v>
      </c>
      <c r="F2277" s="4537"/>
      <c r="G2277" s="1391">
        <v>208422862</v>
      </c>
    </row>
    <row r="2278" spans="1:7" x14ac:dyDescent="0.25">
      <c r="A2278" s="1392" t="s">
        <v>2579</v>
      </c>
      <c r="B2278" s="1392" t="s">
        <v>2056</v>
      </c>
      <c r="C2278" s="1392" t="s">
        <v>2044</v>
      </c>
      <c r="D2278" s="1392" t="s">
        <v>2045</v>
      </c>
      <c r="E2278" s="1392" t="s">
        <v>2046</v>
      </c>
      <c r="F2278" s="1392" t="s">
        <v>2047</v>
      </c>
      <c r="G2278" s="1391">
        <v>208422862</v>
      </c>
    </row>
    <row r="2279" spans="1:7" x14ac:dyDescent="0.25">
      <c r="A2279" s="1392" t="s">
        <v>2579</v>
      </c>
      <c r="B2279" s="1392" t="s">
        <v>2056</v>
      </c>
      <c r="C2279" s="1392" t="s">
        <v>2044</v>
      </c>
      <c r="D2279" s="1392" t="s">
        <v>2045</v>
      </c>
      <c r="E2279" s="4536" t="s">
        <v>2026</v>
      </c>
      <c r="F2279" s="4537"/>
      <c r="G2279" s="1391">
        <v>18533438</v>
      </c>
    </row>
    <row r="2280" spans="1:7" x14ac:dyDescent="0.25">
      <c r="A2280" s="1392" t="s">
        <v>2579</v>
      </c>
      <c r="B2280" s="1392" t="s">
        <v>2056</v>
      </c>
      <c r="C2280" s="1392" t="s">
        <v>2044</v>
      </c>
      <c r="D2280" s="1392" t="s">
        <v>2045</v>
      </c>
      <c r="E2280" s="1392" t="s">
        <v>2026</v>
      </c>
      <c r="F2280" s="1392" t="s">
        <v>2027</v>
      </c>
      <c r="G2280" s="1391">
        <v>4260888</v>
      </c>
    </row>
    <row r="2281" spans="1:7" x14ac:dyDescent="0.25">
      <c r="A2281" s="1392" t="s">
        <v>2579</v>
      </c>
      <c r="B2281" s="1392" t="s">
        <v>2056</v>
      </c>
      <c r="C2281" s="1392" t="s">
        <v>2044</v>
      </c>
      <c r="D2281" s="1392" t="s">
        <v>2045</v>
      </c>
      <c r="E2281" s="1392" t="s">
        <v>2026</v>
      </c>
      <c r="F2281" s="1392" t="s">
        <v>2028</v>
      </c>
      <c r="G2281" s="1391">
        <v>4389270</v>
      </c>
    </row>
    <row r="2282" spans="1:7" x14ac:dyDescent="0.25">
      <c r="A2282" s="1392" t="s">
        <v>2579</v>
      </c>
      <c r="B2282" s="1392" t="s">
        <v>2056</v>
      </c>
      <c r="C2282" s="1392" t="s">
        <v>2044</v>
      </c>
      <c r="D2282" s="1392" t="s">
        <v>2045</v>
      </c>
      <c r="E2282" s="1392" t="s">
        <v>2026</v>
      </c>
      <c r="F2282" s="1392" t="s">
        <v>2029</v>
      </c>
      <c r="G2282" s="1391">
        <v>9883280</v>
      </c>
    </row>
    <row r="2283" spans="1:7" x14ac:dyDescent="0.25">
      <c r="A2283" s="1392" t="s">
        <v>2579</v>
      </c>
      <c r="B2283" s="1392" t="s">
        <v>2056</v>
      </c>
      <c r="C2283" s="4536" t="s">
        <v>2048</v>
      </c>
      <c r="D2283" s="4537"/>
      <c r="E2283" s="4537"/>
      <c r="F2283" s="4537"/>
      <c r="G2283" s="1391">
        <v>173176500</v>
      </c>
    </row>
    <row r="2284" spans="1:7" x14ac:dyDescent="0.25">
      <c r="A2284" s="1392" t="s">
        <v>2579</v>
      </c>
      <c r="B2284" s="1392" t="s">
        <v>2056</v>
      </c>
      <c r="C2284" s="1392" t="s">
        <v>2048</v>
      </c>
      <c r="D2284" s="4536" t="s">
        <v>2049</v>
      </c>
      <c r="E2284" s="4537"/>
      <c r="F2284" s="4537"/>
      <c r="G2284" s="1391">
        <v>173176500</v>
      </c>
    </row>
    <row r="2285" spans="1:7" x14ac:dyDescent="0.25">
      <c r="A2285" s="1392" t="s">
        <v>2579</v>
      </c>
      <c r="B2285" s="1392" t="s">
        <v>2056</v>
      </c>
      <c r="C2285" s="1392" t="s">
        <v>2048</v>
      </c>
      <c r="D2285" s="1392" t="s">
        <v>2049</v>
      </c>
      <c r="E2285" s="4536" t="s">
        <v>1878</v>
      </c>
      <c r="F2285" s="4537"/>
      <c r="G2285" s="1391">
        <v>1000000</v>
      </c>
    </row>
    <row r="2286" spans="1:7" x14ac:dyDescent="0.25">
      <c r="A2286" s="1392" t="s">
        <v>2579</v>
      </c>
      <c r="B2286" s="1392" t="s">
        <v>2056</v>
      </c>
      <c r="C2286" s="1392" t="s">
        <v>2048</v>
      </c>
      <c r="D2286" s="1392" t="s">
        <v>2049</v>
      </c>
      <c r="E2286" s="1392" t="s">
        <v>1878</v>
      </c>
      <c r="F2286" s="1392" t="s">
        <v>1882</v>
      </c>
      <c r="G2286" s="1391">
        <v>150000</v>
      </c>
    </row>
    <row r="2287" spans="1:7" x14ac:dyDescent="0.25">
      <c r="A2287" s="1392" t="s">
        <v>2579</v>
      </c>
      <c r="B2287" s="1392" t="s">
        <v>2056</v>
      </c>
      <c r="C2287" s="1392" t="s">
        <v>2048</v>
      </c>
      <c r="D2287" s="1392" t="s">
        <v>2049</v>
      </c>
      <c r="E2287" s="1392" t="s">
        <v>1878</v>
      </c>
      <c r="F2287" s="1392" t="s">
        <v>1949</v>
      </c>
      <c r="G2287" s="1391">
        <v>850000</v>
      </c>
    </row>
    <row r="2288" spans="1:7" x14ac:dyDescent="0.25">
      <c r="A2288" s="1392" t="s">
        <v>2579</v>
      </c>
      <c r="B2288" s="1392" t="s">
        <v>2056</v>
      </c>
      <c r="C2288" s="1392" t="s">
        <v>2048</v>
      </c>
      <c r="D2288" s="1392" t="s">
        <v>2049</v>
      </c>
      <c r="E2288" s="4536" t="s">
        <v>1889</v>
      </c>
      <c r="F2288" s="4537"/>
      <c r="G2288" s="1391">
        <v>6000000</v>
      </c>
    </row>
    <row r="2289" spans="1:7" x14ac:dyDescent="0.25">
      <c r="A2289" s="1392" t="s">
        <v>2579</v>
      </c>
      <c r="B2289" s="1392" t="s">
        <v>2056</v>
      </c>
      <c r="C2289" s="1392" t="s">
        <v>2048</v>
      </c>
      <c r="D2289" s="1392" t="s">
        <v>2049</v>
      </c>
      <c r="E2289" s="1392" t="s">
        <v>1889</v>
      </c>
      <c r="F2289" s="1392" t="s">
        <v>1890</v>
      </c>
      <c r="G2289" s="1391">
        <v>6000000</v>
      </c>
    </row>
    <row r="2290" spans="1:7" x14ac:dyDescent="0.25">
      <c r="A2290" s="1392" t="s">
        <v>2579</v>
      </c>
      <c r="B2290" s="1392" t="s">
        <v>2056</v>
      </c>
      <c r="C2290" s="1392" t="s">
        <v>2048</v>
      </c>
      <c r="D2290" s="1392" t="s">
        <v>2049</v>
      </c>
      <c r="E2290" s="4536" t="s">
        <v>1893</v>
      </c>
      <c r="F2290" s="4537"/>
      <c r="G2290" s="1391">
        <v>500000</v>
      </c>
    </row>
    <row r="2291" spans="1:7" x14ac:dyDescent="0.25">
      <c r="A2291" s="1392" t="s">
        <v>2579</v>
      </c>
      <c r="B2291" s="1392" t="s">
        <v>2056</v>
      </c>
      <c r="C2291" s="1392" t="s">
        <v>2048</v>
      </c>
      <c r="D2291" s="1392" t="s">
        <v>2049</v>
      </c>
      <c r="E2291" s="1392" t="s">
        <v>1893</v>
      </c>
      <c r="F2291" s="1392" t="s">
        <v>1894</v>
      </c>
      <c r="G2291" s="1391">
        <v>500000</v>
      </c>
    </row>
    <row r="2292" spans="1:7" x14ac:dyDescent="0.25">
      <c r="A2292" s="1392" t="s">
        <v>2579</v>
      </c>
      <c r="B2292" s="1392" t="s">
        <v>2056</v>
      </c>
      <c r="C2292" s="1392" t="s">
        <v>2048</v>
      </c>
      <c r="D2292" s="1392" t="s">
        <v>2049</v>
      </c>
      <c r="E2292" s="4536" t="s">
        <v>1896</v>
      </c>
      <c r="F2292" s="4537"/>
      <c r="G2292" s="1391">
        <v>10590000</v>
      </c>
    </row>
    <row r="2293" spans="1:7" x14ac:dyDescent="0.25">
      <c r="A2293" s="1392" t="s">
        <v>2579</v>
      </c>
      <c r="B2293" s="1392" t="s">
        <v>2056</v>
      </c>
      <c r="C2293" s="1392" t="s">
        <v>2048</v>
      </c>
      <c r="D2293" s="1392" t="s">
        <v>2049</v>
      </c>
      <c r="E2293" s="1392" t="s">
        <v>1896</v>
      </c>
      <c r="F2293" s="1392" t="s">
        <v>1902</v>
      </c>
      <c r="G2293" s="1391">
        <v>10590000</v>
      </c>
    </row>
    <row r="2294" spans="1:7" x14ac:dyDescent="0.25">
      <c r="A2294" s="1392" t="s">
        <v>2579</v>
      </c>
      <c r="B2294" s="1392" t="s">
        <v>2056</v>
      </c>
      <c r="C2294" s="1392" t="s">
        <v>2048</v>
      </c>
      <c r="D2294" s="1392" t="s">
        <v>2049</v>
      </c>
      <c r="E2294" s="4536" t="s">
        <v>1906</v>
      </c>
      <c r="F2294" s="4537"/>
      <c r="G2294" s="1391">
        <v>36818000</v>
      </c>
    </row>
    <row r="2295" spans="1:7" x14ac:dyDescent="0.25">
      <c r="A2295" s="1392" t="s">
        <v>2579</v>
      </c>
      <c r="B2295" s="1392" t="s">
        <v>2056</v>
      </c>
      <c r="C2295" s="1392" t="s">
        <v>2048</v>
      </c>
      <c r="D2295" s="1392" t="s">
        <v>2049</v>
      </c>
      <c r="E2295" s="1392" t="s">
        <v>1906</v>
      </c>
      <c r="F2295" s="1392" t="s">
        <v>1907</v>
      </c>
      <c r="G2295" s="1391">
        <v>7208000</v>
      </c>
    </row>
    <row r="2296" spans="1:7" x14ac:dyDescent="0.25">
      <c r="A2296" s="1392" t="s">
        <v>2579</v>
      </c>
      <c r="B2296" s="1392" t="s">
        <v>2056</v>
      </c>
      <c r="C2296" s="1392" t="s">
        <v>2048</v>
      </c>
      <c r="D2296" s="1392" t="s">
        <v>2049</v>
      </c>
      <c r="E2296" s="1392" t="s">
        <v>1906</v>
      </c>
      <c r="F2296" s="1392" t="s">
        <v>1908</v>
      </c>
      <c r="G2296" s="1391">
        <v>3560000</v>
      </c>
    </row>
    <row r="2297" spans="1:7" x14ac:dyDescent="0.25">
      <c r="A2297" s="1392" t="s">
        <v>2579</v>
      </c>
      <c r="B2297" s="1392" t="s">
        <v>2056</v>
      </c>
      <c r="C2297" s="1392" t="s">
        <v>2048</v>
      </c>
      <c r="D2297" s="1392" t="s">
        <v>2049</v>
      </c>
      <c r="E2297" s="1392" t="s">
        <v>1906</v>
      </c>
      <c r="F2297" s="1392" t="s">
        <v>1909</v>
      </c>
      <c r="G2297" s="1391">
        <v>26050000</v>
      </c>
    </row>
    <row r="2298" spans="1:7" x14ac:dyDescent="0.25">
      <c r="A2298" s="1392" t="s">
        <v>2579</v>
      </c>
      <c r="B2298" s="1392" t="s">
        <v>2056</v>
      </c>
      <c r="C2298" s="1392" t="s">
        <v>2048</v>
      </c>
      <c r="D2298" s="1392" t="s">
        <v>2049</v>
      </c>
      <c r="E2298" s="4536" t="s">
        <v>1912</v>
      </c>
      <c r="F2298" s="4537"/>
      <c r="G2298" s="1391">
        <v>61350000</v>
      </c>
    </row>
    <row r="2299" spans="1:7" x14ac:dyDescent="0.25">
      <c r="A2299" s="1392" t="s">
        <v>2579</v>
      </c>
      <c r="B2299" s="1392" t="s">
        <v>2056</v>
      </c>
      <c r="C2299" s="1392" t="s">
        <v>2048</v>
      </c>
      <c r="D2299" s="1392" t="s">
        <v>2049</v>
      </c>
      <c r="E2299" s="1392" t="s">
        <v>1912</v>
      </c>
      <c r="F2299" s="1392" t="s">
        <v>1916</v>
      </c>
      <c r="G2299" s="1391">
        <v>61350000</v>
      </c>
    </row>
    <row r="2300" spans="1:7" x14ac:dyDescent="0.25">
      <c r="A2300" s="1392" t="s">
        <v>2579</v>
      </c>
      <c r="B2300" s="1392" t="s">
        <v>2056</v>
      </c>
      <c r="C2300" s="1392" t="s">
        <v>2048</v>
      </c>
      <c r="D2300" s="1392" t="s">
        <v>2049</v>
      </c>
      <c r="E2300" s="4536" t="s">
        <v>2030</v>
      </c>
      <c r="F2300" s="4537"/>
      <c r="G2300" s="1391">
        <v>25500</v>
      </c>
    </row>
    <row r="2301" spans="1:7" x14ac:dyDescent="0.25">
      <c r="A2301" s="1392" t="s">
        <v>2579</v>
      </c>
      <c r="B2301" s="1392" t="s">
        <v>2056</v>
      </c>
      <c r="C2301" s="1392" t="s">
        <v>2048</v>
      </c>
      <c r="D2301" s="1392" t="s">
        <v>2049</v>
      </c>
      <c r="E2301" s="1392" t="s">
        <v>2030</v>
      </c>
      <c r="F2301" s="1392" t="s">
        <v>2031</v>
      </c>
      <c r="G2301" s="1391">
        <v>25500</v>
      </c>
    </row>
    <row r="2302" spans="1:7" x14ac:dyDescent="0.25">
      <c r="A2302" s="1392" t="s">
        <v>2579</v>
      </c>
      <c r="B2302" s="1392" t="s">
        <v>2056</v>
      </c>
      <c r="C2302" s="1392" t="s">
        <v>2048</v>
      </c>
      <c r="D2302" s="1392" t="s">
        <v>2049</v>
      </c>
      <c r="E2302" s="4536" t="s">
        <v>2024</v>
      </c>
      <c r="F2302" s="4537"/>
      <c r="G2302" s="1391">
        <v>48114661</v>
      </c>
    </row>
    <row r="2303" spans="1:7" x14ac:dyDescent="0.25">
      <c r="A2303" s="1392" t="s">
        <v>2579</v>
      </c>
      <c r="B2303" s="1392" t="s">
        <v>2056</v>
      </c>
      <c r="C2303" s="1392" t="s">
        <v>2048</v>
      </c>
      <c r="D2303" s="1392" t="s">
        <v>2049</v>
      </c>
      <c r="E2303" s="1392" t="s">
        <v>2024</v>
      </c>
      <c r="F2303" s="1392" t="s">
        <v>2025</v>
      </c>
      <c r="G2303" s="1391">
        <v>48114661</v>
      </c>
    </row>
    <row r="2304" spans="1:7" x14ac:dyDescent="0.25">
      <c r="A2304" s="1392" t="s">
        <v>2579</v>
      </c>
      <c r="B2304" s="1392" t="s">
        <v>2056</v>
      </c>
      <c r="C2304" s="1392" t="s">
        <v>2048</v>
      </c>
      <c r="D2304" s="1392" t="s">
        <v>2049</v>
      </c>
      <c r="E2304" s="4536" t="s">
        <v>2026</v>
      </c>
      <c r="F2304" s="4537"/>
      <c r="G2304" s="1391">
        <v>8778339</v>
      </c>
    </row>
    <row r="2305" spans="1:7" x14ac:dyDescent="0.25">
      <c r="A2305" s="1392" t="s">
        <v>2579</v>
      </c>
      <c r="B2305" s="1392" t="s">
        <v>2056</v>
      </c>
      <c r="C2305" s="1392" t="s">
        <v>2048</v>
      </c>
      <c r="D2305" s="1392" t="s">
        <v>2049</v>
      </c>
      <c r="E2305" s="1392" t="s">
        <v>2026</v>
      </c>
      <c r="F2305" s="1392" t="s">
        <v>2028</v>
      </c>
      <c r="G2305" s="1391">
        <v>7880339</v>
      </c>
    </row>
    <row r="2306" spans="1:7" x14ac:dyDescent="0.25">
      <c r="A2306" s="1392" t="s">
        <v>2579</v>
      </c>
      <c r="B2306" s="1392" t="s">
        <v>2056</v>
      </c>
      <c r="C2306" s="1392" t="s">
        <v>2048</v>
      </c>
      <c r="D2306" s="1392" t="s">
        <v>2049</v>
      </c>
      <c r="E2306" s="1392" t="s">
        <v>2026</v>
      </c>
      <c r="F2306" s="1392" t="s">
        <v>2029</v>
      </c>
      <c r="G2306" s="1391">
        <v>898000</v>
      </c>
    </row>
    <row r="2307" spans="1:7" x14ac:dyDescent="0.25">
      <c r="A2307" s="1392" t="s">
        <v>2579</v>
      </c>
      <c r="B2307" s="1392" t="s">
        <v>2056</v>
      </c>
      <c r="C2307" s="4536" t="s">
        <v>1970</v>
      </c>
      <c r="D2307" s="4537"/>
      <c r="E2307" s="4537"/>
      <c r="F2307" s="4537"/>
      <c r="G2307" s="1391">
        <v>407334876</v>
      </c>
    </row>
    <row r="2308" spans="1:7" x14ac:dyDescent="0.25">
      <c r="A2308" s="1392" t="s">
        <v>2579</v>
      </c>
      <c r="B2308" s="1392" t="s">
        <v>2056</v>
      </c>
      <c r="C2308" s="1392" t="s">
        <v>1970</v>
      </c>
      <c r="D2308" s="4536" t="s">
        <v>1971</v>
      </c>
      <c r="E2308" s="4537"/>
      <c r="F2308" s="4537"/>
      <c r="G2308" s="1391">
        <v>407334876</v>
      </c>
    </row>
    <row r="2309" spans="1:7" x14ac:dyDescent="0.25">
      <c r="A2309" s="1392" t="s">
        <v>2579</v>
      </c>
      <c r="B2309" s="1392" t="s">
        <v>2056</v>
      </c>
      <c r="C2309" s="1392" t="s">
        <v>1970</v>
      </c>
      <c r="D2309" s="1392" t="s">
        <v>1971</v>
      </c>
      <c r="E2309" s="4536" t="s">
        <v>1885</v>
      </c>
      <c r="F2309" s="4537"/>
      <c r="G2309" s="1391">
        <v>7300000</v>
      </c>
    </row>
    <row r="2310" spans="1:7" x14ac:dyDescent="0.25">
      <c r="A2310" s="1392" t="s">
        <v>2579</v>
      </c>
      <c r="B2310" s="1392" t="s">
        <v>2056</v>
      </c>
      <c r="C2310" s="1392" t="s">
        <v>1970</v>
      </c>
      <c r="D2310" s="1392" t="s">
        <v>1971</v>
      </c>
      <c r="E2310" s="1392" t="s">
        <v>1885</v>
      </c>
      <c r="F2310" s="1392" t="s">
        <v>1887</v>
      </c>
      <c r="G2310" s="1391">
        <v>7300000</v>
      </c>
    </row>
    <row r="2311" spans="1:7" x14ac:dyDescent="0.25">
      <c r="A2311" s="1392" t="s">
        <v>2579</v>
      </c>
      <c r="B2311" s="1392" t="s">
        <v>2056</v>
      </c>
      <c r="C2311" s="1392" t="s">
        <v>1970</v>
      </c>
      <c r="D2311" s="1392" t="s">
        <v>1971</v>
      </c>
      <c r="E2311" s="4536" t="s">
        <v>1923</v>
      </c>
      <c r="F2311" s="4537"/>
      <c r="G2311" s="1391">
        <v>262514876</v>
      </c>
    </row>
    <row r="2312" spans="1:7" x14ac:dyDescent="0.25">
      <c r="A2312" s="1392" t="s">
        <v>2579</v>
      </c>
      <c r="B2312" s="1392" t="s">
        <v>2056</v>
      </c>
      <c r="C2312" s="1392" t="s">
        <v>1970</v>
      </c>
      <c r="D2312" s="1392" t="s">
        <v>1971</v>
      </c>
      <c r="E2312" s="1392" t="s">
        <v>1923</v>
      </c>
      <c r="F2312" s="1392" t="s">
        <v>2007</v>
      </c>
      <c r="G2312" s="1391">
        <v>262514876</v>
      </c>
    </row>
    <row r="2313" spans="1:7" x14ac:dyDescent="0.25">
      <c r="A2313" s="1392" t="s">
        <v>2579</v>
      </c>
      <c r="B2313" s="1392" t="s">
        <v>2056</v>
      </c>
      <c r="C2313" s="1392" t="s">
        <v>1970</v>
      </c>
      <c r="D2313" s="1392" t="s">
        <v>1971</v>
      </c>
      <c r="E2313" s="4536" t="s">
        <v>1912</v>
      </c>
      <c r="F2313" s="4537"/>
      <c r="G2313" s="1391">
        <v>137520000</v>
      </c>
    </row>
    <row r="2314" spans="1:7" x14ac:dyDescent="0.25">
      <c r="A2314" s="1392" t="s">
        <v>2579</v>
      </c>
      <c r="B2314" s="1392" t="s">
        <v>2056</v>
      </c>
      <c r="C2314" s="1392" t="s">
        <v>1970</v>
      </c>
      <c r="D2314" s="1392" t="s">
        <v>1971</v>
      </c>
      <c r="E2314" s="1392" t="s">
        <v>1912</v>
      </c>
      <c r="F2314" s="1392" t="s">
        <v>1916</v>
      </c>
      <c r="G2314" s="1391">
        <v>137520000</v>
      </c>
    </row>
    <row r="2315" spans="1:7" x14ac:dyDescent="0.25">
      <c r="A2315" s="1392" t="s">
        <v>2579</v>
      </c>
      <c r="B2315" s="1392" t="s">
        <v>2056</v>
      </c>
      <c r="C2315" s="4536" t="s">
        <v>1919</v>
      </c>
      <c r="D2315" s="4537"/>
      <c r="E2315" s="4537"/>
      <c r="F2315" s="4537"/>
      <c r="G2315" s="1391">
        <v>61898327599</v>
      </c>
    </row>
    <row r="2316" spans="1:7" x14ac:dyDescent="0.25">
      <c r="A2316" s="1392" t="s">
        <v>2579</v>
      </c>
      <c r="B2316" s="1392" t="s">
        <v>2056</v>
      </c>
      <c r="C2316" s="1392" t="s">
        <v>1919</v>
      </c>
      <c r="D2316" s="4536" t="s">
        <v>1920</v>
      </c>
      <c r="E2316" s="4537"/>
      <c r="F2316" s="4537"/>
      <c r="G2316" s="1391">
        <v>8497514404</v>
      </c>
    </row>
    <row r="2317" spans="1:7" x14ac:dyDescent="0.25">
      <c r="A2317" s="1392" t="s">
        <v>2579</v>
      </c>
      <c r="B2317" s="1392" t="s">
        <v>2056</v>
      </c>
      <c r="C2317" s="1392" t="s">
        <v>1919</v>
      </c>
      <c r="D2317" s="1392" t="s">
        <v>1920</v>
      </c>
      <c r="E2317" s="4536" t="s">
        <v>1851</v>
      </c>
      <c r="F2317" s="4537"/>
      <c r="G2317" s="1391">
        <v>8195000</v>
      </c>
    </row>
    <row r="2318" spans="1:7" x14ac:dyDescent="0.25">
      <c r="A2318" s="1392" t="s">
        <v>2579</v>
      </c>
      <c r="B2318" s="1392" t="s">
        <v>2056</v>
      </c>
      <c r="C2318" s="1392" t="s">
        <v>1919</v>
      </c>
      <c r="D2318" s="1392" t="s">
        <v>1920</v>
      </c>
      <c r="E2318" s="1392" t="s">
        <v>1851</v>
      </c>
      <c r="F2318" s="1392" t="s">
        <v>2065</v>
      </c>
      <c r="G2318" s="1391">
        <v>8195000</v>
      </c>
    </row>
    <row r="2319" spans="1:7" x14ac:dyDescent="0.25">
      <c r="A2319" s="1392" t="s">
        <v>2579</v>
      </c>
      <c r="B2319" s="1392" t="s">
        <v>2056</v>
      </c>
      <c r="C2319" s="1392" t="s">
        <v>1919</v>
      </c>
      <c r="D2319" s="1392" t="s">
        <v>1920</v>
      </c>
      <c r="E2319" s="4536" t="s">
        <v>1853</v>
      </c>
      <c r="F2319" s="4537"/>
      <c r="G2319" s="1391">
        <v>111338951</v>
      </c>
    </row>
    <row r="2320" spans="1:7" x14ac:dyDescent="0.25">
      <c r="A2320" s="1392" t="s">
        <v>2579</v>
      </c>
      <c r="B2320" s="1392" t="s">
        <v>2056</v>
      </c>
      <c r="C2320" s="1392" t="s">
        <v>1919</v>
      </c>
      <c r="D2320" s="1392" t="s">
        <v>1920</v>
      </c>
      <c r="E2320" s="1392" t="s">
        <v>1853</v>
      </c>
      <c r="F2320" s="1392" t="s">
        <v>1856</v>
      </c>
      <c r="G2320" s="1391">
        <v>73354951</v>
      </c>
    </row>
    <row r="2321" spans="1:7" x14ac:dyDescent="0.25">
      <c r="A2321" s="1392" t="s">
        <v>2579</v>
      </c>
      <c r="B2321" s="1392" t="s">
        <v>2056</v>
      </c>
      <c r="C2321" s="1392" t="s">
        <v>1919</v>
      </c>
      <c r="D2321" s="1392" t="s">
        <v>1920</v>
      </c>
      <c r="E2321" s="1392" t="s">
        <v>1853</v>
      </c>
      <c r="F2321" s="1392" t="s">
        <v>1939</v>
      </c>
      <c r="G2321" s="1391">
        <v>37984000</v>
      </c>
    </row>
    <row r="2322" spans="1:7" x14ac:dyDescent="0.25">
      <c r="A2322" s="1392" t="s">
        <v>2579</v>
      </c>
      <c r="B2322" s="1392" t="s">
        <v>2056</v>
      </c>
      <c r="C2322" s="1392" t="s">
        <v>1919</v>
      </c>
      <c r="D2322" s="1392" t="s">
        <v>1920</v>
      </c>
      <c r="E2322" s="4536" t="s">
        <v>1874</v>
      </c>
      <c r="F2322" s="4537"/>
      <c r="G2322" s="1391">
        <v>14560155</v>
      </c>
    </row>
    <row r="2323" spans="1:7" x14ac:dyDescent="0.25">
      <c r="A2323" s="1392" t="s">
        <v>2579</v>
      </c>
      <c r="B2323" s="1392" t="s">
        <v>2056</v>
      </c>
      <c r="C2323" s="1392" t="s">
        <v>1919</v>
      </c>
      <c r="D2323" s="1392" t="s">
        <v>1920</v>
      </c>
      <c r="E2323" s="1392" t="s">
        <v>1874</v>
      </c>
      <c r="F2323" s="1392" t="s">
        <v>1875</v>
      </c>
      <c r="G2323" s="1391">
        <v>12598155</v>
      </c>
    </row>
    <row r="2324" spans="1:7" x14ac:dyDescent="0.25">
      <c r="A2324" s="1392" t="s">
        <v>2579</v>
      </c>
      <c r="B2324" s="1392" t="s">
        <v>2056</v>
      </c>
      <c r="C2324" s="1392" t="s">
        <v>1919</v>
      </c>
      <c r="D2324" s="1392" t="s">
        <v>1920</v>
      </c>
      <c r="E2324" s="1392" t="s">
        <v>1874</v>
      </c>
      <c r="F2324" s="1392" t="s">
        <v>1876</v>
      </c>
      <c r="G2324" s="1391">
        <v>1400000</v>
      </c>
    </row>
    <row r="2325" spans="1:7" x14ac:dyDescent="0.25">
      <c r="A2325" s="1392" t="s">
        <v>2579</v>
      </c>
      <c r="B2325" s="1392" t="s">
        <v>2056</v>
      </c>
      <c r="C2325" s="1392" t="s">
        <v>1919</v>
      </c>
      <c r="D2325" s="1392" t="s">
        <v>1920</v>
      </c>
      <c r="E2325" s="1392" t="s">
        <v>1874</v>
      </c>
      <c r="F2325" s="1392" t="s">
        <v>1877</v>
      </c>
      <c r="G2325" s="1391">
        <v>562000</v>
      </c>
    </row>
    <row r="2326" spans="1:7" x14ac:dyDescent="0.25">
      <c r="A2326" s="1392" t="s">
        <v>2579</v>
      </c>
      <c r="B2326" s="1392" t="s">
        <v>2056</v>
      </c>
      <c r="C2326" s="1392" t="s">
        <v>1919</v>
      </c>
      <c r="D2326" s="1392" t="s">
        <v>1920</v>
      </c>
      <c r="E2326" s="4536" t="s">
        <v>1885</v>
      </c>
      <c r="F2326" s="4537"/>
      <c r="G2326" s="1391">
        <v>158756500</v>
      </c>
    </row>
    <row r="2327" spans="1:7" x14ac:dyDescent="0.25">
      <c r="A2327" s="1392" t="s">
        <v>2579</v>
      </c>
      <c r="B2327" s="1392" t="s">
        <v>2056</v>
      </c>
      <c r="C2327" s="1392" t="s">
        <v>1919</v>
      </c>
      <c r="D2327" s="1392" t="s">
        <v>1920</v>
      </c>
      <c r="E2327" s="1392" t="s">
        <v>1885</v>
      </c>
      <c r="F2327" s="1392" t="s">
        <v>1925</v>
      </c>
      <c r="G2327" s="1391">
        <v>6363000</v>
      </c>
    </row>
    <row r="2328" spans="1:7" x14ac:dyDescent="0.25">
      <c r="A2328" s="1392" t="s">
        <v>2579</v>
      </c>
      <c r="B2328" s="1392" t="s">
        <v>2056</v>
      </c>
      <c r="C2328" s="1392" t="s">
        <v>1919</v>
      </c>
      <c r="D2328" s="1392" t="s">
        <v>1920</v>
      </c>
      <c r="E2328" s="1392" t="s">
        <v>1885</v>
      </c>
      <c r="F2328" s="1392" t="s">
        <v>1886</v>
      </c>
      <c r="G2328" s="1391">
        <v>35600000</v>
      </c>
    </row>
    <row r="2329" spans="1:7" x14ac:dyDescent="0.25">
      <c r="A2329" s="1392" t="s">
        <v>2579</v>
      </c>
      <c r="B2329" s="1392" t="s">
        <v>2056</v>
      </c>
      <c r="C2329" s="1392" t="s">
        <v>1919</v>
      </c>
      <c r="D2329" s="1392" t="s">
        <v>1920</v>
      </c>
      <c r="E2329" s="1392" t="s">
        <v>1885</v>
      </c>
      <c r="F2329" s="1392" t="s">
        <v>1887</v>
      </c>
      <c r="G2329" s="1391">
        <v>95100000</v>
      </c>
    </row>
    <row r="2330" spans="1:7" x14ac:dyDescent="0.25">
      <c r="A2330" s="1392" t="s">
        <v>2579</v>
      </c>
      <c r="B2330" s="1392" t="s">
        <v>2056</v>
      </c>
      <c r="C2330" s="1392" t="s">
        <v>1919</v>
      </c>
      <c r="D2330" s="1392" t="s">
        <v>1920</v>
      </c>
      <c r="E2330" s="1392" t="s">
        <v>1885</v>
      </c>
      <c r="F2330" s="1392" t="s">
        <v>1888</v>
      </c>
      <c r="G2330" s="1391">
        <v>21693500</v>
      </c>
    </row>
    <row r="2331" spans="1:7" x14ac:dyDescent="0.25">
      <c r="A2331" s="1392" t="s">
        <v>2579</v>
      </c>
      <c r="B2331" s="1392" t="s">
        <v>2056</v>
      </c>
      <c r="C2331" s="1392" t="s">
        <v>1919</v>
      </c>
      <c r="D2331" s="1392" t="s">
        <v>1920</v>
      </c>
      <c r="E2331" s="4536" t="s">
        <v>1889</v>
      </c>
      <c r="F2331" s="4537"/>
      <c r="G2331" s="1391">
        <v>4230000</v>
      </c>
    </row>
    <row r="2332" spans="1:7" x14ac:dyDescent="0.25">
      <c r="A2332" s="1392" t="s">
        <v>2579</v>
      </c>
      <c r="B2332" s="1392" t="s">
        <v>2056</v>
      </c>
      <c r="C2332" s="1392" t="s">
        <v>1919</v>
      </c>
      <c r="D2332" s="1392" t="s">
        <v>1920</v>
      </c>
      <c r="E2332" s="1392" t="s">
        <v>1889</v>
      </c>
      <c r="F2332" s="1392" t="s">
        <v>1890</v>
      </c>
      <c r="G2332" s="1391">
        <v>3260000</v>
      </c>
    </row>
    <row r="2333" spans="1:7" x14ac:dyDescent="0.25">
      <c r="A2333" s="1392" t="s">
        <v>2579</v>
      </c>
      <c r="B2333" s="1392" t="s">
        <v>2056</v>
      </c>
      <c r="C2333" s="1392" t="s">
        <v>1919</v>
      </c>
      <c r="D2333" s="1392" t="s">
        <v>1920</v>
      </c>
      <c r="E2333" s="1392" t="s">
        <v>1889</v>
      </c>
      <c r="F2333" s="1392" t="s">
        <v>1891</v>
      </c>
      <c r="G2333" s="1391">
        <v>100000</v>
      </c>
    </row>
    <row r="2334" spans="1:7" x14ac:dyDescent="0.25">
      <c r="A2334" s="1392" t="s">
        <v>2579</v>
      </c>
      <c r="B2334" s="1392" t="s">
        <v>2056</v>
      </c>
      <c r="C2334" s="1392" t="s">
        <v>1919</v>
      </c>
      <c r="D2334" s="1392" t="s">
        <v>1920</v>
      </c>
      <c r="E2334" s="1392" t="s">
        <v>1889</v>
      </c>
      <c r="F2334" s="1392" t="s">
        <v>1922</v>
      </c>
      <c r="G2334" s="1391">
        <v>870000</v>
      </c>
    </row>
    <row r="2335" spans="1:7" x14ac:dyDescent="0.25">
      <c r="A2335" s="1392" t="s">
        <v>2579</v>
      </c>
      <c r="B2335" s="1392" t="s">
        <v>2056</v>
      </c>
      <c r="C2335" s="1392" t="s">
        <v>1919</v>
      </c>
      <c r="D2335" s="1392" t="s">
        <v>1920</v>
      </c>
      <c r="E2335" s="4536" t="s">
        <v>1893</v>
      </c>
      <c r="F2335" s="4537"/>
      <c r="G2335" s="1391">
        <v>14558500</v>
      </c>
    </row>
    <row r="2336" spans="1:7" x14ac:dyDescent="0.25">
      <c r="A2336" s="1392" t="s">
        <v>2579</v>
      </c>
      <c r="B2336" s="1392" t="s">
        <v>2056</v>
      </c>
      <c r="C2336" s="1392" t="s">
        <v>1919</v>
      </c>
      <c r="D2336" s="1392" t="s">
        <v>1920</v>
      </c>
      <c r="E2336" s="1392" t="s">
        <v>1893</v>
      </c>
      <c r="F2336" s="1392" t="s">
        <v>2051</v>
      </c>
      <c r="G2336" s="1391">
        <v>2458500</v>
      </c>
    </row>
    <row r="2337" spans="1:7" x14ac:dyDescent="0.25">
      <c r="A2337" s="1392" t="s">
        <v>2579</v>
      </c>
      <c r="B2337" s="1392" t="s">
        <v>2056</v>
      </c>
      <c r="C2337" s="1392" t="s">
        <v>1919</v>
      </c>
      <c r="D2337" s="1392" t="s">
        <v>1920</v>
      </c>
      <c r="E2337" s="1392" t="s">
        <v>1893</v>
      </c>
      <c r="F2337" s="1392" t="s">
        <v>1895</v>
      </c>
      <c r="G2337" s="1391">
        <v>12100000</v>
      </c>
    </row>
    <row r="2338" spans="1:7" x14ac:dyDescent="0.25">
      <c r="A2338" s="1392" t="s">
        <v>2579</v>
      </c>
      <c r="B2338" s="1392" t="s">
        <v>2056</v>
      </c>
      <c r="C2338" s="1392" t="s">
        <v>1919</v>
      </c>
      <c r="D2338" s="1392" t="s">
        <v>1920</v>
      </c>
      <c r="E2338" s="4536" t="s">
        <v>1896</v>
      </c>
      <c r="F2338" s="4537"/>
      <c r="G2338" s="1391">
        <v>61498800</v>
      </c>
    </row>
    <row r="2339" spans="1:7" x14ac:dyDescent="0.25">
      <c r="A2339" s="1392" t="s">
        <v>2579</v>
      </c>
      <c r="B2339" s="1392" t="s">
        <v>2056</v>
      </c>
      <c r="C2339" s="1392" t="s">
        <v>1919</v>
      </c>
      <c r="D2339" s="1392" t="s">
        <v>1920</v>
      </c>
      <c r="E2339" s="1392" t="s">
        <v>1896</v>
      </c>
      <c r="F2339" s="1392" t="s">
        <v>1902</v>
      </c>
      <c r="G2339" s="1391">
        <v>61498800</v>
      </c>
    </row>
    <row r="2340" spans="1:7" x14ac:dyDescent="0.25">
      <c r="A2340" s="1392" t="s">
        <v>2579</v>
      </c>
      <c r="B2340" s="1392" t="s">
        <v>2056</v>
      </c>
      <c r="C2340" s="1392" t="s">
        <v>1919</v>
      </c>
      <c r="D2340" s="1392" t="s">
        <v>1920</v>
      </c>
      <c r="E2340" s="4536" t="s">
        <v>1906</v>
      </c>
      <c r="F2340" s="4537"/>
      <c r="G2340" s="1391">
        <v>76000000</v>
      </c>
    </row>
    <row r="2341" spans="1:7" x14ac:dyDescent="0.25">
      <c r="A2341" s="1392" t="s">
        <v>2579</v>
      </c>
      <c r="B2341" s="1392" t="s">
        <v>2056</v>
      </c>
      <c r="C2341" s="1392" t="s">
        <v>1919</v>
      </c>
      <c r="D2341" s="1392" t="s">
        <v>1920</v>
      </c>
      <c r="E2341" s="1392" t="s">
        <v>1906</v>
      </c>
      <c r="F2341" s="1392" t="s">
        <v>1907</v>
      </c>
      <c r="G2341" s="1391">
        <v>3500000</v>
      </c>
    </row>
    <row r="2342" spans="1:7" x14ac:dyDescent="0.25">
      <c r="A2342" s="1392" t="s">
        <v>2579</v>
      </c>
      <c r="B2342" s="1392" t="s">
        <v>2056</v>
      </c>
      <c r="C2342" s="1392" t="s">
        <v>1919</v>
      </c>
      <c r="D2342" s="1392" t="s">
        <v>1920</v>
      </c>
      <c r="E2342" s="1392" t="s">
        <v>1906</v>
      </c>
      <c r="F2342" s="1392" t="s">
        <v>1978</v>
      </c>
      <c r="G2342" s="1391">
        <v>72500000</v>
      </c>
    </row>
    <row r="2343" spans="1:7" x14ac:dyDescent="0.25">
      <c r="A2343" s="1392" t="s">
        <v>2579</v>
      </c>
      <c r="B2343" s="1392" t="s">
        <v>2056</v>
      </c>
      <c r="C2343" s="1392" t="s">
        <v>1919</v>
      </c>
      <c r="D2343" s="1392" t="s">
        <v>1920</v>
      </c>
      <c r="E2343" s="4536" t="s">
        <v>1923</v>
      </c>
      <c r="F2343" s="4537"/>
      <c r="G2343" s="1391">
        <v>6462996635</v>
      </c>
    </row>
    <row r="2344" spans="1:7" x14ac:dyDescent="0.25">
      <c r="A2344" s="1392" t="s">
        <v>2579</v>
      </c>
      <c r="B2344" s="1392" t="s">
        <v>2056</v>
      </c>
      <c r="C2344" s="1392" t="s">
        <v>1919</v>
      </c>
      <c r="D2344" s="1392" t="s">
        <v>1920</v>
      </c>
      <c r="E2344" s="1392" t="s">
        <v>1923</v>
      </c>
      <c r="F2344" s="1392" t="s">
        <v>2063</v>
      </c>
      <c r="G2344" s="1391">
        <v>132417460</v>
      </c>
    </row>
    <row r="2345" spans="1:7" x14ac:dyDescent="0.25">
      <c r="A2345" s="1392" t="s">
        <v>2579</v>
      </c>
      <c r="B2345" s="1392" t="s">
        <v>2056</v>
      </c>
      <c r="C2345" s="1392" t="s">
        <v>1919</v>
      </c>
      <c r="D2345" s="1392" t="s">
        <v>1920</v>
      </c>
      <c r="E2345" s="1392" t="s">
        <v>1923</v>
      </c>
      <c r="F2345" s="1392" t="s">
        <v>2007</v>
      </c>
      <c r="G2345" s="1391">
        <v>6330579175</v>
      </c>
    </row>
    <row r="2346" spans="1:7" x14ac:dyDescent="0.25">
      <c r="A2346" s="1392" t="s">
        <v>2579</v>
      </c>
      <c r="B2346" s="1392" t="s">
        <v>2056</v>
      </c>
      <c r="C2346" s="1392" t="s">
        <v>1919</v>
      </c>
      <c r="D2346" s="1392" t="s">
        <v>1920</v>
      </c>
      <c r="E2346" s="4536" t="s">
        <v>1912</v>
      </c>
      <c r="F2346" s="4537"/>
      <c r="G2346" s="1391">
        <v>1585379863</v>
      </c>
    </row>
    <row r="2347" spans="1:7" x14ac:dyDescent="0.25">
      <c r="A2347" s="1392" t="s">
        <v>2579</v>
      </c>
      <c r="B2347" s="1392" t="s">
        <v>2056</v>
      </c>
      <c r="C2347" s="1392" t="s">
        <v>1919</v>
      </c>
      <c r="D2347" s="1392" t="s">
        <v>1920</v>
      </c>
      <c r="E2347" s="1392" t="s">
        <v>1912</v>
      </c>
      <c r="F2347" s="1392" t="s">
        <v>1915</v>
      </c>
      <c r="G2347" s="1391">
        <v>900000</v>
      </c>
    </row>
    <row r="2348" spans="1:7" x14ac:dyDescent="0.25">
      <c r="A2348" s="1392" t="s">
        <v>2579</v>
      </c>
      <c r="B2348" s="1392" t="s">
        <v>2056</v>
      </c>
      <c r="C2348" s="1392" t="s">
        <v>1919</v>
      </c>
      <c r="D2348" s="1392" t="s">
        <v>1920</v>
      </c>
      <c r="E2348" s="1392" t="s">
        <v>1912</v>
      </c>
      <c r="F2348" s="1392" t="s">
        <v>1916</v>
      </c>
      <c r="G2348" s="1391">
        <v>1584479863</v>
      </c>
    </row>
    <row r="2349" spans="1:7" x14ac:dyDescent="0.25">
      <c r="A2349" s="1392" t="s">
        <v>2579</v>
      </c>
      <c r="B2349" s="1392" t="s">
        <v>2056</v>
      </c>
      <c r="C2349" s="1392" t="s">
        <v>1919</v>
      </c>
      <c r="D2349" s="4536" t="s">
        <v>2005</v>
      </c>
      <c r="E2349" s="4537"/>
      <c r="F2349" s="4537"/>
      <c r="G2349" s="1391">
        <v>12552489088</v>
      </c>
    </row>
    <row r="2350" spans="1:7" x14ac:dyDescent="0.25">
      <c r="A2350" s="1392" t="s">
        <v>2579</v>
      </c>
      <c r="B2350" s="1392" t="s">
        <v>2056</v>
      </c>
      <c r="C2350" s="1392" t="s">
        <v>1919</v>
      </c>
      <c r="D2350" s="1392" t="s">
        <v>2005</v>
      </c>
      <c r="E2350" s="4536" t="s">
        <v>1853</v>
      </c>
      <c r="F2350" s="4537"/>
      <c r="G2350" s="1391">
        <v>3710500</v>
      </c>
    </row>
    <row r="2351" spans="1:7" x14ac:dyDescent="0.25">
      <c r="A2351" s="1392" t="s">
        <v>2579</v>
      </c>
      <c r="B2351" s="1392" t="s">
        <v>2056</v>
      </c>
      <c r="C2351" s="1392" t="s">
        <v>1919</v>
      </c>
      <c r="D2351" s="1392" t="s">
        <v>2005</v>
      </c>
      <c r="E2351" s="1392" t="s">
        <v>1853</v>
      </c>
      <c r="F2351" s="1392" t="s">
        <v>1856</v>
      </c>
      <c r="G2351" s="1391">
        <v>3710500</v>
      </c>
    </row>
    <row r="2352" spans="1:7" x14ac:dyDescent="0.25">
      <c r="A2352" s="1392" t="s">
        <v>2579</v>
      </c>
      <c r="B2352" s="1392" t="s">
        <v>2056</v>
      </c>
      <c r="C2352" s="1392" t="s">
        <v>1919</v>
      </c>
      <c r="D2352" s="1392" t="s">
        <v>2005</v>
      </c>
      <c r="E2352" s="4536" t="s">
        <v>1874</v>
      </c>
      <c r="F2352" s="4537"/>
      <c r="G2352" s="1391">
        <v>2190000</v>
      </c>
    </row>
    <row r="2353" spans="1:7" x14ac:dyDescent="0.25">
      <c r="A2353" s="1392" t="s">
        <v>2579</v>
      </c>
      <c r="B2353" s="1392" t="s">
        <v>2056</v>
      </c>
      <c r="C2353" s="1392" t="s">
        <v>1919</v>
      </c>
      <c r="D2353" s="1392" t="s">
        <v>2005</v>
      </c>
      <c r="E2353" s="1392" t="s">
        <v>1874</v>
      </c>
      <c r="F2353" s="1392" t="s">
        <v>1875</v>
      </c>
      <c r="G2353" s="1391">
        <v>2190000</v>
      </c>
    </row>
    <row r="2354" spans="1:7" x14ac:dyDescent="0.25">
      <c r="A2354" s="1392" t="s">
        <v>2579</v>
      </c>
      <c r="B2354" s="1392" t="s">
        <v>2056</v>
      </c>
      <c r="C2354" s="1392" t="s">
        <v>1919</v>
      </c>
      <c r="D2354" s="1392" t="s">
        <v>2005</v>
      </c>
      <c r="E2354" s="4536" t="s">
        <v>1889</v>
      </c>
      <c r="F2354" s="4537"/>
      <c r="G2354" s="1391">
        <v>200000</v>
      </c>
    </row>
    <row r="2355" spans="1:7" x14ac:dyDescent="0.25">
      <c r="A2355" s="1392" t="s">
        <v>2579</v>
      </c>
      <c r="B2355" s="1392" t="s">
        <v>2056</v>
      </c>
      <c r="C2355" s="1392" t="s">
        <v>1919</v>
      </c>
      <c r="D2355" s="1392" t="s">
        <v>2005</v>
      </c>
      <c r="E2355" s="1392" t="s">
        <v>1889</v>
      </c>
      <c r="F2355" s="1392" t="s">
        <v>1890</v>
      </c>
      <c r="G2355" s="1391">
        <v>200000</v>
      </c>
    </row>
    <row r="2356" spans="1:7" x14ac:dyDescent="0.25">
      <c r="A2356" s="1392" t="s">
        <v>2579</v>
      </c>
      <c r="B2356" s="1392" t="s">
        <v>2056</v>
      </c>
      <c r="C2356" s="1392" t="s">
        <v>1919</v>
      </c>
      <c r="D2356" s="1392" t="s">
        <v>2005</v>
      </c>
      <c r="E2356" s="4536" t="s">
        <v>1896</v>
      </c>
      <c r="F2356" s="4537"/>
      <c r="G2356" s="1391">
        <v>474449867</v>
      </c>
    </row>
    <row r="2357" spans="1:7" x14ac:dyDescent="0.25">
      <c r="A2357" s="1392" t="s">
        <v>2579</v>
      </c>
      <c r="B2357" s="1392" t="s">
        <v>2056</v>
      </c>
      <c r="C2357" s="1392" t="s">
        <v>1919</v>
      </c>
      <c r="D2357" s="1392" t="s">
        <v>2005</v>
      </c>
      <c r="E2357" s="1392" t="s">
        <v>1896</v>
      </c>
      <c r="F2357" s="1392" t="s">
        <v>1928</v>
      </c>
      <c r="G2357" s="1391">
        <v>54430033</v>
      </c>
    </row>
    <row r="2358" spans="1:7" x14ac:dyDescent="0.25">
      <c r="A2358" s="1392" t="s">
        <v>2579</v>
      </c>
      <c r="B2358" s="1392" t="s">
        <v>2056</v>
      </c>
      <c r="C2358" s="1392" t="s">
        <v>1919</v>
      </c>
      <c r="D2358" s="1392" t="s">
        <v>2005</v>
      </c>
      <c r="E2358" s="1392" t="s">
        <v>1896</v>
      </c>
      <c r="F2358" s="1392" t="s">
        <v>2006</v>
      </c>
      <c r="G2358" s="1391">
        <v>134218726</v>
      </c>
    </row>
    <row r="2359" spans="1:7" x14ac:dyDescent="0.25">
      <c r="A2359" s="1392" t="s">
        <v>2579</v>
      </c>
      <c r="B2359" s="1392" t="s">
        <v>2056</v>
      </c>
      <c r="C2359" s="1392" t="s">
        <v>1919</v>
      </c>
      <c r="D2359" s="1392" t="s">
        <v>2005</v>
      </c>
      <c r="E2359" s="1392" t="s">
        <v>1896</v>
      </c>
      <c r="F2359" s="1392" t="s">
        <v>1902</v>
      </c>
      <c r="G2359" s="1391">
        <v>285801108</v>
      </c>
    </row>
    <row r="2360" spans="1:7" x14ac:dyDescent="0.25">
      <c r="A2360" s="1392" t="s">
        <v>2579</v>
      </c>
      <c r="B2360" s="1392" t="s">
        <v>2056</v>
      </c>
      <c r="C2360" s="1392" t="s">
        <v>1919</v>
      </c>
      <c r="D2360" s="1392" t="s">
        <v>2005</v>
      </c>
      <c r="E2360" s="4536" t="s">
        <v>1912</v>
      </c>
      <c r="F2360" s="4537"/>
      <c r="G2360" s="1391">
        <v>18820000</v>
      </c>
    </row>
    <row r="2361" spans="1:7" x14ac:dyDescent="0.25">
      <c r="A2361" s="1392" t="s">
        <v>2579</v>
      </c>
      <c r="B2361" s="1392" t="s">
        <v>2056</v>
      </c>
      <c r="C2361" s="1392" t="s">
        <v>1919</v>
      </c>
      <c r="D2361" s="1392" t="s">
        <v>2005</v>
      </c>
      <c r="E2361" s="1392" t="s">
        <v>1912</v>
      </c>
      <c r="F2361" s="1392" t="s">
        <v>1916</v>
      </c>
      <c r="G2361" s="1391">
        <v>18820000</v>
      </c>
    </row>
    <row r="2362" spans="1:7" x14ac:dyDescent="0.25">
      <c r="A2362" s="1392" t="s">
        <v>2579</v>
      </c>
      <c r="B2362" s="1392" t="s">
        <v>2056</v>
      </c>
      <c r="C2362" s="1392" t="s">
        <v>1919</v>
      </c>
      <c r="D2362" s="1392" t="s">
        <v>2005</v>
      </c>
      <c r="E2362" s="4536" t="s">
        <v>2030</v>
      </c>
      <c r="F2362" s="4537"/>
      <c r="G2362" s="1391">
        <v>673700</v>
      </c>
    </row>
    <row r="2363" spans="1:7" x14ac:dyDescent="0.25">
      <c r="A2363" s="1392" t="s">
        <v>2579</v>
      </c>
      <c r="B2363" s="1392" t="s">
        <v>2056</v>
      </c>
      <c r="C2363" s="1392" t="s">
        <v>1919</v>
      </c>
      <c r="D2363" s="1392" t="s">
        <v>2005</v>
      </c>
      <c r="E2363" s="1392" t="s">
        <v>2030</v>
      </c>
      <c r="F2363" s="1392" t="s">
        <v>2031</v>
      </c>
      <c r="G2363" s="1391">
        <v>673700</v>
      </c>
    </row>
    <row r="2364" spans="1:7" x14ac:dyDescent="0.25">
      <c r="A2364" s="1392" t="s">
        <v>2579</v>
      </c>
      <c r="B2364" s="1392" t="s">
        <v>2056</v>
      </c>
      <c r="C2364" s="1392" t="s">
        <v>1919</v>
      </c>
      <c r="D2364" s="1392" t="s">
        <v>2005</v>
      </c>
      <c r="E2364" s="4536" t="s">
        <v>2024</v>
      </c>
      <c r="F2364" s="4537"/>
      <c r="G2364" s="1391">
        <v>11102922837</v>
      </c>
    </row>
    <row r="2365" spans="1:7" x14ac:dyDescent="0.25">
      <c r="A2365" s="1392" t="s">
        <v>2579</v>
      </c>
      <c r="B2365" s="1392" t="s">
        <v>2056</v>
      </c>
      <c r="C2365" s="1392" t="s">
        <v>1919</v>
      </c>
      <c r="D2365" s="1392" t="s">
        <v>2005</v>
      </c>
      <c r="E2365" s="1392" t="s">
        <v>2024</v>
      </c>
      <c r="F2365" s="1392" t="s">
        <v>2025</v>
      </c>
      <c r="G2365" s="1391">
        <v>11102922837</v>
      </c>
    </row>
    <row r="2366" spans="1:7" x14ac:dyDescent="0.25">
      <c r="A2366" s="1392" t="s">
        <v>2579</v>
      </c>
      <c r="B2366" s="1392" t="s">
        <v>2056</v>
      </c>
      <c r="C2366" s="1392" t="s">
        <v>1919</v>
      </c>
      <c r="D2366" s="1392" t="s">
        <v>2005</v>
      </c>
      <c r="E2366" s="4536" t="s">
        <v>2026</v>
      </c>
      <c r="F2366" s="4537"/>
      <c r="G2366" s="1391">
        <v>949522184</v>
      </c>
    </row>
    <row r="2367" spans="1:7" x14ac:dyDescent="0.25">
      <c r="A2367" s="1392" t="s">
        <v>2579</v>
      </c>
      <c r="B2367" s="1392" t="s">
        <v>2056</v>
      </c>
      <c r="C2367" s="1392" t="s">
        <v>1919</v>
      </c>
      <c r="D2367" s="1392" t="s">
        <v>2005</v>
      </c>
      <c r="E2367" s="1392" t="s">
        <v>2026</v>
      </c>
      <c r="F2367" s="1392" t="s">
        <v>2027</v>
      </c>
      <c r="G2367" s="1391">
        <v>250916559</v>
      </c>
    </row>
    <row r="2368" spans="1:7" x14ac:dyDescent="0.25">
      <c r="A2368" s="1392" t="s">
        <v>2579</v>
      </c>
      <c r="B2368" s="1392" t="s">
        <v>2056</v>
      </c>
      <c r="C2368" s="1392" t="s">
        <v>1919</v>
      </c>
      <c r="D2368" s="1392" t="s">
        <v>2005</v>
      </c>
      <c r="E2368" s="1392" t="s">
        <v>2026</v>
      </c>
      <c r="F2368" s="1392" t="s">
        <v>2028</v>
      </c>
      <c r="G2368" s="1391">
        <v>619094448</v>
      </c>
    </row>
    <row r="2369" spans="1:7" x14ac:dyDescent="0.25">
      <c r="A2369" s="1392" t="s">
        <v>2579</v>
      </c>
      <c r="B2369" s="1392" t="s">
        <v>2056</v>
      </c>
      <c r="C2369" s="1392" t="s">
        <v>1919</v>
      </c>
      <c r="D2369" s="1392" t="s">
        <v>2005</v>
      </c>
      <c r="E2369" s="1392" t="s">
        <v>2026</v>
      </c>
      <c r="F2369" s="1392" t="s">
        <v>2029</v>
      </c>
      <c r="G2369" s="1391">
        <v>79511177</v>
      </c>
    </row>
    <row r="2370" spans="1:7" x14ac:dyDescent="0.25">
      <c r="A2370" s="1392" t="s">
        <v>2579</v>
      </c>
      <c r="B2370" s="1392" t="s">
        <v>2056</v>
      </c>
      <c r="C2370" s="1392" t="s">
        <v>1919</v>
      </c>
      <c r="D2370" s="4536" t="s">
        <v>1931</v>
      </c>
      <c r="E2370" s="4537"/>
      <c r="F2370" s="4537"/>
      <c r="G2370" s="1391">
        <v>38669328426</v>
      </c>
    </row>
    <row r="2371" spans="1:7" x14ac:dyDescent="0.25">
      <c r="A2371" s="1392" t="s">
        <v>2579</v>
      </c>
      <c r="B2371" s="1392" t="s">
        <v>2056</v>
      </c>
      <c r="C2371" s="1392" t="s">
        <v>1919</v>
      </c>
      <c r="D2371" s="1392" t="s">
        <v>1931</v>
      </c>
      <c r="E2371" s="4536" t="s">
        <v>1853</v>
      </c>
      <c r="F2371" s="4537"/>
      <c r="G2371" s="1391">
        <v>972400</v>
      </c>
    </row>
    <row r="2372" spans="1:7" x14ac:dyDescent="0.25">
      <c r="A2372" s="1392" t="s">
        <v>2579</v>
      </c>
      <c r="B2372" s="1392" t="s">
        <v>2056</v>
      </c>
      <c r="C2372" s="1392" t="s">
        <v>1919</v>
      </c>
      <c r="D2372" s="1392" t="s">
        <v>1931</v>
      </c>
      <c r="E2372" s="1392" t="s">
        <v>1853</v>
      </c>
      <c r="F2372" s="1392" t="s">
        <v>1856</v>
      </c>
      <c r="G2372" s="1391">
        <v>972400</v>
      </c>
    </row>
    <row r="2373" spans="1:7" x14ac:dyDescent="0.25">
      <c r="A2373" s="1392" t="s">
        <v>2579</v>
      </c>
      <c r="B2373" s="1392" t="s">
        <v>2056</v>
      </c>
      <c r="C2373" s="1392" t="s">
        <v>1919</v>
      </c>
      <c r="D2373" s="1392" t="s">
        <v>1931</v>
      </c>
      <c r="E2373" s="4536" t="s">
        <v>1943</v>
      </c>
      <c r="F2373" s="4537"/>
      <c r="G2373" s="1391">
        <v>1684635</v>
      </c>
    </row>
    <row r="2374" spans="1:7" x14ac:dyDescent="0.25">
      <c r="A2374" s="1392" t="s">
        <v>2579</v>
      </c>
      <c r="B2374" s="1392" t="s">
        <v>2056</v>
      </c>
      <c r="C2374" s="1392" t="s">
        <v>1919</v>
      </c>
      <c r="D2374" s="1392" t="s">
        <v>1931</v>
      </c>
      <c r="E2374" s="1392" t="s">
        <v>1943</v>
      </c>
      <c r="F2374" s="1392" t="s">
        <v>1980</v>
      </c>
      <c r="G2374" s="1391">
        <v>1684635</v>
      </c>
    </row>
    <row r="2375" spans="1:7" x14ac:dyDescent="0.25">
      <c r="A2375" s="1392" t="s">
        <v>2579</v>
      </c>
      <c r="B2375" s="1392" t="s">
        <v>2056</v>
      </c>
      <c r="C2375" s="1392" t="s">
        <v>1919</v>
      </c>
      <c r="D2375" s="1392" t="s">
        <v>1931</v>
      </c>
      <c r="E2375" s="4536" t="s">
        <v>1874</v>
      </c>
      <c r="F2375" s="4537"/>
      <c r="G2375" s="1391">
        <v>402411</v>
      </c>
    </row>
    <row r="2376" spans="1:7" x14ac:dyDescent="0.25">
      <c r="A2376" s="1392" t="s">
        <v>2579</v>
      </c>
      <c r="B2376" s="1392" t="s">
        <v>2056</v>
      </c>
      <c r="C2376" s="1392" t="s">
        <v>1919</v>
      </c>
      <c r="D2376" s="1392" t="s">
        <v>1931</v>
      </c>
      <c r="E2376" s="1392" t="s">
        <v>1874</v>
      </c>
      <c r="F2376" s="1392" t="s">
        <v>1875</v>
      </c>
      <c r="G2376" s="1391">
        <v>402411</v>
      </c>
    </row>
    <row r="2377" spans="1:7" x14ac:dyDescent="0.25">
      <c r="A2377" s="1392" t="s">
        <v>2579</v>
      </c>
      <c r="B2377" s="1392" t="s">
        <v>2056</v>
      </c>
      <c r="C2377" s="1392" t="s">
        <v>1919</v>
      </c>
      <c r="D2377" s="1392" t="s">
        <v>1931</v>
      </c>
      <c r="E2377" s="4536" t="s">
        <v>1896</v>
      </c>
      <c r="F2377" s="4537"/>
      <c r="G2377" s="1391">
        <v>2968738179</v>
      </c>
    </row>
    <row r="2378" spans="1:7" x14ac:dyDescent="0.25">
      <c r="A2378" s="1392" t="s">
        <v>2579</v>
      </c>
      <c r="B2378" s="1392" t="s">
        <v>2056</v>
      </c>
      <c r="C2378" s="1392" t="s">
        <v>1919</v>
      </c>
      <c r="D2378" s="1392" t="s">
        <v>1931</v>
      </c>
      <c r="E2378" s="1392" t="s">
        <v>1896</v>
      </c>
      <c r="F2378" s="1392" t="s">
        <v>1932</v>
      </c>
      <c r="G2378" s="1391">
        <v>2935704953</v>
      </c>
    </row>
    <row r="2379" spans="1:7" x14ac:dyDescent="0.25">
      <c r="A2379" s="1392" t="s">
        <v>2579</v>
      </c>
      <c r="B2379" s="1392" t="s">
        <v>2056</v>
      </c>
      <c r="C2379" s="1392" t="s">
        <v>1919</v>
      </c>
      <c r="D2379" s="1392" t="s">
        <v>1931</v>
      </c>
      <c r="E2379" s="1392" t="s">
        <v>1896</v>
      </c>
      <c r="F2379" s="1392" t="s">
        <v>2006</v>
      </c>
      <c r="G2379" s="1391">
        <v>33033226</v>
      </c>
    </row>
    <row r="2380" spans="1:7" x14ac:dyDescent="0.25">
      <c r="A2380" s="1392" t="s">
        <v>2579</v>
      </c>
      <c r="B2380" s="1392" t="s">
        <v>2056</v>
      </c>
      <c r="C2380" s="1392" t="s">
        <v>1919</v>
      </c>
      <c r="D2380" s="1392" t="s">
        <v>1931</v>
      </c>
      <c r="E2380" s="4536" t="s">
        <v>1912</v>
      </c>
      <c r="F2380" s="4537"/>
      <c r="G2380" s="1391">
        <v>25416900</v>
      </c>
    </row>
    <row r="2381" spans="1:7" x14ac:dyDescent="0.25">
      <c r="A2381" s="1392" t="s">
        <v>2579</v>
      </c>
      <c r="B2381" s="1392" t="s">
        <v>2056</v>
      </c>
      <c r="C2381" s="1392" t="s">
        <v>1919</v>
      </c>
      <c r="D2381" s="1392" t="s">
        <v>1931</v>
      </c>
      <c r="E2381" s="1392" t="s">
        <v>1912</v>
      </c>
      <c r="F2381" s="1392" t="s">
        <v>1916</v>
      </c>
      <c r="G2381" s="1391">
        <v>25416900</v>
      </c>
    </row>
    <row r="2382" spans="1:7" x14ac:dyDescent="0.25">
      <c r="A2382" s="1392" t="s">
        <v>2579</v>
      </c>
      <c r="B2382" s="1392" t="s">
        <v>2056</v>
      </c>
      <c r="C2382" s="1392" t="s">
        <v>1919</v>
      </c>
      <c r="D2382" s="1392" t="s">
        <v>1931</v>
      </c>
      <c r="E2382" s="4536" t="s">
        <v>2030</v>
      </c>
      <c r="F2382" s="4537"/>
      <c r="G2382" s="1391">
        <v>747759</v>
      </c>
    </row>
    <row r="2383" spans="1:7" x14ac:dyDescent="0.25">
      <c r="A2383" s="1392" t="s">
        <v>2579</v>
      </c>
      <c r="B2383" s="1392" t="s">
        <v>2056</v>
      </c>
      <c r="C2383" s="1392" t="s">
        <v>1919</v>
      </c>
      <c r="D2383" s="1392" t="s">
        <v>1931</v>
      </c>
      <c r="E2383" s="1392" t="s">
        <v>2030</v>
      </c>
      <c r="F2383" s="1392" t="s">
        <v>2031</v>
      </c>
      <c r="G2383" s="1391">
        <v>747759</v>
      </c>
    </row>
    <row r="2384" spans="1:7" x14ac:dyDescent="0.25">
      <c r="A2384" s="1392" t="s">
        <v>2579</v>
      </c>
      <c r="B2384" s="1392" t="s">
        <v>2056</v>
      </c>
      <c r="C2384" s="1392" t="s">
        <v>1919</v>
      </c>
      <c r="D2384" s="1392" t="s">
        <v>1931</v>
      </c>
      <c r="E2384" s="4536" t="s">
        <v>2024</v>
      </c>
      <c r="F2384" s="4537"/>
      <c r="G2384" s="1391">
        <v>34316652834</v>
      </c>
    </row>
    <row r="2385" spans="1:7" x14ac:dyDescent="0.25">
      <c r="A2385" s="1392" t="s">
        <v>2579</v>
      </c>
      <c r="B2385" s="1392" t="s">
        <v>2056</v>
      </c>
      <c r="C2385" s="1392" t="s">
        <v>1919</v>
      </c>
      <c r="D2385" s="1392" t="s">
        <v>1931</v>
      </c>
      <c r="E2385" s="1392" t="s">
        <v>2024</v>
      </c>
      <c r="F2385" s="1392" t="s">
        <v>2025</v>
      </c>
      <c r="G2385" s="1391">
        <v>34316652834</v>
      </c>
    </row>
    <row r="2386" spans="1:7" x14ac:dyDescent="0.25">
      <c r="A2386" s="1392" t="s">
        <v>2579</v>
      </c>
      <c r="B2386" s="1392" t="s">
        <v>2056</v>
      </c>
      <c r="C2386" s="1392" t="s">
        <v>1919</v>
      </c>
      <c r="D2386" s="1392" t="s">
        <v>1931</v>
      </c>
      <c r="E2386" s="4536" t="s">
        <v>2026</v>
      </c>
      <c r="F2386" s="4537"/>
      <c r="G2386" s="1391">
        <v>1354713308</v>
      </c>
    </row>
    <row r="2387" spans="1:7" x14ac:dyDescent="0.25">
      <c r="A2387" s="1392" t="s">
        <v>2579</v>
      </c>
      <c r="B2387" s="1392" t="s">
        <v>2056</v>
      </c>
      <c r="C2387" s="1392" t="s">
        <v>1919</v>
      </c>
      <c r="D2387" s="1392" t="s">
        <v>1931</v>
      </c>
      <c r="E2387" s="1392" t="s">
        <v>2026</v>
      </c>
      <c r="F2387" s="1392" t="s">
        <v>2027</v>
      </c>
      <c r="G2387" s="1391">
        <v>797387228</v>
      </c>
    </row>
    <row r="2388" spans="1:7" x14ac:dyDescent="0.25">
      <c r="A2388" s="1392" t="s">
        <v>2579</v>
      </c>
      <c r="B2388" s="1392" t="s">
        <v>2056</v>
      </c>
      <c r="C2388" s="1392" t="s">
        <v>1919</v>
      </c>
      <c r="D2388" s="1392" t="s">
        <v>1931</v>
      </c>
      <c r="E2388" s="1392" t="s">
        <v>2026</v>
      </c>
      <c r="F2388" s="1392" t="s">
        <v>2028</v>
      </c>
      <c r="G2388" s="1391">
        <v>313140705</v>
      </c>
    </row>
    <row r="2389" spans="1:7" x14ac:dyDescent="0.25">
      <c r="A2389" s="1392" t="s">
        <v>2579</v>
      </c>
      <c r="B2389" s="1392" t="s">
        <v>2056</v>
      </c>
      <c r="C2389" s="1392" t="s">
        <v>1919</v>
      </c>
      <c r="D2389" s="1392" t="s">
        <v>1931</v>
      </c>
      <c r="E2389" s="1392" t="s">
        <v>2026</v>
      </c>
      <c r="F2389" s="1392" t="s">
        <v>2029</v>
      </c>
      <c r="G2389" s="1391">
        <v>244185375</v>
      </c>
    </row>
    <row r="2390" spans="1:7" x14ac:dyDescent="0.25">
      <c r="A2390" s="1392" t="s">
        <v>2579</v>
      </c>
      <c r="B2390" s="1392" t="s">
        <v>2056</v>
      </c>
      <c r="C2390" s="1392" t="s">
        <v>1919</v>
      </c>
      <c r="D2390" s="4536" t="s">
        <v>2053</v>
      </c>
      <c r="E2390" s="4537"/>
      <c r="F2390" s="4537"/>
      <c r="G2390" s="1391">
        <v>576709358</v>
      </c>
    </row>
    <row r="2391" spans="1:7" x14ac:dyDescent="0.25">
      <c r="A2391" s="1392" t="s">
        <v>2579</v>
      </c>
      <c r="B2391" s="1392" t="s">
        <v>2056</v>
      </c>
      <c r="C2391" s="1392" t="s">
        <v>1919</v>
      </c>
      <c r="D2391" s="1392" t="s">
        <v>2053</v>
      </c>
      <c r="E2391" s="4536" t="s">
        <v>1896</v>
      </c>
      <c r="F2391" s="4537"/>
      <c r="G2391" s="1391">
        <v>110822600</v>
      </c>
    </row>
    <row r="2392" spans="1:7" x14ac:dyDescent="0.25">
      <c r="A2392" s="1392" t="s">
        <v>2579</v>
      </c>
      <c r="B2392" s="1392" t="s">
        <v>2056</v>
      </c>
      <c r="C2392" s="1392" t="s">
        <v>1919</v>
      </c>
      <c r="D2392" s="1392" t="s">
        <v>2053</v>
      </c>
      <c r="E2392" s="1392" t="s">
        <v>1896</v>
      </c>
      <c r="F2392" s="1392" t="s">
        <v>1928</v>
      </c>
      <c r="G2392" s="1391">
        <v>110822600</v>
      </c>
    </row>
    <row r="2393" spans="1:7" x14ac:dyDescent="0.25">
      <c r="A2393" s="1392" t="s">
        <v>2579</v>
      </c>
      <c r="B2393" s="1392" t="s">
        <v>2056</v>
      </c>
      <c r="C2393" s="1392" t="s">
        <v>1919</v>
      </c>
      <c r="D2393" s="1392" t="s">
        <v>2053</v>
      </c>
      <c r="E2393" s="4536" t="s">
        <v>2024</v>
      </c>
      <c r="F2393" s="4537"/>
      <c r="G2393" s="1391">
        <v>396580940</v>
      </c>
    </row>
    <row r="2394" spans="1:7" x14ac:dyDescent="0.25">
      <c r="A2394" s="1392" t="s">
        <v>2579</v>
      </c>
      <c r="B2394" s="1392" t="s">
        <v>2056</v>
      </c>
      <c r="C2394" s="1392" t="s">
        <v>1919</v>
      </c>
      <c r="D2394" s="1392" t="s">
        <v>2053</v>
      </c>
      <c r="E2394" s="1392" t="s">
        <v>2024</v>
      </c>
      <c r="F2394" s="1392" t="s">
        <v>2025</v>
      </c>
      <c r="G2394" s="1391">
        <v>396580940</v>
      </c>
    </row>
    <row r="2395" spans="1:7" x14ac:dyDescent="0.25">
      <c r="A2395" s="1392" t="s">
        <v>2579</v>
      </c>
      <c r="B2395" s="1392" t="s">
        <v>2056</v>
      </c>
      <c r="C2395" s="1392" t="s">
        <v>1919</v>
      </c>
      <c r="D2395" s="1392" t="s">
        <v>2053</v>
      </c>
      <c r="E2395" s="4536" t="s">
        <v>2026</v>
      </c>
      <c r="F2395" s="4537"/>
      <c r="G2395" s="1391">
        <v>69305818</v>
      </c>
    </row>
    <row r="2396" spans="1:7" x14ac:dyDescent="0.25">
      <c r="A2396" s="1392" t="s">
        <v>2579</v>
      </c>
      <c r="B2396" s="1392" t="s">
        <v>2056</v>
      </c>
      <c r="C2396" s="1392" t="s">
        <v>1919</v>
      </c>
      <c r="D2396" s="1392" t="s">
        <v>2053</v>
      </c>
      <c r="E2396" s="1392" t="s">
        <v>2026</v>
      </c>
      <c r="F2396" s="1392" t="s">
        <v>2027</v>
      </c>
      <c r="G2396" s="1391">
        <v>62201313</v>
      </c>
    </row>
    <row r="2397" spans="1:7" x14ac:dyDescent="0.25">
      <c r="A2397" s="1392" t="s">
        <v>2579</v>
      </c>
      <c r="B2397" s="1392" t="s">
        <v>2056</v>
      </c>
      <c r="C2397" s="1392" t="s">
        <v>1919</v>
      </c>
      <c r="D2397" s="1392" t="s">
        <v>2053</v>
      </c>
      <c r="E2397" s="1392" t="s">
        <v>2026</v>
      </c>
      <c r="F2397" s="1392" t="s">
        <v>2028</v>
      </c>
      <c r="G2397" s="1391">
        <v>5000000</v>
      </c>
    </row>
    <row r="2398" spans="1:7" x14ac:dyDescent="0.25">
      <c r="A2398" s="1392" t="s">
        <v>2579</v>
      </c>
      <c r="B2398" s="1392" t="s">
        <v>2056</v>
      </c>
      <c r="C2398" s="1392" t="s">
        <v>1919</v>
      </c>
      <c r="D2398" s="1392" t="s">
        <v>2053</v>
      </c>
      <c r="E2398" s="1392" t="s">
        <v>2026</v>
      </c>
      <c r="F2398" s="1392" t="s">
        <v>2029</v>
      </c>
      <c r="G2398" s="1391">
        <v>2104505</v>
      </c>
    </row>
    <row r="2399" spans="1:7" x14ac:dyDescent="0.25">
      <c r="A2399" s="1392" t="s">
        <v>2579</v>
      </c>
      <c r="B2399" s="1392" t="s">
        <v>2056</v>
      </c>
      <c r="C2399" s="1392" t="s">
        <v>1919</v>
      </c>
      <c r="D2399" s="4536" t="s">
        <v>2054</v>
      </c>
      <c r="E2399" s="4537"/>
      <c r="F2399" s="4537"/>
      <c r="G2399" s="1391">
        <v>15841129</v>
      </c>
    </row>
    <row r="2400" spans="1:7" x14ac:dyDescent="0.25">
      <c r="A2400" s="1392" t="s">
        <v>2579</v>
      </c>
      <c r="B2400" s="1392" t="s">
        <v>2056</v>
      </c>
      <c r="C2400" s="1392" t="s">
        <v>1919</v>
      </c>
      <c r="D2400" s="1392" t="s">
        <v>2054</v>
      </c>
      <c r="E2400" s="4536" t="s">
        <v>1869</v>
      </c>
      <c r="F2400" s="4537"/>
      <c r="G2400" s="1391">
        <v>1841129</v>
      </c>
    </row>
    <row r="2401" spans="1:7" x14ac:dyDescent="0.25">
      <c r="A2401" s="1392" t="s">
        <v>2579</v>
      </c>
      <c r="B2401" s="1392" t="s">
        <v>2056</v>
      </c>
      <c r="C2401" s="1392" t="s">
        <v>1919</v>
      </c>
      <c r="D2401" s="1392" t="s">
        <v>2054</v>
      </c>
      <c r="E2401" s="1392" t="s">
        <v>1869</v>
      </c>
      <c r="F2401" s="1392" t="s">
        <v>1870</v>
      </c>
      <c r="G2401" s="1391">
        <v>1841129</v>
      </c>
    </row>
    <row r="2402" spans="1:7" x14ac:dyDescent="0.25">
      <c r="A2402" s="1392" t="s">
        <v>2579</v>
      </c>
      <c r="B2402" s="1392" t="s">
        <v>2056</v>
      </c>
      <c r="C2402" s="1392" t="s">
        <v>1919</v>
      </c>
      <c r="D2402" s="1392" t="s">
        <v>2054</v>
      </c>
      <c r="E2402" s="4536" t="s">
        <v>1912</v>
      </c>
      <c r="F2402" s="4537"/>
      <c r="G2402" s="1391">
        <v>14000000</v>
      </c>
    </row>
    <row r="2403" spans="1:7" x14ac:dyDescent="0.25">
      <c r="A2403" s="1392" t="s">
        <v>2579</v>
      </c>
      <c r="B2403" s="1392" t="s">
        <v>2056</v>
      </c>
      <c r="C2403" s="1392" t="s">
        <v>1919</v>
      </c>
      <c r="D2403" s="1392" t="s">
        <v>2054</v>
      </c>
      <c r="E2403" s="1392" t="s">
        <v>1912</v>
      </c>
      <c r="F2403" s="1392" t="s">
        <v>1916</v>
      </c>
      <c r="G2403" s="1391">
        <v>14000000</v>
      </c>
    </row>
    <row r="2404" spans="1:7" x14ac:dyDescent="0.25">
      <c r="A2404" s="1392" t="s">
        <v>2579</v>
      </c>
      <c r="B2404" s="1392" t="s">
        <v>2056</v>
      </c>
      <c r="C2404" s="1392" t="s">
        <v>1919</v>
      </c>
      <c r="D2404" s="4536" t="s">
        <v>2064</v>
      </c>
      <c r="E2404" s="4537"/>
      <c r="F2404" s="4537"/>
      <c r="G2404" s="1391">
        <v>197085194</v>
      </c>
    </row>
    <row r="2405" spans="1:7" x14ac:dyDescent="0.25">
      <c r="A2405" s="1392" t="s">
        <v>2579</v>
      </c>
      <c r="B2405" s="1392" t="s">
        <v>2056</v>
      </c>
      <c r="C2405" s="1392" t="s">
        <v>1919</v>
      </c>
      <c r="D2405" s="1392" t="s">
        <v>2064</v>
      </c>
      <c r="E2405" s="4536" t="s">
        <v>2030</v>
      </c>
      <c r="F2405" s="4537"/>
      <c r="G2405" s="1391">
        <v>99000</v>
      </c>
    </row>
    <row r="2406" spans="1:7" x14ac:dyDescent="0.25">
      <c r="A2406" s="1392" t="s">
        <v>2579</v>
      </c>
      <c r="B2406" s="1392" t="s">
        <v>2056</v>
      </c>
      <c r="C2406" s="1392" t="s">
        <v>1919</v>
      </c>
      <c r="D2406" s="1392" t="s">
        <v>2064</v>
      </c>
      <c r="E2406" s="1392" t="s">
        <v>2030</v>
      </c>
      <c r="F2406" s="1392" t="s">
        <v>2031</v>
      </c>
      <c r="G2406" s="1391">
        <v>99000</v>
      </c>
    </row>
    <row r="2407" spans="1:7" x14ac:dyDescent="0.25">
      <c r="A2407" s="1392" t="s">
        <v>2579</v>
      </c>
      <c r="B2407" s="1392" t="s">
        <v>2056</v>
      </c>
      <c r="C2407" s="1392" t="s">
        <v>1919</v>
      </c>
      <c r="D2407" s="1392" t="s">
        <v>2064</v>
      </c>
      <c r="E2407" s="4536" t="s">
        <v>2024</v>
      </c>
      <c r="F2407" s="4537"/>
      <c r="G2407" s="1391">
        <v>161939088</v>
      </c>
    </row>
    <row r="2408" spans="1:7" x14ac:dyDescent="0.25">
      <c r="A2408" s="1392" t="s">
        <v>2579</v>
      </c>
      <c r="B2408" s="1392" t="s">
        <v>2056</v>
      </c>
      <c r="C2408" s="1392" t="s">
        <v>1919</v>
      </c>
      <c r="D2408" s="1392" t="s">
        <v>2064</v>
      </c>
      <c r="E2408" s="1392" t="s">
        <v>2024</v>
      </c>
      <c r="F2408" s="1392" t="s">
        <v>2025</v>
      </c>
      <c r="G2408" s="1391">
        <v>161939088</v>
      </c>
    </row>
    <row r="2409" spans="1:7" x14ac:dyDescent="0.25">
      <c r="A2409" s="1392" t="s">
        <v>2579</v>
      </c>
      <c r="B2409" s="1392" t="s">
        <v>2056</v>
      </c>
      <c r="C2409" s="1392" t="s">
        <v>1919</v>
      </c>
      <c r="D2409" s="1392" t="s">
        <v>2064</v>
      </c>
      <c r="E2409" s="4536" t="s">
        <v>2026</v>
      </c>
      <c r="F2409" s="4537"/>
      <c r="G2409" s="1391">
        <v>35047106</v>
      </c>
    </row>
    <row r="2410" spans="1:7" x14ac:dyDescent="0.25">
      <c r="A2410" s="1392" t="s">
        <v>2579</v>
      </c>
      <c r="B2410" s="1392" t="s">
        <v>2056</v>
      </c>
      <c r="C2410" s="1392" t="s">
        <v>1919</v>
      </c>
      <c r="D2410" s="1392" t="s">
        <v>2064</v>
      </c>
      <c r="E2410" s="1392" t="s">
        <v>2026</v>
      </c>
      <c r="F2410" s="1392" t="s">
        <v>2027</v>
      </c>
      <c r="G2410" s="1391">
        <v>18895000</v>
      </c>
    </row>
    <row r="2411" spans="1:7" x14ac:dyDescent="0.25">
      <c r="A2411" s="1392" t="s">
        <v>2579</v>
      </c>
      <c r="B2411" s="1392" t="s">
        <v>2056</v>
      </c>
      <c r="C2411" s="1392" t="s">
        <v>1919</v>
      </c>
      <c r="D2411" s="1392" t="s">
        <v>2064</v>
      </c>
      <c r="E2411" s="1392" t="s">
        <v>2026</v>
      </c>
      <c r="F2411" s="1392" t="s">
        <v>2028</v>
      </c>
      <c r="G2411" s="1391">
        <v>11180000</v>
      </c>
    </row>
    <row r="2412" spans="1:7" x14ac:dyDescent="0.25">
      <c r="A2412" s="1392" t="s">
        <v>2579</v>
      </c>
      <c r="B2412" s="1392" t="s">
        <v>2056</v>
      </c>
      <c r="C2412" s="1392" t="s">
        <v>1919</v>
      </c>
      <c r="D2412" s="1392" t="s">
        <v>2064</v>
      </c>
      <c r="E2412" s="1392" t="s">
        <v>2026</v>
      </c>
      <c r="F2412" s="1392" t="s">
        <v>2029</v>
      </c>
      <c r="G2412" s="1391">
        <v>4972106</v>
      </c>
    </row>
    <row r="2413" spans="1:7" x14ac:dyDescent="0.25">
      <c r="A2413" s="1392" t="s">
        <v>2579</v>
      </c>
      <c r="B2413" s="1392" t="s">
        <v>2056</v>
      </c>
      <c r="C2413" s="1392" t="s">
        <v>1919</v>
      </c>
      <c r="D2413" s="4536" t="s">
        <v>2235</v>
      </c>
      <c r="E2413" s="4537"/>
      <c r="F2413" s="4537"/>
      <c r="G2413" s="1391">
        <v>1389360000</v>
      </c>
    </row>
    <row r="2414" spans="1:7" x14ac:dyDescent="0.25">
      <c r="A2414" s="1392" t="s">
        <v>2579</v>
      </c>
      <c r="B2414" s="1392" t="s">
        <v>2056</v>
      </c>
      <c r="C2414" s="1392" t="s">
        <v>1919</v>
      </c>
      <c r="D2414" s="1392" t="s">
        <v>2235</v>
      </c>
      <c r="E2414" s="4536" t="s">
        <v>1874</v>
      </c>
      <c r="F2414" s="4537"/>
      <c r="G2414" s="1391">
        <v>30000000</v>
      </c>
    </row>
    <row r="2415" spans="1:7" x14ac:dyDescent="0.25">
      <c r="A2415" s="1392" t="s">
        <v>2579</v>
      </c>
      <c r="B2415" s="1392" t="s">
        <v>2056</v>
      </c>
      <c r="C2415" s="1392" t="s">
        <v>1919</v>
      </c>
      <c r="D2415" s="1392" t="s">
        <v>2235</v>
      </c>
      <c r="E2415" s="1392" t="s">
        <v>1874</v>
      </c>
      <c r="F2415" s="1392" t="s">
        <v>1876</v>
      </c>
      <c r="G2415" s="1391">
        <v>30000000</v>
      </c>
    </row>
    <row r="2416" spans="1:7" x14ac:dyDescent="0.25">
      <c r="A2416" s="1392" t="s">
        <v>2579</v>
      </c>
      <c r="B2416" s="1392" t="s">
        <v>2056</v>
      </c>
      <c r="C2416" s="1392" t="s">
        <v>1919</v>
      </c>
      <c r="D2416" s="1392" t="s">
        <v>2235</v>
      </c>
      <c r="E2416" s="4536" t="s">
        <v>1878</v>
      </c>
      <c r="F2416" s="4537"/>
      <c r="G2416" s="1391">
        <v>15000000</v>
      </c>
    </row>
    <row r="2417" spans="1:7" x14ac:dyDescent="0.25">
      <c r="A2417" s="1392" t="s">
        <v>2579</v>
      </c>
      <c r="B2417" s="1392" t="s">
        <v>2056</v>
      </c>
      <c r="C2417" s="1392" t="s">
        <v>1919</v>
      </c>
      <c r="D2417" s="1392" t="s">
        <v>2235</v>
      </c>
      <c r="E2417" s="1392" t="s">
        <v>1878</v>
      </c>
      <c r="F2417" s="1392" t="s">
        <v>1882</v>
      </c>
      <c r="G2417" s="1391">
        <v>15000000</v>
      </c>
    </row>
    <row r="2418" spans="1:7" x14ac:dyDescent="0.25">
      <c r="A2418" s="1392" t="s">
        <v>2579</v>
      </c>
      <c r="B2418" s="1392" t="s">
        <v>2056</v>
      </c>
      <c r="C2418" s="1392" t="s">
        <v>1919</v>
      </c>
      <c r="D2418" s="1392" t="s">
        <v>2235</v>
      </c>
      <c r="E2418" s="4536" t="s">
        <v>1923</v>
      </c>
      <c r="F2418" s="4537"/>
      <c r="G2418" s="1391">
        <v>353680000</v>
      </c>
    </row>
    <row r="2419" spans="1:7" x14ac:dyDescent="0.25">
      <c r="A2419" s="1392" t="s">
        <v>2579</v>
      </c>
      <c r="B2419" s="1392" t="s">
        <v>2056</v>
      </c>
      <c r="C2419" s="1392" t="s">
        <v>1919</v>
      </c>
      <c r="D2419" s="1392" t="s">
        <v>2235</v>
      </c>
      <c r="E2419" s="1392" t="s">
        <v>1923</v>
      </c>
      <c r="F2419" s="1392" t="s">
        <v>2007</v>
      </c>
      <c r="G2419" s="1391">
        <v>353680000</v>
      </c>
    </row>
    <row r="2420" spans="1:7" x14ac:dyDescent="0.25">
      <c r="A2420" s="1392" t="s">
        <v>2579</v>
      </c>
      <c r="B2420" s="1392" t="s">
        <v>2056</v>
      </c>
      <c r="C2420" s="1392" t="s">
        <v>1919</v>
      </c>
      <c r="D2420" s="1392" t="s">
        <v>2235</v>
      </c>
      <c r="E2420" s="4536" t="s">
        <v>1912</v>
      </c>
      <c r="F2420" s="4537"/>
      <c r="G2420" s="1391">
        <v>16000000</v>
      </c>
    </row>
    <row r="2421" spans="1:7" x14ac:dyDescent="0.25">
      <c r="A2421" s="1392" t="s">
        <v>2579</v>
      </c>
      <c r="B2421" s="1392" t="s">
        <v>2056</v>
      </c>
      <c r="C2421" s="1392" t="s">
        <v>1919</v>
      </c>
      <c r="D2421" s="1392" t="s">
        <v>2235</v>
      </c>
      <c r="E2421" s="1392" t="s">
        <v>1912</v>
      </c>
      <c r="F2421" s="1392" t="s">
        <v>1916</v>
      </c>
      <c r="G2421" s="1391">
        <v>16000000</v>
      </c>
    </row>
    <row r="2422" spans="1:7" x14ac:dyDescent="0.25">
      <c r="A2422" s="1392" t="s">
        <v>2579</v>
      </c>
      <c r="B2422" s="1392" t="s">
        <v>2056</v>
      </c>
      <c r="C2422" s="1392" t="s">
        <v>1919</v>
      </c>
      <c r="D2422" s="1392" t="s">
        <v>2235</v>
      </c>
      <c r="E2422" s="4536" t="s">
        <v>2026</v>
      </c>
      <c r="F2422" s="4537"/>
      <c r="G2422" s="1391">
        <v>974680000</v>
      </c>
    </row>
    <row r="2423" spans="1:7" x14ac:dyDescent="0.25">
      <c r="A2423" s="1392" t="s">
        <v>2579</v>
      </c>
      <c r="B2423" s="1392" t="s">
        <v>2056</v>
      </c>
      <c r="C2423" s="1392" t="s">
        <v>1919</v>
      </c>
      <c r="D2423" s="1392" t="s">
        <v>2235</v>
      </c>
      <c r="E2423" s="1392" t="s">
        <v>2026</v>
      </c>
      <c r="F2423" s="1392" t="s">
        <v>2029</v>
      </c>
      <c r="G2423" s="1391">
        <v>974680000</v>
      </c>
    </row>
    <row r="2424" spans="1:7" x14ac:dyDescent="0.25">
      <c r="A2424" s="1392" t="s">
        <v>2579</v>
      </c>
      <c r="B2424" s="1392" t="s">
        <v>2056</v>
      </c>
      <c r="C2424" s="4536" t="s">
        <v>1846</v>
      </c>
      <c r="D2424" s="4537"/>
      <c r="E2424" s="4537"/>
      <c r="F2424" s="4537"/>
      <c r="G2424" s="1391">
        <v>76218247330</v>
      </c>
    </row>
    <row r="2425" spans="1:7" x14ac:dyDescent="0.25">
      <c r="A2425" s="1392" t="s">
        <v>2579</v>
      </c>
      <c r="B2425" s="1392" t="s">
        <v>2056</v>
      </c>
      <c r="C2425" s="1392" t="s">
        <v>1846</v>
      </c>
      <c r="D2425" s="4536" t="s">
        <v>1847</v>
      </c>
      <c r="E2425" s="4537"/>
      <c r="F2425" s="4537"/>
      <c r="G2425" s="1391">
        <v>45320560598</v>
      </c>
    </row>
    <row r="2426" spans="1:7" x14ac:dyDescent="0.25">
      <c r="A2426" s="1392" t="s">
        <v>2579</v>
      </c>
      <c r="B2426" s="1392" t="s">
        <v>2056</v>
      </c>
      <c r="C2426" s="1392" t="s">
        <v>1846</v>
      </c>
      <c r="D2426" s="1392" t="s">
        <v>1847</v>
      </c>
      <c r="E2426" s="4536" t="s">
        <v>1848</v>
      </c>
      <c r="F2426" s="4537"/>
      <c r="G2426" s="1391">
        <v>12913082313</v>
      </c>
    </row>
    <row r="2427" spans="1:7" x14ac:dyDescent="0.25">
      <c r="A2427" s="1392" t="s">
        <v>2579</v>
      </c>
      <c r="B2427" s="1392" t="s">
        <v>2056</v>
      </c>
      <c r="C2427" s="1392" t="s">
        <v>1846</v>
      </c>
      <c r="D2427" s="1392" t="s">
        <v>1847</v>
      </c>
      <c r="E2427" s="1392" t="s">
        <v>1848</v>
      </c>
      <c r="F2427" s="1392" t="s">
        <v>1849</v>
      </c>
      <c r="G2427" s="1391">
        <v>12913082313</v>
      </c>
    </row>
    <row r="2428" spans="1:7" x14ac:dyDescent="0.25">
      <c r="A2428" s="1392" t="s">
        <v>2579</v>
      </c>
      <c r="B2428" s="1392" t="s">
        <v>2056</v>
      </c>
      <c r="C2428" s="1392" t="s">
        <v>1846</v>
      </c>
      <c r="D2428" s="1392" t="s">
        <v>1847</v>
      </c>
      <c r="E2428" s="4536" t="s">
        <v>1853</v>
      </c>
      <c r="F2428" s="4537"/>
      <c r="G2428" s="1391">
        <v>10223663915</v>
      </c>
    </row>
    <row r="2429" spans="1:7" x14ac:dyDescent="0.25">
      <c r="A2429" s="1392" t="s">
        <v>2579</v>
      </c>
      <c r="B2429" s="1392" t="s">
        <v>2056</v>
      </c>
      <c r="C2429" s="1392" t="s">
        <v>1846</v>
      </c>
      <c r="D2429" s="1392" t="s">
        <v>1847</v>
      </c>
      <c r="E2429" s="1392" t="s">
        <v>1853</v>
      </c>
      <c r="F2429" s="1392" t="s">
        <v>1854</v>
      </c>
      <c r="G2429" s="1391">
        <v>213863515</v>
      </c>
    </row>
    <row r="2430" spans="1:7" x14ac:dyDescent="0.25">
      <c r="A2430" s="1392" t="s">
        <v>2579</v>
      </c>
      <c r="B2430" s="1392" t="s">
        <v>2056</v>
      </c>
      <c r="C2430" s="1392" t="s">
        <v>1846</v>
      </c>
      <c r="D2430" s="1392" t="s">
        <v>1847</v>
      </c>
      <c r="E2430" s="1392" t="s">
        <v>1853</v>
      </c>
      <c r="F2430" s="1392" t="s">
        <v>1855</v>
      </c>
      <c r="G2430" s="1391">
        <v>2234851000</v>
      </c>
    </row>
    <row r="2431" spans="1:7" x14ac:dyDescent="0.25">
      <c r="A2431" s="1392" t="s">
        <v>2579</v>
      </c>
      <c r="B2431" s="1392" t="s">
        <v>2056</v>
      </c>
      <c r="C2431" s="1392" t="s">
        <v>1846</v>
      </c>
      <c r="D2431" s="1392" t="s">
        <v>1847</v>
      </c>
      <c r="E2431" s="1392" t="s">
        <v>1853</v>
      </c>
      <c r="F2431" s="1392" t="s">
        <v>1935</v>
      </c>
      <c r="G2431" s="1391">
        <v>653449930</v>
      </c>
    </row>
    <row r="2432" spans="1:7" x14ac:dyDescent="0.25">
      <c r="A2432" s="1392" t="s">
        <v>2579</v>
      </c>
      <c r="B2432" s="1392" t="s">
        <v>2056</v>
      </c>
      <c r="C2432" s="1392" t="s">
        <v>1846</v>
      </c>
      <c r="D2432" s="1392" t="s">
        <v>1847</v>
      </c>
      <c r="E2432" s="1392" t="s">
        <v>1853</v>
      </c>
      <c r="F2432" s="1392" t="s">
        <v>1856</v>
      </c>
      <c r="G2432" s="1391">
        <v>593071032</v>
      </c>
    </row>
    <row r="2433" spans="1:7" x14ac:dyDescent="0.25">
      <c r="A2433" s="1392" t="s">
        <v>2579</v>
      </c>
      <c r="B2433" s="1392" t="s">
        <v>2056</v>
      </c>
      <c r="C2433" s="1392" t="s">
        <v>1846</v>
      </c>
      <c r="D2433" s="1392" t="s">
        <v>1847</v>
      </c>
      <c r="E2433" s="1392" t="s">
        <v>1853</v>
      </c>
      <c r="F2433" s="1392" t="s">
        <v>1857</v>
      </c>
      <c r="G2433" s="1391">
        <v>2414698470</v>
      </c>
    </row>
    <row r="2434" spans="1:7" x14ac:dyDescent="0.25">
      <c r="A2434" s="1392" t="s">
        <v>2579</v>
      </c>
      <c r="B2434" s="1392" t="s">
        <v>2056</v>
      </c>
      <c r="C2434" s="1392" t="s">
        <v>1846</v>
      </c>
      <c r="D2434" s="1392" t="s">
        <v>1847</v>
      </c>
      <c r="E2434" s="1392" t="s">
        <v>1853</v>
      </c>
      <c r="F2434" s="1392" t="s">
        <v>1858</v>
      </c>
      <c r="G2434" s="1391">
        <v>75841000</v>
      </c>
    </row>
    <row r="2435" spans="1:7" x14ac:dyDescent="0.25">
      <c r="A2435" s="1392" t="s">
        <v>2579</v>
      </c>
      <c r="B2435" s="1392" t="s">
        <v>2056</v>
      </c>
      <c r="C2435" s="1392" t="s">
        <v>1846</v>
      </c>
      <c r="D2435" s="1392" t="s">
        <v>1847</v>
      </c>
      <c r="E2435" s="1392" t="s">
        <v>1853</v>
      </c>
      <c r="F2435" s="1392" t="s">
        <v>1929</v>
      </c>
      <c r="G2435" s="1391">
        <v>489488</v>
      </c>
    </row>
    <row r="2436" spans="1:7" x14ac:dyDescent="0.25">
      <c r="A2436" s="1392" t="s">
        <v>2579</v>
      </c>
      <c r="B2436" s="1392" t="s">
        <v>2056</v>
      </c>
      <c r="C2436" s="1392" t="s">
        <v>1846</v>
      </c>
      <c r="D2436" s="1392" t="s">
        <v>1847</v>
      </c>
      <c r="E2436" s="1392" t="s">
        <v>1853</v>
      </c>
      <c r="F2436" s="1392" t="s">
        <v>1938</v>
      </c>
      <c r="G2436" s="1391">
        <v>243019000</v>
      </c>
    </row>
    <row r="2437" spans="1:7" x14ac:dyDescent="0.25">
      <c r="A2437" s="1392" t="s">
        <v>2579</v>
      </c>
      <c r="B2437" s="1392" t="s">
        <v>2056</v>
      </c>
      <c r="C2437" s="1392" t="s">
        <v>1846</v>
      </c>
      <c r="D2437" s="1392" t="s">
        <v>1847</v>
      </c>
      <c r="E2437" s="1392" t="s">
        <v>1853</v>
      </c>
      <c r="F2437" s="1392" t="s">
        <v>1859</v>
      </c>
      <c r="G2437" s="1391">
        <v>3279709680</v>
      </c>
    </row>
    <row r="2438" spans="1:7" x14ac:dyDescent="0.25">
      <c r="A2438" s="1392" t="s">
        <v>2579</v>
      </c>
      <c r="B2438" s="1392" t="s">
        <v>2056</v>
      </c>
      <c r="C2438" s="1392" t="s">
        <v>1846</v>
      </c>
      <c r="D2438" s="1392" t="s">
        <v>1847</v>
      </c>
      <c r="E2438" s="1392" t="s">
        <v>1853</v>
      </c>
      <c r="F2438" s="1392" t="s">
        <v>1939</v>
      </c>
      <c r="G2438" s="1391">
        <v>514670800</v>
      </c>
    </row>
    <row r="2439" spans="1:7" x14ac:dyDescent="0.25">
      <c r="A2439" s="1392" t="s">
        <v>2579</v>
      </c>
      <c r="B2439" s="1392" t="s">
        <v>2056</v>
      </c>
      <c r="C2439" s="1392" t="s">
        <v>1846</v>
      </c>
      <c r="D2439" s="1392" t="s">
        <v>1847</v>
      </c>
      <c r="E2439" s="4536" t="s">
        <v>1860</v>
      </c>
      <c r="F2439" s="4537"/>
      <c r="G2439" s="1391">
        <v>297888500</v>
      </c>
    </row>
    <row r="2440" spans="1:7" x14ac:dyDescent="0.25">
      <c r="A2440" s="1392" t="s">
        <v>2579</v>
      </c>
      <c r="B2440" s="1392" t="s">
        <v>2056</v>
      </c>
      <c r="C2440" s="1392" t="s">
        <v>1846</v>
      </c>
      <c r="D2440" s="1392" t="s">
        <v>1847</v>
      </c>
      <c r="E2440" s="1392" t="s">
        <v>1860</v>
      </c>
      <c r="F2440" s="1392" t="s">
        <v>1861</v>
      </c>
      <c r="G2440" s="1391">
        <v>251713500</v>
      </c>
    </row>
    <row r="2441" spans="1:7" x14ac:dyDescent="0.25">
      <c r="A2441" s="1392" t="s">
        <v>2579</v>
      </c>
      <c r="B2441" s="1392" t="s">
        <v>2056</v>
      </c>
      <c r="C2441" s="1392" t="s">
        <v>1846</v>
      </c>
      <c r="D2441" s="1392" t="s">
        <v>1847</v>
      </c>
      <c r="E2441" s="1392" t="s">
        <v>1860</v>
      </c>
      <c r="F2441" s="1392" t="s">
        <v>1930</v>
      </c>
      <c r="G2441" s="1391">
        <v>46175000</v>
      </c>
    </row>
    <row r="2442" spans="1:7" x14ac:dyDescent="0.25">
      <c r="A2442" s="1392" t="s">
        <v>2579</v>
      </c>
      <c r="B2442" s="1392" t="s">
        <v>2056</v>
      </c>
      <c r="C2442" s="1392" t="s">
        <v>1846</v>
      </c>
      <c r="D2442" s="1392" t="s">
        <v>1847</v>
      </c>
      <c r="E2442" s="4536" t="s">
        <v>1862</v>
      </c>
      <c r="F2442" s="4537"/>
      <c r="G2442" s="1391">
        <v>3133492083</v>
      </c>
    </row>
    <row r="2443" spans="1:7" x14ac:dyDescent="0.25">
      <c r="A2443" s="1392" t="s">
        <v>2579</v>
      </c>
      <c r="B2443" s="1392" t="s">
        <v>2056</v>
      </c>
      <c r="C2443" s="1392" t="s">
        <v>1846</v>
      </c>
      <c r="D2443" s="1392" t="s">
        <v>1847</v>
      </c>
      <c r="E2443" s="1392" t="s">
        <v>1862</v>
      </c>
      <c r="F2443" s="1392" t="s">
        <v>1863</v>
      </c>
      <c r="G2443" s="1391">
        <v>2359931357</v>
      </c>
    </row>
    <row r="2444" spans="1:7" x14ac:dyDescent="0.25">
      <c r="A2444" s="1392" t="s">
        <v>2579</v>
      </c>
      <c r="B2444" s="1392" t="s">
        <v>2056</v>
      </c>
      <c r="C2444" s="1392" t="s">
        <v>1846</v>
      </c>
      <c r="D2444" s="1392" t="s">
        <v>1847</v>
      </c>
      <c r="E2444" s="1392" t="s">
        <v>1862</v>
      </c>
      <c r="F2444" s="1392" t="s">
        <v>1864</v>
      </c>
      <c r="G2444" s="1391">
        <v>524577027</v>
      </c>
    </row>
    <row r="2445" spans="1:7" x14ac:dyDescent="0.25">
      <c r="A2445" s="1392" t="s">
        <v>2579</v>
      </c>
      <c r="B2445" s="1392" t="s">
        <v>2056</v>
      </c>
      <c r="C2445" s="1392" t="s">
        <v>1846</v>
      </c>
      <c r="D2445" s="1392" t="s">
        <v>1847</v>
      </c>
      <c r="E2445" s="1392" t="s">
        <v>1862</v>
      </c>
      <c r="F2445" s="1392" t="s">
        <v>1865</v>
      </c>
      <c r="G2445" s="1391">
        <v>248983699</v>
      </c>
    </row>
    <row r="2446" spans="1:7" x14ac:dyDescent="0.25">
      <c r="A2446" s="1392" t="s">
        <v>2579</v>
      </c>
      <c r="B2446" s="1392" t="s">
        <v>2056</v>
      </c>
      <c r="C2446" s="1392" t="s">
        <v>1846</v>
      </c>
      <c r="D2446" s="1392" t="s">
        <v>1847</v>
      </c>
      <c r="E2446" s="4536" t="s">
        <v>2057</v>
      </c>
      <c r="F2446" s="4537"/>
      <c r="G2446" s="1391">
        <v>4806603145</v>
      </c>
    </row>
    <row r="2447" spans="1:7" x14ac:dyDescent="0.25">
      <c r="A2447" s="1392" t="s">
        <v>2579</v>
      </c>
      <c r="B2447" s="1392" t="s">
        <v>2056</v>
      </c>
      <c r="C2447" s="1392" t="s">
        <v>1846</v>
      </c>
      <c r="D2447" s="1392" t="s">
        <v>1847</v>
      </c>
      <c r="E2447" s="1392" t="s">
        <v>2057</v>
      </c>
      <c r="F2447" s="1392" t="s">
        <v>2058</v>
      </c>
      <c r="G2447" s="1391">
        <v>1720337477</v>
      </c>
    </row>
    <row r="2448" spans="1:7" x14ac:dyDescent="0.25">
      <c r="A2448" s="1392" t="s">
        <v>2579</v>
      </c>
      <c r="B2448" s="1392" t="s">
        <v>2056</v>
      </c>
      <c r="C2448" s="1392" t="s">
        <v>1846</v>
      </c>
      <c r="D2448" s="1392" t="s">
        <v>1847</v>
      </c>
      <c r="E2448" s="1392" t="s">
        <v>2057</v>
      </c>
      <c r="F2448" s="1392" t="s">
        <v>2059</v>
      </c>
      <c r="G2448" s="1391">
        <v>3086265668</v>
      </c>
    </row>
    <row r="2449" spans="1:7" x14ac:dyDescent="0.25">
      <c r="A2449" s="1392" t="s">
        <v>2579</v>
      </c>
      <c r="B2449" s="1392" t="s">
        <v>2056</v>
      </c>
      <c r="C2449" s="1392" t="s">
        <v>1846</v>
      </c>
      <c r="D2449" s="1392" t="s">
        <v>1847</v>
      </c>
      <c r="E2449" s="4536" t="s">
        <v>1867</v>
      </c>
      <c r="F2449" s="4537"/>
      <c r="G2449" s="1391">
        <v>774939742</v>
      </c>
    </row>
    <row r="2450" spans="1:7" x14ac:dyDescent="0.25">
      <c r="A2450" s="1392" t="s">
        <v>2579</v>
      </c>
      <c r="B2450" s="1392" t="s">
        <v>2056</v>
      </c>
      <c r="C2450" s="1392" t="s">
        <v>1846</v>
      </c>
      <c r="D2450" s="1392" t="s">
        <v>1847</v>
      </c>
      <c r="E2450" s="1392" t="s">
        <v>1867</v>
      </c>
      <c r="F2450" s="1392" t="s">
        <v>1868</v>
      </c>
      <c r="G2450" s="1391">
        <v>774939742</v>
      </c>
    </row>
    <row r="2451" spans="1:7" x14ac:dyDescent="0.25">
      <c r="A2451" s="1392" t="s">
        <v>2579</v>
      </c>
      <c r="B2451" s="1392" t="s">
        <v>2056</v>
      </c>
      <c r="C2451" s="1392" t="s">
        <v>1846</v>
      </c>
      <c r="D2451" s="1392" t="s">
        <v>1847</v>
      </c>
      <c r="E2451" s="4536" t="s">
        <v>1869</v>
      </c>
      <c r="F2451" s="4537"/>
      <c r="G2451" s="1391">
        <v>373321543</v>
      </c>
    </row>
    <row r="2452" spans="1:7" x14ac:dyDescent="0.25">
      <c r="A2452" s="1392" t="s">
        <v>2579</v>
      </c>
      <c r="B2452" s="1392" t="s">
        <v>2056</v>
      </c>
      <c r="C2452" s="1392" t="s">
        <v>1846</v>
      </c>
      <c r="D2452" s="1392" t="s">
        <v>1847</v>
      </c>
      <c r="E2452" s="1392" t="s">
        <v>1869</v>
      </c>
      <c r="F2452" s="1392" t="s">
        <v>1870</v>
      </c>
      <c r="G2452" s="1391">
        <v>367393169</v>
      </c>
    </row>
    <row r="2453" spans="1:7" x14ac:dyDescent="0.25">
      <c r="A2453" s="1392" t="s">
        <v>2579</v>
      </c>
      <c r="B2453" s="1392" t="s">
        <v>2056</v>
      </c>
      <c r="C2453" s="1392" t="s">
        <v>1846</v>
      </c>
      <c r="D2453" s="1392" t="s">
        <v>1847</v>
      </c>
      <c r="E2453" s="1392" t="s">
        <v>1869</v>
      </c>
      <c r="F2453" s="1392" t="s">
        <v>1871</v>
      </c>
      <c r="G2453" s="1391">
        <v>4343374</v>
      </c>
    </row>
    <row r="2454" spans="1:7" x14ac:dyDescent="0.25">
      <c r="A2454" s="1392" t="s">
        <v>2579</v>
      </c>
      <c r="B2454" s="1392" t="s">
        <v>2056</v>
      </c>
      <c r="C2454" s="1392" t="s">
        <v>1846</v>
      </c>
      <c r="D2454" s="1392" t="s">
        <v>1847</v>
      </c>
      <c r="E2454" s="1392" t="s">
        <v>1869</v>
      </c>
      <c r="F2454" s="1392" t="s">
        <v>1872</v>
      </c>
      <c r="G2454" s="1391">
        <v>265000</v>
      </c>
    </row>
    <row r="2455" spans="1:7" x14ac:dyDescent="0.25">
      <c r="A2455" s="1392" t="s">
        <v>2579</v>
      </c>
      <c r="B2455" s="1392" t="s">
        <v>2056</v>
      </c>
      <c r="C2455" s="1392" t="s">
        <v>1846</v>
      </c>
      <c r="D2455" s="1392" t="s">
        <v>1847</v>
      </c>
      <c r="E2455" s="1392" t="s">
        <v>1869</v>
      </c>
      <c r="F2455" s="1392" t="s">
        <v>1873</v>
      </c>
      <c r="G2455" s="1391">
        <v>1320000</v>
      </c>
    </row>
    <row r="2456" spans="1:7" x14ac:dyDescent="0.25">
      <c r="A2456" s="1392" t="s">
        <v>2579</v>
      </c>
      <c r="B2456" s="1392" t="s">
        <v>2056</v>
      </c>
      <c r="C2456" s="1392" t="s">
        <v>1846</v>
      </c>
      <c r="D2456" s="1392" t="s">
        <v>1847</v>
      </c>
      <c r="E2456" s="4536" t="s">
        <v>1874</v>
      </c>
      <c r="F2456" s="4537"/>
      <c r="G2456" s="1391">
        <v>1698883401</v>
      </c>
    </row>
    <row r="2457" spans="1:7" x14ac:dyDescent="0.25">
      <c r="A2457" s="1392" t="s">
        <v>2579</v>
      </c>
      <c r="B2457" s="1392" t="s">
        <v>2056</v>
      </c>
      <c r="C2457" s="1392" t="s">
        <v>1846</v>
      </c>
      <c r="D2457" s="1392" t="s">
        <v>1847</v>
      </c>
      <c r="E2457" s="1392" t="s">
        <v>1874</v>
      </c>
      <c r="F2457" s="1392" t="s">
        <v>1875</v>
      </c>
      <c r="G2457" s="1391">
        <v>833902401</v>
      </c>
    </row>
    <row r="2458" spans="1:7" x14ac:dyDescent="0.25">
      <c r="A2458" s="1392" t="s">
        <v>2579</v>
      </c>
      <c r="B2458" s="1392" t="s">
        <v>2056</v>
      </c>
      <c r="C2458" s="1392" t="s">
        <v>1846</v>
      </c>
      <c r="D2458" s="1392" t="s">
        <v>1847</v>
      </c>
      <c r="E2458" s="1392" t="s">
        <v>1874</v>
      </c>
      <c r="F2458" s="1392" t="s">
        <v>1876</v>
      </c>
      <c r="G2458" s="1391">
        <v>522780000</v>
      </c>
    </row>
    <row r="2459" spans="1:7" x14ac:dyDescent="0.25">
      <c r="A2459" s="1392" t="s">
        <v>2579</v>
      </c>
      <c r="B2459" s="1392" t="s">
        <v>2056</v>
      </c>
      <c r="C2459" s="1392" t="s">
        <v>1846</v>
      </c>
      <c r="D2459" s="1392" t="s">
        <v>1847</v>
      </c>
      <c r="E2459" s="1392" t="s">
        <v>1874</v>
      </c>
      <c r="F2459" s="1392" t="s">
        <v>1877</v>
      </c>
      <c r="G2459" s="1391">
        <v>342201000</v>
      </c>
    </row>
    <row r="2460" spans="1:7" x14ac:dyDescent="0.25">
      <c r="A2460" s="1392" t="s">
        <v>2579</v>
      </c>
      <c r="B2460" s="1392" t="s">
        <v>2056</v>
      </c>
      <c r="C2460" s="1392" t="s">
        <v>1846</v>
      </c>
      <c r="D2460" s="1392" t="s">
        <v>1847</v>
      </c>
      <c r="E2460" s="4536" t="s">
        <v>1878</v>
      </c>
      <c r="F2460" s="4537"/>
      <c r="G2460" s="1391">
        <v>439898924</v>
      </c>
    </row>
    <row r="2461" spans="1:7" x14ac:dyDescent="0.25">
      <c r="A2461" s="1392" t="s">
        <v>2579</v>
      </c>
      <c r="B2461" s="1392" t="s">
        <v>2056</v>
      </c>
      <c r="C2461" s="1392" t="s">
        <v>1846</v>
      </c>
      <c r="D2461" s="1392" t="s">
        <v>1847</v>
      </c>
      <c r="E2461" s="1392" t="s">
        <v>1878</v>
      </c>
      <c r="F2461" s="1392" t="s">
        <v>1879</v>
      </c>
      <c r="G2461" s="1391">
        <v>28986569</v>
      </c>
    </row>
    <row r="2462" spans="1:7" x14ac:dyDescent="0.25">
      <c r="A2462" s="1392" t="s">
        <v>2579</v>
      </c>
      <c r="B2462" s="1392" t="s">
        <v>2056</v>
      </c>
      <c r="C2462" s="1392" t="s">
        <v>1846</v>
      </c>
      <c r="D2462" s="1392" t="s">
        <v>1847</v>
      </c>
      <c r="E2462" s="1392" t="s">
        <v>1878</v>
      </c>
      <c r="F2462" s="1392" t="s">
        <v>1880</v>
      </c>
      <c r="G2462" s="1391">
        <v>20458009</v>
      </c>
    </row>
    <row r="2463" spans="1:7" x14ac:dyDescent="0.25">
      <c r="A2463" s="1392" t="s">
        <v>2579</v>
      </c>
      <c r="B2463" s="1392" t="s">
        <v>2056</v>
      </c>
      <c r="C2463" s="1392" t="s">
        <v>1846</v>
      </c>
      <c r="D2463" s="1392" t="s">
        <v>1847</v>
      </c>
      <c r="E2463" s="1392" t="s">
        <v>1878</v>
      </c>
      <c r="F2463" s="1392" t="s">
        <v>1881</v>
      </c>
      <c r="G2463" s="1391">
        <v>233380849</v>
      </c>
    </row>
    <row r="2464" spans="1:7" x14ac:dyDescent="0.25">
      <c r="A2464" s="1392" t="s">
        <v>2579</v>
      </c>
      <c r="B2464" s="1392" t="s">
        <v>2056</v>
      </c>
      <c r="C2464" s="1392" t="s">
        <v>1846</v>
      </c>
      <c r="D2464" s="1392" t="s">
        <v>1847</v>
      </c>
      <c r="E2464" s="1392" t="s">
        <v>1878</v>
      </c>
      <c r="F2464" s="1392" t="s">
        <v>1882</v>
      </c>
      <c r="G2464" s="1391">
        <v>38728400</v>
      </c>
    </row>
    <row r="2465" spans="1:7" x14ac:dyDescent="0.25">
      <c r="A2465" s="1392" t="s">
        <v>2579</v>
      </c>
      <c r="B2465" s="1392" t="s">
        <v>2056</v>
      </c>
      <c r="C2465" s="1392" t="s">
        <v>1846</v>
      </c>
      <c r="D2465" s="1392" t="s">
        <v>1847</v>
      </c>
      <c r="E2465" s="1392" t="s">
        <v>1878</v>
      </c>
      <c r="F2465" s="1392" t="s">
        <v>1883</v>
      </c>
      <c r="G2465" s="1391">
        <v>108550800</v>
      </c>
    </row>
    <row r="2466" spans="1:7" x14ac:dyDescent="0.25">
      <c r="A2466" s="1392" t="s">
        <v>2579</v>
      </c>
      <c r="B2466" s="1392" t="s">
        <v>2056</v>
      </c>
      <c r="C2466" s="1392" t="s">
        <v>1846</v>
      </c>
      <c r="D2466" s="1392" t="s">
        <v>1847</v>
      </c>
      <c r="E2466" s="1392" t="s">
        <v>1878</v>
      </c>
      <c r="F2466" s="1392" t="s">
        <v>1949</v>
      </c>
      <c r="G2466" s="1391">
        <v>9794297</v>
      </c>
    </row>
    <row r="2467" spans="1:7" x14ac:dyDescent="0.25">
      <c r="A2467" s="1392" t="s">
        <v>2579</v>
      </c>
      <c r="B2467" s="1392" t="s">
        <v>2056</v>
      </c>
      <c r="C2467" s="1392" t="s">
        <v>1846</v>
      </c>
      <c r="D2467" s="1392" t="s">
        <v>1847</v>
      </c>
      <c r="E2467" s="4536" t="s">
        <v>1885</v>
      </c>
      <c r="F2467" s="4537"/>
      <c r="G2467" s="1391">
        <v>1434880200</v>
      </c>
    </row>
    <row r="2468" spans="1:7" x14ac:dyDescent="0.25">
      <c r="A2468" s="1392" t="s">
        <v>2579</v>
      </c>
      <c r="B2468" s="1392" t="s">
        <v>2056</v>
      </c>
      <c r="C2468" s="1392" t="s">
        <v>1846</v>
      </c>
      <c r="D2468" s="1392" t="s">
        <v>1847</v>
      </c>
      <c r="E2468" s="1392" t="s">
        <v>1885</v>
      </c>
      <c r="F2468" s="1392" t="s">
        <v>1925</v>
      </c>
      <c r="G2468" s="1391">
        <v>24682300</v>
      </c>
    </row>
    <row r="2469" spans="1:7" x14ac:dyDescent="0.25">
      <c r="A2469" s="1392" t="s">
        <v>2579</v>
      </c>
      <c r="B2469" s="1392" t="s">
        <v>2056</v>
      </c>
      <c r="C2469" s="1392" t="s">
        <v>1846</v>
      </c>
      <c r="D2469" s="1392" t="s">
        <v>1847</v>
      </c>
      <c r="E2469" s="1392" t="s">
        <v>1885</v>
      </c>
      <c r="F2469" s="1392" t="s">
        <v>1886</v>
      </c>
      <c r="G2469" s="1391">
        <v>8100000</v>
      </c>
    </row>
    <row r="2470" spans="1:7" x14ac:dyDescent="0.25">
      <c r="A2470" s="1392" t="s">
        <v>2579</v>
      </c>
      <c r="B2470" s="1392" t="s">
        <v>2056</v>
      </c>
      <c r="C2470" s="1392" t="s">
        <v>1846</v>
      </c>
      <c r="D2470" s="1392" t="s">
        <v>1847</v>
      </c>
      <c r="E2470" s="1392" t="s">
        <v>1885</v>
      </c>
      <c r="F2470" s="1392" t="s">
        <v>1927</v>
      </c>
      <c r="G2470" s="1391">
        <v>90000</v>
      </c>
    </row>
    <row r="2471" spans="1:7" x14ac:dyDescent="0.25">
      <c r="A2471" s="1392" t="s">
        <v>2579</v>
      </c>
      <c r="B2471" s="1392" t="s">
        <v>2056</v>
      </c>
      <c r="C2471" s="1392" t="s">
        <v>1846</v>
      </c>
      <c r="D2471" s="1392" t="s">
        <v>1847</v>
      </c>
      <c r="E2471" s="1392" t="s">
        <v>1885</v>
      </c>
      <c r="F2471" s="1392" t="s">
        <v>1887</v>
      </c>
      <c r="G2471" s="1391">
        <v>1061640000</v>
      </c>
    </row>
    <row r="2472" spans="1:7" x14ac:dyDescent="0.25">
      <c r="A2472" s="1392" t="s">
        <v>2579</v>
      </c>
      <c r="B2472" s="1392" t="s">
        <v>2056</v>
      </c>
      <c r="C2472" s="1392" t="s">
        <v>1846</v>
      </c>
      <c r="D2472" s="1392" t="s">
        <v>1847</v>
      </c>
      <c r="E2472" s="1392" t="s">
        <v>1885</v>
      </c>
      <c r="F2472" s="1392" t="s">
        <v>1888</v>
      </c>
      <c r="G2472" s="1391">
        <v>340367900</v>
      </c>
    </row>
    <row r="2473" spans="1:7" x14ac:dyDescent="0.25">
      <c r="A2473" s="1392" t="s">
        <v>2579</v>
      </c>
      <c r="B2473" s="1392" t="s">
        <v>2056</v>
      </c>
      <c r="C2473" s="1392" t="s">
        <v>1846</v>
      </c>
      <c r="D2473" s="1392" t="s">
        <v>1847</v>
      </c>
      <c r="E2473" s="4536" t="s">
        <v>1889</v>
      </c>
      <c r="F2473" s="4537"/>
      <c r="G2473" s="1391">
        <v>1387134600</v>
      </c>
    </row>
    <row r="2474" spans="1:7" x14ac:dyDescent="0.25">
      <c r="A2474" s="1392" t="s">
        <v>2579</v>
      </c>
      <c r="B2474" s="1392" t="s">
        <v>2056</v>
      </c>
      <c r="C2474" s="1392" t="s">
        <v>1846</v>
      </c>
      <c r="D2474" s="1392" t="s">
        <v>1847</v>
      </c>
      <c r="E2474" s="1392" t="s">
        <v>1889</v>
      </c>
      <c r="F2474" s="1392" t="s">
        <v>1921</v>
      </c>
      <c r="G2474" s="1391">
        <v>13150000</v>
      </c>
    </row>
    <row r="2475" spans="1:7" x14ac:dyDescent="0.25">
      <c r="A2475" s="1392" t="s">
        <v>2579</v>
      </c>
      <c r="B2475" s="1392" t="s">
        <v>2056</v>
      </c>
      <c r="C2475" s="1392" t="s">
        <v>1846</v>
      </c>
      <c r="D2475" s="1392" t="s">
        <v>1847</v>
      </c>
      <c r="E2475" s="1392" t="s">
        <v>1889</v>
      </c>
      <c r="F2475" s="1392" t="s">
        <v>1890</v>
      </c>
      <c r="G2475" s="1391">
        <v>727233000</v>
      </c>
    </row>
    <row r="2476" spans="1:7" x14ac:dyDescent="0.25">
      <c r="A2476" s="1392" t="s">
        <v>2579</v>
      </c>
      <c r="B2476" s="1392" t="s">
        <v>2056</v>
      </c>
      <c r="C2476" s="1392" t="s">
        <v>1846</v>
      </c>
      <c r="D2476" s="1392" t="s">
        <v>1847</v>
      </c>
      <c r="E2476" s="1392" t="s">
        <v>1889</v>
      </c>
      <c r="F2476" s="1392" t="s">
        <v>1891</v>
      </c>
      <c r="G2476" s="1391">
        <v>250980000</v>
      </c>
    </row>
    <row r="2477" spans="1:7" x14ac:dyDescent="0.25">
      <c r="A2477" s="1392" t="s">
        <v>2579</v>
      </c>
      <c r="B2477" s="1392" t="s">
        <v>2056</v>
      </c>
      <c r="C2477" s="1392" t="s">
        <v>1846</v>
      </c>
      <c r="D2477" s="1392" t="s">
        <v>1847</v>
      </c>
      <c r="E2477" s="1392" t="s">
        <v>1889</v>
      </c>
      <c r="F2477" s="1392" t="s">
        <v>1892</v>
      </c>
      <c r="G2477" s="1391">
        <v>216700000</v>
      </c>
    </row>
    <row r="2478" spans="1:7" x14ac:dyDescent="0.25">
      <c r="A2478" s="1392" t="s">
        <v>2579</v>
      </c>
      <c r="B2478" s="1392" t="s">
        <v>2056</v>
      </c>
      <c r="C2478" s="1392" t="s">
        <v>1846</v>
      </c>
      <c r="D2478" s="1392" t="s">
        <v>1847</v>
      </c>
      <c r="E2478" s="1392" t="s">
        <v>1889</v>
      </c>
      <c r="F2478" s="1392" t="s">
        <v>1922</v>
      </c>
      <c r="G2478" s="1391">
        <v>179071600</v>
      </c>
    </row>
    <row r="2479" spans="1:7" x14ac:dyDescent="0.25">
      <c r="A2479" s="1392" t="s">
        <v>2579</v>
      </c>
      <c r="B2479" s="1392" t="s">
        <v>2056</v>
      </c>
      <c r="C2479" s="1392" t="s">
        <v>1846</v>
      </c>
      <c r="D2479" s="1392" t="s">
        <v>1847</v>
      </c>
      <c r="E2479" s="4536" t="s">
        <v>1893</v>
      </c>
      <c r="F2479" s="4537"/>
      <c r="G2479" s="1391">
        <v>950679994</v>
      </c>
    </row>
    <row r="2480" spans="1:7" x14ac:dyDescent="0.25">
      <c r="A2480" s="1392" t="s">
        <v>2579</v>
      </c>
      <c r="B2480" s="1392" t="s">
        <v>2056</v>
      </c>
      <c r="C2480" s="1392" t="s">
        <v>1846</v>
      </c>
      <c r="D2480" s="1392" t="s">
        <v>1847</v>
      </c>
      <c r="E2480" s="1392" t="s">
        <v>1893</v>
      </c>
      <c r="F2480" s="1392" t="s">
        <v>1894</v>
      </c>
      <c r="G2480" s="1391">
        <v>26960000</v>
      </c>
    </row>
    <row r="2481" spans="1:7" x14ac:dyDescent="0.25">
      <c r="A2481" s="1392" t="s">
        <v>2579</v>
      </c>
      <c r="B2481" s="1392" t="s">
        <v>2056</v>
      </c>
      <c r="C2481" s="1392" t="s">
        <v>1846</v>
      </c>
      <c r="D2481" s="1392" t="s">
        <v>1847</v>
      </c>
      <c r="E2481" s="1392" t="s">
        <v>1893</v>
      </c>
      <c r="F2481" s="1392" t="s">
        <v>1981</v>
      </c>
      <c r="G2481" s="1391">
        <v>64500000</v>
      </c>
    </row>
    <row r="2482" spans="1:7" x14ac:dyDescent="0.25">
      <c r="A2482" s="1392" t="s">
        <v>2579</v>
      </c>
      <c r="B2482" s="1392" t="s">
        <v>2056</v>
      </c>
      <c r="C2482" s="1392" t="s">
        <v>1846</v>
      </c>
      <c r="D2482" s="1392" t="s">
        <v>1847</v>
      </c>
      <c r="E2482" s="1392" t="s">
        <v>1893</v>
      </c>
      <c r="F2482" s="1392" t="s">
        <v>2051</v>
      </c>
      <c r="G2482" s="1391">
        <v>210166000</v>
      </c>
    </row>
    <row r="2483" spans="1:7" x14ac:dyDescent="0.25">
      <c r="A2483" s="1392" t="s">
        <v>2579</v>
      </c>
      <c r="B2483" s="1392" t="s">
        <v>2056</v>
      </c>
      <c r="C2483" s="1392" t="s">
        <v>1846</v>
      </c>
      <c r="D2483" s="1392" t="s">
        <v>1847</v>
      </c>
      <c r="E2483" s="1392" t="s">
        <v>1893</v>
      </c>
      <c r="F2483" s="1392" t="s">
        <v>1895</v>
      </c>
      <c r="G2483" s="1391">
        <v>649053994</v>
      </c>
    </row>
    <row r="2484" spans="1:7" x14ac:dyDescent="0.25">
      <c r="A2484" s="1392" t="s">
        <v>2579</v>
      </c>
      <c r="B2484" s="1392" t="s">
        <v>2056</v>
      </c>
      <c r="C2484" s="1392" t="s">
        <v>1846</v>
      </c>
      <c r="D2484" s="1392" t="s">
        <v>1847</v>
      </c>
      <c r="E2484" s="4536" t="s">
        <v>1896</v>
      </c>
      <c r="F2484" s="4537"/>
      <c r="G2484" s="1391">
        <v>2659496340</v>
      </c>
    </row>
    <row r="2485" spans="1:7" x14ac:dyDescent="0.25">
      <c r="A2485" s="1392" t="s">
        <v>2579</v>
      </c>
      <c r="B2485" s="1392" t="s">
        <v>2056</v>
      </c>
      <c r="C2485" s="1392" t="s">
        <v>1846</v>
      </c>
      <c r="D2485" s="1392" t="s">
        <v>1847</v>
      </c>
      <c r="E2485" s="1392" t="s">
        <v>1896</v>
      </c>
      <c r="F2485" s="1392" t="s">
        <v>1899</v>
      </c>
      <c r="G2485" s="1391">
        <v>251457087</v>
      </c>
    </row>
    <row r="2486" spans="1:7" x14ac:dyDescent="0.25">
      <c r="A2486" s="1392" t="s">
        <v>2579</v>
      </c>
      <c r="B2486" s="1392" t="s">
        <v>2056</v>
      </c>
      <c r="C2486" s="1392" t="s">
        <v>1846</v>
      </c>
      <c r="D2486" s="1392" t="s">
        <v>1847</v>
      </c>
      <c r="E2486" s="1392" t="s">
        <v>1896</v>
      </c>
      <c r="F2486" s="1392" t="s">
        <v>1900</v>
      </c>
      <c r="G2486" s="1391">
        <v>1105435400</v>
      </c>
    </row>
    <row r="2487" spans="1:7" x14ac:dyDescent="0.25">
      <c r="A2487" s="1392" t="s">
        <v>2579</v>
      </c>
      <c r="B2487" s="1392" t="s">
        <v>2056</v>
      </c>
      <c r="C2487" s="1392" t="s">
        <v>1846</v>
      </c>
      <c r="D2487" s="1392" t="s">
        <v>1847</v>
      </c>
      <c r="E2487" s="1392" t="s">
        <v>1896</v>
      </c>
      <c r="F2487" s="1392" t="s">
        <v>1901</v>
      </c>
      <c r="G2487" s="1391">
        <v>226890000</v>
      </c>
    </row>
    <row r="2488" spans="1:7" x14ac:dyDescent="0.25">
      <c r="A2488" s="1392" t="s">
        <v>2579</v>
      </c>
      <c r="B2488" s="1392" t="s">
        <v>2056</v>
      </c>
      <c r="C2488" s="1392" t="s">
        <v>1846</v>
      </c>
      <c r="D2488" s="1392" t="s">
        <v>1847</v>
      </c>
      <c r="E2488" s="1392" t="s">
        <v>1896</v>
      </c>
      <c r="F2488" s="1392" t="s">
        <v>1928</v>
      </c>
      <c r="G2488" s="1391">
        <v>50109200</v>
      </c>
    </row>
    <row r="2489" spans="1:7" x14ac:dyDescent="0.25">
      <c r="A2489" s="1392" t="s">
        <v>2579</v>
      </c>
      <c r="B2489" s="1392" t="s">
        <v>2056</v>
      </c>
      <c r="C2489" s="1392" t="s">
        <v>1846</v>
      </c>
      <c r="D2489" s="1392" t="s">
        <v>1847</v>
      </c>
      <c r="E2489" s="1392" t="s">
        <v>1896</v>
      </c>
      <c r="F2489" s="1392" t="s">
        <v>1932</v>
      </c>
      <c r="G2489" s="1391">
        <v>343407070</v>
      </c>
    </row>
    <row r="2490" spans="1:7" x14ac:dyDescent="0.25">
      <c r="A2490" s="1392" t="s">
        <v>2579</v>
      </c>
      <c r="B2490" s="1392" t="s">
        <v>2056</v>
      </c>
      <c r="C2490" s="1392" t="s">
        <v>1846</v>
      </c>
      <c r="D2490" s="1392" t="s">
        <v>1847</v>
      </c>
      <c r="E2490" s="1392" t="s">
        <v>1896</v>
      </c>
      <c r="F2490" s="1392" t="s">
        <v>2006</v>
      </c>
      <c r="G2490" s="1391">
        <v>194405463</v>
      </c>
    </row>
    <row r="2491" spans="1:7" x14ac:dyDescent="0.25">
      <c r="A2491" s="1392" t="s">
        <v>2579</v>
      </c>
      <c r="B2491" s="1392" t="s">
        <v>2056</v>
      </c>
      <c r="C2491" s="1392" t="s">
        <v>1846</v>
      </c>
      <c r="D2491" s="1392" t="s">
        <v>1847</v>
      </c>
      <c r="E2491" s="1392" t="s">
        <v>1896</v>
      </c>
      <c r="F2491" s="1392" t="s">
        <v>1902</v>
      </c>
      <c r="G2491" s="1391">
        <v>487792120</v>
      </c>
    </row>
    <row r="2492" spans="1:7" x14ac:dyDescent="0.25">
      <c r="A2492" s="1392" t="s">
        <v>2579</v>
      </c>
      <c r="B2492" s="1392" t="s">
        <v>2056</v>
      </c>
      <c r="C2492" s="1392" t="s">
        <v>1846</v>
      </c>
      <c r="D2492" s="1392" t="s">
        <v>1847</v>
      </c>
      <c r="E2492" s="4536" t="s">
        <v>1903</v>
      </c>
      <c r="F2492" s="4537"/>
      <c r="G2492" s="1391">
        <v>876929000</v>
      </c>
    </row>
    <row r="2493" spans="1:7" x14ac:dyDescent="0.25">
      <c r="A2493" s="1392" t="s">
        <v>2579</v>
      </c>
      <c r="B2493" s="1392" t="s">
        <v>2056</v>
      </c>
      <c r="C2493" s="1392" t="s">
        <v>1846</v>
      </c>
      <c r="D2493" s="1392" t="s">
        <v>1847</v>
      </c>
      <c r="E2493" s="1392" t="s">
        <v>1903</v>
      </c>
      <c r="F2493" s="1392" t="s">
        <v>1950</v>
      </c>
      <c r="G2493" s="1391">
        <v>148950000</v>
      </c>
    </row>
    <row r="2494" spans="1:7" x14ac:dyDescent="0.25">
      <c r="A2494" s="1392" t="s">
        <v>2579</v>
      </c>
      <c r="B2494" s="1392" t="s">
        <v>2056</v>
      </c>
      <c r="C2494" s="1392" t="s">
        <v>1846</v>
      </c>
      <c r="D2494" s="1392" t="s">
        <v>1847</v>
      </c>
      <c r="E2494" s="1392" t="s">
        <v>1903</v>
      </c>
      <c r="F2494" s="1392" t="s">
        <v>1904</v>
      </c>
      <c r="G2494" s="1391">
        <v>177630000</v>
      </c>
    </row>
    <row r="2495" spans="1:7" x14ac:dyDescent="0.25">
      <c r="A2495" s="1392" t="s">
        <v>2579</v>
      </c>
      <c r="B2495" s="1392" t="s">
        <v>2056</v>
      </c>
      <c r="C2495" s="1392" t="s">
        <v>1846</v>
      </c>
      <c r="D2495" s="1392" t="s">
        <v>1847</v>
      </c>
      <c r="E2495" s="1392" t="s">
        <v>1903</v>
      </c>
      <c r="F2495" s="1392" t="s">
        <v>1905</v>
      </c>
      <c r="G2495" s="1391">
        <v>550349000</v>
      </c>
    </row>
    <row r="2496" spans="1:7" x14ac:dyDescent="0.25">
      <c r="A2496" s="1392" t="s">
        <v>2579</v>
      </c>
      <c r="B2496" s="1392" t="s">
        <v>2056</v>
      </c>
      <c r="C2496" s="1392" t="s">
        <v>1846</v>
      </c>
      <c r="D2496" s="1392" t="s">
        <v>1847</v>
      </c>
      <c r="E2496" s="4536" t="s">
        <v>1906</v>
      </c>
      <c r="F2496" s="4537"/>
      <c r="G2496" s="1391">
        <v>379684538</v>
      </c>
    </row>
    <row r="2497" spans="1:7" x14ac:dyDescent="0.25">
      <c r="A2497" s="1392" t="s">
        <v>2579</v>
      </c>
      <c r="B2497" s="1392" t="s">
        <v>2056</v>
      </c>
      <c r="C2497" s="1392" t="s">
        <v>1846</v>
      </c>
      <c r="D2497" s="1392" t="s">
        <v>1847</v>
      </c>
      <c r="E2497" s="1392" t="s">
        <v>1906</v>
      </c>
      <c r="F2497" s="1392" t="s">
        <v>1907</v>
      </c>
      <c r="G2497" s="1391">
        <v>160122538</v>
      </c>
    </row>
    <row r="2498" spans="1:7" x14ac:dyDescent="0.25">
      <c r="A2498" s="1392" t="s">
        <v>2579</v>
      </c>
      <c r="B2498" s="1392" t="s">
        <v>2056</v>
      </c>
      <c r="C2498" s="1392" t="s">
        <v>1846</v>
      </c>
      <c r="D2498" s="1392" t="s">
        <v>1847</v>
      </c>
      <c r="E2498" s="1392" t="s">
        <v>1906</v>
      </c>
      <c r="F2498" s="1392" t="s">
        <v>1908</v>
      </c>
      <c r="G2498" s="1391">
        <v>52895000</v>
      </c>
    </row>
    <row r="2499" spans="1:7" x14ac:dyDescent="0.25">
      <c r="A2499" s="1392" t="s">
        <v>2579</v>
      </c>
      <c r="B2499" s="1392" t="s">
        <v>2056</v>
      </c>
      <c r="C2499" s="1392" t="s">
        <v>1846</v>
      </c>
      <c r="D2499" s="1392" t="s">
        <v>1847</v>
      </c>
      <c r="E2499" s="1392" t="s">
        <v>1906</v>
      </c>
      <c r="F2499" s="1392" t="s">
        <v>1978</v>
      </c>
      <c r="G2499" s="1391">
        <v>3900000</v>
      </c>
    </row>
    <row r="2500" spans="1:7" x14ac:dyDescent="0.25">
      <c r="A2500" s="1392" t="s">
        <v>2579</v>
      </c>
      <c r="B2500" s="1392" t="s">
        <v>2056</v>
      </c>
      <c r="C2500" s="1392" t="s">
        <v>1846</v>
      </c>
      <c r="D2500" s="1392" t="s">
        <v>1847</v>
      </c>
      <c r="E2500" s="1392" t="s">
        <v>1906</v>
      </c>
      <c r="F2500" s="1392" t="s">
        <v>1909</v>
      </c>
      <c r="G2500" s="1391">
        <v>162767000</v>
      </c>
    </row>
    <row r="2501" spans="1:7" x14ac:dyDescent="0.25">
      <c r="A2501" s="1392" t="s">
        <v>2579</v>
      </c>
      <c r="B2501" s="1392" t="s">
        <v>2056</v>
      </c>
      <c r="C2501" s="1392" t="s">
        <v>1846</v>
      </c>
      <c r="D2501" s="1392" t="s">
        <v>1847</v>
      </c>
      <c r="E2501" s="4536" t="s">
        <v>1910</v>
      </c>
      <c r="F2501" s="4537"/>
      <c r="G2501" s="1391">
        <v>7500000</v>
      </c>
    </row>
    <row r="2502" spans="1:7" x14ac:dyDescent="0.25">
      <c r="A2502" s="1392" t="s">
        <v>2579</v>
      </c>
      <c r="B2502" s="1392" t="s">
        <v>2056</v>
      </c>
      <c r="C2502" s="1392" t="s">
        <v>1846</v>
      </c>
      <c r="D2502" s="1392" t="s">
        <v>1847</v>
      </c>
      <c r="E2502" s="1392" t="s">
        <v>1910</v>
      </c>
      <c r="F2502" s="1392" t="s">
        <v>1911</v>
      </c>
      <c r="G2502" s="1391">
        <v>5400000</v>
      </c>
    </row>
    <row r="2503" spans="1:7" x14ac:dyDescent="0.25">
      <c r="A2503" s="1392" t="s">
        <v>2579</v>
      </c>
      <c r="B2503" s="1392" t="s">
        <v>2056</v>
      </c>
      <c r="C2503" s="1392" t="s">
        <v>1846</v>
      </c>
      <c r="D2503" s="1392" t="s">
        <v>1847</v>
      </c>
      <c r="E2503" s="1392" t="s">
        <v>1910</v>
      </c>
      <c r="F2503" s="1392" t="s">
        <v>1961</v>
      </c>
      <c r="G2503" s="1391">
        <v>2100000</v>
      </c>
    </row>
    <row r="2504" spans="1:7" x14ac:dyDescent="0.25">
      <c r="A2504" s="1392" t="s">
        <v>2579</v>
      </c>
      <c r="B2504" s="1392" t="s">
        <v>2056</v>
      </c>
      <c r="C2504" s="1392" t="s">
        <v>1846</v>
      </c>
      <c r="D2504" s="1392" t="s">
        <v>1847</v>
      </c>
      <c r="E2504" s="4536" t="s">
        <v>1912</v>
      </c>
      <c r="F2504" s="4537"/>
      <c r="G2504" s="1391">
        <v>2523502889</v>
      </c>
    </row>
    <row r="2505" spans="1:7" x14ac:dyDescent="0.25">
      <c r="A2505" s="1392" t="s">
        <v>2579</v>
      </c>
      <c r="B2505" s="1392" t="s">
        <v>2056</v>
      </c>
      <c r="C2505" s="1392" t="s">
        <v>1846</v>
      </c>
      <c r="D2505" s="1392" t="s">
        <v>1847</v>
      </c>
      <c r="E2505" s="1392" t="s">
        <v>1912</v>
      </c>
      <c r="F2505" s="1392" t="s">
        <v>1913</v>
      </c>
      <c r="G2505" s="1391">
        <v>4911000</v>
      </c>
    </row>
    <row r="2506" spans="1:7" x14ac:dyDescent="0.25">
      <c r="A2506" s="1392" t="s">
        <v>2579</v>
      </c>
      <c r="B2506" s="1392" t="s">
        <v>2056</v>
      </c>
      <c r="C2506" s="1392" t="s">
        <v>1846</v>
      </c>
      <c r="D2506" s="1392" t="s">
        <v>1847</v>
      </c>
      <c r="E2506" s="1392" t="s">
        <v>1912</v>
      </c>
      <c r="F2506" s="1392" t="s">
        <v>1915</v>
      </c>
      <c r="G2506" s="1391">
        <v>473584600</v>
      </c>
    </row>
    <row r="2507" spans="1:7" x14ac:dyDescent="0.25">
      <c r="A2507" s="1392" t="s">
        <v>2579</v>
      </c>
      <c r="B2507" s="1392" t="s">
        <v>2056</v>
      </c>
      <c r="C2507" s="1392" t="s">
        <v>1846</v>
      </c>
      <c r="D2507" s="1392" t="s">
        <v>1847</v>
      </c>
      <c r="E2507" s="1392" t="s">
        <v>1912</v>
      </c>
      <c r="F2507" s="1392" t="s">
        <v>1916</v>
      </c>
      <c r="G2507" s="1391">
        <v>2045007289</v>
      </c>
    </row>
    <row r="2508" spans="1:7" x14ac:dyDescent="0.25">
      <c r="A2508" s="1392" t="s">
        <v>2579</v>
      </c>
      <c r="B2508" s="1392" t="s">
        <v>2056</v>
      </c>
      <c r="C2508" s="1392" t="s">
        <v>1846</v>
      </c>
      <c r="D2508" s="1392" t="s">
        <v>1847</v>
      </c>
      <c r="E2508" s="4536" t="s">
        <v>1917</v>
      </c>
      <c r="F2508" s="4537"/>
      <c r="G2508" s="1391">
        <v>438979471</v>
      </c>
    </row>
    <row r="2509" spans="1:7" x14ac:dyDescent="0.25">
      <c r="A2509" s="1392" t="s">
        <v>2579</v>
      </c>
      <c r="B2509" s="1392" t="s">
        <v>2056</v>
      </c>
      <c r="C2509" s="1392" t="s">
        <v>1846</v>
      </c>
      <c r="D2509" s="1392" t="s">
        <v>1847</v>
      </c>
      <c r="E2509" s="1392" t="s">
        <v>1917</v>
      </c>
      <c r="F2509" s="1392" t="s">
        <v>1918</v>
      </c>
      <c r="G2509" s="1391">
        <v>422376846</v>
      </c>
    </row>
    <row r="2510" spans="1:7" x14ac:dyDescent="0.25">
      <c r="A2510" s="1392" t="s">
        <v>2579</v>
      </c>
      <c r="B2510" s="1392" t="s">
        <v>2056</v>
      </c>
      <c r="C2510" s="1392" t="s">
        <v>1846</v>
      </c>
      <c r="D2510" s="1392" t="s">
        <v>1847</v>
      </c>
      <c r="E2510" s="1392" t="s">
        <v>1917</v>
      </c>
      <c r="F2510" s="1392" t="s">
        <v>2061</v>
      </c>
      <c r="G2510" s="1391">
        <v>16602625</v>
      </c>
    </row>
    <row r="2511" spans="1:7" x14ac:dyDescent="0.25">
      <c r="A2511" s="1392" t="s">
        <v>2579</v>
      </c>
      <c r="B2511" s="1392" t="s">
        <v>2056</v>
      </c>
      <c r="C2511" s="1392" t="s">
        <v>1846</v>
      </c>
      <c r="D2511" s="4536" t="s">
        <v>1979</v>
      </c>
      <c r="E2511" s="4537"/>
      <c r="F2511" s="4537"/>
      <c r="G2511" s="1391">
        <v>12934137525</v>
      </c>
    </row>
    <row r="2512" spans="1:7" x14ac:dyDescent="0.25">
      <c r="A2512" s="1392" t="s">
        <v>2579</v>
      </c>
      <c r="B2512" s="1392" t="s">
        <v>2056</v>
      </c>
      <c r="C2512" s="1392" t="s">
        <v>1846</v>
      </c>
      <c r="D2512" s="1392" t="s">
        <v>1979</v>
      </c>
      <c r="E2512" s="4536" t="s">
        <v>1848</v>
      </c>
      <c r="F2512" s="4537"/>
      <c r="G2512" s="1391">
        <v>2168809175</v>
      </c>
    </row>
    <row r="2513" spans="1:7" x14ac:dyDescent="0.25">
      <c r="A2513" s="1392" t="s">
        <v>2579</v>
      </c>
      <c r="B2513" s="1392" t="s">
        <v>2056</v>
      </c>
      <c r="C2513" s="1392" t="s">
        <v>1846</v>
      </c>
      <c r="D2513" s="1392" t="s">
        <v>1979</v>
      </c>
      <c r="E2513" s="1392" t="s">
        <v>1848</v>
      </c>
      <c r="F2513" s="1392" t="s">
        <v>1849</v>
      </c>
      <c r="G2513" s="1391">
        <v>2168809175</v>
      </c>
    </row>
    <row r="2514" spans="1:7" x14ac:dyDescent="0.25">
      <c r="A2514" s="1392" t="s">
        <v>2579</v>
      </c>
      <c r="B2514" s="1392" t="s">
        <v>2056</v>
      </c>
      <c r="C2514" s="1392" t="s">
        <v>1846</v>
      </c>
      <c r="D2514" s="1392" t="s">
        <v>1979</v>
      </c>
      <c r="E2514" s="4536" t="s">
        <v>1853</v>
      </c>
      <c r="F2514" s="4537"/>
      <c r="G2514" s="1391">
        <v>1951619955</v>
      </c>
    </row>
    <row r="2515" spans="1:7" x14ac:dyDescent="0.25">
      <c r="A2515" s="1392" t="s">
        <v>2579</v>
      </c>
      <c r="B2515" s="1392" t="s">
        <v>2056</v>
      </c>
      <c r="C2515" s="1392" t="s">
        <v>1846</v>
      </c>
      <c r="D2515" s="1392" t="s">
        <v>1979</v>
      </c>
      <c r="E2515" s="1392" t="s">
        <v>1853</v>
      </c>
      <c r="F2515" s="1392" t="s">
        <v>1854</v>
      </c>
      <c r="G2515" s="1391">
        <v>175955296</v>
      </c>
    </row>
    <row r="2516" spans="1:7" x14ac:dyDescent="0.25">
      <c r="A2516" s="1392" t="s">
        <v>2579</v>
      </c>
      <c r="B2516" s="1392" t="s">
        <v>2056</v>
      </c>
      <c r="C2516" s="1392" t="s">
        <v>1846</v>
      </c>
      <c r="D2516" s="1392" t="s">
        <v>1979</v>
      </c>
      <c r="E2516" s="1392" t="s">
        <v>1853</v>
      </c>
      <c r="F2516" s="1392" t="s">
        <v>1855</v>
      </c>
      <c r="G2516" s="1391">
        <v>343743000</v>
      </c>
    </row>
    <row r="2517" spans="1:7" x14ac:dyDescent="0.25">
      <c r="A2517" s="1392" t="s">
        <v>2579</v>
      </c>
      <c r="B2517" s="1392" t="s">
        <v>2056</v>
      </c>
      <c r="C2517" s="1392" t="s">
        <v>1846</v>
      </c>
      <c r="D2517" s="1392" t="s">
        <v>1979</v>
      </c>
      <c r="E2517" s="1392" t="s">
        <v>1853</v>
      </c>
      <c r="F2517" s="1392" t="s">
        <v>1935</v>
      </c>
      <c r="G2517" s="1391">
        <v>56885220</v>
      </c>
    </row>
    <row r="2518" spans="1:7" x14ac:dyDescent="0.25">
      <c r="A2518" s="1392" t="s">
        <v>2579</v>
      </c>
      <c r="B2518" s="1392" t="s">
        <v>2056</v>
      </c>
      <c r="C2518" s="1392" t="s">
        <v>1846</v>
      </c>
      <c r="D2518" s="1392" t="s">
        <v>1979</v>
      </c>
      <c r="E2518" s="1392" t="s">
        <v>1853</v>
      </c>
      <c r="F2518" s="1392" t="s">
        <v>1856</v>
      </c>
      <c r="G2518" s="1391">
        <v>68201073</v>
      </c>
    </row>
    <row r="2519" spans="1:7" x14ac:dyDescent="0.25">
      <c r="A2519" s="1392" t="s">
        <v>2579</v>
      </c>
      <c r="B2519" s="1392" t="s">
        <v>2056</v>
      </c>
      <c r="C2519" s="1392" t="s">
        <v>1846</v>
      </c>
      <c r="D2519" s="1392" t="s">
        <v>1979</v>
      </c>
      <c r="E2519" s="1392" t="s">
        <v>1853</v>
      </c>
      <c r="F2519" s="1392" t="s">
        <v>1857</v>
      </c>
      <c r="G2519" s="1391">
        <v>7599000</v>
      </c>
    </row>
    <row r="2520" spans="1:7" x14ac:dyDescent="0.25">
      <c r="A2520" s="1392" t="s">
        <v>2579</v>
      </c>
      <c r="B2520" s="1392" t="s">
        <v>2056</v>
      </c>
      <c r="C2520" s="1392" t="s">
        <v>1846</v>
      </c>
      <c r="D2520" s="1392" t="s">
        <v>1979</v>
      </c>
      <c r="E2520" s="1392" t="s">
        <v>1853</v>
      </c>
      <c r="F2520" s="1392" t="s">
        <v>1929</v>
      </c>
      <c r="G2520" s="1391">
        <v>5559932</v>
      </c>
    </row>
    <row r="2521" spans="1:7" x14ac:dyDescent="0.25">
      <c r="A2521" s="1392" t="s">
        <v>2579</v>
      </c>
      <c r="B2521" s="1392" t="s">
        <v>2056</v>
      </c>
      <c r="C2521" s="1392" t="s">
        <v>1846</v>
      </c>
      <c r="D2521" s="1392" t="s">
        <v>1979</v>
      </c>
      <c r="E2521" s="1392" t="s">
        <v>1853</v>
      </c>
      <c r="F2521" s="1392" t="s">
        <v>1938</v>
      </c>
      <c r="G2521" s="1391">
        <v>61388000</v>
      </c>
    </row>
    <row r="2522" spans="1:7" x14ac:dyDescent="0.25">
      <c r="A2522" s="1392" t="s">
        <v>2579</v>
      </c>
      <c r="B2522" s="1392" t="s">
        <v>2056</v>
      </c>
      <c r="C2522" s="1392" t="s">
        <v>1846</v>
      </c>
      <c r="D2522" s="1392" t="s">
        <v>1979</v>
      </c>
      <c r="E2522" s="1392" t="s">
        <v>1853</v>
      </c>
      <c r="F2522" s="1392" t="s">
        <v>1977</v>
      </c>
      <c r="G2522" s="1391">
        <v>403641000</v>
      </c>
    </row>
    <row r="2523" spans="1:7" x14ac:dyDescent="0.25">
      <c r="A2523" s="1392" t="s">
        <v>2579</v>
      </c>
      <c r="B2523" s="1392" t="s">
        <v>2056</v>
      </c>
      <c r="C2523" s="1392" t="s">
        <v>1846</v>
      </c>
      <c r="D2523" s="1392" t="s">
        <v>1979</v>
      </c>
      <c r="E2523" s="1392" t="s">
        <v>1853</v>
      </c>
      <c r="F2523" s="1392" t="s">
        <v>1859</v>
      </c>
      <c r="G2523" s="1391">
        <v>577054934</v>
      </c>
    </row>
    <row r="2524" spans="1:7" x14ac:dyDescent="0.25">
      <c r="A2524" s="1392" t="s">
        <v>2579</v>
      </c>
      <c r="B2524" s="1392" t="s">
        <v>2056</v>
      </c>
      <c r="C2524" s="1392" t="s">
        <v>1846</v>
      </c>
      <c r="D2524" s="1392" t="s">
        <v>1979</v>
      </c>
      <c r="E2524" s="1392" t="s">
        <v>1853</v>
      </c>
      <c r="F2524" s="1392" t="s">
        <v>1939</v>
      </c>
      <c r="G2524" s="1391">
        <v>251592500</v>
      </c>
    </row>
    <row r="2525" spans="1:7" x14ac:dyDescent="0.25">
      <c r="A2525" s="1392" t="s">
        <v>2579</v>
      </c>
      <c r="B2525" s="1392" t="s">
        <v>2056</v>
      </c>
      <c r="C2525" s="1392" t="s">
        <v>1846</v>
      </c>
      <c r="D2525" s="1392" t="s">
        <v>1979</v>
      </c>
      <c r="E2525" s="4536" t="s">
        <v>1860</v>
      </c>
      <c r="F2525" s="4537"/>
      <c r="G2525" s="1391">
        <v>39435000</v>
      </c>
    </row>
    <row r="2526" spans="1:7" x14ac:dyDescent="0.25">
      <c r="A2526" s="1392" t="s">
        <v>2579</v>
      </c>
      <c r="B2526" s="1392" t="s">
        <v>2056</v>
      </c>
      <c r="C2526" s="1392" t="s">
        <v>1846</v>
      </c>
      <c r="D2526" s="1392" t="s">
        <v>1979</v>
      </c>
      <c r="E2526" s="1392" t="s">
        <v>1860</v>
      </c>
      <c r="F2526" s="1392" t="s">
        <v>1861</v>
      </c>
      <c r="G2526" s="1391">
        <v>34518000</v>
      </c>
    </row>
    <row r="2527" spans="1:7" x14ac:dyDescent="0.25">
      <c r="A2527" s="1392" t="s">
        <v>2579</v>
      </c>
      <c r="B2527" s="1392" t="s">
        <v>2056</v>
      </c>
      <c r="C2527" s="1392" t="s">
        <v>1846</v>
      </c>
      <c r="D2527" s="1392" t="s">
        <v>1979</v>
      </c>
      <c r="E2527" s="1392" t="s">
        <v>1860</v>
      </c>
      <c r="F2527" s="1392" t="s">
        <v>1930</v>
      </c>
      <c r="G2527" s="1391">
        <v>4917000</v>
      </c>
    </row>
    <row r="2528" spans="1:7" x14ac:dyDescent="0.25">
      <c r="A2528" s="1392" t="s">
        <v>2579</v>
      </c>
      <c r="B2528" s="1392" t="s">
        <v>2056</v>
      </c>
      <c r="C2528" s="1392" t="s">
        <v>1846</v>
      </c>
      <c r="D2528" s="1392" t="s">
        <v>1979</v>
      </c>
      <c r="E2528" s="4536" t="s">
        <v>1862</v>
      </c>
      <c r="F2528" s="4537"/>
      <c r="G2528" s="1391">
        <v>572617234</v>
      </c>
    </row>
    <row r="2529" spans="1:7" x14ac:dyDescent="0.25">
      <c r="A2529" s="1392" t="s">
        <v>2579</v>
      </c>
      <c r="B2529" s="1392" t="s">
        <v>2056</v>
      </c>
      <c r="C2529" s="1392" t="s">
        <v>1846</v>
      </c>
      <c r="D2529" s="1392" t="s">
        <v>1979</v>
      </c>
      <c r="E2529" s="1392" t="s">
        <v>1862</v>
      </c>
      <c r="F2529" s="1392" t="s">
        <v>1863</v>
      </c>
      <c r="G2529" s="1391">
        <v>448355954</v>
      </c>
    </row>
    <row r="2530" spans="1:7" x14ac:dyDescent="0.25">
      <c r="A2530" s="1392" t="s">
        <v>2579</v>
      </c>
      <c r="B2530" s="1392" t="s">
        <v>2056</v>
      </c>
      <c r="C2530" s="1392" t="s">
        <v>1846</v>
      </c>
      <c r="D2530" s="1392" t="s">
        <v>1979</v>
      </c>
      <c r="E2530" s="1392" t="s">
        <v>1862</v>
      </c>
      <c r="F2530" s="1392" t="s">
        <v>1864</v>
      </c>
      <c r="G2530" s="1391">
        <v>74100698</v>
      </c>
    </row>
    <row r="2531" spans="1:7" x14ac:dyDescent="0.25">
      <c r="A2531" s="1392" t="s">
        <v>2579</v>
      </c>
      <c r="B2531" s="1392" t="s">
        <v>2056</v>
      </c>
      <c r="C2531" s="1392" t="s">
        <v>1846</v>
      </c>
      <c r="D2531" s="1392" t="s">
        <v>1979</v>
      </c>
      <c r="E2531" s="1392" t="s">
        <v>1862</v>
      </c>
      <c r="F2531" s="1392" t="s">
        <v>1865</v>
      </c>
      <c r="G2531" s="1391">
        <v>50160582</v>
      </c>
    </row>
    <row r="2532" spans="1:7" x14ac:dyDescent="0.25">
      <c r="A2532" s="1392" t="s">
        <v>2579</v>
      </c>
      <c r="B2532" s="1392" t="s">
        <v>2056</v>
      </c>
      <c r="C2532" s="1392" t="s">
        <v>1846</v>
      </c>
      <c r="D2532" s="1392" t="s">
        <v>1979</v>
      </c>
      <c r="E2532" s="4536" t="s">
        <v>2057</v>
      </c>
      <c r="F2532" s="4537"/>
      <c r="G2532" s="1391">
        <v>4066681881</v>
      </c>
    </row>
    <row r="2533" spans="1:7" x14ac:dyDescent="0.25">
      <c r="A2533" s="1392" t="s">
        <v>2579</v>
      </c>
      <c r="B2533" s="1392" t="s">
        <v>2056</v>
      </c>
      <c r="C2533" s="1392" t="s">
        <v>1846</v>
      </c>
      <c r="D2533" s="1392" t="s">
        <v>1979</v>
      </c>
      <c r="E2533" s="1392" t="s">
        <v>2057</v>
      </c>
      <c r="F2533" s="1392" t="s">
        <v>2058</v>
      </c>
      <c r="G2533" s="1391">
        <v>442112640</v>
      </c>
    </row>
    <row r="2534" spans="1:7" x14ac:dyDescent="0.25">
      <c r="A2534" s="1392" t="s">
        <v>2579</v>
      </c>
      <c r="B2534" s="1392" t="s">
        <v>2056</v>
      </c>
      <c r="C2534" s="1392" t="s">
        <v>1846</v>
      </c>
      <c r="D2534" s="1392" t="s">
        <v>1979</v>
      </c>
      <c r="E2534" s="1392" t="s">
        <v>2057</v>
      </c>
      <c r="F2534" s="1392" t="s">
        <v>2059</v>
      </c>
      <c r="G2534" s="1391">
        <v>3624569241</v>
      </c>
    </row>
    <row r="2535" spans="1:7" x14ac:dyDescent="0.25">
      <c r="A2535" s="1392" t="s">
        <v>2579</v>
      </c>
      <c r="B2535" s="1392" t="s">
        <v>2056</v>
      </c>
      <c r="C2535" s="1392" t="s">
        <v>1846</v>
      </c>
      <c r="D2535" s="1392" t="s">
        <v>1979</v>
      </c>
      <c r="E2535" s="4536" t="s">
        <v>1867</v>
      </c>
      <c r="F2535" s="4537"/>
      <c r="G2535" s="1391">
        <v>338462232</v>
      </c>
    </row>
    <row r="2536" spans="1:7" x14ac:dyDescent="0.25">
      <c r="A2536" s="1392" t="s">
        <v>2579</v>
      </c>
      <c r="B2536" s="1392" t="s">
        <v>2056</v>
      </c>
      <c r="C2536" s="1392" t="s">
        <v>1846</v>
      </c>
      <c r="D2536" s="1392" t="s">
        <v>1979</v>
      </c>
      <c r="E2536" s="1392" t="s">
        <v>1867</v>
      </c>
      <c r="F2536" s="1392" t="s">
        <v>1868</v>
      </c>
      <c r="G2536" s="1391">
        <v>338462232</v>
      </c>
    </row>
    <row r="2537" spans="1:7" x14ac:dyDescent="0.25">
      <c r="A2537" s="1392" t="s">
        <v>2579</v>
      </c>
      <c r="B2537" s="1392" t="s">
        <v>2056</v>
      </c>
      <c r="C2537" s="1392" t="s">
        <v>1846</v>
      </c>
      <c r="D2537" s="1392" t="s">
        <v>1979</v>
      </c>
      <c r="E2537" s="4536" t="s">
        <v>1874</v>
      </c>
      <c r="F2537" s="4537"/>
      <c r="G2537" s="1391">
        <v>78590000</v>
      </c>
    </row>
    <row r="2538" spans="1:7" x14ac:dyDescent="0.25">
      <c r="A2538" s="1392" t="s">
        <v>2579</v>
      </c>
      <c r="B2538" s="1392" t="s">
        <v>2056</v>
      </c>
      <c r="C2538" s="1392" t="s">
        <v>1846</v>
      </c>
      <c r="D2538" s="1392" t="s">
        <v>1979</v>
      </c>
      <c r="E2538" s="1392" t="s">
        <v>1874</v>
      </c>
      <c r="F2538" s="1392" t="s">
        <v>1875</v>
      </c>
      <c r="G2538" s="1391">
        <v>62990000</v>
      </c>
    </row>
    <row r="2539" spans="1:7" x14ac:dyDescent="0.25">
      <c r="A2539" s="1392" t="s">
        <v>2579</v>
      </c>
      <c r="B2539" s="1392" t="s">
        <v>2056</v>
      </c>
      <c r="C2539" s="1392" t="s">
        <v>1846</v>
      </c>
      <c r="D2539" s="1392" t="s">
        <v>1979</v>
      </c>
      <c r="E2539" s="1392" t="s">
        <v>1874</v>
      </c>
      <c r="F2539" s="1392" t="s">
        <v>1876</v>
      </c>
      <c r="G2539" s="1391">
        <v>7860000</v>
      </c>
    </row>
    <row r="2540" spans="1:7" x14ac:dyDescent="0.25">
      <c r="A2540" s="1392" t="s">
        <v>2579</v>
      </c>
      <c r="B2540" s="1392" t="s">
        <v>2056</v>
      </c>
      <c r="C2540" s="1392" t="s">
        <v>1846</v>
      </c>
      <c r="D2540" s="1392" t="s">
        <v>1979</v>
      </c>
      <c r="E2540" s="1392" t="s">
        <v>1874</v>
      </c>
      <c r="F2540" s="1392" t="s">
        <v>1877</v>
      </c>
      <c r="G2540" s="1391">
        <v>7740000</v>
      </c>
    </row>
    <row r="2541" spans="1:7" x14ac:dyDescent="0.25">
      <c r="A2541" s="1392" t="s">
        <v>2579</v>
      </c>
      <c r="B2541" s="1392" t="s">
        <v>2056</v>
      </c>
      <c r="C2541" s="1392" t="s">
        <v>1846</v>
      </c>
      <c r="D2541" s="1392" t="s">
        <v>1979</v>
      </c>
      <c r="E2541" s="4536" t="s">
        <v>1878</v>
      </c>
      <c r="F2541" s="4537"/>
      <c r="G2541" s="1391">
        <v>20235442</v>
      </c>
    </row>
    <row r="2542" spans="1:7" x14ac:dyDescent="0.25">
      <c r="A2542" s="1392" t="s">
        <v>2579</v>
      </c>
      <c r="B2542" s="1392" t="s">
        <v>2056</v>
      </c>
      <c r="C2542" s="1392" t="s">
        <v>1846</v>
      </c>
      <c r="D2542" s="1392" t="s">
        <v>1979</v>
      </c>
      <c r="E2542" s="1392" t="s">
        <v>1878</v>
      </c>
      <c r="F2542" s="1392" t="s">
        <v>1879</v>
      </c>
      <c r="G2542" s="1391">
        <v>1162583</v>
      </c>
    </row>
    <row r="2543" spans="1:7" x14ac:dyDescent="0.25">
      <c r="A2543" s="1392" t="s">
        <v>2579</v>
      </c>
      <c r="B2543" s="1392" t="s">
        <v>2056</v>
      </c>
      <c r="C2543" s="1392" t="s">
        <v>1846</v>
      </c>
      <c r="D2543" s="1392" t="s">
        <v>1979</v>
      </c>
      <c r="E2543" s="1392" t="s">
        <v>1878</v>
      </c>
      <c r="F2543" s="1392" t="s">
        <v>1881</v>
      </c>
      <c r="G2543" s="1391">
        <v>5266259</v>
      </c>
    </row>
    <row r="2544" spans="1:7" x14ac:dyDescent="0.25">
      <c r="A2544" s="1392" t="s">
        <v>2579</v>
      </c>
      <c r="B2544" s="1392" t="s">
        <v>2056</v>
      </c>
      <c r="C2544" s="1392" t="s">
        <v>1846</v>
      </c>
      <c r="D2544" s="1392" t="s">
        <v>1979</v>
      </c>
      <c r="E2544" s="1392" t="s">
        <v>1878</v>
      </c>
      <c r="F2544" s="1392" t="s">
        <v>1883</v>
      </c>
      <c r="G2544" s="1391">
        <v>13806600</v>
      </c>
    </row>
    <row r="2545" spans="1:7" x14ac:dyDescent="0.25">
      <c r="A2545" s="1392" t="s">
        <v>2579</v>
      </c>
      <c r="B2545" s="1392" t="s">
        <v>2056</v>
      </c>
      <c r="C2545" s="1392" t="s">
        <v>1846</v>
      </c>
      <c r="D2545" s="1392" t="s">
        <v>1979</v>
      </c>
      <c r="E2545" s="4536" t="s">
        <v>1885</v>
      </c>
      <c r="F2545" s="4537"/>
      <c r="G2545" s="1391">
        <v>239355100</v>
      </c>
    </row>
    <row r="2546" spans="1:7" x14ac:dyDescent="0.25">
      <c r="A2546" s="1392" t="s">
        <v>2579</v>
      </c>
      <c r="B2546" s="1392" t="s">
        <v>2056</v>
      </c>
      <c r="C2546" s="1392" t="s">
        <v>1846</v>
      </c>
      <c r="D2546" s="1392" t="s">
        <v>1979</v>
      </c>
      <c r="E2546" s="1392" t="s">
        <v>1885</v>
      </c>
      <c r="F2546" s="1392" t="s">
        <v>1925</v>
      </c>
      <c r="G2546" s="1391">
        <v>1263100</v>
      </c>
    </row>
    <row r="2547" spans="1:7" x14ac:dyDescent="0.25">
      <c r="A2547" s="1392" t="s">
        <v>2579</v>
      </c>
      <c r="B2547" s="1392" t="s">
        <v>2056</v>
      </c>
      <c r="C2547" s="1392" t="s">
        <v>1846</v>
      </c>
      <c r="D2547" s="1392" t="s">
        <v>1979</v>
      </c>
      <c r="E2547" s="1392" t="s">
        <v>1885</v>
      </c>
      <c r="F2547" s="1392" t="s">
        <v>1886</v>
      </c>
      <c r="G2547" s="1391">
        <v>1050000</v>
      </c>
    </row>
    <row r="2548" spans="1:7" x14ac:dyDescent="0.25">
      <c r="A2548" s="1392" t="s">
        <v>2579</v>
      </c>
      <c r="B2548" s="1392" t="s">
        <v>2056</v>
      </c>
      <c r="C2548" s="1392" t="s">
        <v>1846</v>
      </c>
      <c r="D2548" s="1392" t="s">
        <v>1979</v>
      </c>
      <c r="E2548" s="1392" t="s">
        <v>1885</v>
      </c>
      <c r="F2548" s="1392" t="s">
        <v>1887</v>
      </c>
      <c r="G2548" s="1391">
        <v>232712000</v>
      </c>
    </row>
    <row r="2549" spans="1:7" x14ac:dyDescent="0.25">
      <c r="A2549" s="1392" t="s">
        <v>2579</v>
      </c>
      <c r="B2549" s="1392" t="s">
        <v>2056</v>
      </c>
      <c r="C2549" s="1392" t="s">
        <v>1846</v>
      </c>
      <c r="D2549" s="1392" t="s">
        <v>1979</v>
      </c>
      <c r="E2549" s="1392" t="s">
        <v>1885</v>
      </c>
      <c r="F2549" s="1392" t="s">
        <v>1888</v>
      </c>
      <c r="G2549" s="1391">
        <v>4330000</v>
      </c>
    </row>
    <row r="2550" spans="1:7" x14ac:dyDescent="0.25">
      <c r="A2550" s="1392" t="s">
        <v>2579</v>
      </c>
      <c r="B2550" s="1392" t="s">
        <v>2056</v>
      </c>
      <c r="C2550" s="1392" t="s">
        <v>1846</v>
      </c>
      <c r="D2550" s="1392" t="s">
        <v>1979</v>
      </c>
      <c r="E2550" s="4536" t="s">
        <v>1889</v>
      </c>
      <c r="F2550" s="4537"/>
      <c r="G2550" s="1391">
        <v>182067300</v>
      </c>
    </row>
    <row r="2551" spans="1:7" x14ac:dyDescent="0.25">
      <c r="A2551" s="1392" t="s">
        <v>2579</v>
      </c>
      <c r="B2551" s="1392" t="s">
        <v>2056</v>
      </c>
      <c r="C2551" s="1392" t="s">
        <v>1846</v>
      </c>
      <c r="D2551" s="1392" t="s">
        <v>1979</v>
      </c>
      <c r="E2551" s="1392" t="s">
        <v>1889</v>
      </c>
      <c r="F2551" s="1392" t="s">
        <v>1921</v>
      </c>
      <c r="G2551" s="1391">
        <v>3230000</v>
      </c>
    </row>
    <row r="2552" spans="1:7" x14ac:dyDescent="0.25">
      <c r="A2552" s="1392" t="s">
        <v>2579</v>
      </c>
      <c r="B2552" s="1392" t="s">
        <v>2056</v>
      </c>
      <c r="C2552" s="1392" t="s">
        <v>1846</v>
      </c>
      <c r="D2552" s="1392" t="s">
        <v>1979</v>
      </c>
      <c r="E2552" s="1392" t="s">
        <v>1889</v>
      </c>
      <c r="F2552" s="1392" t="s">
        <v>1890</v>
      </c>
      <c r="G2552" s="1391">
        <v>118264500</v>
      </c>
    </row>
    <row r="2553" spans="1:7" x14ac:dyDescent="0.25">
      <c r="A2553" s="1392" t="s">
        <v>2579</v>
      </c>
      <c r="B2553" s="1392" t="s">
        <v>2056</v>
      </c>
      <c r="C2553" s="1392" t="s">
        <v>1846</v>
      </c>
      <c r="D2553" s="1392" t="s">
        <v>1979</v>
      </c>
      <c r="E2553" s="1392" t="s">
        <v>1889</v>
      </c>
      <c r="F2553" s="1392" t="s">
        <v>1891</v>
      </c>
      <c r="G2553" s="1391">
        <v>14960000</v>
      </c>
    </row>
    <row r="2554" spans="1:7" x14ac:dyDescent="0.25">
      <c r="A2554" s="1392" t="s">
        <v>2579</v>
      </c>
      <c r="B2554" s="1392" t="s">
        <v>2056</v>
      </c>
      <c r="C2554" s="1392" t="s">
        <v>1846</v>
      </c>
      <c r="D2554" s="1392" t="s">
        <v>1979</v>
      </c>
      <c r="E2554" s="1392" t="s">
        <v>1889</v>
      </c>
      <c r="F2554" s="1392" t="s">
        <v>1892</v>
      </c>
      <c r="G2554" s="1391">
        <v>23600000</v>
      </c>
    </row>
    <row r="2555" spans="1:7" x14ac:dyDescent="0.25">
      <c r="A2555" s="1392" t="s">
        <v>2579</v>
      </c>
      <c r="B2555" s="1392" t="s">
        <v>2056</v>
      </c>
      <c r="C2555" s="1392" t="s">
        <v>1846</v>
      </c>
      <c r="D2555" s="1392" t="s">
        <v>1979</v>
      </c>
      <c r="E2555" s="1392" t="s">
        <v>1889</v>
      </c>
      <c r="F2555" s="1392" t="s">
        <v>1922</v>
      </c>
      <c r="G2555" s="1391">
        <v>22012800</v>
      </c>
    </row>
    <row r="2556" spans="1:7" x14ac:dyDescent="0.25">
      <c r="A2556" s="1392" t="s">
        <v>2579</v>
      </c>
      <c r="B2556" s="1392" t="s">
        <v>2056</v>
      </c>
      <c r="C2556" s="1392" t="s">
        <v>1846</v>
      </c>
      <c r="D2556" s="1392" t="s">
        <v>1979</v>
      </c>
      <c r="E2556" s="4536" t="s">
        <v>1893</v>
      </c>
      <c r="F2556" s="4537"/>
      <c r="G2556" s="1391">
        <v>5500000</v>
      </c>
    </row>
    <row r="2557" spans="1:7" x14ac:dyDescent="0.25">
      <c r="A2557" s="1392" t="s">
        <v>2579</v>
      </c>
      <c r="B2557" s="1392" t="s">
        <v>2056</v>
      </c>
      <c r="C2557" s="1392" t="s">
        <v>1846</v>
      </c>
      <c r="D2557" s="1392" t="s">
        <v>1979</v>
      </c>
      <c r="E2557" s="1392" t="s">
        <v>1893</v>
      </c>
      <c r="F2557" s="1392" t="s">
        <v>1895</v>
      </c>
      <c r="G2557" s="1391">
        <v>5500000</v>
      </c>
    </row>
    <row r="2558" spans="1:7" x14ac:dyDescent="0.25">
      <c r="A2558" s="1392" t="s">
        <v>2579</v>
      </c>
      <c r="B2558" s="1392" t="s">
        <v>2056</v>
      </c>
      <c r="C2558" s="1392" t="s">
        <v>1846</v>
      </c>
      <c r="D2558" s="1392" t="s">
        <v>1979</v>
      </c>
      <c r="E2558" s="4536" t="s">
        <v>1896</v>
      </c>
      <c r="F2558" s="4537"/>
      <c r="G2558" s="1391">
        <v>61702000</v>
      </c>
    </row>
    <row r="2559" spans="1:7" x14ac:dyDescent="0.25">
      <c r="A2559" s="1392" t="s">
        <v>2579</v>
      </c>
      <c r="B2559" s="1392" t="s">
        <v>2056</v>
      </c>
      <c r="C2559" s="1392" t="s">
        <v>1846</v>
      </c>
      <c r="D2559" s="1392" t="s">
        <v>1979</v>
      </c>
      <c r="E2559" s="1392" t="s">
        <v>1896</v>
      </c>
      <c r="F2559" s="1392" t="s">
        <v>1900</v>
      </c>
      <c r="G2559" s="1391">
        <v>61702000</v>
      </c>
    </row>
    <row r="2560" spans="1:7" x14ac:dyDescent="0.25">
      <c r="A2560" s="1392" t="s">
        <v>2579</v>
      </c>
      <c r="B2560" s="1392" t="s">
        <v>2056</v>
      </c>
      <c r="C2560" s="1392" t="s">
        <v>1846</v>
      </c>
      <c r="D2560" s="1392" t="s">
        <v>1979</v>
      </c>
      <c r="E2560" s="4536" t="s">
        <v>1903</v>
      </c>
      <c r="F2560" s="4537"/>
      <c r="G2560" s="1391">
        <v>10000000</v>
      </c>
    </row>
    <row r="2561" spans="1:7" x14ac:dyDescent="0.25">
      <c r="A2561" s="1392" t="s">
        <v>2579</v>
      </c>
      <c r="B2561" s="1392" t="s">
        <v>2056</v>
      </c>
      <c r="C2561" s="1392" t="s">
        <v>1846</v>
      </c>
      <c r="D2561" s="1392" t="s">
        <v>1979</v>
      </c>
      <c r="E2561" s="1392" t="s">
        <v>1903</v>
      </c>
      <c r="F2561" s="1392" t="s">
        <v>1950</v>
      </c>
      <c r="G2561" s="1391">
        <v>10000000</v>
      </c>
    </row>
    <row r="2562" spans="1:7" x14ac:dyDescent="0.25">
      <c r="A2562" s="1392" t="s">
        <v>2579</v>
      </c>
      <c r="B2562" s="1392" t="s">
        <v>2056</v>
      </c>
      <c r="C2562" s="1392" t="s">
        <v>1846</v>
      </c>
      <c r="D2562" s="1392" t="s">
        <v>1979</v>
      </c>
      <c r="E2562" s="4536" t="s">
        <v>1906</v>
      </c>
      <c r="F2562" s="4537"/>
      <c r="G2562" s="1391">
        <v>16777200</v>
      </c>
    </row>
    <row r="2563" spans="1:7" x14ac:dyDescent="0.25">
      <c r="A2563" s="1392" t="s">
        <v>2579</v>
      </c>
      <c r="B2563" s="1392" t="s">
        <v>2056</v>
      </c>
      <c r="C2563" s="1392" t="s">
        <v>1846</v>
      </c>
      <c r="D2563" s="1392" t="s">
        <v>1979</v>
      </c>
      <c r="E2563" s="1392" t="s">
        <v>1906</v>
      </c>
      <c r="F2563" s="1392" t="s">
        <v>1907</v>
      </c>
      <c r="G2563" s="1391">
        <v>5439200</v>
      </c>
    </row>
    <row r="2564" spans="1:7" x14ac:dyDescent="0.25">
      <c r="A2564" s="1392" t="s">
        <v>2579</v>
      </c>
      <c r="B2564" s="1392" t="s">
        <v>2056</v>
      </c>
      <c r="C2564" s="1392" t="s">
        <v>1846</v>
      </c>
      <c r="D2564" s="1392" t="s">
        <v>1979</v>
      </c>
      <c r="E2564" s="1392" t="s">
        <v>1906</v>
      </c>
      <c r="F2564" s="1392" t="s">
        <v>1909</v>
      </c>
      <c r="G2564" s="1391">
        <v>11338000</v>
      </c>
    </row>
    <row r="2565" spans="1:7" x14ac:dyDescent="0.25">
      <c r="A2565" s="1392" t="s">
        <v>2579</v>
      </c>
      <c r="B2565" s="1392" t="s">
        <v>2056</v>
      </c>
      <c r="C2565" s="1392" t="s">
        <v>1846</v>
      </c>
      <c r="D2565" s="1392" t="s">
        <v>1979</v>
      </c>
      <c r="E2565" s="4536" t="s">
        <v>1912</v>
      </c>
      <c r="F2565" s="4537"/>
      <c r="G2565" s="1391">
        <v>172284700</v>
      </c>
    </row>
    <row r="2566" spans="1:7" x14ac:dyDescent="0.25">
      <c r="A2566" s="1392" t="s">
        <v>2579</v>
      </c>
      <c r="B2566" s="1392" t="s">
        <v>2056</v>
      </c>
      <c r="C2566" s="1392" t="s">
        <v>1846</v>
      </c>
      <c r="D2566" s="1392" t="s">
        <v>1979</v>
      </c>
      <c r="E2566" s="1392" t="s">
        <v>1912</v>
      </c>
      <c r="F2566" s="1392" t="s">
        <v>1915</v>
      </c>
      <c r="G2566" s="1391">
        <v>32630000</v>
      </c>
    </row>
    <row r="2567" spans="1:7" x14ac:dyDescent="0.25">
      <c r="A2567" s="1392" t="s">
        <v>2579</v>
      </c>
      <c r="B2567" s="1392" t="s">
        <v>2056</v>
      </c>
      <c r="C2567" s="1392" t="s">
        <v>1846</v>
      </c>
      <c r="D2567" s="1392" t="s">
        <v>1979</v>
      </c>
      <c r="E2567" s="1392" t="s">
        <v>1912</v>
      </c>
      <c r="F2567" s="1392" t="s">
        <v>1916</v>
      </c>
      <c r="G2567" s="1391">
        <v>139654700</v>
      </c>
    </row>
    <row r="2568" spans="1:7" x14ac:dyDescent="0.25">
      <c r="A2568" s="1392" t="s">
        <v>2579</v>
      </c>
      <c r="B2568" s="1392" t="s">
        <v>2056</v>
      </c>
      <c r="C2568" s="1392" t="s">
        <v>1846</v>
      </c>
      <c r="D2568" s="1392" t="s">
        <v>1979</v>
      </c>
      <c r="E2568" s="4536" t="s">
        <v>1983</v>
      </c>
      <c r="F2568" s="4537"/>
      <c r="G2568" s="1391">
        <v>2783071306</v>
      </c>
    </row>
    <row r="2569" spans="1:7" x14ac:dyDescent="0.25">
      <c r="A2569" s="1392" t="s">
        <v>2579</v>
      </c>
      <c r="B2569" s="1392" t="s">
        <v>2056</v>
      </c>
      <c r="C2569" s="1392" t="s">
        <v>1846</v>
      </c>
      <c r="D2569" s="1392" t="s">
        <v>1979</v>
      </c>
      <c r="E2569" s="1392" t="s">
        <v>1983</v>
      </c>
      <c r="F2569" s="1392" t="s">
        <v>2067</v>
      </c>
      <c r="G2569" s="1391">
        <v>31754200</v>
      </c>
    </row>
    <row r="2570" spans="1:7" x14ac:dyDescent="0.25">
      <c r="A2570" s="1392" t="s">
        <v>2579</v>
      </c>
      <c r="B2570" s="1392" t="s">
        <v>2056</v>
      </c>
      <c r="C2570" s="1392" t="s">
        <v>1846</v>
      </c>
      <c r="D2570" s="1392" t="s">
        <v>1979</v>
      </c>
      <c r="E2570" s="1392" t="s">
        <v>1983</v>
      </c>
      <c r="F2570" s="1392" t="s">
        <v>2240</v>
      </c>
      <c r="G2570" s="1391">
        <v>2383626013</v>
      </c>
    </row>
    <row r="2571" spans="1:7" x14ac:dyDescent="0.25">
      <c r="A2571" s="1392" t="s">
        <v>2579</v>
      </c>
      <c r="B2571" s="1392" t="s">
        <v>2056</v>
      </c>
      <c r="C2571" s="1392" t="s">
        <v>1846</v>
      </c>
      <c r="D2571" s="1392" t="s">
        <v>1979</v>
      </c>
      <c r="E2571" s="1392" t="s">
        <v>1983</v>
      </c>
      <c r="F2571" s="1392" t="s">
        <v>2069</v>
      </c>
      <c r="G2571" s="1391">
        <v>46266000</v>
      </c>
    </row>
    <row r="2572" spans="1:7" x14ac:dyDescent="0.25">
      <c r="A2572" s="1392" t="s">
        <v>2579</v>
      </c>
      <c r="B2572" s="1392" t="s">
        <v>2056</v>
      </c>
      <c r="C2572" s="1392" t="s">
        <v>1846</v>
      </c>
      <c r="D2572" s="1392" t="s">
        <v>1979</v>
      </c>
      <c r="E2572" s="1392" t="s">
        <v>1983</v>
      </c>
      <c r="F2572" s="1392" t="s">
        <v>1984</v>
      </c>
      <c r="G2572" s="1391">
        <v>182559093</v>
      </c>
    </row>
    <row r="2573" spans="1:7" x14ac:dyDescent="0.25">
      <c r="A2573" s="1392" t="s">
        <v>2579</v>
      </c>
      <c r="B2573" s="1392" t="s">
        <v>2056</v>
      </c>
      <c r="C2573" s="1392" t="s">
        <v>1846</v>
      </c>
      <c r="D2573" s="1392" t="s">
        <v>1979</v>
      </c>
      <c r="E2573" s="1392" t="s">
        <v>1983</v>
      </c>
      <c r="F2573" s="1392" t="s">
        <v>2068</v>
      </c>
      <c r="G2573" s="1391">
        <v>138866000</v>
      </c>
    </row>
    <row r="2574" spans="1:7" x14ac:dyDescent="0.25">
      <c r="A2574" s="1392" t="s">
        <v>2579</v>
      </c>
      <c r="B2574" s="1392" t="s">
        <v>2056</v>
      </c>
      <c r="C2574" s="1392" t="s">
        <v>1846</v>
      </c>
      <c r="D2574" s="1392" t="s">
        <v>1979</v>
      </c>
      <c r="E2574" s="4536" t="s">
        <v>1917</v>
      </c>
      <c r="F2574" s="4537"/>
      <c r="G2574" s="1391">
        <v>226929000</v>
      </c>
    </row>
    <row r="2575" spans="1:7" x14ac:dyDescent="0.25">
      <c r="A2575" s="1392" t="s">
        <v>2579</v>
      </c>
      <c r="B2575" s="1392" t="s">
        <v>2056</v>
      </c>
      <c r="C2575" s="1392" t="s">
        <v>1846</v>
      </c>
      <c r="D2575" s="1392" t="s">
        <v>1979</v>
      </c>
      <c r="E2575" s="1392" t="s">
        <v>1917</v>
      </c>
      <c r="F2575" s="1392" t="s">
        <v>1918</v>
      </c>
      <c r="G2575" s="1391">
        <v>226929000</v>
      </c>
    </row>
    <row r="2576" spans="1:7" x14ac:dyDescent="0.25">
      <c r="A2576" s="1392" t="s">
        <v>2579</v>
      </c>
      <c r="B2576" s="1392" t="s">
        <v>2056</v>
      </c>
      <c r="C2576" s="1392" t="s">
        <v>1846</v>
      </c>
      <c r="D2576" s="4536" t="s">
        <v>1986</v>
      </c>
      <c r="E2576" s="4537"/>
      <c r="F2576" s="4537"/>
      <c r="G2576" s="1391">
        <v>16628597065</v>
      </c>
    </row>
    <row r="2577" spans="1:7" x14ac:dyDescent="0.25">
      <c r="A2577" s="1392" t="s">
        <v>2579</v>
      </c>
      <c r="B2577" s="1392" t="s">
        <v>2056</v>
      </c>
      <c r="C2577" s="1392" t="s">
        <v>1846</v>
      </c>
      <c r="D2577" s="1392" t="s">
        <v>1986</v>
      </c>
      <c r="E2577" s="4536" t="s">
        <v>1848</v>
      </c>
      <c r="F2577" s="4537"/>
      <c r="G2577" s="1391">
        <v>4221733915</v>
      </c>
    </row>
    <row r="2578" spans="1:7" x14ac:dyDescent="0.25">
      <c r="A2578" s="1392" t="s">
        <v>2579</v>
      </c>
      <c r="B2578" s="1392" t="s">
        <v>2056</v>
      </c>
      <c r="C2578" s="1392" t="s">
        <v>1846</v>
      </c>
      <c r="D2578" s="1392" t="s">
        <v>1986</v>
      </c>
      <c r="E2578" s="1392" t="s">
        <v>1848</v>
      </c>
      <c r="F2578" s="1392" t="s">
        <v>1849</v>
      </c>
      <c r="G2578" s="1391">
        <v>4221733915</v>
      </c>
    </row>
    <row r="2579" spans="1:7" x14ac:dyDescent="0.25">
      <c r="A2579" s="1392" t="s">
        <v>2579</v>
      </c>
      <c r="B2579" s="1392" t="s">
        <v>2056</v>
      </c>
      <c r="C2579" s="1392" t="s">
        <v>1846</v>
      </c>
      <c r="D2579" s="1392" t="s">
        <v>1986</v>
      </c>
      <c r="E2579" s="4536" t="s">
        <v>1853</v>
      </c>
      <c r="F2579" s="4537"/>
      <c r="G2579" s="1391">
        <v>2876745801</v>
      </c>
    </row>
    <row r="2580" spans="1:7" x14ac:dyDescent="0.25">
      <c r="A2580" s="1392" t="s">
        <v>2579</v>
      </c>
      <c r="B2580" s="1392" t="s">
        <v>2056</v>
      </c>
      <c r="C2580" s="1392" t="s">
        <v>1846</v>
      </c>
      <c r="D2580" s="1392" t="s">
        <v>1986</v>
      </c>
      <c r="E2580" s="1392" t="s">
        <v>1853</v>
      </c>
      <c r="F2580" s="1392" t="s">
        <v>1854</v>
      </c>
      <c r="G2580" s="1391">
        <v>247174937</v>
      </c>
    </row>
    <row r="2581" spans="1:7" x14ac:dyDescent="0.25">
      <c r="A2581" s="1392" t="s">
        <v>2579</v>
      </c>
      <c r="B2581" s="1392" t="s">
        <v>2056</v>
      </c>
      <c r="C2581" s="1392" t="s">
        <v>1846</v>
      </c>
      <c r="D2581" s="1392" t="s">
        <v>1986</v>
      </c>
      <c r="E2581" s="1392" t="s">
        <v>1853</v>
      </c>
      <c r="F2581" s="1392" t="s">
        <v>1855</v>
      </c>
      <c r="G2581" s="1391">
        <v>903685000</v>
      </c>
    </row>
    <row r="2582" spans="1:7" x14ac:dyDescent="0.25">
      <c r="A2582" s="1392" t="s">
        <v>2579</v>
      </c>
      <c r="B2582" s="1392" t="s">
        <v>2056</v>
      </c>
      <c r="C2582" s="1392" t="s">
        <v>1846</v>
      </c>
      <c r="D2582" s="1392" t="s">
        <v>1986</v>
      </c>
      <c r="E2582" s="1392" t="s">
        <v>1853</v>
      </c>
      <c r="F2582" s="1392" t="s">
        <v>1935</v>
      </c>
      <c r="G2582" s="1391">
        <v>457608800</v>
      </c>
    </row>
    <row r="2583" spans="1:7" x14ac:dyDescent="0.25">
      <c r="A2583" s="1392" t="s">
        <v>2579</v>
      </c>
      <c r="B2583" s="1392" t="s">
        <v>2056</v>
      </c>
      <c r="C2583" s="1392" t="s">
        <v>1846</v>
      </c>
      <c r="D2583" s="1392" t="s">
        <v>1986</v>
      </c>
      <c r="E2583" s="1392" t="s">
        <v>1853</v>
      </c>
      <c r="F2583" s="1392" t="s">
        <v>1856</v>
      </c>
      <c r="G2583" s="1391">
        <v>51632488</v>
      </c>
    </row>
    <row r="2584" spans="1:7" x14ac:dyDescent="0.25">
      <c r="A2584" s="1392" t="s">
        <v>2579</v>
      </c>
      <c r="B2584" s="1392" t="s">
        <v>2056</v>
      </c>
      <c r="C2584" s="1392" t="s">
        <v>1846</v>
      </c>
      <c r="D2584" s="1392" t="s">
        <v>1986</v>
      </c>
      <c r="E2584" s="1392" t="s">
        <v>1853</v>
      </c>
      <c r="F2584" s="1392" t="s">
        <v>1857</v>
      </c>
      <c r="G2584" s="1391">
        <v>4470000</v>
      </c>
    </row>
    <row r="2585" spans="1:7" x14ac:dyDescent="0.25">
      <c r="A2585" s="1392" t="s">
        <v>2579</v>
      </c>
      <c r="B2585" s="1392" t="s">
        <v>2056</v>
      </c>
      <c r="C2585" s="1392" t="s">
        <v>1846</v>
      </c>
      <c r="D2585" s="1392" t="s">
        <v>1986</v>
      </c>
      <c r="E2585" s="1392" t="s">
        <v>1853</v>
      </c>
      <c r="F2585" s="1392" t="s">
        <v>1938</v>
      </c>
      <c r="G2585" s="1391">
        <v>53938000</v>
      </c>
    </row>
    <row r="2586" spans="1:7" x14ac:dyDescent="0.25">
      <c r="A2586" s="1392" t="s">
        <v>2579</v>
      </c>
      <c r="B2586" s="1392" t="s">
        <v>2056</v>
      </c>
      <c r="C2586" s="1392" t="s">
        <v>1846</v>
      </c>
      <c r="D2586" s="1392" t="s">
        <v>1986</v>
      </c>
      <c r="E2586" s="1392" t="s">
        <v>1853</v>
      </c>
      <c r="F2586" s="1392" t="s">
        <v>1859</v>
      </c>
      <c r="G2586" s="1391">
        <v>1109505776</v>
      </c>
    </row>
    <row r="2587" spans="1:7" x14ac:dyDescent="0.25">
      <c r="A2587" s="1392" t="s">
        <v>2579</v>
      </c>
      <c r="B2587" s="1392" t="s">
        <v>2056</v>
      </c>
      <c r="C2587" s="1392" t="s">
        <v>1846</v>
      </c>
      <c r="D2587" s="1392" t="s">
        <v>1986</v>
      </c>
      <c r="E2587" s="1392" t="s">
        <v>1853</v>
      </c>
      <c r="F2587" s="1392" t="s">
        <v>1939</v>
      </c>
      <c r="G2587" s="1391">
        <v>48730800</v>
      </c>
    </row>
    <row r="2588" spans="1:7" x14ac:dyDescent="0.25">
      <c r="A2588" s="1392" t="s">
        <v>2579</v>
      </c>
      <c r="B2588" s="1392" t="s">
        <v>2056</v>
      </c>
      <c r="C2588" s="1392" t="s">
        <v>1846</v>
      </c>
      <c r="D2588" s="1392" t="s">
        <v>1986</v>
      </c>
      <c r="E2588" s="4536" t="s">
        <v>1860</v>
      </c>
      <c r="F2588" s="4537"/>
      <c r="G2588" s="1391">
        <v>55435000</v>
      </c>
    </row>
    <row r="2589" spans="1:7" x14ac:dyDescent="0.25">
      <c r="A2589" s="1392" t="s">
        <v>2579</v>
      </c>
      <c r="B2589" s="1392" t="s">
        <v>2056</v>
      </c>
      <c r="C2589" s="1392" t="s">
        <v>1846</v>
      </c>
      <c r="D2589" s="1392" t="s">
        <v>1986</v>
      </c>
      <c r="E2589" s="1392" t="s">
        <v>1860</v>
      </c>
      <c r="F2589" s="1392" t="s">
        <v>1861</v>
      </c>
      <c r="G2589" s="1391">
        <v>21000000</v>
      </c>
    </row>
    <row r="2590" spans="1:7" x14ac:dyDescent="0.25">
      <c r="A2590" s="1392" t="s">
        <v>2579</v>
      </c>
      <c r="B2590" s="1392" t="s">
        <v>2056</v>
      </c>
      <c r="C2590" s="1392" t="s">
        <v>1846</v>
      </c>
      <c r="D2590" s="1392" t="s">
        <v>1986</v>
      </c>
      <c r="E2590" s="1392" t="s">
        <v>1860</v>
      </c>
      <c r="F2590" s="1392" t="s">
        <v>1930</v>
      </c>
      <c r="G2590" s="1391">
        <v>34435000</v>
      </c>
    </row>
    <row r="2591" spans="1:7" x14ac:dyDescent="0.25">
      <c r="A2591" s="1392" t="s">
        <v>2579</v>
      </c>
      <c r="B2591" s="1392" t="s">
        <v>2056</v>
      </c>
      <c r="C2591" s="1392" t="s">
        <v>1846</v>
      </c>
      <c r="D2591" s="1392" t="s">
        <v>1986</v>
      </c>
      <c r="E2591" s="4536" t="s">
        <v>1943</v>
      </c>
      <c r="F2591" s="4537"/>
      <c r="G2591" s="1391">
        <v>700000</v>
      </c>
    </row>
    <row r="2592" spans="1:7" x14ac:dyDescent="0.25">
      <c r="A2592" s="1392" t="s">
        <v>2579</v>
      </c>
      <c r="B2592" s="1392" t="s">
        <v>2056</v>
      </c>
      <c r="C2592" s="1392" t="s">
        <v>1846</v>
      </c>
      <c r="D2592" s="1392" t="s">
        <v>1986</v>
      </c>
      <c r="E2592" s="1392" t="s">
        <v>1943</v>
      </c>
      <c r="F2592" s="1392" t="s">
        <v>1980</v>
      </c>
      <c r="G2592" s="1391">
        <v>700000</v>
      </c>
    </row>
    <row r="2593" spans="1:7" x14ac:dyDescent="0.25">
      <c r="A2593" s="1392" t="s">
        <v>2579</v>
      </c>
      <c r="B2593" s="1392" t="s">
        <v>2056</v>
      </c>
      <c r="C2593" s="1392" t="s">
        <v>1846</v>
      </c>
      <c r="D2593" s="1392" t="s">
        <v>1986</v>
      </c>
      <c r="E2593" s="4536" t="s">
        <v>1862</v>
      </c>
      <c r="F2593" s="4537"/>
      <c r="G2593" s="1391">
        <v>1200321445</v>
      </c>
    </row>
    <row r="2594" spans="1:7" x14ac:dyDescent="0.25">
      <c r="A2594" s="1392" t="s">
        <v>2579</v>
      </c>
      <c r="B2594" s="1392" t="s">
        <v>2056</v>
      </c>
      <c r="C2594" s="1392" t="s">
        <v>1846</v>
      </c>
      <c r="D2594" s="1392" t="s">
        <v>1986</v>
      </c>
      <c r="E2594" s="1392" t="s">
        <v>1862</v>
      </c>
      <c r="F2594" s="1392" t="s">
        <v>1863</v>
      </c>
      <c r="G2594" s="1391">
        <v>949383941</v>
      </c>
    </row>
    <row r="2595" spans="1:7" x14ac:dyDescent="0.25">
      <c r="A2595" s="1392" t="s">
        <v>2579</v>
      </c>
      <c r="B2595" s="1392" t="s">
        <v>2056</v>
      </c>
      <c r="C2595" s="1392" t="s">
        <v>1846</v>
      </c>
      <c r="D2595" s="1392" t="s">
        <v>1986</v>
      </c>
      <c r="E2595" s="1392" t="s">
        <v>1862</v>
      </c>
      <c r="F2595" s="1392" t="s">
        <v>1864</v>
      </c>
      <c r="G2595" s="1391">
        <v>163507601</v>
      </c>
    </row>
    <row r="2596" spans="1:7" x14ac:dyDescent="0.25">
      <c r="A2596" s="1392" t="s">
        <v>2579</v>
      </c>
      <c r="B2596" s="1392" t="s">
        <v>2056</v>
      </c>
      <c r="C2596" s="1392" t="s">
        <v>1846</v>
      </c>
      <c r="D2596" s="1392" t="s">
        <v>1986</v>
      </c>
      <c r="E2596" s="1392" t="s">
        <v>1862</v>
      </c>
      <c r="F2596" s="1392" t="s">
        <v>1865</v>
      </c>
      <c r="G2596" s="1391">
        <v>87429903</v>
      </c>
    </row>
    <row r="2597" spans="1:7" x14ac:dyDescent="0.25">
      <c r="A2597" s="1392" t="s">
        <v>2579</v>
      </c>
      <c r="B2597" s="1392" t="s">
        <v>2056</v>
      </c>
      <c r="C2597" s="1392" t="s">
        <v>1846</v>
      </c>
      <c r="D2597" s="1392" t="s">
        <v>1986</v>
      </c>
      <c r="E2597" s="4536" t="s">
        <v>2057</v>
      </c>
      <c r="F2597" s="4537"/>
      <c r="G2597" s="1391">
        <v>2661933791</v>
      </c>
    </row>
    <row r="2598" spans="1:7" x14ac:dyDescent="0.25">
      <c r="A2598" s="1392" t="s">
        <v>2579</v>
      </c>
      <c r="B2598" s="1392" t="s">
        <v>2056</v>
      </c>
      <c r="C2598" s="1392" t="s">
        <v>1846</v>
      </c>
      <c r="D2598" s="1392" t="s">
        <v>1986</v>
      </c>
      <c r="E2598" s="1392" t="s">
        <v>2057</v>
      </c>
      <c r="F2598" s="1392" t="s">
        <v>2058</v>
      </c>
      <c r="G2598" s="1391">
        <v>1863673731</v>
      </c>
    </row>
    <row r="2599" spans="1:7" x14ac:dyDescent="0.25">
      <c r="A2599" s="1392" t="s">
        <v>2579</v>
      </c>
      <c r="B2599" s="1392" t="s">
        <v>2056</v>
      </c>
      <c r="C2599" s="1392" t="s">
        <v>1846</v>
      </c>
      <c r="D2599" s="1392" t="s">
        <v>1986</v>
      </c>
      <c r="E2599" s="1392" t="s">
        <v>2057</v>
      </c>
      <c r="F2599" s="1392" t="s">
        <v>2059</v>
      </c>
      <c r="G2599" s="1391">
        <v>798260060</v>
      </c>
    </row>
    <row r="2600" spans="1:7" x14ac:dyDescent="0.25">
      <c r="A2600" s="1392" t="s">
        <v>2579</v>
      </c>
      <c r="B2600" s="1392" t="s">
        <v>2056</v>
      </c>
      <c r="C2600" s="1392" t="s">
        <v>1846</v>
      </c>
      <c r="D2600" s="1392" t="s">
        <v>1986</v>
      </c>
      <c r="E2600" s="4536" t="s">
        <v>1867</v>
      </c>
      <c r="F2600" s="4537"/>
      <c r="G2600" s="1391">
        <v>591783849</v>
      </c>
    </row>
    <row r="2601" spans="1:7" x14ac:dyDescent="0.25">
      <c r="A2601" s="1392" t="s">
        <v>2579</v>
      </c>
      <c r="B2601" s="1392" t="s">
        <v>2056</v>
      </c>
      <c r="C2601" s="1392" t="s">
        <v>1846</v>
      </c>
      <c r="D2601" s="1392" t="s">
        <v>1986</v>
      </c>
      <c r="E2601" s="1392" t="s">
        <v>1867</v>
      </c>
      <c r="F2601" s="1392" t="s">
        <v>1868</v>
      </c>
      <c r="G2601" s="1391">
        <v>591783849</v>
      </c>
    </row>
    <row r="2602" spans="1:7" x14ac:dyDescent="0.25">
      <c r="A2602" s="1392" t="s">
        <v>2579</v>
      </c>
      <c r="B2602" s="1392" t="s">
        <v>2056</v>
      </c>
      <c r="C2602" s="1392" t="s">
        <v>1846</v>
      </c>
      <c r="D2602" s="1392" t="s">
        <v>1986</v>
      </c>
      <c r="E2602" s="4536" t="s">
        <v>1874</v>
      </c>
      <c r="F2602" s="4537"/>
      <c r="G2602" s="1391">
        <v>161117000</v>
      </c>
    </row>
    <row r="2603" spans="1:7" x14ac:dyDescent="0.25">
      <c r="A2603" s="1392" t="s">
        <v>2579</v>
      </c>
      <c r="B2603" s="1392" t="s">
        <v>2056</v>
      </c>
      <c r="C2603" s="1392" t="s">
        <v>1846</v>
      </c>
      <c r="D2603" s="1392" t="s">
        <v>1986</v>
      </c>
      <c r="E2603" s="1392" t="s">
        <v>1874</v>
      </c>
      <c r="F2603" s="1392" t="s">
        <v>1875</v>
      </c>
      <c r="G2603" s="1391">
        <v>125997000</v>
      </c>
    </row>
    <row r="2604" spans="1:7" x14ac:dyDescent="0.25">
      <c r="A2604" s="1392" t="s">
        <v>2579</v>
      </c>
      <c r="B2604" s="1392" t="s">
        <v>2056</v>
      </c>
      <c r="C2604" s="1392" t="s">
        <v>1846</v>
      </c>
      <c r="D2604" s="1392" t="s">
        <v>1986</v>
      </c>
      <c r="E2604" s="1392" t="s">
        <v>1874</v>
      </c>
      <c r="F2604" s="1392" t="s">
        <v>1876</v>
      </c>
      <c r="G2604" s="1391">
        <v>6230000</v>
      </c>
    </row>
    <row r="2605" spans="1:7" x14ac:dyDescent="0.25">
      <c r="A2605" s="1392" t="s">
        <v>2579</v>
      </c>
      <c r="B2605" s="1392" t="s">
        <v>2056</v>
      </c>
      <c r="C2605" s="1392" t="s">
        <v>1846</v>
      </c>
      <c r="D2605" s="1392" t="s">
        <v>1986</v>
      </c>
      <c r="E2605" s="1392" t="s">
        <v>1874</v>
      </c>
      <c r="F2605" s="1392" t="s">
        <v>1877</v>
      </c>
      <c r="G2605" s="1391">
        <v>28890000</v>
      </c>
    </row>
    <row r="2606" spans="1:7" x14ac:dyDescent="0.25">
      <c r="A2606" s="1392" t="s">
        <v>2579</v>
      </c>
      <c r="B2606" s="1392" t="s">
        <v>2056</v>
      </c>
      <c r="C2606" s="1392" t="s">
        <v>1846</v>
      </c>
      <c r="D2606" s="1392" t="s">
        <v>1986</v>
      </c>
      <c r="E2606" s="4536" t="s">
        <v>1878</v>
      </c>
      <c r="F2606" s="4537"/>
      <c r="G2606" s="1391">
        <v>49686600</v>
      </c>
    </row>
    <row r="2607" spans="1:7" x14ac:dyDescent="0.25">
      <c r="A2607" s="1392" t="s">
        <v>2579</v>
      </c>
      <c r="B2607" s="1392" t="s">
        <v>2056</v>
      </c>
      <c r="C2607" s="1392" t="s">
        <v>1846</v>
      </c>
      <c r="D2607" s="1392" t="s">
        <v>1986</v>
      </c>
      <c r="E2607" s="1392" t="s">
        <v>1878</v>
      </c>
      <c r="F2607" s="1392" t="s">
        <v>1879</v>
      </c>
      <c r="G2607" s="1391">
        <v>2800000</v>
      </c>
    </row>
    <row r="2608" spans="1:7" x14ac:dyDescent="0.25">
      <c r="A2608" s="1392" t="s">
        <v>2579</v>
      </c>
      <c r="B2608" s="1392" t="s">
        <v>2056</v>
      </c>
      <c r="C2608" s="1392" t="s">
        <v>1846</v>
      </c>
      <c r="D2608" s="1392" t="s">
        <v>1986</v>
      </c>
      <c r="E2608" s="1392" t="s">
        <v>1878</v>
      </c>
      <c r="F2608" s="1392" t="s">
        <v>1882</v>
      </c>
      <c r="G2608" s="1391">
        <v>43896000</v>
      </c>
    </row>
    <row r="2609" spans="1:7" x14ac:dyDescent="0.25">
      <c r="A2609" s="1392" t="s">
        <v>2579</v>
      </c>
      <c r="B2609" s="1392" t="s">
        <v>2056</v>
      </c>
      <c r="C2609" s="1392" t="s">
        <v>1846</v>
      </c>
      <c r="D2609" s="1392" t="s">
        <v>1986</v>
      </c>
      <c r="E2609" s="1392" t="s">
        <v>1878</v>
      </c>
      <c r="F2609" s="1392" t="s">
        <v>1883</v>
      </c>
      <c r="G2609" s="1391">
        <v>2990600</v>
      </c>
    </row>
    <row r="2610" spans="1:7" x14ac:dyDescent="0.25">
      <c r="A2610" s="1392" t="s">
        <v>2579</v>
      </c>
      <c r="B2610" s="1392" t="s">
        <v>2056</v>
      </c>
      <c r="C2610" s="1392" t="s">
        <v>1846</v>
      </c>
      <c r="D2610" s="1392" t="s">
        <v>1986</v>
      </c>
      <c r="E2610" s="4536" t="s">
        <v>1885</v>
      </c>
      <c r="F2610" s="4537"/>
      <c r="G2610" s="1391">
        <v>955152000</v>
      </c>
    </row>
    <row r="2611" spans="1:7" x14ac:dyDescent="0.25">
      <c r="A2611" s="1392" t="s">
        <v>2579</v>
      </c>
      <c r="B2611" s="1392" t="s">
        <v>2056</v>
      </c>
      <c r="C2611" s="1392" t="s">
        <v>1846</v>
      </c>
      <c r="D2611" s="1392" t="s">
        <v>1986</v>
      </c>
      <c r="E2611" s="1392" t="s">
        <v>1885</v>
      </c>
      <c r="F2611" s="1392" t="s">
        <v>1925</v>
      </c>
      <c r="G2611" s="1391">
        <v>430000</v>
      </c>
    </row>
    <row r="2612" spans="1:7" x14ac:dyDescent="0.25">
      <c r="A2612" s="1392" t="s">
        <v>2579</v>
      </c>
      <c r="B2612" s="1392" t="s">
        <v>2056</v>
      </c>
      <c r="C2612" s="1392" t="s">
        <v>1846</v>
      </c>
      <c r="D2612" s="1392" t="s">
        <v>1986</v>
      </c>
      <c r="E2612" s="1392" t="s">
        <v>1885</v>
      </c>
      <c r="F2612" s="1392" t="s">
        <v>1886</v>
      </c>
      <c r="G2612" s="1391">
        <v>3450000</v>
      </c>
    </row>
    <row r="2613" spans="1:7" x14ac:dyDescent="0.25">
      <c r="A2613" s="1392" t="s">
        <v>2579</v>
      </c>
      <c r="B2613" s="1392" t="s">
        <v>2056</v>
      </c>
      <c r="C2613" s="1392" t="s">
        <v>1846</v>
      </c>
      <c r="D2613" s="1392" t="s">
        <v>1986</v>
      </c>
      <c r="E2613" s="1392" t="s">
        <v>1885</v>
      </c>
      <c r="F2613" s="1392" t="s">
        <v>1887</v>
      </c>
      <c r="G2613" s="1391">
        <v>891916000</v>
      </c>
    </row>
    <row r="2614" spans="1:7" x14ac:dyDescent="0.25">
      <c r="A2614" s="1392" t="s">
        <v>2579</v>
      </c>
      <c r="B2614" s="1392" t="s">
        <v>2056</v>
      </c>
      <c r="C2614" s="1392" t="s">
        <v>1846</v>
      </c>
      <c r="D2614" s="1392" t="s">
        <v>1986</v>
      </c>
      <c r="E2614" s="1392" t="s">
        <v>1885</v>
      </c>
      <c r="F2614" s="1392" t="s">
        <v>1888</v>
      </c>
      <c r="G2614" s="1391">
        <v>59356000</v>
      </c>
    </row>
    <row r="2615" spans="1:7" x14ac:dyDescent="0.25">
      <c r="A2615" s="1392" t="s">
        <v>2579</v>
      </c>
      <c r="B2615" s="1392" t="s">
        <v>2056</v>
      </c>
      <c r="C2615" s="1392" t="s">
        <v>1846</v>
      </c>
      <c r="D2615" s="1392" t="s">
        <v>1986</v>
      </c>
      <c r="E2615" s="4536" t="s">
        <v>1889</v>
      </c>
      <c r="F2615" s="4537"/>
      <c r="G2615" s="1391">
        <v>379371500</v>
      </c>
    </row>
    <row r="2616" spans="1:7" x14ac:dyDescent="0.25">
      <c r="A2616" s="1392" t="s">
        <v>2579</v>
      </c>
      <c r="B2616" s="1392" t="s">
        <v>2056</v>
      </c>
      <c r="C2616" s="1392" t="s">
        <v>1846</v>
      </c>
      <c r="D2616" s="1392" t="s">
        <v>1986</v>
      </c>
      <c r="E2616" s="1392" t="s">
        <v>1889</v>
      </c>
      <c r="F2616" s="1392" t="s">
        <v>1921</v>
      </c>
      <c r="G2616" s="1391">
        <v>2400000</v>
      </c>
    </row>
    <row r="2617" spans="1:7" x14ac:dyDescent="0.25">
      <c r="A2617" s="1392" t="s">
        <v>2579</v>
      </c>
      <c r="B2617" s="1392" t="s">
        <v>2056</v>
      </c>
      <c r="C2617" s="1392" t="s">
        <v>1846</v>
      </c>
      <c r="D2617" s="1392" t="s">
        <v>1986</v>
      </c>
      <c r="E2617" s="1392" t="s">
        <v>1889</v>
      </c>
      <c r="F2617" s="1392" t="s">
        <v>1890</v>
      </c>
      <c r="G2617" s="1391">
        <v>229219500</v>
      </c>
    </row>
    <row r="2618" spans="1:7" x14ac:dyDescent="0.25">
      <c r="A2618" s="1392" t="s">
        <v>2579</v>
      </c>
      <c r="B2618" s="1392" t="s">
        <v>2056</v>
      </c>
      <c r="C2618" s="1392" t="s">
        <v>1846</v>
      </c>
      <c r="D2618" s="1392" t="s">
        <v>1986</v>
      </c>
      <c r="E2618" s="1392" t="s">
        <v>1889</v>
      </c>
      <c r="F2618" s="1392" t="s">
        <v>1891</v>
      </c>
      <c r="G2618" s="1391">
        <v>47470000</v>
      </c>
    </row>
    <row r="2619" spans="1:7" x14ac:dyDescent="0.25">
      <c r="A2619" s="1392" t="s">
        <v>2579</v>
      </c>
      <c r="B2619" s="1392" t="s">
        <v>2056</v>
      </c>
      <c r="C2619" s="1392" t="s">
        <v>1846</v>
      </c>
      <c r="D2619" s="1392" t="s">
        <v>1986</v>
      </c>
      <c r="E2619" s="1392" t="s">
        <v>1889</v>
      </c>
      <c r="F2619" s="1392" t="s">
        <v>1892</v>
      </c>
      <c r="G2619" s="1391">
        <v>54300000</v>
      </c>
    </row>
    <row r="2620" spans="1:7" x14ac:dyDescent="0.25">
      <c r="A2620" s="1392" t="s">
        <v>2579</v>
      </c>
      <c r="B2620" s="1392" t="s">
        <v>2056</v>
      </c>
      <c r="C2620" s="1392" t="s">
        <v>1846</v>
      </c>
      <c r="D2620" s="1392" t="s">
        <v>1986</v>
      </c>
      <c r="E2620" s="1392" t="s">
        <v>1889</v>
      </c>
      <c r="F2620" s="1392" t="s">
        <v>1922</v>
      </c>
      <c r="G2620" s="1391">
        <v>45982000</v>
      </c>
    </row>
    <row r="2621" spans="1:7" x14ac:dyDescent="0.25">
      <c r="A2621" s="1392" t="s">
        <v>2579</v>
      </c>
      <c r="B2621" s="1392" t="s">
        <v>2056</v>
      </c>
      <c r="C2621" s="1392" t="s">
        <v>1846</v>
      </c>
      <c r="D2621" s="1392" t="s">
        <v>1986</v>
      </c>
      <c r="E2621" s="4536" t="s">
        <v>1893</v>
      </c>
      <c r="F2621" s="4537"/>
      <c r="G2621" s="1391">
        <v>10714000</v>
      </c>
    </row>
    <row r="2622" spans="1:7" x14ac:dyDescent="0.25">
      <c r="A2622" s="1392" t="s">
        <v>2579</v>
      </c>
      <c r="B2622" s="1392" t="s">
        <v>2056</v>
      </c>
      <c r="C2622" s="1392" t="s">
        <v>1846</v>
      </c>
      <c r="D2622" s="1392" t="s">
        <v>1986</v>
      </c>
      <c r="E2622" s="1392" t="s">
        <v>1893</v>
      </c>
      <c r="F2622" s="1392" t="s">
        <v>1894</v>
      </c>
      <c r="G2622" s="1391">
        <v>300000</v>
      </c>
    </row>
    <row r="2623" spans="1:7" x14ac:dyDescent="0.25">
      <c r="A2623" s="1392" t="s">
        <v>2579</v>
      </c>
      <c r="B2623" s="1392" t="s">
        <v>2056</v>
      </c>
      <c r="C2623" s="1392" t="s">
        <v>1846</v>
      </c>
      <c r="D2623" s="1392" t="s">
        <v>1986</v>
      </c>
      <c r="E2623" s="1392" t="s">
        <v>1893</v>
      </c>
      <c r="F2623" s="1392" t="s">
        <v>1895</v>
      </c>
      <c r="G2623" s="1391">
        <v>10414000</v>
      </c>
    </row>
    <row r="2624" spans="1:7" x14ac:dyDescent="0.25">
      <c r="A2624" s="1392" t="s">
        <v>2579</v>
      </c>
      <c r="B2624" s="1392" t="s">
        <v>2056</v>
      </c>
      <c r="C2624" s="1392" t="s">
        <v>1846</v>
      </c>
      <c r="D2624" s="1392" t="s">
        <v>1986</v>
      </c>
      <c r="E2624" s="4536" t="s">
        <v>1896</v>
      </c>
      <c r="F2624" s="4537"/>
      <c r="G2624" s="1391">
        <v>90596000</v>
      </c>
    </row>
    <row r="2625" spans="1:7" x14ac:dyDescent="0.25">
      <c r="A2625" s="1392" t="s">
        <v>2579</v>
      </c>
      <c r="B2625" s="1392" t="s">
        <v>2056</v>
      </c>
      <c r="C2625" s="1392" t="s">
        <v>1846</v>
      </c>
      <c r="D2625" s="1392" t="s">
        <v>1986</v>
      </c>
      <c r="E2625" s="1392" t="s">
        <v>1896</v>
      </c>
      <c r="F2625" s="1392" t="s">
        <v>1900</v>
      </c>
      <c r="G2625" s="1391">
        <v>81406000</v>
      </c>
    </row>
    <row r="2626" spans="1:7" x14ac:dyDescent="0.25">
      <c r="A2626" s="1392" t="s">
        <v>2579</v>
      </c>
      <c r="B2626" s="1392" t="s">
        <v>2056</v>
      </c>
      <c r="C2626" s="1392" t="s">
        <v>1846</v>
      </c>
      <c r="D2626" s="1392" t="s">
        <v>1986</v>
      </c>
      <c r="E2626" s="1392" t="s">
        <v>1896</v>
      </c>
      <c r="F2626" s="1392" t="s">
        <v>1901</v>
      </c>
      <c r="G2626" s="1391">
        <v>2500000</v>
      </c>
    </row>
    <row r="2627" spans="1:7" x14ac:dyDescent="0.25">
      <c r="A2627" s="1392" t="s">
        <v>2579</v>
      </c>
      <c r="B2627" s="1392" t="s">
        <v>2056</v>
      </c>
      <c r="C2627" s="1392" t="s">
        <v>1846</v>
      </c>
      <c r="D2627" s="1392" t="s">
        <v>1986</v>
      </c>
      <c r="E2627" s="1392" t="s">
        <v>1896</v>
      </c>
      <c r="F2627" s="1392" t="s">
        <v>1902</v>
      </c>
      <c r="G2627" s="1391">
        <v>6690000</v>
      </c>
    </row>
    <row r="2628" spans="1:7" x14ac:dyDescent="0.25">
      <c r="A2628" s="1392" t="s">
        <v>2579</v>
      </c>
      <c r="B2628" s="1392" t="s">
        <v>2056</v>
      </c>
      <c r="C2628" s="1392" t="s">
        <v>1846</v>
      </c>
      <c r="D2628" s="1392" t="s">
        <v>1986</v>
      </c>
      <c r="E2628" s="4536" t="s">
        <v>1903</v>
      </c>
      <c r="F2628" s="4537"/>
      <c r="G2628" s="1391">
        <v>12260000</v>
      </c>
    </row>
    <row r="2629" spans="1:7" x14ac:dyDescent="0.25">
      <c r="A2629" s="1392" t="s">
        <v>2579</v>
      </c>
      <c r="B2629" s="1392" t="s">
        <v>2056</v>
      </c>
      <c r="C2629" s="1392" t="s">
        <v>1846</v>
      </c>
      <c r="D2629" s="1392" t="s">
        <v>1986</v>
      </c>
      <c r="E2629" s="1392" t="s">
        <v>1903</v>
      </c>
      <c r="F2629" s="1392" t="s">
        <v>1950</v>
      </c>
      <c r="G2629" s="1391">
        <v>12260000</v>
      </c>
    </row>
    <row r="2630" spans="1:7" x14ac:dyDescent="0.25">
      <c r="A2630" s="1392" t="s">
        <v>2579</v>
      </c>
      <c r="B2630" s="1392" t="s">
        <v>2056</v>
      </c>
      <c r="C2630" s="1392" t="s">
        <v>1846</v>
      </c>
      <c r="D2630" s="1392" t="s">
        <v>1986</v>
      </c>
      <c r="E2630" s="4536" t="s">
        <v>1906</v>
      </c>
      <c r="F2630" s="4537"/>
      <c r="G2630" s="1391">
        <v>123709100</v>
      </c>
    </row>
    <row r="2631" spans="1:7" x14ac:dyDescent="0.25">
      <c r="A2631" s="1392" t="s">
        <v>2579</v>
      </c>
      <c r="B2631" s="1392" t="s">
        <v>2056</v>
      </c>
      <c r="C2631" s="1392" t="s">
        <v>1846</v>
      </c>
      <c r="D2631" s="1392" t="s">
        <v>1986</v>
      </c>
      <c r="E2631" s="1392" t="s">
        <v>1906</v>
      </c>
      <c r="F2631" s="1392" t="s">
        <v>1907</v>
      </c>
      <c r="G2631" s="1391">
        <v>19614600</v>
      </c>
    </row>
    <row r="2632" spans="1:7" x14ac:dyDescent="0.25">
      <c r="A2632" s="1392" t="s">
        <v>2579</v>
      </c>
      <c r="B2632" s="1392" t="s">
        <v>2056</v>
      </c>
      <c r="C2632" s="1392" t="s">
        <v>1846</v>
      </c>
      <c r="D2632" s="1392" t="s">
        <v>1986</v>
      </c>
      <c r="E2632" s="1392" t="s">
        <v>1906</v>
      </c>
      <c r="F2632" s="1392" t="s">
        <v>1908</v>
      </c>
      <c r="G2632" s="1391">
        <v>13580000</v>
      </c>
    </row>
    <row r="2633" spans="1:7" x14ac:dyDescent="0.25">
      <c r="A2633" s="1392" t="s">
        <v>2579</v>
      </c>
      <c r="B2633" s="1392" t="s">
        <v>2056</v>
      </c>
      <c r="C2633" s="1392" t="s">
        <v>1846</v>
      </c>
      <c r="D2633" s="1392" t="s">
        <v>1986</v>
      </c>
      <c r="E2633" s="1392" t="s">
        <v>1906</v>
      </c>
      <c r="F2633" s="1392" t="s">
        <v>1909</v>
      </c>
      <c r="G2633" s="1391">
        <v>90514500</v>
      </c>
    </row>
    <row r="2634" spans="1:7" x14ac:dyDescent="0.25">
      <c r="A2634" s="1392" t="s">
        <v>2579</v>
      </c>
      <c r="B2634" s="1392" t="s">
        <v>2056</v>
      </c>
      <c r="C2634" s="1392" t="s">
        <v>1846</v>
      </c>
      <c r="D2634" s="1392" t="s">
        <v>1986</v>
      </c>
      <c r="E2634" s="4536" t="s">
        <v>1912</v>
      </c>
      <c r="F2634" s="4537"/>
      <c r="G2634" s="1391">
        <v>3107773064</v>
      </c>
    </row>
    <row r="2635" spans="1:7" x14ac:dyDescent="0.25">
      <c r="A2635" s="1392" t="s">
        <v>2579</v>
      </c>
      <c r="B2635" s="1392" t="s">
        <v>2056</v>
      </c>
      <c r="C2635" s="1392" t="s">
        <v>1846</v>
      </c>
      <c r="D2635" s="1392" t="s">
        <v>1986</v>
      </c>
      <c r="E2635" s="1392" t="s">
        <v>1912</v>
      </c>
      <c r="F2635" s="1392" t="s">
        <v>1915</v>
      </c>
      <c r="G2635" s="1391">
        <v>47736000</v>
      </c>
    </row>
    <row r="2636" spans="1:7" x14ac:dyDescent="0.25">
      <c r="A2636" s="1392" t="s">
        <v>2579</v>
      </c>
      <c r="B2636" s="1392" t="s">
        <v>2056</v>
      </c>
      <c r="C2636" s="1392" t="s">
        <v>1846</v>
      </c>
      <c r="D2636" s="1392" t="s">
        <v>1986</v>
      </c>
      <c r="E2636" s="1392" t="s">
        <v>1912</v>
      </c>
      <c r="F2636" s="1392" t="s">
        <v>1916</v>
      </c>
      <c r="G2636" s="1391">
        <v>3060037064</v>
      </c>
    </row>
    <row r="2637" spans="1:7" x14ac:dyDescent="0.25">
      <c r="A2637" s="1392" t="s">
        <v>2579</v>
      </c>
      <c r="B2637" s="1392" t="s">
        <v>2056</v>
      </c>
      <c r="C2637" s="1392" t="s">
        <v>1846</v>
      </c>
      <c r="D2637" s="1392" t="s">
        <v>1986</v>
      </c>
      <c r="E2637" s="4536" t="s">
        <v>1983</v>
      </c>
      <c r="F2637" s="4537"/>
      <c r="G2637" s="1391">
        <v>2370000</v>
      </c>
    </row>
    <row r="2638" spans="1:7" x14ac:dyDescent="0.25">
      <c r="A2638" s="1392" t="s">
        <v>2579</v>
      </c>
      <c r="B2638" s="1392" t="s">
        <v>2056</v>
      </c>
      <c r="C2638" s="1392" t="s">
        <v>1846</v>
      </c>
      <c r="D2638" s="1392" t="s">
        <v>1986</v>
      </c>
      <c r="E2638" s="1392" t="s">
        <v>1983</v>
      </c>
      <c r="F2638" s="1392" t="s">
        <v>2240</v>
      </c>
      <c r="G2638" s="1391">
        <v>2370000</v>
      </c>
    </row>
    <row r="2639" spans="1:7" x14ac:dyDescent="0.25">
      <c r="A2639" s="1392" t="s">
        <v>2579</v>
      </c>
      <c r="B2639" s="1392" t="s">
        <v>2056</v>
      </c>
      <c r="C2639" s="1392" t="s">
        <v>1846</v>
      </c>
      <c r="D2639" s="1392" t="s">
        <v>1986</v>
      </c>
      <c r="E2639" s="4536" t="s">
        <v>1917</v>
      </c>
      <c r="F2639" s="4537"/>
      <c r="G2639" s="1391">
        <v>127194000</v>
      </c>
    </row>
    <row r="2640" spans="1:7" x14ac:dyDescent="0.25">
      <c r="A2640" s="1392" t="s">
        <v>2579</v>
      </c>
      <c r="B2640" s="1392" t="s">
        <v>2056</v>
      </c>
      <c r="C2640" s="1392" t="s">
        <v>1846</v>
      </c>
      <c r="D2640" s="1392" t="s">
        <v>1986</v>
      </c>
      <c r="E2640" s="1392" t="s">
        <v>1917</v>
      </c>
      <c r="F2640" s="1392" t="s">
        <v>1918</v>
      </c>
      <c r="G2640" s="1391">
        <v>127194000</v>
      </c>
    </row>
    <row r="2641" spans="1:7" x14ac:dyDescent="0.25">
      <c r="A2641" s="1392" t="s">
        <v>2579</v>
      </c>
      <c r="B2641" s="1392" t="s">
        <v>2056</v>
      </c>
      <c r="C2641" s="1392" t="s">
        <v>1846</v>
      </c>
      <c r="D2641" s="4536" t="s">
        <v>1993</v>
      </c>
      <c r="E2641" s="4537"/>
      <c r="F2641" s="4537"/>
      <c r="G2641" s="1391">
        <v>1334952142</v>
      </c>
    </row>
    <row r="2642" spans="1:7" x14ac:dyDescent="0.25">
      <c r="A2642" s="1392" t="s">
        <v>2579</v>
      </c>
      <c r="B2642" s="1392" t="s">
        <v>2056</v>
      </c>
      <c r="C2642" s="1392" t="s">
        <v>1846</v>
      </c>
      <c r="D2642" s="1392" t="s">
        <v>1993</v>
      </c>
      <c r="E2642" s="4536" t="s">
        <v>1848</v>
      </c>
      <c r="F2642" s="4537"/>
      <c r="G2642" s="1391">
        <v>707750</v>
      </c>
    </row>
    <row r="2643" spans="1:7" x14ac:dyDescent="0.25">
      <c r="A2643" s="1392" t="s">
        <v>2579</v>
      </c>
      <c r="B2643" s="1392" t="s">
        <v>2056</v>
      </c>
      <c r="C2643" s="1392" t="s">
        <v>1846</v>
      </c>
      <c r="D2643" s="1392" t="s">
        <v>1993</v>
      </c>
      <c r="E2643" s="1392" t="s">
        <v>1848</v>
      </c>
      <c r="F2643" s="1392" t="s">
        <v>1849</v>
      </c>
      <c r="G2643" s="1391">
        <v>707750</v>
      </c>
    </row>
    <row r="2644" spans="1:7" x14ac:dyDescent="0.25">
      <c r="A2644" s="1392" t="s">
        <v>2579</v>
      </c>
      <c r="B2644" s="1392" t="s">
        <v>2056</v>
      </c>
      <c r="C2644" s="1392" t="s">
        <v>1846</v>
      </c>
      <c r="D2644" s="1392" t="s">
        <v>1993</v>
      </c>
      <c r="E2644" s="4536" t="s">
        <v>1853</v>
      </c>
      <c r="F2644" s="4537"/>
      <c r="G2644" s="1391">
        <v>23619474</v>
      </c>
    </row>
    <row r="2645" spans="1:7" x14ac:dyDescent="0.25">
      <c r="A2645" s="1392" t="s">
        <v>2579</v>
      </c>
      <c r="B2645" s="1392" t="s">
        <v>2056</v>
      </c>
      <c r="C2645" s="1392" t="s">
        <v>1846</v>
      </c>
      <c r="D2645" s="1392" t="s">
        <v>1993</v>
      </c>
      <c r="E2645" s="1392" t="s">
        <v>1853</v>
      </c>
      <c r="F2645" s="1392" t="s">
        <v>1854</v>
      </c>
      <c r="G2645" s="1391">
        <v>3236274</v>
      </c>
    </row>
    <row r="2646" spans="1:7" x14ac:dyDescent="0.25">
      <c r="A2646" s="1392" t="s">
        <v>2579</v>
      </c>
      <c r="B2646" s="1392" t="s">
        <v>2056</v>
      </c>
      <c r="C2646" s="1392" t="s">
        <v>1846</v>
      </c>
      <c r="D2646" s="1392" t="s">
        <v>1993</v>
      </c>
      <c r="E2646" s="1392" t="s">
        <v>1853</v>
      </c>
      <c r="F2646" s="1392" t="s">
        <v>1939</v>
      </c>
      <c r="G2646" s="1391">
        <v>20383200</v>
      </c>
    </row>
    <row r="2647" spans="1:7" x14ac:dyDescent="0.25">
      <c r="A2647" s="1392" t="s">
        <v>2579</v>
      </c>
      <c r="B2647" s="1392" t="s">
        <v>2056</v>
      </c>
      <c r="C2647" s="1392" t="s">
        <v>1846</v>
      </c>
      <c r="D2647" s="1392" t="s">
        <v>1993</v>
      </c>
      <c r="E2647" s="4536" t="s">
        <v>1860</v>
      </c>
      <c r="F2647" s="4537"/>
      <c r="G2647" s="1391">
        <v>2350000</v>
      </c>
    </row>
    <row r="2648" spans="1:7" x14ac:dyDescent="0.25">
      <c r="A2648" s="1392" t="s">
        <v>2579</v>
      </c>
      <c r="B2648" s="1392" t="s">
        <v>2056</v>
      </c>
      <c r="C2648" s="1392" t="s">
        <v>1846</v>
      </c>
      <c r="D2648" s="1392" t="s">
        <v>1993</v>
      </c>
      <c r="E2648" s="1392" t="s">
        <v>1860</v>
      </c>
      <c r="F2648" s="1392" t="s">
        <v>1861</v>
      </c>
      <c r="G2648" s="1391">
        <v>2350000</v>
      </c>
    </row>
    <row r="2649" spans="1:7" x14ac:dyDescent="0.25">
      <c r="A2649" s="1392" t="s">
        <v>2579</v>
      </c>
      <c r="B2649" s="1392" t="s">
        <v>2056</v>
      </c>
      <c r="C2649" s="1392" t="s">
        <v>1846</v>
      </c>
      <c r="D2649" s="1392" t="s">
        <v>1993</v>
      </c>
      <c r="E2649" s="4536" t="s">
        <v>1862</v>
      </c>
      <c r="F2649" s="4537"/>
      <c r="G2649" s="1391">
        <v>18710387</v>
      </c>
    </row>
    <row r="2650" spans="1:7" x14ac:dyDescent="0.25">
      <c r="A2650" s="1392" t="s">
        <v>2579</v>
      </c>
      <c r="B2650" s="1392" t="s">
        <v>2056</v>
      </c>
      <c r="C2650" s="1392" t="s">
        <v>1846</v>
      </c>
      <c r="D2650" s="1392" t="s">
        <v>1993</v>
      </c>
      <c r="E2650" s="1392" t="s">
        <v>1862</v>
      </c>
      <c r="F2650" s="1392" t="s">
        <v>1863</v>
      </c>
      <c r="G2650" s="1391">
        <v>15607760</v>
      </c>
    </row>
    <row r="2651" spans="1:7" x14ac:dyDescent="0.25">
      <c r="A2651" s="1392" t="s">
        <v>2579</v>
      </c>
      <c r="B2651" s="1392" t="s">
        <v>2056</v>
      </c>
      <c r="C2651" s="1392" t="s">
        <v>1846</v>
      </c>
      <c r="D2651" s="1392" t="s">
        <v>1993</v>
      </c>
      <c r="E2651" s="1392" t="s">
        <v>1862</v>
      </c>
      <c r="F2651" s="1392" t="s">
        <v>1864</v>
      </c>
      <c r="G2651" s="1391">
        <v>3102627</v>
      </c>
    </row>
    <row r="2652" spans="1:7" x14ac:dyDescent="0.25">
      <c r="A2652" s="1392" t="s">
        <v>2579</v>
      </c>
      <c r="B2652" s="1392" t="s">
        <v>2056</v>
      </c>
      <c r="C2652" s="1392" t="s">
        <v>1846</v>
      </c>
      <c r="D2652" s="1392" t="s">
        <v>1993</v>
      </c>
      <c r="E2652" s="4536" t="s">
        <v>2057</v>
      </c>
      <c r="F2652" s="4537"/>
      <c r="G2652" s="1391">
        <v>821316490</v>
      </c>
    </row>
    <row r="2653" spans="1:7" x14ac:dyDescent="0.25">
      <c r="A2653" s="1392" t="s">
        <v>2579</v>
      </c>
      <c r="B2653" s="1392" t="s">
        <v>2056</v>
      </c>
      <c r="C2653" s="1392" t="s">
        <v>1846</v>
      </c>
      <c r="D2653" s="1392" t="s">
        <v>1993</v>
      </c>
      <c r="E2653" s="1392" t="s">
        <v>2057</v>
      </c>
      <c r="F2653" s="1392" t="s">
        <v>2058</v>
      </c>
      <c r="G2653" s="1391">
        <v>766854010</v>
      </c>
    </row>
    <row r="2654" spans="1:7" x14ac:dyDescent="0.25">
      <c r="A2654" s="1392" t="s">
        <v>2579</v>
      </c>
      <c r="B2654" s="1392" t="s">
        <v>2056</v>
      </c>
      <c r="C2654" s="1392" t="s">
        <v>1846</v>
      </c>
      <c r="D2654" s="1392" t="s">
        <v>1993</v>
      </c>
      <c r="E2654" s="1392" t="s">
        <v>2057</v>
      </c>
      <c r="F2654" s="1392" t="s">
        <v>2059</v>
      </c>
      <c r="G2654" s="1391">
        <v>54462480</v>
      </c>
    </row>
    <row r="2655" spans="1:7" x14ac:dyDescent="0.25">
      <c r="A2655" s="1392" t="s">
        <v>2579</v>
      </c>
      <c r="B2655" s="1392" t="s">
        <v>2056</v>
      </c>
      <c r="C2655" s="1392" t="s">
        <v>1846</v>
      </c>
      <c r="D2655" s="1392" t="s">
        <v>1993</v>
      </c>
      <c r="E2655" s="4536" t="s">
        <v>1867</v>
      </c>
      <c r="F2655" s="4537"/>
      <c r="G2655" s="1391">
        <v>48041641</v>
      </c>
    </row>
    <row r="2656" spans="1:7" x14ac:dyDescent="0.25">
      <c r="A2656" s="1392" t="s">
        <v>2579</v>
      </c>
      <c r="B2656" s="1392" t="s">
        <v>2056</v>
      </c>
      <c r="C2656" s="1392" t="s">
        <v>1846</v>
      </c>
      <c r="D2656" s="1392" t="s">
        <v>1993</v>
      </c>
      <c r="E2656" s="1392" t="s">
        <v>1867</v>
      </c>
      <c r="F2656" s="1392" t="s">
        <v>1868</v>
      </c>
      <c r="G2656" s="1391">
        <v>48041641</v>
      </c>
    </row>
    <row r="2657" spans="1:7" x14ac:dyDescent="0.25">
      <c r="A2657" s="1392" t="s">
        <v>2579</v>
      </c>
      <c r="B2657" s="1392" t="s">
        <v>2056</v>
      </c>
      <c r="C2657" s="1392" t="s">
        <v>1846</v>
      </c>
      <c r="D2657" s="1392" t="s">
        <v>1993</v>
      </c>
      <c r="E2657" s="4536" t="s">
        <v>1874</v>
      </c>
      <c r="F2657" s="4537"/>
      <c r="G2657" s="1391">
        <v>16572000</v>
      </c>
    </row>
    <row r="2658" spans="1:7" x14ac:dyDescent="0.25">
      <c r="A2658" s="1392" t="s">
        <v>2579</v>
      </c>
      <c r="B2658" s="1392" t="s">
        <v>2056</v>
      </c>
      <c r="C2658" s="1392" t="s">
        <v>1846</v>
      </c>
      <c r="D2658" s="1392" t="s">
        <v>1993</v>
      </c>
      <c r="E2658" s="1392" t="s">
        <v>1874</v>
      </c>
      <c r="F2658" s="1392" t="s">
        <v>1875</v>
      </c>
      <c r="G2658" s="1391">
        <v>15022000</v>
      </c>
    </row>
    <row r="2659" spans="1:7" x14ac:dyDescent="0.25">
      <c r="A2659" s="1392" t="s">
        <v>2579</v>
      </c>
      <c r="B2659" s="1392" t="s">
        <v>2056</v>
      </c>
      <c r="C2659" s="1392" t="s">
        <v>1846</v>
      </c>
      <c r="D2659" s="1392" t="s">
        <v>1993</v>
      </c>
      <c r="E2659" s="1392" t="s">
        <v>1874</v>
      </c>
      <c r="F2659" s="1392" t="s">
        <v>1877</v>
      </c>
      <c r="G2659" s="1391">
        <v>1550000</v>
      </c>
    </row>
    <row r="2660" spans="1:7" x14ac:dyDescent="0.25">
      <c r="A2660" s="1392" t="s">
        <v>2579</v>
      </c>
      <c r="B2660" s="1392" t="s">
        <v>2056</v>
      </c>
      <c r="C2660" s="1392" t="s">
        <v>1846</v>
      </c>
      <c r="D2660" s="1392" t="s">
        <v>1993</v>
      </c>
      <c r="E2660" s="4536" t="s">
        <v>1878</v>
      </c>
      <c r="F2660" s="4537"/>
      <c r="G2660" s="1391">
        <v>400000</v>
      </c>
    </row>
    <row r="2661" spans="1:7" x14ac:dyDescent="0.25">
      <c r="A2661" s="1392" t="s">
        <v>2579</v>
      </c>
      <c r="B2661" s="1392" t="s">
        <v>2056</v>
      </c>
      <c r="C2661" s="1392" t="s">
        <v>1846</v>
      </c>
      <c r="D2661" s="1392" t="s">
        <v>1993</v>
      </c>
      <c r="E2661" s="1392" t="s">
        <v>1878</v>
      </c>
      <c r="F2661" s="1392" t="s">
        <v>1882</v>
      </c>
      <c r="G2661" s="1391">
        <v>400000</v>
      </c>
    </row>
    <row r="2662" spans="1:7" x14ac:dyDescent="0.25">
      <c r="A2662" s="1392" t="s">
        <v>2579</v>
      </c>
      <c r="B2662" s="1392" t="s">
        <v>2056</v>
      </c>
      <c r="C2662" s="1392" t="s">
        <v>1846</v>
      </c>
      <c r="D2662" s="1392" t="s">
        <v>1993</v>
      </c>
      <c r="E2662" s="4536" t="s">
        <v>1885</v>
      </c>
      <c r="F2662" s="4537"/>
      <c r="G2662" s="1391">
        <v>62664000</v>
      </c>
    </row>
    <row r="2663" spans="1:7" x14ac:dyDescent="0.25">
      <c r="A2663" s="1392" t="s">
        <v>2579</v>
      </c>
      <c r="B2663" s="1392" t="s">
        <v>2056</v>
      </c>
      <c r="C2663" s="1392" t="s">
        <v>1846</v>
      </c>
      <c r="D2663" s="1392" t="s">
        <v>1993</v>
      </c>
      <c r="E2663" s="1392" t="s">
        <v>1885</v>
      </c>
      <c r="F2663" s="1392" t="s">
        <v>1887</v>
      </c>
      <c r="G2663" s="1391">
        <v>58150000</v>
      </c>
    </row>
    <row r="2664" spans="1:7" x14ac:dyDescent="0.25">
      <c r="A2664" s="1392" t="s">
        <v>2579</v>
      </c>
      <c r="B2664" s="1392" t="s">
        <v>2056</v>
      </c>
      <c r="C2664" s="1392" t="s">
        <v>1846</v>
      </c>
      <c r="D2664" s="1392" t="s">
        <v>1993</v>
      </c>
      <c r="E2664" s="1392" t="s">
        <v>1885</v>
      </c>
      <c r="F2664" s="1392" t="s">
        <v>1888</v>
      </c>
      <c r="G2664" s="1391">
        <v>4514000</v>
      </c>
    </row>
    <row r="2665" spans="1:7" x14ac:dyDescent="0.25">
      <c r="A2665" s="1392" t="s">
        <v>2579</v>
      </c>
      <c r="B2665" s="1392" t="s">
        <v>2056</v>
      </c>
      <c r="C2665" s="1392" t="s">
        <v>1846</v>
      </c>
      <c r="D2665" s="1392" t="s">
        <v>1993</v>
      </c>
      <c r="E2665" s="4536" t="s">
        <v>1889</v>
      </c>
      <c r="F2665" s="4537"/>
      <c r="G2665" s="1391">
        <v>8526400</v>
      </c>
    </row>
    <row r="2666" spans="1:7" x14ac:dyDescent="0.25">
      <c r="A2666" s="1392" t="s">
        <v>2579</v>
      </c>
      <c r="B2666" s="1392" t="s">
        <v>2056</v>
      </c>
      <c r="C2666" s="1392" t="s">
        <v>1846</v>
      </c>
      <c r="D2666" s="1392" t="s">
        <v>1993</v>
      </c>
      <c r="E2666" s="1392" t="s">
        <v>1889</v>
      </c>
      <c r="F2666" s="1392" t="s">
        <v>1890</v>
      </c>
      <c r="G2666" s="1391">
        <v>5590000</v>
      </c>
    </row>
    <row r="2667" spans="1:7" x14ac:dyDescent="0.25">
      <c r="A2667" s="1392" t="s">
        <v>2579</v>
      </c>
      <c r="B2667" s="1392" t="s">
        <v>2056</v>
      </c>
      <c r="C2667" s="1392" t="s">
        <v>1846</v>
      </c>
      <c r="D2667" s="1392" t="s">
        <v>1993</v>
      </c>
      <c r="E2667" s="1392" t="s">
        <v>1889</v>
      </c>
      <c r="F2667" s="1392" t="s">
        <v>1891</v>
      </c>
      <c r="G2667" s="1391">
        <v>450000</v>
      </c>
    </row>
    <row r="2668" spans="1:7" x14ac:dyDescent="0.25">
      <c r="A2668" s="1392" t="s">
        <v>2579</v>
      </c>
      <c r="B2668" s="1392" t="s">
        <v>2056</v>
      </c>
      <c r="C2668" s="1392" t="s">
        <v>1846</v>
      </c>
      <c r="D2668" s="1392" t="s">
        <v>1993</v>
      </c>
      <c r="E2668" s="1392" t="s">
        <v>1889</v>
      </c>
      <c r="F2668" s="1392" t="s">
        <v>1922</v>
      </c>
      <c r="G2668" s="1391">
        <v>2486400</v>
      </c>
    </row>
    <row r="2669" spans="1:7" x14ac:dyDescent="0.25">
      <c r="A2669" s="1392" t="s">
        <v>2579</v>
      </c>
      <c r="B2669" s="1392" t="s">
        <v>2056</v>
      </c>
      <c r="C2669" s="1392" t="s">
        <v>1846</v>
      </c>
      <c r="D2669" s="1392" t="s">
        <v>1993</v>
      </c>
      <c r="E2669" s="4536" t="s">
        <v>1896</v>
      </c>
      <c r="F2669" s="4537"/>
      <c r="G2669" s="1391">
        <v>9060000</v>
      </c>
    </row>
    <row r="2670" spans="1:7" x14ac:dyDescent="0.25">
      <c r="A2670" s="1392" t="s">
        <v>2579</v>
      </c>
      <c r="B2670" s="1392" t="s">
        <v>2056</v>
      </c>
      <c r="C2670" s="1392" t="s">
        <v>1846</v>
      </c>
      <c r="D2670" s="1392" t="s">
        <v>1993</v>
      </c>
      <c r="E2670" s="1392" t="s">
        <v>1896</v>
      </c>
      <c r="F2670" s="1392" t="s">
        <v>1900</v>
      </c>
      <c r="G2670" s="1391">
        <v>3860000</v>
      </c>
    </row>
    <row r="2671" spans="1:7" x14ac:dyDescent="0.25">
      <c r="A2671" s="1392" t="s">
        <v>2579</v>
      </c>
      <c r="B2671" s="1392" t="s">
        <v>2056</v>
      </c>
      <c r="C2671" s="1392" t="s">
        <v>1846</v>
      </c>
      <c r="D2671" s="1392" t="s">
        <v>1993</v>
      </c>
      <c r="E2671" s="1392" t="s">
        <v>1896</v>
      </c>
      <c r="F2671" s="1392" t="s">
        <v>1901</v>
      </c>
      <c r="G2671" s="1391">
        <v>5200000</v>
      </c>
    </row>
    <row r="2672" spans="1:7" x14ac:dyDescent="0.25">
      <c r="A2672" s="1392" t="s">
        <v>2579</v>
      </c>
      <c r="B2672" s="1392" t="s">
        <v>2056</v>
      </c>
      <c r="C2672" s="1392" t="s">
        <v>1846</v>
      </c>
      <c r="D2672" s="1392" t="s">
        <v>1993</v>
      </c>
      <c r="E2672" s="4536" t="s">
        <v>1906</v>
      </c>
      <c r="F2672" s="4537"/>
      <c r="G2672" s="1391">
        <v>4907000</v>
      </c>
    </row>
    <row r="2673" spans="1:7" x14ac:dyDescent="0.25">
      <c r="A2673" s="1392" t="s">
        <v>2579</v>
      </c>
      <c r="B2673" s="1392" t="s">
        <v>2056</v>
      </c>
      <c r="C2673" s="1392" t="s">
        <v>1846</v>
      </c>
      <c r="D2673" s="1392" t="s">
        <v>1993</v>
      </c>
      <c r="E2673" s="1392" t="s">
        <v>1906</v>
      </c>
      <c r="F2673" s="1392" t="s">
        <v>1907</v>
      </c>
      <c r="G2673" s="1391">
        <v>3191000</v>
      </c>
    </row>
    <row r="2674" spans="1:7" x14ac:dyDescent="0.25">
      <c r="A2674" s="1392" t="s">
        <v>2579</v>
      </c>
      <c r="B2674" s="1392" t="s">
        <v>2056</v>
      </c>
      <c r="C2674" s="1392" t="s">
        <v>1846</v>
      </c>
      <c r="D2674" s="1392" t="s">
        <v>1993</v>
      </c>
      <c r="E2674" s="1392" t="s">
        <v>1906</v>
      </c>
      <c r="F2674" s="1392" t="s">
        <v>1909</v>
      </c>
      <c r="G2674" s="1391">
        <v>1716000</v>
      </c>
    </row>
    <row r="2675" spans="1:7" x14ac:dyDescent="0.25">
      <c r="A2675" s="1392" t="s">
        <v>2579</v>
      </c>
      <c r="B2675" s="1392" t="s">
        <v>2056</v>
      </c>
      <c r="C2675" s="1392" t="s">
        <v>1846</v>
      </c>
      <c r="D2675" s="1392" t="s">
        <v>1993</v>
      </c>
      <c r="E2675" s="4536" t="s">
        <v>1962</v>
      </c>
      <c r="F2675" s="4537"/>
      <c r="G2675" s="1391">
        <v>2235000</v>
      </c>
    </row>
    <row r="2676" spans="1:7" x14ac:dyDescent="0.25">
      <c r="A2676" s="1392" t="s">
        <v>2579</v>
      </c>
      <c r="B2676" s="1392" t="s">
        <v>2056</v>
      </c>
      <c r="C2676" s="1392" t="s">
        <v>1846</v>
      </c>
      <c r="D2676" s="1392" t="s">
        <v>1993</v>
      </c>
      <c r="E2676" s="1392" t="s">
        <v>1962</v>
      </c>
      <c r="F2676" s="1392" t="s">
        <v>2002</v>
      </c>
      <c r="G2676" s="1391">
        <v>2235000</v>
      </c>
    </row>
    <row r="2677" spans="1:7" x14ac:dyDescent="0.25">
      <c r="A2677" s="1392" t="s">
        <v>2579</v>
      </c>
      <c r="B2677" s="1392" t="s">
        <v>2056</v>
      </c>
      <c r="C2677" s="1392" t="s">
        <v>1846</v>
      </c>
      <c r="D2677" s="1392" t="s">
        <v>1993</v>
      </c>
      <c r="E2677" s="4536" t="s">
        <v>1912</v>
      </c>
      <c r="F2677" s="4537"/>
      <c r="G2677" s="1391">
        <v>315842000</v>
      </c>
    </row>
    <row r="2678" spans="1:7" x14ac:dyDescent="0.25">
      <c r="A2678" s="1392" t="s">
        <v>2579</v>
      </c>
      <c r="B2678" s="1392" t="s">
        <v>2056</v>
      </c>
      <c r="C2678" s="1392" t="s">
        <v>1846</v>
      </c>
      <c r="D2678" s="1392" t="s">
        <v>1993</v>
      </c>
      <c r="E2678" s="1392" t="s">
        <v>1912</v>
      </c>
      <c r="F2678" s="1392" t="s">
        <v>1915</v>
      </c>
      <c r="G2678" s="1391">
        <v>5760000</v>
      </c>
    </row>
    <row r="2679" spans="1:7" x14ac:dyDescent="0.25">
      <c r="A2679" s="1392" t="s">
        <v>2579</v>
      </c>
      <c r="B2679" s="1392" t="s">
        <v>2056</v>
      </c>
      <c r="C2679" s="1392" t="s">
        <v>1846</v>
      </c>
      <c r="D2679" s="1392" t="s">
        <v>1993</v>
      </c>
      <c r="E2679" s="1392" t="s">
        <v>1912</v>
      </c>
      <c r="F2679" s="1392" t="s">
        <v>1916</v>
      </c>
      <c r="G2679" s="1391">
        <v>310082000</v>
      </c>
    </row>
    <row r="2680" spans="1:7" x14ac:dyDescent="0.25">
      <c r="A2680" s="1392" t="s">
        <v>2579</v>
      </c>
      <c r="B2680" s="1392" t="s">
        <v>2056</v>
      </c>
      <c r="C2680" s="4536" t="s">
        <v>1958</v>
      </c>
      <c r="D2680" s="4537"/>
      <c r="E2680" s="4537"/>
      <c r="F2680" s="4537"/>
      <c r="G2680" s="1391">
        <v>12776524923</v>
      </c>
    </row>
    <row r="2681" spans="1:7" x14ac:dyDescent="0.25">
      <c r="A2681" s="1392" t="s">
        <v>2579</v>
      </c>
      <c r="B2681" s="1392" t="s">
        <v>2056</v>
      </c>
      <c r="C2681" s="1392" t="s">
        <v>1958</v>
      </c>
      <c r="D2681" s="4536" t="s">
        <v>1997</v>
      </c>
      <c r="E2681" s="4537"/>
      <c r="F2681" s="4537"/>
      <c r="G2681" s="1391">
        <v>528600000</v>
      </c>
    </row>
    <row r="2682" spans="1:7" x14ac:dyDescent="0.25">
      <c r="A2682" s="1392" t="s">
        <v>2579</v>
      </c>
      <c r="B2682" s="1392" t="s">
        <v>2056</v>
      </c>
      <c r="C2682" s="1392" t="s">
        <v>1958</v>
      </c>
      <c r="D2682" s="1392" t="s">
        <v>1997</v>
      </c>
      <c r="E2682" s="4536" t="s">
        <v>1910</v>
      </c>
      <c r="F2682" s="4537"/>
      <c r="G2682" s="1391">
        <v>521800000</v>
      </c>
    </row>
    <row r="2683" spans="1:7" x14ac:dyDescent="0.25">
      <c r="A2683" s="1392" t="s">
        <v>2579</v>
      </c>
      <c r="B2683" s="1392" t="s">
        <v>2056</v>
      </c>
      <c r="C2683" s="1392" t="s">
        <v>1958</v>
      </c>
      <c r="D2683" s="1392" t="s">
        <v>1997</v>
      </c>
      <c r="E2683" s="1392" t="s">
        <v>1910</v>
      </c>
      <c r="F2683" s="1392" t="s">
        <v>2070</v>
      </c>
      <c r="G2683" s="1391">
        <v>800000</v>
      </c>
    </row>
    <row r="2684" spans="1:7" x14ac:dyDescent="0.25">
      <c r="A2684" s="1392" t="s">
        <v>2579</v>
      </c>
      <c r="B2684" s="1392" t="s">
        <v>2056</v>
      </c>
      <c r="C2684" s="1392" t="s">
        <v>1958</v>
      </c>
      <c r="D2684" s="1392" t="s">
        <v>1997</v>
      </c>
      <c r="E2684" s="1392" t="s">
        <v>1910</v>
      </c>
      <c r="F2684" s="1392" t="s">
        <v>2066</v>
      </c>
      <c r="G2684" s="1391">
        <v>520000000</v>
      </c>
    </row>
    <row r="2685" spans="1:7" x14ac:dyDescent="0.25">
      <c r="A2685" s="1392" t="s">
        <v>2579</v>
      </c>
      <c r="B2685" s="1392" t="s">
        <v>2056</v>
      </c>
      <c r="C2685" s="1392" t="s">
        <v>1958</v>
      </c>
      <c r="D2685" s="1392" t="s">
        <v>1997</v>
      </c>
      <c r="E2685" s="1392" t="s">
        <v>1910</v>
      </c>
      <c r="F2685" s="1392" t="s">
        <v>1911</v>
      </c>
      <c r="G2685" s="1391">
        <v>1000000</v>
      </c>
    </row>
    <row r="2686" spans="1:7" x14ac:dyDescent="0.25">
      <c r="A2686" s="1392" t="s">
        <v>2579</v>
      </c>
      <c r="B2686" s="1392" t="s">
        <v>2056</v>
      </c>
      <c r="C2686" s="1392" t="s">
        <v>1958</v>
      </c>
      <c r="D2686" s="1392" t="s">
        <v>1997</v>
      </c>
      <c r="E2686" s="4536" t="s">
        <v>1912</v>
      </c>
      <c r="F2686" s="4537"/>
      <c r="G2686" s="1391">
        <v>6800000</v>
      </c>
    </row>
    <row r="2687" spans="1:7" x14ac:dyDescent="0.25">
      <c r="A2687" s="1392" t="s">
        <v>2579</v>
      </c>
      <c r="B2687" s="1392" t="s">
        <v>2056</v>
      </c>
      <c r="C2687" s="1392" t="s">
        <v>1958</v>
      </c>
      <c r="D2687" s="1392" t="s">
        <v>1997</v>
      </c>
      <c r="E2687" s="1392" t="s">
        <v>1912</v>
      </c>
      <c r="F2687" s="1392" t="s">
        <v>1916</v>
      </c>
      <c r="G2687" s="1391">
        <v>6800000</v>
      </c>
    </row>
    <row r="2688" spans="1:7" x14ac:dyDescent="0.25">
      <c r="A2688" s="1392" t="s">
        <v>2579</v>
      </c>
      <c r="B2688" s="1392" t="s">
        <v>2056</v>
      </c>
      <c r="C2688" s="1392" t="s">
        <v>1958</v>
      </c>
      <c r="D2688" s="4536" t="s">
        <v>2071</v>
      </c>
      <c r="E2688" s="4537"/>
      <c r="F2688" s="4537"/>
      <c r="G2688" s="1391">
        <v>1836238923</v>
      </c>
    </row>
    <row r="2689" spans="1:7" x14ac:dyDescent="0.25">
      <c r="A2689" s="1392" t="s">
        <v>2579</v>
      </c>
      <c r="B2689" s="1392" t="s">
        <v>2056</v>
      </c>
      <c r="C2689" s="1392" t="s">
        <v>1958</v>
      </c>
      <c r="D2689" s="1392" t="s">
        <v>2071</v>
      </c>
      <c r="E2689" s="4536" t="s">
        <v>1962</v>
      </c>
      <c r="F2689" s="4537"/>
      <c r="G2689" s="1391">
        <v>1836238923</v>
      </c>
    </row>
    <row r="2690" spans="1:7" x14ac:dyDescent="0.25">
      <c r="A2690" s="1392" t="s">
        <v>2579</v>
      </c>
      <c r="B2690" s="1392" t="s">
        <v>2056</v>
      </c>
      <c r="C2690" s="1392" t="s">
        <v>1958</v>
      </c>
      <c r="D2690" s="1392" t="s">
        <v>2071</v>
      </c>
      <c r="E2690" s="1392" t="s">
        <v>1962</v>
      </c>
      <c r="F2690" s="1392" t="s">
        <v>2072</v>
      </c>
      <c r="G2690" s="1391">
        <v>871650</v>
      </c>
    </row>
    <row r="2691" spans="1:7" x14ac:dyDescent="0.25">
      <c r="A2691" s="1392" t="s">
        <v>2579</v>
      </c>
      <c r="B2691" s="1392" t="s">
        <v>2056</v>
      </c>
      <c r="C2691" s="1392" t="s">
        <v>1958</v>
      </c>
      <c r="D2691" s="1392" t="s">
        <v>2071</v>
      </c>
      <c r="E2691" s="1392" t="s">
        <v>1962</v>
      </c>
      <c r="F2691" s="1392" t="s">
        <v>2002</v>
      </c>
      <c r="G2691" s="1391">
        <v>1633471273</v>
      </c>
    </row>
    <row r="2692" spans="1:7" x14ac:dyDescent="0.25">
      <c r="A2692" s="1392" t="s">
        <v>2579</v>
      </c>
      <c r="B2692" s="1392" t="s">
        <v>2056</v>
      </c>
      <c r="C2692" s="1392" t="s">
        <v>1958</v>
      </c>
      <c r="D2692" s="1392" t="s">
        <v>2071</v>
      </c>
      <c r="E2692" s="1392" t="s">
        <v>1962</v>
      </c>
      <c r="F2692" s="1392" t="s">
        <v>2060</v>
      </c>
      <c r="G2692" s="1391">
        <v>201896000</v>
      </c>
    </row>
    <row r="2693" spans="1:7" x14ac:dyDescent="0.25">
      <c r="A2693" s="1392" t="s">
        <v>2579</v>
      </c>
      <c r="B2693" s="1392" t="s">
        <v>2056</v>
      </c>
      <c r="C2693" s="1392" t="s">
        <v>1958</v>
      </c>
      <c r="D2693" s="4536" t="s">
        <v>1959</v>
      </c>
      <c r="E2693" s="4537"/>
      <c r="F2693" s="4537"/>
      <c r="G2693" s="1391">
        <v>10411686000</v>
      </c>
    </row>
    <row r="2694" spans="1:7" x14ac:dyDescent="0.25">
      <c r="A2694" s="1392" t="s">
        <v>2579</v>
      </c>
      <c r="B2694" s="1392" t="s">
        <v>2056</v>
      </c>
      <c r="C2694" s="1392" t="s">
        <v>1958</v>
      </c>
      <c r="D2694" s="1392" t="s">
        <v>1959</v>
      </c>
      <c r="E2694" s="4536" t="s">
        <v>1923</v>
      </c>
      <c r="F2694" s="4537"/>
      <c r="G2694" s="1391">
        <v>9887250000</v>
      </c>
    </row>
    <row r="2695" spans="1:7" x14ac:dyDescent="0.25">
      <c r="A2695" s="1392" t="s">
        <v>2579</v>
      </c>
      <c r="B2695" s="1392" t="s">
        <v>2056</v>
      </c>
      <c r="C2695" s="1392" t="s">
        <v>1958</v>
      </c>
      <c r="D2695" s="1392" t="s">
        <v>1959</v>
      </c>
      <c r="E2695" s="1392" t="s">
        <v>1923</v>
      </c>
      <c r="F2695" s="1392" t="s">
        <v>1924</v>
      </c>
      <c r="G2695" s="1391">
        <v>9887250000</v>
      </c>
    </row>
    <row r="2696" spans="1:7" x14ac:dyDescent="0.25">
      <c r="A2696" s="1392" t="s">
        <v>2579</v>
      </c>
      <c r="B2696" s="1392" t="s">
        <v>2056</v>
      </c>
      <c r="C2696" s="1392" t="s">
        <v>1958</v>
      </c>
      <c r="D2696" s="1392" t="s">
        <v>1959</v>
      </c>
      <c r="E2696" s="4536" t="s">
        <v>2249</v>
      </c>
      <c r="F2696" s="4537"/>
      <c r="G2696" s="1391">
        <v>434080000</v>
      </c>
    </row>
    <row r="2697" spans="1:7" x14ac:dyDescent="0.25">
      <c r="A2697" s="1392" t="s">
        <v>2579</v>
      </c>
      <c r="B2697" s="1392" t="s">
        <v>2056</v>
      </c>
      <c r="C2697" s="1392" t="s">
        <v>1958</v>
      </c>
      <c r="D2697" s="1392" t="s">
        <v>1959</v>
      </c>
      <c r="E2697" s="1392" t="s">
        <v>2249</v>
      </c>
      <c r="F2697" s="1392" t="s">
        <v>2250</v>
      </c>
      <c r="G2697" s="1391">
        <v>434080000</v>
      </c>
    </row>
    <row r="2698" spans="1:7" x14ac:dyDescent="0.25">
      <c r="A2698" s="1392" t="s">
        <v>2579</v>
      </c>
      <c r="B2698" s="1392" t="s">
        <v>2056</v>
      </c>
      <c r="C2698" s="1392" t="s">
        <v>1958</v>
      </c>
      <c r="D2698" s="1392" t="s">
        <v>1959</v>
      </c>
      <c r="E2698" s="4536" t="s">
        <v>1912</v>
      </c>
      <c r="F2698" s="4537"/>
      <c r="G2698" s="1391">
        <v>5220000</v>
      </c>
    </row>
    <row r="2699" spans="1:7" x14ac:dyDescent="0.25">
      <c r="A2699" s="1392" t="s">
        <v>2579</v>
      </c>
      <c r="B2699" s="1392" t="s">
        <v>2056</v>
      </c>
      <c r="C2699" s="1392" t="s">
        <v>1958</v>
      </c>
      <c r="D2699" s="1392" t="s">
        <v>1959</v>
      </c>
      <c r="E2699" s="1392" t="s">
        <v>1912</v>
      </c>
      <c r="F2699" s="1392" t="s">
        <v>1916</v>
      </c>
      <c r="G2699" s="1391">
        <v>5220000</v>
      </c>
    </row>
    <row r="2700" spans="1:7" x14ac:dyDescent="0.25">
      <c r="A2700" s="1392" t="s">
        <v>2579</v>
      </c>
      <c r="B2700" s="1392" t="s">
        <v>2056</v>
      </c>
      <c r="C2700" s="1392" t="s">
        <v>1958</v>
      </c>
      <c r="D2700" s="1392" t="s">
        <v>1959</v>
      </c>
      <c r="E2700" s="4536" t="s">
        <v>1917</v>
      </c>
      <c r="F2700" s="4537"/>
      <c r="G2700" s="1391">
        <v>85136000</v>
      </c>
    </row>
    <row r="2701" spans="1:7" x14ac:dyDescent="0.25">
      <c r="A2701" s="1392" t="s">
        <v>2579</v>
      </c>
      <c r="B2701" s="1392" t="s">
        <v>2056</v>
      </c>
      <c r="C2701" s="1392" t="s">
        <v>1958</v>
      </c>
      <c r="D2701" s="1392" t="s">
        <v>1959</v>
      </c>
      <c r="E2701" s="1392" t="s">
        <v>1917</v>
      </c>
      <c r="F2701" s="1392" t="s">
        <v>1918</v>
      </c>
      <c r="G2701" s="1391">
        <v>43866000</v>
      </c>
    </row>
    <row r="2702" spans="1:7" x14ac:dyDescent="0.25">
      <c r="A2702" s="1392" t="s">
        <v>2579</v>
      </c>
      <c r="B2702" s="1392" t="s">
        <v>2056</v>
      </c>
      <c r="C2702" s="1392" t="s">
        <v>1958</v>
      </c>
      <c r="D2702" s="1392" t="s">
        <v>1959</v>
      </c>
      <c r="E2702" s="1392" t="s">
        <v>1917</v>
      </c>
      <c r="F2702" s="1392" t="s">
        <v>2061</v>
      </c>
      <c r="G2702" s="1391">
        <v>41270000</v>
      </c>
    </row>
    <row r="2703" spans="1:7" x14ac:dyDescent="0.25">
      <c r="A2703" s="1392" t="s">
        <v>2579</v>
      </c>
      <c r="B2703" s="1392" t="s">
        <v>2056</v>
      </c>
      <c r="C2703" s="4536" t="s">
        <v>2011</v>
      </c>
      <c r="D2703" s="4537"/>
      <c r="E2703" s="4537"/>
      <c r="F2703" s="4537"/>
      <c r="G2703" s="1391">
        <v>16936121181</v>
      </c>
    </row>
    <row r="2704" spans="1:7" x14ac:dyDescent="0.25">
      <c r="A2704" s="1392" t="s">
        <v>2579</v>
      </c>
      <c r="B2704" s="1392" t="s">
        <v>2056</v>
      </c>
      <c r="C2704" s="1392" t="s">
        <v>2011</v>
      </c>
      <c r="D2704" s="4536" t="s">
        <v>2016</v>
      </c>
      <c r="E2704" s="4537"/>
      <c r="F2704" s="4537"/>
      <c r="G2704" s="1391">
        <v>7099451002</v>
      </c>
    </row>
    <row r="2705" spans="1:9" x14ac:dyDescent="0.25">
      <c r="A2705" s="1392" t="s">
        <v>2579</v>
      </c>
      <c r="B2705" s="1392" t="s">
        <v>2056</v>
      </c>
      <c r="C2705" s="1392" t="s">
        <v>2011</v>
      </c>
      <c r="D2705" s="1392" t="s">
        <v>2016</v>
      </c>
      <c r="E2705" s="4536" t="s">
        <v>2017</v>
      </c>
      <c r="F2705" s="4537"/>
      <c r="G2705" s="1391">
        <v>7099451002</v>
      </c>
    </row>
    <row r="2706" spans="1:9" x14ac:dyDescent="0.25">
      <c r="A2706" s="1392" t="s">
        <v>2579</v>
      </c>
      <c r="B2706" s="1392" t="s">
        <v>2056</v>
      </c>
      <c r="C2706" s="1392" t="s">
        <v>2011</v>
      </c>
      <c r="D2706" s="1392" t="s">
        <v>2016</v>
      </c>
      <c r="E2706" s="1392" t="s">
        <v>2017</v>
      </c>
      <c r="F2706" s="1392" t="s">
        <v>2073</v>
      </c>
      <c r="G2706" s="1391">
        <v>1906718095</v>
      </c>
    </row>
    <row r="2707" spans="1:9" x14ac:dyDescent="0.25">
      <c r="A2707" s="1392" t="s">
        <v>2579</v>
      </c>
      <c r="B2707" s="1392" t="s">
        <v>2056</v>
      </c>
      <c r="C2707" s="1392" t="s">
        <v>2011</v>
      </c>
      <c r="D2707" s="1392" t="s">
        <v>2016</v>
      </c>
      <c r="E2707" s="1392" t="s">
        <v>2017</v>
      </c>
      <c r="F2707" s="1392" t="s">
        <v>2018</v>
      </c>
      <c r="G2707" s="1391">
        <v>5192732907</v>
      </c>
    </row>
    <row r="2708" spans="1:9" x14ac:dyDescent="0.25">
      <c r="A2708" s="1392" t="s">
        <v>2579</v>
      </c>
      <c r="B2708" s="1392" t="s">
        <v>2056</v>
      </c>
      <c r="C2708" s="1392" t="s">
        <v>2011</v>
      </c>
      <c r="D2708" s="4536" t="s">
        <v>2019</v>
      </c>
      <c r="E2708" s="4537"/>
      <c r="F2708" s="4537"/>
      <c r="G2708" s="1391">
        <v>9836670179</v>
      </c>
    </row>
    <row r="2709" spans="1:9" x14ac:dyDescent="0.25">
      <c r="A2709" s="1392" t="s">
        <v>2579</v>
      </c>
      <c r="B2709" s="1392" t="s">
        <v>2056</v>
      </c>
      <c r="C2709" s="1392" t="s">
        <v>2011</v>
      </c>
      <c r="D2709" s="1392" t="s">
        <v>2019</v>
      </c>
      <c r="E2709" s="4536" t="s">
        <v>2020</v>
      </c>
      <c r="F2709" s="4537"/>
      <c r="G2709" s="1391">
        <v>9836670179</v>
      </c>
    </row>
    <row r="2710" spans="1:9" x14ac:dyDescent="0.25">
      <c r="A2710" s="1392" t="s">
        <v>2579</v>
      </c>
      <c r="B2710" s="1392" t="s">
        <v>2056</v>
      </c>
      <c r="C2710" s="1392" t="s">
        <v>2011</v>
      </c>
      <c r="D2710" s="1392" t="s">
        <v>2019</v>
      </c>
      <c r="E2710" s="1392" t="s">
        <v>2020</v>
      </c>
      <c r="F2710" s="1392" t="s">
        <v>2021</v>
      </c>
      <c r="G2710" s="1391">
        <v>171938398</v>
      </c>
    </row>
    <row r="2711" spans="1:9" x14ac:dyDescent="0.25">
      <c r="A2711" s="1392" t="s">
        <v>2579</v>
      </c>
      <c r="B2711" s="1392" t="s">
        <v>2056</v>
      </c>
      <c r="C2711" s="1392" t="s">
        <v>2011</v>
      </c>
      <c r="D2711" s="1392" t="s">
        <v>2019</v>
      </c>
      <c r="E2711" s="1392" t="s">
        <v>2020</v>
      </c>
      <c r="F2711" s="1392" t="s">
        <v>2074</v>
      </c>
      <c r="G2711" s="1391">
        <v>1691844492</v>
      </c>
    </row>
    <row r="2712" spans="1:9" x14ac:dyDescent="0.25">
      <c r="A2712" s="1392" t="s">
        <v>2579</v>
      </c>
      <c r="B2712" s="1392" t="s">
        <v>2056</v>
      </c>
      <c r="C2712" s="1392" t="s">
        <v>2011</v>
      </c>
      <c r="D2712" s="1392" t="s">
        <v>2019</v>
      </c>
      <c r="E2712" s="1392" t="s">
        <v>2020</v>
      </c>
      <c r="F2712" s="1392" t="s">
        <v>2022</v>
      </c>
      <c r="G2712" s="1391">
        <v>314089354</v>
      </c>
    </row>
    <row r="2713" spans="1:9" x14ac:dyDescent="0.25">
      <c r="A2713" s="1392" t="s">
        <v>2579</v>
      </c>
      <c r="B2713" s="1392" t="s">
        <v>2056</v>
      </c>
      <c r="C2713" s="1392" t="s">
        <v>2011</v>
      </c>
      <c r="D2713" s="1392" t="s">
        <v>2019</v>
      </c>
      <c r="E2713" s="1392" t="s">
        <v>2020</v>
      </c>
      <c r="F2713" s="1392" t="s">
        <v>2023</v>
      </c>
      <c r="G2713" s="1391">
        <v>335099240</v>
      </c>
    </row>
    <row r="2714" spans="1:9" x14ac:dyDescent="0.25">
      <c r="A2714" s="1392" t="s">
        <v>2579</v>
      </c>
      <c r="B2714" s="1392" t="s">
        <v>2056</v>
      </c>
      <c r="C2714" s="1392" t="s">
        <v>2011</v>
      </c>
      <c r="D2714" s="1392" t="s">
        <v>2019</v>
      </c>
      <c r="E2714" s="1392" t="s">
        <v>2020</v>
      </c>
      <c r="F2714" s="1392" t="s">
        <v>2075</v>
      </c>
      <c r="G2714" s="1391">
        <v>7323698695</v>
      </c>
    </row>
    <row r="2715" spans="1:9" s="589" customFormat="1" x14ac:dyDescent="0.25">
      <c r="A2715" s="1687" t="s">
        <v>1815</v>
      </c>
    </row>
    <row r="2716" spans="1:9" s="615" customFormat="1" ht="21.75" customHeight="1" x14ac:dyDescent="0.2">
      <c r="A2716" s="4107" t="s">
        <v>2233</v>
      </c>
      <c r="B2716" s="4107"/>
      <c r="C2716" s="4107"/>
      <c r="E2716" s="4510" t="s">
        <v>2231</v>
      </c>
      <c r="F2716" s="4510"/>
      <c r="G2716" s="4107" t="s">
        <v>2232</v>
      </c>
      <c r="H2716" s="4107"/>
      <c r="I2716" s="1688"/>
    </row>
    <row r="2717" spans="1:9" s="615" customFormat="1" ht="15" customHeight="1" x14ac:dyDescent="0.2">
      <c r="A2717" s="4106" t="s">
        <v>2174</v>
      </c>
      <c r="B2717" s="4106"/>
      <c r="C2717" s="4106"/>
      <c r="E2717" s="4508" t="s">
        <v>1440</v>
      </c>
      <c r="F2717" s="4508"/>
      <c r="G2717" s="4106" t="s">
        <v>638</v>
      </c>
      <c r="H2717" s="4106"/>
      <c r="I2717" s="1689"/>
    </row>
    <row r="2718" spans="1:9" s="615" customFormat="1" ht="22.5" customHeight="1" x14ac:dyDescent="0.2">
      <c r="A2718" s="4106" t="s">
        <v>1730</v>
      </c>
      <c r="B2718" s="4106"/>
      <c r="C2718" s="4106"/>
      <c r="D2718" s="4106"/>
      <c r="E2718" s="4508" t="s">
        <v>807</v>
      </c>
      <c r="F2718" s="4508"/>
      <c r="G2718" s="4106" t="s">
        <v>639</v>
      </c>
      <c r="H2718" s="4106"/>
      <c r="I2718" s="1689"/>
    </row>
    <row r="2719" spans="1:9" s="615" customFormat="1" ht="22.5" customHeight="1" x14ac:dyDescent="0.2">
      <c r="A2719" s="1686"/>
      <c r="B2719" s="1686"/>
      <c r="C2719" s="720"/>
      <c r="D2719" s="1690"/>
      <c r="E2719" s="1691"/>
      <c r="G2719" s="1446"/>
      <c r="I2719" s="1688"/>
    </row>
    <row r="2720" spans="1:9" s="615" customFormat="1" ht="12.75" x14ac:dyDescent="0.2">
      <c r="A2720" s="1686"/>
      <c r="B2720" s="1686"/>
      <c r="C2720" s="720"/>
      <c r="D2720" s="1690"/>
      <c r="E2720" s="1692"/>
      <c r="G2720" s="1693"/>
      <c r="I2720" s="1690"/>
    </row>
    <row r="2721" spans="1:9" s="615" customFormat="1" ht="15" customHeight="1" x14ac:dyDescent="0.2">
      <c r="A2721" s="1686"/>
      <c r="B2721" s="1686"/>
      <c r="C2721" s="720"/>
      <c r="D2721" s="1690"/>
      <c r="E2721" s="1692"/>
      <c r="G2721" s="1446"/>
      <c r="I2721" s="1690"/>
    </row>
    <row r="2722" spans="1:9" s="615" customFormat="1" ht="12.75" x14ac:dyDescent="0.2">
      <c r="A2722" s="1686"/>
      <c r="B2722" s="1686"/>
      <c r="C2722" s="720"/>
      <c r="D2722" s="1690"/>
      <c r="E2722" s="1691"/>
      <c r="G2722" s="1446"/>
      <c r="I2722" s="1690"/>
    </row>
    <row r="2723" spans="1:9" s="615" customFormat="1" ht="13.5" x14ac:dyDescent="0.2">
      <c r="A2723" s="1694"/>
      <c r="C2723" s="720"/>
      <c r="D2723" s="720"/>
      <c r="E2723" s="616"/>
      <c r="G2723" s="1446"/>
      <c r="I2723" s="720"/>
    </row>
    <row r="2724" spans="1:9" s="615" customFormat="1" ht="13.5" x14ac:dyDescent="0.2">
      <c r="A2724" s="1694"/>
      <c r="B2724" s="587"/>
      <c r="C2724" s="1171"/>
      <c r="E2724" s="1695" t="s">
        <v>808</v>
      </c>
      <c r="F2724" s="1695"/>
      <c r="G2724" s="4534" t="s">
        <v>1731</v>
      </c>
      <c r="H2724" s="4534"/>
      <c r="I2724" s="1696"/>
    </row>
    <row r="2725" spans="1:9" s="1365" customFormat="1" ht="12.75" x14ac:dyDescent="0.2"/>
  </sheetData>
  <mergeCells count="968">
    <mergeCell ref="A3:G3"/>
    <mergeCell ref="A4:G4"/>
    <mergeCell ref="A8:F8"/>
    <mergeCell ref="I8:J8"/>
    <mergeCell ref="E1796:F1796"/>
    <mergeCell ref="E1798:F1798"/>
    <mergeCell ref="A9:F9"/>
    <mergeCell ref="B10:F10"/>
    <mergeCell ref="C11:F11"/>
    <mergeCell ref="D12:F12"/>
    <mergeCell ref="E13:F13"/>
    <mergeCell ref="E33:F33"/>
    <mergeCell ref="E38:F38"/>
    <mergeCell ref="E42:F42"/>
    <mergeCell ref="E49:F49"/>
    <mergeCell ref="E54:F54"/>
    <mergeCell ref="E15:F15"/>
    <mergeCell ref="E17:F17"/>
    <mergeCell ref="E24:F24"/>
    <mergeCell ref="E26:F26"/>
    <mergeCell ref="E31:F31"/>
    <mergeCell ref="E78:F78"/>
    <mergeCell ref="E83:F83"/>
    <mergeCell ref="B85:F85"/>
    <mergeCell ref="C86:F86"/>
    <mergeCell ref="D87:F87"/>
    <mergeCell ref="E60:F60"/>
    <mergeCell ref="E64:F64"/>
    <mergeCell ref="E70:F70"/>
    <mergeCell ref="E72:F72"/>
    <mergeCell ref="E76:F76"/>
    <mergeCell ref="E102:F102"/>
    <mergeCell ref="D104:F104"/>
    <mergeCell ref="E105:F105"/>
    <mergeCell ref="C107:F107"/>
    <mergeCell ref="D108:F108"/>
    <mergeCell ref="E88:F88"/>
    <mergeCell ref="E90:F90"/>
    <mergeCell ref="E92:F92"/>
    <mergeCell ref="E97:F97"/>
    <mergeCell ref="E99:F99"/>
    <mergeCell ref="E125:F125"/>
    <mergeCell ref="E130:F130"/>
    <mergeCell ref="E134:F134"/>
    <mergeCell ref="E137:F137"/>
    <mergeCell ref="E141:F141"/>
    <mergeCell ref="E109:F109"/>
    <mergeCell ref="E111:F111"/>
    <mergeCell ref="E117:F117"/>
    <mergeCell ref="E119:F119"/>
    <mergeCell ref="E123:F123"/>
    <mergeCell ref="E157:F157"/>
    <mergeCell ref="B159:F159"/>
    <mergeCell ref="C160:F160"/>
    <mergeCell ref="D161:F161"/>
    <mergeCell ref="E162:F162"/>
    <mergeCell ref="E145:F145"/>
    <mergeCell ref="E147:F147"/>
    <mergeCell ref="E150:F150"/>
    <mergeCell ref="E152:F152"/>
    <mergeCell ref="E154:F154"/>
    <mergeCell ref="E181:F181"/>
    <mergeCell ref="E184:F184"/>
    <mergeCell ref="E187:F187"/>
    <mergeCell ref="E192:F192"/>
    <mergeCell ref="E197:F197"/>
    <mergeCell ref="E164:F164"/>
    <mergeCell ref="E170:F170"/>
    <mergeCell ref="E172:F172"/>
    <mergeCell ref="E176:F176"/>
    <mergeCell ref="E178:F178"/>
    <mergeCell ref="E207:F207"/>
    <mergeCell ref="E209:F209"/>
    <mergeCell ref="E215:F215"/>
    <mergeCell ref="E217:F217"/>
    <mergeCell ref="E219:F219"/>
    <mergeCell ref="E199:F199"/>
    <mergeCell ref="E201:F201"/>
    <mergeCell ref="B204:F204"/>
    <mergeCell ref="C205:F205"/>
    <mergeCell ref="D206:F206"/>
    <mergeCell ref="E241:F241"/>
    <mergeCell ref="E244:F244"/>
    <mergeCell ref="E248:F248"/>
    <mergeCell ref="E250:F250"/>
    <mergeCell ref="E253:F253"/>
    <mergeCell ref="E223:F223"/>
    <mergeCell ref="E225:F225"/>
    <mergeCell ref="E229:F229"/>
    <mergeCell ref="E233:F233"/>
    <mergeCell ref="E236:F236"/>
    <mergeCell ref="E261:F261"/>
    <mergeCell ref="D263:F263"/>
    <mergeCell ref="E264:F264"/>
    <mergeCell ref="E266:F266"/>
    <mergeCell ref="E269:F269"/>
    <mergeCell ref="B255:F255"/>
    <mergeCell ref="C256:F256"/>
    <mergeCell ref="D257:F257"/>
    <mergeCell ref="E258:F258"/>
    <mergeCell ref="D260:F260"/>
    <mergeCell ref="E283:F283"/>
    <mergeCell ref="E285:F285"/>
    <mergeCell ref="E289:F289"/>
    <mergeCell ref="E291:F291"/>
    <mergeCell ref="E294:F294"/>
    <mergeCell ref="E271:F271"/>
    <mergeCell ref="C273:F273"/>
    <mergeCell ref="D274:F274"/>
    <mergeCell ref="E275:F275"/>
    <mergeCell ref="E277:F277"/>
    <mergeCell ref="E310:F310"/>
    <mergeCell ref="E313:F313"/>
    <mergeCell ref="B315:F315"/>
    <mergeCell ref="C316:F316"/>
    <mergeCell ref="D317:F317"/>
    <mergeCell ref="E296:F296"/>
    <mergeCell ref="E298:F298"/>
    <mergeCell ref="E303:F303"/>
    <mergeCell ref="E305:F305"/>
    <mergeCell ref="E308:F308"/>
    <mergeCell ref="E339:F339"/>
    <mergeCell ref="E341:F341"/>
    <mergeCell ref="E347:F347"/>
    <mergeCell ref="E350:F350"/>
    <mergeCell ref="E354:F354"/>
    <mergeCell ref="E318:F318"/>
    <mergeCell ref="E321:F321"/>
    <mergeCell ref="E323:F323"/>
    <mergeCell ref="E333:F333"/>
    <mergeCell ref="E336:F336"/>
    <mergeCell ref="E385:F385"/>
    <mergeCell ref="E389:F389"/>
    <mergeCell ref="E393:F393"/>
    <mergeCell ref="D398:F398"/>
    <mergeCell ref="E399:F399"/>
    <mergeCell ref="E358:F358"/>
    <mergeCell ref="E364:F364"/>
    <mergeCell ref="E370:F370"/>
    <mergeCell ref="E376:F376"/>
    <mergeCell ref="E380:F380"/>
    <mergeCell ref="E424:F424"/>
    <mergeCell ref="E430:F430"/>
    <mergeCell ref="E432:F432"/>
    <mergeCell ref="E435:F435"/>
    <mergeCell ref="E439:F439"/>
    <mergeCell ref="E402:F402"/>
    <mergeCell ref="E404:F404"/>
    <mergeCell ref="E416:F416"/>
    <mergeCell ref="E419:F419"/>
    <mergeCell ref="E422:F422"/>
    <mergeCell ref="E470:F470"/>
    <mergeCell ref="E474:F474"/>
    <mergeCell ref="D478:F478"/>
    <mergeCell ref="E479:F479"/>
    <mergeCell ref="E482:F482"/>
    <mergeCell ref="E445:F445"/>
    <mergeCell ref="E450:F450"/>
    <mergeCell ref="E456:F456"/>
    <mergeCell ref="E460:F460"/>
    <mergeCell ref="E466:F466"/>
    <mergeCell ref="E512:F512"/>
    <mergeCell ref="E515:F515"/>
    <mergeCell ref="E519:F519"/>
    <mergeCell ref="E524:F524"/>
    <mergeCell ref="E531:F531"/>
    <mergeCell ref="E484:F484"/>
    <mergeCell ref="E497:F497"/>
    <mergeCell ref="E501:F501"/>
    <mergeCell ref="E504:F504"/>
    <mergeCell ref="E506:F506"/>
    <mergeCell ref="E560:F560"/>
    <mergeCell ref="E565:F565"/>
    <mergeCell ref="C567:F567"/>
    <mergeCell ref="D568:F568"/>
    <mergeCell ref="E569:F569"/>
    <mergeCell ref="E536:F536"/>
    <mergeCell ref="E542:F542"/>
    <mergeCell ref="E546:F546"/>
    <mergeCell ref="E552:F552"/>
    <mergeCell ref="E556:F556"/>
    <mergeCell ref="E592:F592"/>
    <mergeCell ref="E596:F596"/>
    <mergeCell ref="E601:F601"/>
    <mergeCell ref="E604:F604"/>
    <mergeCell ref="E609:F609"/>
    <mergeCell ref="E571:F571"/>
    <mergeCell ref="E578:F578"/>
    <mergeCell ref="E580:F580"/>
    <mergeCell ref="E586:F586"/>
    <mergeCell ref="E588:F588"/>
    <mergeCell ref="B624:F624"/>
    <mergeCell ref="C625:F625"/>
    <mergeCell ref="D626:F626"/>
    <mergeCell ref="E627:F627"/>
    <mergeCell ref="D629:F629"/>
    <mergeCell ref="E611:F611"/>
    <mergeCell ref="E614:F614"/>
    <mergeCell ref="E616:F616"/>
    <mergeCell ref="E619:F619"/>
    <mergeCell ref="E622:F622"/>
    <mergeCell ref="E638:F638"/>
    <mergeCell ref="E640:F640"/>
    <mergeCell ref="E648:F648"/>
    <mergeCell ref="E650:F650"/>
    <mergeCell ref="E654:F654"/>
    <mergeCell ref="E630:F630"/>
    <mergeCell ref="D633:F633"/>
    <mergeCell ref="E634:F634"/>
    <mergeCell ref="C636:F636"/>
    <mergeCell ref="D637:F637"/>
    <mergeCell ref="E680:F680"/>
    <mergeCell ref="E683:F683"/>
    <mergeCell ref="E685:F685"/>
    <mergeCell ref="E688:F688"/>
    <mergeCell ref="E691:F691"/>
    <mergeCell ref="E656:F656"/>
    <mergeCell ref="E661:F661"/>
    <mergeCell ref="E664:F664"/>
    <mergeCell ref="E668:F668"/>
    <mergeCell ref="E674:F674"/>
    <mergeCell ref="E702:F702"/>
    <mergeCell ref="E704:F704"/>
    <mergeCell ref="D706:F706"/>
    <mergeCell ref="E707:F707"/>
    <mergeCell ref="E710:F710"/>
    <mergeCell ref="C693:F693"/>
    <mergeCell ref="D694:F694"/>
    <mergeCell ref="E695:F695"/>
    <mergeCell ref="D697:F697"/>
    <mergeCell ref="E698:F698"/>
    <mergeCell ref="E726:F726"/>
    <mergeCell ref="E728:F728"/>
    <mergeCell ref="E733:F733"/>
    <mergeCell ref="B737:F737"/>
    <mergeCell ref="C738:F738"/>
    <mergeCell ref="E712:F712"/>
    <mergeCell ref="E715:F715"/>
    <mergeCell ref="E718:F718"/>
    <mergeCell ref="E720:F720"/>
    <mergeCell ref="E723:F723"/>
    <mergeCell ref="E746:F746"/>
    <mergeCell ref="E752:F752"/>
    <mergeCell ref="E754:F754"/>
    <mergeCell ref="E756:F756"/>
    <mergeCell ref="E760:F760"/>
    <mergeCell ref="D739:F739"/>
    <mergeCell ref="E740:F740"/>
    <mergeCell ref="C742:F742"/>
    <mergeCell ref="D743:F743"/>
    <mergeCell ref="E744:F744"/>
    <mergeCell ref="E787:F787"/>
    <mergeCell ref="E791:F791"/>
    <mergeCell ref="E795:F795"/>
    <mergeCell ref="E798:F798"/>
    <mergeCell ref="E801:F801"/>
    <mergeCell ref="E762:F762"/>
    <mergeCell ref="E764:F764"/>
    <mergeCell ref="E768:F768"/>
    <mergeCell ref="E773:F773"/>
    <mergeCell ref="E782:F782"/>
    <mergeCell ref="E811:F811"/>
    <mergeCell ref="E813:F813"/>
    <mergeCell ref="E815:F815"/>
    <mergeCell ref="E818:F818"/>
    <mergeCell ref="E820:F820"/>
    <mergeCell ref="E804:F804"/>
    <mergeCell ref="E806:F806"/>
    <mergeCell ref="B808:F808"/>
    <mergeCell ref="C809:F809"/>
    <mergeCell ref="D810:F810"/>
    <mergeCell ref="E831:F831"/>
    <mergeCell ref="E837:F837"/>
    <mergeCell ref="E839:F839"/>
    <mergeCell ref="E843:F843"/>
    <mergeCell ref="E845:F845"/>
    <mergeCell ref="E822:F822"/>
    <mergeCell ref="E824:F824"/>
    <mergeCell ref="C827:F827"/>
    <mergeCell ref="D828:F828"/>
    <mergeCell ref="E829:F829"/>
    <mergeCell ref="E864:F864"/>
    <mergeCell ref="E867:F867"/>
    <mergeCell ref="B869:F869"/>
    <mergeCell ref="C870:F870"/>
    <mergeCell ref="D871:F871"/>
    <mergeCell ref="E849:F849"/>
    <mergeCell ref="E852:F852"/>
    <mergeCell ref="E855:F855"/>
    <mergeCell ref="E859:F859"/>
    <mergeCell ref="E862:F862"/>
    <mergeCell ref="E889:F889"/>
    <mergeCell ref="E894:F894"/>
    <mergeCell ref="E898:F898"/>
    <mergeCell ref="E902:F902"/>
    <mergeCell ref="E908:F908"/>
    <mergeCell ref="E872:F872"/>
    <mergeCell ref="E874:F874"/>
    <mergeCell ref="E881:F881"/>
    <mergeCell ref="E883:F883"/>
    <mergeCell ref="E887:F887"/>
    <mergeCell ref="B924:F924"/>
    <mergeCell ref="C925:F925"/>
    <mergeCell ref="D926:F926"/>
    <mergeCell ref="E927:F927"/>
    <mergeCell ref="E929:F929"/>
    <mergeCell ref="E910:F910"/>
    <mergeCell ref="E914:F914"/>
    <mergeCell ref="E916:F916"/>
    <mergeCell ref="E919:F919"/>
    <mergeCell ref="E922:F922"/>
    <mergeCell ref="E952:F952"/>
    <mergeCell ref="E955:F955"/>
    <mergeCell ref="E960:F960"/>
    <mergeCell ref="E965:F965"/>
    <mergeCell ref="E967:F967"/>
    <mergeCell ref="E936:F936"/>
    <mergeCell ref="E938:F938"/>
    <mergeCell ref="E942:F942"/>
    <mergeCell ref="E944:F944"/>
    <mergeCell ref="E948:F948"/>
    <mergeCell ref="E977:F977"/>
    <mergeCell ref="E980:F980"/>
    <mergeCell ref="E991:F991"/>
    <mergeCell ref="E993:F993"/>
    <mergeCell ref="E996:F996"/>
    <mergeCell ref="E969:F969"/>
    <mergeCell ref="E972:F972"/>
    <mergeCell ref="B974:F974"/>
    <mergeCell ref="C975:F975"/>
    <mergeCell ref="D976:F976"/>
    <mergeCell ref="E1023:F1023"/>
    <mergeCell ref="E1029:F1029"/>
    <mergeCell ref="E1034:F1034"/>
    <mergeCell ref="E1037:F1037"/>
    <mergeCell ref="E1043:F1043"/>
    <mergeCell ref="E998:F998"/>
    <mergeCell ref="E1003:F1003"/>
    <mergeCell ref="E1007:F1007"/>
    <mergeCell ref="E1012:F1012"/>
    <mergeCell ref="E1016:F1016"/>
    <mergeCell ref="C1062:F1062"/>
    <mergeCell ref="D1063:F1063"/>
    <mergeCell ref="E1064:F1064"/>
    <mergeCell ref="E1066:F1066"/>
    <mergeCell ref="E1073:F1073"/>
    <mergeCell ref="E1046:F1046"/>
    <mergeCell ref="E1051:F1051"/>
    <mergeCell ref="E1055:F1055"/>
    <mergeCell ref="E1059:F1059"/>
    <mergeCell ref="B1061:F1061"/>
    <mergeCell ref="E1091:F1091"/>
    <mergeCell ref="E1097:F1097"/>
    <mergeCell ref="E1102:F1102"/>
    <mergeCell ref="E1106:F1106"/>
    <mergeCell ref="E1109:F1109"/>
    <mergeCell ref="E1075:F1075"/>
    <mergeCell ref="E1077:F1077"/>
    <mergeCell ref="E1081:F1081"/>
    <mergeCell ref="E1083:F1083"/>
    <mergeCell ref="E1087:F1087"/>
    <mergeCell ref="C1124:F1124"/>
    <mergeCell ref="D1125:F1125"/>
    <mergeCell ref="E1126:F1126"/>
    <mergeCell ref="E1128:F1128"/>
    <mergeCell ref="E1135:F1135"/>
    <mergeCell ref="E1112:F1112"/>
    <mergeCell ref="E1116:F1116"/>
    <mergeCell ref="E1118:F1118"/>
    <mergeCell ref="E1121:F1121"/>
    <mergeCell ref="B1123:F1123"/>
    <mergeCell ref="E1153:F1153"/>
    <mergeCell ref="E1156:F1156"/>
    <mergeCell ref="E1163:F1163"/>
    <mergeCell ref="E1167:F1167"/>
    <mergeCell ref="E1171:F1171"/>
    <mergeCell ref="E1138:F1138"/>
    <mergeCell ref="E1140:F1140"/>
    <mergeCell ref="E1144:F1144"/>
    <mergeCell ref="E1146:F1146"/>
    <mergeCell ref="E1149:F1149"/>
    <mergeCell ref="E1183:F1183"/>
    <mergeCell ref="E1185:F1185"/>
    <mergeCell ref="E1191:F1191"/>
    <mergeCell ref="E1194:F1194"/>
    <mergeCell ref="E1196:F1196"/>
    <mergeCell ref="E1175:F1175"/>
    <mergeCell ref="E1177:F1177"/>
    <mergeCell ref="B1180:F1180"/>
    <mergeCell ref="C1181:F1181"/>
    <mergeCell ref="D1182:F1182"/>
    <mergeCell ref="E1221:F1221"/>
    <mergeCell ref="E1225:F1225"/>
    <mergeCell ref="E1228:F1228"/>
    <mergeCell ref="E1231:F1231"/>
    <mergeCell ref="E1234:F1234"/>
    <mergeCell ref="E1200:F1200"/>
    <mergeCell ref="E1202:F1202"/>
    <mergeCell ref="E1205:F1205"/>
    <mergeCell ref="E1208:F1208"/>
    <mergeCell ref="E1214:F1214"/>
    <mergeCell ref="E1249:F1249"/>
    <mergeCell ref="E1252:F1252"/>
    <mergeCell ref="E1254:F1254"/>
    <mergeCell ref="E1258:F1258"/>
    <mergeCell ref="E1260:F1260"/>
    <mergeCell ref="B1237:F1237"/>
    <mergeCell ref="C1238:F1238"/>
    <mergeCell ref="D1239:F1239"/>
    <mergeCell ref="E1240:F1240"/>
    <mergeCell ref="E1242:F1242"/>
    <mergeCell ref="E1284:F1284"/>
    <mergeCell ref="E1287:F1287"/>
    <mergeCell ref="E1290:F1290"/>
    <mergeCell ref="E1292:F1292"/>
    <mergeCell ref="B1296:F1296"/>
    <mergeCell ref="E1264:F1264"/>
    <mergeCell ref="E1267:F1267"/>
    <mergeCell ref="E1270:F1270"/>
    <mergeCell ref="E1277:F1277"/>
    <mergeCell ref="E1281:F1281"/>
    <mergeCell ref="E1310:F1310"/>
    <mergeCell ref="E1312:F1312"/>
    <mergeCell ref="E1316:F1316"/>
    <mergeCell ref="E1318:F1318"/>
    <mergeCell ref="E1321:F1321"/>
    <mergeCell ref="C1297:F1297"/>
    <mergeCell ref="D1298:F1298"/>
    <mergeCell ref="E1299:F1299"/>
    <mergeCell ref="E1301:F1301"/>
    <mergeCell ref="E1308:F1308"/>
    <mergeCell ref="E1344:F1344"/>
    <mergeCell ref="E1346:F1346"/>
    <mergeCell ref="E1348:F1348"/>
    <mergeCell ref="B1351:F1351"/>
    <mergeCell ref="C1352:F1352"/>
    <mergeCell ref="E1324:F1324"/>
    <mergeCell ref="E1328:F1328"/>
    <mergeCell ref="E1333:F1333"/>
    <mergeCell ref="E1338:F1338"/>
    <mergeCell ref="E1341:F1341"/>
    <mergeCell ref="E1366:F1366"/>
    <mergeCell ref="E1369:F1369"/>
    <mergeCell ref="E1372:F1372"/>
    <mergeCell ref="E1375:F1375"/>
    <mergeCell ref="E1377:F1377"/>
    <mergeCell ref="D1353:F1353"/>
    <mergeCell ref="E1354:F1354"/>
    <mergeCell ref="E1356:F1356"/>
    <mergeCell ref="E1360:F1360"/>
    <mergeCell ref="E1364:F1364"/>
    <mergeCell ref="E1386:F1386"/>
    <mergeCell ref="E1390:F1390"/>
    <mergeCell ref="E1393:F1393"/>
    <mergeCell ref="E1396:F1396"/>
    <mergeCell ref="E1398:F1398"/>
    <mergeCell ref="E1379:F1379"/>
    <mergeCell ref="B1381:F1381"/>
    <mergeCell ref="C1382:F1382"/>
    <mergeCell ref="D1383:F1383"/>
    <mergeCell ref="E1384:F1384"/>
    <mergeCell ref="E1408:F1408"/>
    <mergeCell ref="E1410:F1410"/>
    <mergeCell ref="E1413:F1413"/>
    <mergeCell ref="E1415:F1415"/>
    <mergeCell ref="E1417:F1417"/>
    <mergeCell ref="E1401:F1401"/>
    <mergeCell ref="E1403:F1403"/>
    <mergeCell ref="B1405:F1405"/>
    <mergeCell ref="C1406:F1406"/>
    <mergeCell ref="D1407:F1407"/>
    <mergeCell ref="C1425:F1425"/>
    <mergeCell ref="D1426:F1426"/>
    <mergeCell ref="E1427:F1427"/>
    <mergeCell ref="E1429:F1429"/>
    <mergeCell ref="E1431:F1431"/>
    <mergeCell ref="B1419:F1419"/>
    <mergeCell ref="C1420:F1420"/>
    <mergeCell ref="D1421:F1421"/>
    <mergeCell ref="E1422:F1422"/>
    <mergeCell ref="B1424:F1424"/>
    <mergeCell ref="C1447:F1447"/>
    <mergeCell ref="D1448:F1448"/>
    <mergeCell ref="E1449:F1449"/>
    <mergeCell ref="E1451:F1451"/>
    <mergeCell ref="E1453:F1453"/>
    <mergeCell ref="E1435:F1435"/>
    <mergeCell ref="E1438:F1438"/>
    <mergeCell ref="E1442:F1442"/>
    <mergeCell ref="E1444:F1444"/>
    <mergeCell ref="B1446:F1446"/>
    <mergeCell ref="C1470:F1470"/>
    <mergeCell ref="D1471:F1471"/>
    <mergeCell ref="E1472:F1472"/>
    <mergeCell ref="B1474:F1474"/>
    <mergeCell ref="C1475:F1475"/>
    <mergeCell ref="E1455:F1455"/>
    <mergeCell ref="E1459:F1459"/>
    <mergeCell ref="E1464:F1464"/>
    <mergeCell ref="E1467:F1467"/>
    <mergeCell ref="B1469:F1469"/>
    <mergeCell ref="E1483:F1483"/>
    <mergeCell ref="E1485:F1485"/>
    <mergeCell ref="C1487:F1487"/>
    <mergeCell ref="D1488:F1488"/>
    <mergeCell ref="E1489:F1489"/>
    <mergeCell ref="D1476:F1476"/>
    <mergeCell ref="E1477:F1477"/>
    <mergeCell ref="C1479:F1479"/>
    <mergeCell ref="D1480:F1480"/>
    <mergeCell ref="E1481:F1481"/>
    <mergeCell ref="E1498:F1498"/>
    <mergeCell ref="E1500:F1500"/>
    <mergeCell ref="C1502:F1502"/>
    <mergeCell ref="D1503:F1503"/>
    <mergeCell ref="E1504:F1504"/>
    <mergeCell ref="C1491:F1491"/>
    <mergeCell ref="D1492:F1492"/>
    <mergeCell ref="E1493:F1493"/>
    <mergeCell ref="E1495:F1495"/>
    <mergeCell ref="D1497:F1497"/>
    <mergeCell ref="E1513:F1513"/>
    <mergeCell ref="B1519:F1519"/>
    <mergeCell ref="C1520:F1520"/>
    <mergeCell ref="D1521:F1521"/>
    <mergeCell ref="E1522:F1522"/>
    <mergeCell ref="D1506:F1506"/>
    <mergeCell ref="E1507:F1507"/>
    <mergeCell ref="D1509:F1509"/>
    <mergeCell ref="E1510:F1510"/>
    <mergeCell ref="D1512:F1512"/>
    <mergeCell ref="E1533:F1533"/>
    <mergeCell ref="E1535:F1535"/>
    <mergeCell ref="D1539:F1539"/>
    <mergeCell ref="E1540:F1540"/>
    <mergeCell ref="E1542:F1542"/>
    <mergeCell ref="C1524:F1524"/>
    <mergeCell ref="D1525:F1525"/>
    <mergeCell ref="E1526:F1526"/>
    <mergeCell ref="E1528:F1528"/>
    <mergeCell ref="E1530:F1530"/>
    <mergeCell ref="E1555:F1555"/>
    <mergeCell ref="D1559:F1559"/>
    <mergeCell ref="E1560:F1560"/>
    <mergeCell ref="E1562:F1562"/>
    <mergeCell ref="E1565:F1565"/>
    <mergeCell ref="E1544:F1544"/>
    <mergeCell ref="D1548:F1548"/>
    <mergeCell ref="E1549:F1549"/>
    <mergeCell ref="E1551:F1551"/>
    <mergeCell ref="E1553:F1553"/>
    <mergeCell ref="E1589:F1589"/>
    <mergeCell ref="E1591:F1591"/>
    <mergeCell ref="E1597:F1597"/>
    <mergeCell ref="E1602:F1602"/>
    <mergeCell ref="E1605:F1605"/>
    <mergeCell ref="E1572:F1572"/>
    <mergeCell ref="E1574:F1574"/>
    <mergeCell ref="E1576:F1576"/>
    <mergeCell ref="E1581:F1581"/>
    <mergeCell ref="E1584:F1584"/>
    <mergeCell ref="E1624:F1624"/>
    <mergeCell ref="E1626:F1626"/>
    <mergeCell ref="E1631:F1631"/>
    <mergeCell ref="E1634:F1634"/>
    <mergeCell ref="E1638:F1638"/>
    <mergeCell ref="D1608:F1608"/>
    <mergeCell ref="E1609:F1609"/>
    <mergeCell ref="E1611:F1611"/>
    <mergeCell ref="E1617:F1617"/>
    <mergeCell ref="E1619:F1619"/>
    <mergeCell ref="D1656:F1656"/>
    <mergeCell ref="E1657:F1657"/>
    <mergeCell ref="E1659:F1659"/>
    <mergeCell ref="E1663:F1663"/>
    <mergeCell ref="E1666:F1666"/>
    <mergeCell ref="E1643:F1643"/>
    <mergeCell ref="E1645:F1645"/>
    <mergeCell ref="E1648:F1648"/>
    <mergeCell ref="E1651:F1651"/>
    <mergeCell ref="E1654:F1654"/>
    <mergeCell ref="E1681:F1681"/>
    <mergeCell ref="E1683:F1683"/>
    <mergeCell ref="E1685:F1685"/>
    <mergeCell ref="E1687:F1687"/>
    <mergeCell ref="C1691:F1691"/>
    <mergeCell ref="E1670:F1670"/>
    <mergeCell ref="E1673:F1673"/>
    <mergeCell ref="E1676:F1676"/>
    <mergeCell ref="C1679:F1679"/>
    <mergeCell ref="D1680:F1680"/>
    <mergeCell ref="E1706:F1706"/>
    <mergeCell ref="E1711:F1711"/>
    <mergeCell ref="E1713:F1713"/>
    <mergeCell ref="E1718:F1718"/>
    <mergeCell ref="E1721:F1721"/>
    <mergeCell ref="D1692:F1692"/>
    <mergeCell ref="E1693:F1693"/>
    <mergeCell ref="E1695:F1695"/>
    <mergeCell ref="E1697:F1697"/>
    <mergeCell ref="E1704:F1704"/>
    <mergeCell ref="E1746:F1746"/>
    <mergeCell ref="E1749:F1749"/>
    <mergeCell ref="E1751:F1751"/>
    <mergeCell ref="C1753:F1753"/>
    <mergeCell ref="D1754:F1754"/>
    <mergeCell ref="E1727:F1727"/>
    <mergeCell ref="E1729:F1729"/>
    <mergeCell ref="E1734:F1734"/>
    <mergeCell ref="E1739:F1739"/>
    <mergeCell ref="E1743:F1743"/>
    <mergeCell ref="E1771:F1771"/>
    <mergeCell ref="E1773:F1773"/>
    <mergeCell ref="E1778:F1778"/>
    <mergeCell ref="E1782:F1782"/>
    <mergeCell ref="E1785:F1785"/>
    <mergeCell ref="E1755:F1755"/>
    <mergeCell ref="E1757:F1757"/>
    <mergeCell ref="E1762:F1762"/>
    <mergeCell ref="E1764:F1764"/>
    <mergeCell ref="E1766:F1766"/>
    <mergeCell ref="E1809:F1809"/>
    <mergeCell ref="C1812:F1812"/>
    <mergeCell ref="D1813:F1813"/>
    <mergeCell ref="E1814:F1814"/>
    <mergeCell ref="E1816:F1816"/>
    <mergeCell ref="E1790:F1790"/>
    <mergeCell ref="E1792:F1792"/>
    <mergeCell ref="E1803:F1803"/>
    <mergeCell ref="E1805:F1805"/>
    <mergeCell ref="E1807:F1807"/>
    <mergeCell ref="E1833:F1833"/>
    <mergeCell ref="E1838:F1838"/>
    <mergeCell ref="E1843:F1843"/>
    <mergeCell ref="E1847:F1847"/>
    <mergeCell ref="E1850:F1850"/>
    <mergeCell ref="E1819:F1819"/>
    <mergeCell ref="E1821:F1821"/>
    <mergeCell ref="E1826:F1826"/>
    <mergeCell ref="E1828:F1828"/>
    <mergeCell ref="E1831:F1831"/>
    <mergeCell ref="D1864:F1864"/>
    <mergeCell ref="E1865:F1865"/>
    <mergeCell ref="E1867:F1867"/>
    <mergeCell ref="E1872:F1872"/>
    <mergeCell ref="E1875:F1875"/>
    <mergeCell ref="E1852:F1852"/>
    <mergeCell ref="E1854:F1854"/>
    <mergeCell ref="E1857:F1857"/>
    <mergeCell ref="E1859:F1859"/>
    <mergeCell ref="C1863:F1863"/>
    <mergeCell ref="E1893:F1893"/>
    <mergeCell ref="E1895:F1895"/>
    <mergeCell ref="E1900:F1900"/>
    <mergeCell ref="E1902:F1902"/>
    <mergeCell ref="E1906:F1906"/>
    <mergeCell ref="E1878:F1878"/>
    <mergeCell ref="C1882:F1882"/>
    <mergeCell ref="D1883:F1883"/>
    <mergeCell ref="E1884:F1884"/>
    <mergeCell ref="E1886:F1886"/>
    <mergeCell ref="E1930:F1930"/>
    <mergeCell ref="E1932:F1932"/>
    <mergeCell ref="E1934:F1934"/>
    <mergeCell ref="D1937:F1937"/>
    <mergeCell ref="E1938:F1938"/>
    <mergeCell ref="E1910:F1910"/>
    <mergeCell ref="E1913:F1913"/>
    <mergeCell ref="E1918:F1918"/>
    <mergeCell ref="E1924:F1924"/>
    <mergeCell ref="E1927:F1927"/>
    <mergeCell ref="E1953:F1953"/>
    <mergeCell ref="D1956:F1956"/>
    <mergeCell ref="E1957:F1957"/>
    <mergeCell ref="E1959:F1959"/>
    <mergeCell ref="E1961:F1961"/>
    <mergeCell ref="E1940:F1940"/>
    <mergeCell ref="E1943:F1943"/>
    <mergeCell ref="E1945:F1945"/>
    <mergeCell ref="E1948:F1948"/>
    <mergeCell ref="E1951:F1951"/>
    <mergeCell ref="E1974:F1974"/>
    <mergeCell ref="E1976:F1976"/>
    <mergeCell ref="E1978:F1978"/>
    <mergeCell ref="D1982:F1982"/>
    <mergeCell ref="E1983:F1983"/>
    <mergeCell ref="D1965:F1965"/>
    <mergeCell ref="E1966:F1966"/>
    <mergeCell ref="E1968:F1968"/>
    <mergeCell ref="E1970:F1970"/>
    <mergeCell ref="D1973:F1973"/>
    <mergeCell ref="E1998:F1998"/>
    <mergeCell ref="D2000:F2000"/>
    <mergeCell ref="E2001:F2001"/>
    <mergeCell ref="E2003:F2003"/>
    <mergeCell ref="E2005:F2005"/>
    <mergeCell ref="E1986:F1986"/>
    <mergeCell ref="E1988:F1988"/>
    <mergeCell ref="E1992:F1992"/>
    <mergeCell ref="E1994:F1994"/>
    <mergeCell ref="E1996:F1996"/>
    <mergeCell ref="E2022:F2022"/>
    <mergeCell ref="E2024:F2024"/>
    <mergeCell ref="C2026:F2026"/>
    <mergeCell ref="D2027:F2027"/>
    <mergeCell ref="E2028:F2028"/>
    <mergeCell ref="E2007:F2007"/>
    <mergeCell ref="E2012:F2012"/>
    <mergeCell ref="E2015:F2015"/>
    <mergeCell ref="E2017:F2017"/>
    <mergeCell ref="E2019:F2019"/>
    <mergeCell ref="E2043:F2043"/>
    <mergeCell ref="E2046:F2046"/>
    <mergeCell ref="E2049:F2049"/>
    <mergeCell ref="E2052:F2052"/>
    <mergeCell ref="E2054:F2054"/>
    <mergeCell ref="E2032:F2032"/>
    <mergeCell ref="E2034:F2034"/>
    <mergeCell ref="E2036:F2036"/>
    <mergeCell ref="D2040:F2040"/>
    <mergeCell ref="E2041:F2041"/>
    <mergeCell ref="D2064:F2064"/>
    <mergeCell ref="E2065:F2065"/>
    <mergeCell ref="E2067:F2067"/>
    <mergeCell ref="E2076:F2076"/>
    <mergeCell ref="E2078:F2078"/>
    <mergeCell ref="E2057:F2057"/>
    <mergeCell ref="E2059:F2059"/>
    <mergeCell ref="A2061:F2061"/>
    <mergeCell ref="B2062:F2062"/>
    <mergeCell ref="C2063:F2063"/>
    <mergeCell ref="E2099:F2099"/>
    <mergeCell ref="E2104:F2104"/>
    <mergeCell ref="E2110:F2110"/>
    <mergeCell ref="E2113:F2113"/>
    <mergeCell ref="E2116:F2116"/>
    <mergeCell ref="E2081:F2081"/>
    <mergeCell ref="E2085:F2085"/>
    <mergeCell ref="E2088:F2088"/>
    <mergeCell ref="E2091:F2091"/>
    <mergeCell ref="E2095:F2095"/>
    <mergeCell ref="E2129:F2129"/>
    <mergeCell ref="E2131:F2131"/>
    <mergeCell ref="E2138:F2138"/>
    <mergeCell ref="E2140:F2140"/>
    <mergeCell ref="E2144:F2144"/>
    <mergeCell ref="E2120:F2120"/>
    <mergeCell ref="E2122:F2122"/>
    <mergeCell ref="E2125:F2125"/>
    <mergeCell ref="C2127:F2127"/>
    <mergeCell ref="D2128:F2128"/>
    <mergeCell ref="E2162:F2162"/>
    <mergeCell ref="E2168:F2168"/>
    <mergeCell ref="E2171:F2171"/>
    <mergeCell ref="E2174:F2174"/>
    <mergeCell ref="E2176:F2176"/>
    <mergeCell ref="E2147:F2147"/>
    <mergeCell ref="E2149:F2149"/>
    <mergeCell ref="E2151:F2151"/>
    <mergeCell ref="E2155:F2155"/>
    <mergeCell ref="E2158:F2158"/>
    <mergeCell ref="E2188:F2188"/>
    <mergeCell ref="E2190:F2190"/>
    <mergeCell ref="D2194:F2194"/>
    <mergeCell ref="E2195:F2195"/>
    <mergeCell ref="C2197:F2197"/>
    <mergeCell ref="E2178:F2178"/>
    <mergeCell ref="E2181:F2181"/>
    <mergeCell ref="C2184:F2184"/>
    <mergeCell ref="D2185:F2185"/>
    <mergeCell ref="E2186:F2186"/>
    <mergeCell ref="E2208:F2208"/>
    <mergeCell ref="E2210:F2210"/>
    <mergeCell ref="E2213:F2213"/>
    <mergeCell ref="E2217:F2217"/>
    <mergeCell ref="E2220:F2220"/>
    <mergeCell ref="D2198:F2198"/>
    <mergeCell ref="E2199:F2199"/>
    <mergeCell ref="E2201:F2201"/>
    <mergeCell ref="E2203:F2203"/>
    <mergeCell ref="E2205:F2205"/>
    <mergeCell ref="E2240:F2240"/>
    <mergeCell ref="E2242:F2242"/>
    <mergeCell ref="E2244:F2244"/>
    <mergeCell ref="C2248:F2248"/>
    <mergeCell ref="D2249:F2249"/>
    <mergeCell ref="E2226:F2226"/>
    <mergeCell ref="E2230:F2230"/>
    <mergeCell ref="E2233:F2233"/>
    <mergeCell ref="E2235:F2235"/>
    <mergeCell ref="E2238:F2238"/>
    <mergeCell ref="E2262:F2262"/>
    <mergeCell ref="E2265:F2265"/>
    <mergeCell ref="E2267:F2267"/>
    <mergeCell ref="E2270:F2270"/>
    <mergeCell ref="E2272:F2272"/>
    <mergeCell ref="E2250:F2250"/>
    <mergeCell ref="E2252:F2252"/>
    <mergeCell ref="E2254:F2254"/>
    <mergeCell ref="E2256:F2256"/>
    <mergeCell ref="E2258:F2258"/>
    <mergeCell ref="E2285:F2285"/>
    <mergeCell ref="E2288:F2288"/>
    <mergeCell ref="E2290:F2290"/>
    <mergeCell ref="E2292:F2292"/>
    <mergeCell ref="E2294:F2294"/>
    <mergeCell ref="E2275:F2275"/>
    <mergeCell ref="E2277:F2277"/>
    <mergeCell ref="E2279:F2279"/>
    <mergeCell ref="C2283:F2283"/>
    <mergeCell ref="D2284:F2284"/>
    <mergeCell ref="D2308:F2308"/>
    <mergeCell ref="E2309:F2309"/>
    <mergeCell ref="E2311:F2311"/>
    <mergeCell ref="E2313:F2313"/>
    <mergeCell ref="C2315:F2315"/>
    <mergeCell ref="E2298:F2298"/>
    <mergeCell ref="E2300:F2300"/>
    <mergeCell ref="E2302:F2302"/>
    <mergeCell ref="E2304:F2304"/>
    <mergeCell ref="C2307:F2307"/>
    <mergeCell ref="E2331:F2331"/>
    <mergeCell ref="E2335:F2335"/>
    <mergeCell ref="E2338:F2338"/>
    <mergeCell ref="E2340:F2340"/>
    <mergeCell ref="E2343:F2343"/>
    <mergeCell ref="D2316:F2316"/>
    <mergeCell ref="E2317:F2317"/>
    <mergeCell ref="E2319:F2319"/>
    <mergeCell ref="E2322:F2322"/>
    <mergeCell ref="E2326:F2326"/>
    <mergeCell ref="E2356:F2356"/>
    <mergeCell ref="E2360:F2360"/>
    <mergeCell ref="E2362:F2362"/>
    <mergeCell ref="E2364:F2364"/>
    <mergeCell ref="E2366:F2366"/>
    <mergeCell ref="E2346:F2346"/>
    <mergeCell ref="D2349:F2349"/>
    <mergeCell ref="E2350:F2350"/>
    <mergeCell ref="E2352:F2352"/>
    <mergeCell ref="E2354:F2354"/>
    <mergeCell ref="E2380:F2380"/>
    <mergeCell ref="E2382:F2382"/>
    <mergeCell ref="E2384:F2384"/>
    <mergeCell ref="E2386:F2386"/>
    <mergeCell ref="D2390:F2390"/>
    <mergeCell ref="D2370:F2370"/>
    <mergeCell ref="E2371:F2371"/>
    <mergeCell ref="E2373:F2373"/>
    <mergeCell ref="E2375:F2375"/>
    <mergeCell ref="E2377:F2377"/>
    <mergeCell ref="E2402:F2402"/>
    <mergeCell ref="D2404:F2404"/>
    <mergeCell ref="E2405:F2405"/>
    <mergeCell ref="E2407:F2407"/>
    <mergeCell ref="E2409:F2409"/>
    <mergeCell ref="E2391:F2391"/>
    <mergeCell ref="E2393:F2393"/>
    <mergeCell ref="E2395:F2395"/>
    <mergeCell ref="D2399:F2399"/>
    <mergeCell ref="E2400:F2400"/>
    <mergeCell ref="E2422:F2422"/>
    <mergeCell ref="C2424:F2424"/>
    <mergeCell ref="D2425:F2425"/>
    <mergeCell ref="E2426:F2426"/>
    <mergeCell ref="E2428:F2428"/>
    <mergeCell ref="D2413:F2413"/>
    <mergeCell ref="E2414:F2414"/>
    <mergeCell ref="E2416:F2416"/>
    <mergeCell ref="E2418:F2418"/>
    <mergeCell ref="E2420:F2420"/>
    <mergeCell ref="E2456:F2456"/>
    <mergeCell ref="E2460:F2460"/>
    <mergeCell ref="E2467:F2467"/>
    <mergeCell ref="E2473:F2473"/>
    <mergeCell ref="E2479:F2479"/>
    <mergeCell ref="E2439:F2439"/>
    <mergeCell ref="E2442:F2442"/>
    <mergeCell ref="E2446:F2446"/>
    <mergeCell ref="E2449:F2449"/>
    <mergeCell ref="E2451:F2451"/>
    <mergeCell ref="E2508:F2508"/>
    <mergeCell ref="D2511:F2511"/>
    <mergeCell ref="E2512:F2512"/>
    <mergeCell ref="E2514:F2514"/>
    <mergeCell ref="E2525:F2525"/>
    <mergeCell ref="E2484:F2484"/>
    <mergeCell ref="E2492:F2492"/>
    <mergeCell ref="E2496:F2496"/>
    <mergeCell ref="E2501:F2501"/>
    <mergeCell ref="E2504:F2504"/>
    <mergeCell ref="E2545:F2545"/>
    <mergeCell ref="E2550:F2550"/>
    <mergeCell ref="E2556:F2556"/>
    <mergeCell ref="E2558:F2558"/>
    <mergeCell ref="E2560:F2560"/>
    <mergeCell ref="E2528:F2528"/>
    <mergeCell ref="E2532:F2532"/>
    <mergeCell ref="E2535:F2535"/>
    <mergeCell ref="E2537:F2537"/>
    <mergeCell ref="E2541:F2541"/>
    <mergeCell ref="E2577:F2577"/>
    <mergeCell ref="E2579:F2579"/>
    <mergeCell ref="E2588:F2588"/>
    <mergeCell ref="E2591:F2591"/>
    <mergeCell ref="E2593:F2593"/>
    <mergeCell ref="E2562:F2562"/>
    <mergeCell ref="E2565:F2565"/>
    <mergeCell ref="E2568:F2568"/>
    <mergeCell ref="E2574:F2574"/>
    <mergeCell ref="D2576:F2576"/>
    <mergeCell ref="E2615:F2615"/>
    <mergeCell ref="E2621:F2621"/>
    <mergeCell ref="E2624:F2624"/>
    <mergeCell ref="E2628:F2628"/>
    <mergeCell ref="E2630:F2630"/>
    <mergeCell ref="E2597:F2597"/>
    <mergeCell ref="E2600:F2600"/>
    <mergeCell ref="E2602:F2602"/>
    <mergeCell ref="E2606:F2606"/>
    <mergeCell ref="E2610:F2610"/>
    <mergeCell ref="E2644:F2644"/>
    <mergeCell ref="E2647:F2647"/>
    <mergeCell ref="E2649:F2649"/>
    <mergeCell ref="E2652:F2652"/>
    <mergeCell ref="E2655:F2655"/>
    <mergeCell ref="E2634:F2634"/>
    <mergeCell ref="E2637:F2637"/>
    <mergeCell ref="E2639:F2639"/>
    <mergeCell ref="D2641:F2641"/>
    <mergeCell ref="E2642:F2642"/>
    <mergeCell ref="D2688:F2688"/>
    <mergeCell ref="E2689:F2689"/>
    <mergeCell ref="D2693:F2693"/>
    <mergeCell ref="E2672:F2672"/>
    <mergeCell ref="E2675:F2675"/>
    <mergeCell ref="E2677:F2677"/>
    <mergeCell ref="C2680:F2680"/>
    <mergeCell ref="D2681:F2681"/>
    <mergeCell ref="E2657:F2657"/>
    <mergeCell ref="E2660:F2660"/>
    <mergeCell ref="E2662:F2662"/>
    <mergeCell ref="E2665:F2665"/>
    <mergeCell ref="E2669:F2669"/>
    <mergeCell ref="F1:G1"/>
    <mergeCell ref="A2716:C2716"/>
    <mergeCell ref="A2717:C2717"/>
    <mergeCell ref="G2716:H2716"/>
    <mergeCell ref="G2717:H2717"/>
    <mergeCell ref="G2718:H2718"/>
    <mergeCell ref="G2724:H2724"/>
    <mergeCell ref="E2717:F2717"/>
    <mergeCell ref="E2718:F2718"/>
    <mergeCell ref="A2718:D2718"/>
    <mergeCell ref="F5:G5"/>
    <mergeCell ref="A1:D1"/>
    <mergeCell ref="E2716:F2716"/>
    <mergeCell ref="D2704:F2704"/>
    <mergeCell ref="E2705:F2705"/>
    <mergeCell ref="D2708:F2708"/>
    <mergeCell ref="E2709:F2709"/>
    <mergeCell ref="E2694:F2694"/>
    <mergeCell ref="E2696:F2696"/>
    <mergeCell ref="E2698:F2698"/>
    <mergeCell ref="E2700:F2700"/>
    <mergeCell ref="C2703:F2703"/>
    <mergeCell ref="E2682:F2682"/>
    <mergeCell ref="E2686:F2686"/>
  </mergeCells>
  <phoneticPr fontId="70" type="noConversion"/>
  <pageMargins left="0.74803149606299213" right="0.43307086614173229" top="0.74803149606299213" bottom="0.51181102362204722" header="0.43307086614173229" footer="0.74803149606299213"/>
  <pageSetup paperSize="9" scale="80" firstPageNumber="184" orientation="portrait" useFirstPageNumber="1" r:id="rId1"/>
  <headerFooter>
    <oddHeader>&amp;RBiểu số 5.24</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FF00"/>
  </sheetPr>
  <dimension ref="A1:V396"/>
  <sheetViews>
    <sheetView topLeftCell="D1" zoomScaleNormal="100" zoomScaleSheetLayoutView="100" workbookViewId="0">
      <selection activeCell="N2" sqref="N2:S2"/>
    </sheetView>
  </sheetViews>
  <sheetFormatPr defaultRowHeight="15" x14ac:dyDescent="0.25"/>
  <cols>
    <col min="1" max="1" width="0.7109375" style="3392" hidden="1" customWidth="1"/>
    <col min="2" max="3" width="1" style="3392" hidden="1" customWidth="1"/>
    <col min="4" max="4" width="7.5703125" style="3392" customWidth="1"/>
    <col min="5" max="5" width="25.28515625" style="3392" customWidth="1"/>
    <col min="6" max="6" width="5.42578125" style="3392" customWidth="1"/>
    <col min="7" max="7" width="3.42578125" style="3392" customWidth="1"/>
    <col min="8" max="8" width="4.42578125" style="3392" customWidth="1"/>
    <col min="9" max="9" width="3.7109375" style="3392" customWidth="1"/>
    <col min="10" max="10" width="7.28515625" style="3392" customWidth="1"/>
    <col min="11" max="11" width="5.5703125" style="3392" customWidth="1"/>
    <col min="12" max="12" width="1.7109375" style="3392" customWidth="1"/>
    <col min="13" max="13" width="2.5703125" style="3392" customWidth="1"/>
    <col min="14" max="14" width="1.85546875" style="3392" customWidth="1"/>
    <col min="15" max="15" width="2.140625" style="3392" customWidth="1"/>
    <col min="16" max="16" width="3.42578125" style="3392" customWidth="1"/>
    <col min="17" max="17" width="7" style="3392" customWidth="1"/>
    <col min="18" max="18" width="7.85546875" style="3392" customWidth="1"/>
    <col min="19" max="19" width="12.140625" style="3392" customWidth="1"/>
    <col min="20" max="20" width="0" style="3392" hidden="1" customWidth="1"/>
    <col min="21" max="21" width="0.140625" style="3392" customWidth="1"/>
    <col min="22" max="22" width="13.140625" style="3392" bestFit="1" customWidth="1"/>
    <col min="23" max="16384" width="9.140625" style="3392"/>
  </cols>
  <sheetData>
    <row r="1" spans="1:22" ht="3.2" customHeight="1" x14ac:dyDescent="0.25"/>
    <row r="2" spans="1:22" ht="46.5" customHeight="1" x14ac:dyDescent="0.25">
      <c r="B2" s="4565" t="s">
        <v>4774</v>
      </c>
      <c r="C2" s="4566"/>
      <c r="D2" s="4566"/>
      <c r="E2" s="4566"/>
      <c r="F2" s="4566"/>
      <c r="G2" s="4566"/>
      <c r="H2" s="4566"/>
      <c r="N2" s="4280" t="s">
        <v>4915</v>
      </c>
      <c r="O2" s="4280"/>
      <c r="P2" s="4280"/>
      <c r="Q2" s="4280"/>
      <c r="R2" s="4280"/>
      <c r="S2" s="4280"/>
    </row>
    <row r="3" spans="1:22" ht="34.700000000000003" customHeight="1" x14ac:dyDescent="0.25">
      <c r="C3" s="4257" t="s">
        <v>4539</v>
      </c>
      <c r="D3" s="4250"/>
      <c r="E3" s="4250"/>
      <c r="F3" s="4250"/>
      <c r="G3" s="4250"/>
      <c r="H3" s="4250"/>
      <c r="I3" s="4250"/>
      <c r="J3" s="4250"/>
      <c r="K3" s="4250"/>
      <c r="L3" s="4250"/>
      <c r="M3" s="4250"/>
      <c r="N3" s="4250"/>
      <c r="O3" s="4250"/>
      <c r="P3" s="4250"/>
      <c r="Q3" s="4250"/>
      <c r="R3" s="4250"/>
      <c r="S3" s="4250"/>
    </row>
    <row r="4" spans="1:22" s="3506" customFormat="1" ht="16.5" customHeight="1" x14ac:dyDescent="0.25">
      <c r="C4" s="3511"/>
      <c r="D4" s="4462" t="s">
        <v>4912</v>
      </c>
      <c r="E4" s="4462"/>
      <c r="F4" s="4462"/>
      <c r="G4" s="4462"/>
      <c r="H4" s="4462"/>
      <c r="I4" s="4462"/>
      <c r="J4" s="4462"/>
      <c r="K4" s="4462"/>
      <c r="L4" s="4462"/>
      <c r="M4" s="4462"/>
      <c r="N4" s="4462"/>
      <c r="O4" s="4462"/>
      <c r="P4" s="4462"/>
      <c r="Q4" s="4462"/>
      <c r="R4" s="4462"/>
      <c r="S4" s="4462"/>
    </row>
    <row r="5" spans="1:22" ht="21.95" customHeight="1" x14ac:dyDescent="0.25">
      <c r="A5" s="4560" t="str">
        <f>'B64-342'!A5:J5</f>
        <v>(Kèm theo Quyết định số         /QĐ-UBND ngày      tháng 4 năm 2026 của UBND xã Phong Quang)</v>
      </c>
      <c r="B5" s="4560"/>
      <c r="C5" s="4560"/>
      <c r="D5" s="4560"/>
      <c r="E5" s="4560"/>
      <c r="F5" s="4560"/>
      <c r="G5" s="4560"/>
      <c r="H5" s="4560"/>
      <c r="I5" s="4560"/>
      <c r="J5" s="4560"/>
      <c r="K5" s="4560"/>
      <c r="L5" s="4560"/>
      <c r="M5" s="4560"/>
      <c r="N5" s="4560"/>
      <c r="O5" s="4560"/>
      <c r="P5" s="4560"/>
      <c r="Q5" s="4560"/>
      <c r="R5" s="4560"/>
      <c r="S5" s="4560"/>
    </row>
    <row r="6" spans="1:22" ht="18" customHeight="1" x14ac:dyDescent="0.25">
      <c r="B6" s="4567" t="s">
        <v>3566</v>
      </c>
      <c r="C6" s="4261"/>
      <c r="D6" s="4261"/>
      <c r="E6" s="4261"/>
      <c r="F6" s="4261"/>
      <c r="G6" s="4261"/>
      <c r="H6" s="4261"/>
      <c r="I6" s="4261"/>
      <c r="J6" s="4261"/>
      <c r="K6" s="4261"/>
      <c r="L6" s="4261"/>
      <c r="M6" s="4261"/>
      <c r="N6" s="4261"/>
      <c r="O6" s="4261"/>
      <c r="P6" s="4261"/>
      <c r="Q6" s="4261"/>
      <c r="R6" s="4261"/>
      <c r="S6" s="4261"/>
    </row>
    <row r="7" spans="1:22" ht="7.9" customHeight="1" x14ac:dyDescent="0.25"/>
    <row r="8" spans="1:22" ht="25.5" x14ac:dyDescent="0.25">
      <c r="D8" s="3327" t="s">
        <v>1619</v>
      </c>
      <c r="E8" s="4247" t="s">
        <v>505</v>
      </c>
      <c r="F8" s="4246"/>
      <c r="G8" s="4248"/>
      <c r="H8" s="4247" t="s">
        <v>4540</v>
      </c>
      <c r="I8" s="4248"/>
      <c r="J8" s="3327" t="s">
        <v>494</v>
      </c>
      <c r="K8" s="3327" t="s">
        <v>3075</v>
      </c>
      <c r="L8" s="4247" t="s">
        <v>502</v>
      </c>
      <c r="M8" s="4246"/>
      <c r="N8" s="4248"/>
      <c r="O8" s="4247" t="s">
        <v>503</v>
      </c>
      <c r="P8" s="4248"/>
      <c r="Q8" s="3327" t="s">
        <v>495</v>
      </c>
      <c r="R8" s="3327" t="s">
        <v>2779</v>
      </c>
      <c r="S8" s="3327" t="s">
        <v>504</v>
      </c>
    </row>
    <row r="9" spans="1:22" ht="18.75" customHeight="1" x14ac:dyDescent="0.25">
      <c r="D9" s="3327" t="s">
        <v>1773</v>
      </c>
      <c r="E9" s="4247" t="s">
        <v>1774</v>
      </c>
      <c r="F9" s="4246"/>
      <c r="G9" s="4248"/>
      <c r="H9" s="4247" t="s">
        <v>1776</v>
      </c>
      <c r="I9" s="4248"/>
      <c r="J9" s="3327" t="s">
        <v>509</v>
      </c>
      <c r="K9" s="3327" t="s">
        <v>1782</v>
      </c>
      <c r="L9" s="4247" t="s">
        <v>1783</v>
      </c>
      <c r="M9" s="4246"/>
      <c r="N9" s="4248"/>
      <c r="O9" s="4247" t="s">
        <v>3660</v>
      </c>
      <c r="P9" s="4248"/>
      <c r="Q9" s="3327" t="s">
        <v>1784</v>
      </c>
      <c r="R9" s="3327" t="s">
        <v>1785</v>
      </c>
      <c r="S9" s="3327" t="s">
        <v>1521</v>
      </c>
    </row>
    <row r="10" spans="1:22" ht="18.75" customHeight="1" x14ac:dyDescent="0.25">
      <c r="D10" s="4561" t="s">
        <v>1632</v>
      </c>
      <c r="E10" s="4246"/>
      <c r="F10" s="4246"/>
      <c r="G10" s="4246"/>
      <c r="H10" s="4246"/>
      <c r="I10" s="4246"/>
      <c r="J10" s="4246"/>
      <c r="K10" s="4246"/>
      <c r="L10" s="4246"/>
      <c r="M10" s="4246"/>
      <c r="N10" s="4246"/>
      <c r="O10" s="4246"/>
      <c r="P10" s="4246"/>
      <c r="Q10" s="4246"/>
      <c r="R10" s="4248"/>
      <c r="S10" s="3328" t="s">
        <v>4541</v>
      </c>
      <c r="V10" s="3393"/>
    </row>
    <row r="11" spans="1:22" ht="32.25" customHeight="1" x14ac:dyDescent="0.25">
      <c r="D11" s="3326" t="s">
        <v>849</v>
      </c>
      <c r="E11" s="4562" t="s">
        <v>4542</v>
      </c>
      <c r="F11" s="4563"/>
      <c r="G11" s="4563"/>
      <c r="H11" s="4563"/>
      <c r="I11" s="4563"/>
      <c r="J11" s="4563"/>
      <c r="K11" s="4563"/>
      <c r="L11" s="4563"/>
      <c r="M11" s="4563"/>
      <c r="N11" s="4563"/>
      <c r="O11" s="4563"/>
      <c r="P11" s="4563"/>
      <c r="Q11" s="4563"/>
      <c r="R11" s="4564"/>
      <c r="S11" s="3394">
        <f>S12+S15+S18+S21+S24+S27</f>
        <v>1060692</v>
      </c>
      <c r="V11" s="3393"/>
    </row>
    <row r="12" spans="1:22" ht="35.25" customHeight="1" x14ac:dyDescent="0.25">
      <c r="D12" s="3395" t="s">
        <v>4543</v>
      </c>
      <c r="E12" s="4546" t="s">
        <v>3285</v>
      </c>
      <c r="F12" s="4547"/>
      <c r="G12" s="4548"/>
      <c r="H12" s="4549"/>
      <c r="I12" s="4548"/>
      <c r="J12" s="3396"/>
      <c r="K12" s="3396"/>
      <c r="L12" s="4549"/>
      <c r="M12" s="4547"/>
      <c r="N12" s="4548"/>
      <c r="O12" s="4549"/>
      <c r="P12" s="4548"/>
      <c r="Q12" s="3397"/>
      <c r="R12" s="3398"/>
      <c r="S12" s="3399" t="s">
        <v>4544</v>
      </c>
      <c r="V12" s="3400"/>
    </row>
    <row r="13" spans="1:22" x14ac:dyDescent="0.25">
      <c r="D13" s="3395"/>
      <c r="E13" s="4546" t="s">
        <v>1815</v>
      </c>
      <c r="F13" s="4547"/>
      <c r="G13" s="4548"/>
      <c r="H13" s="4549" t="s">
        <v>4545</v>
      </c>
      <c r="I13" s="4548"/>
      <c r="J13" s="3396" t="s">
        <v>2056</v>
      </c>
      <c r="K13" s="3396" t="s">
        <v>4546</v>
      </c>
      <c r="L13" s="4549" t="s">
        <v>2011</v>
      </c>
      <c r="M13" s="4547"/>
      <c r="N13" s="4548"/>
      <c r="O13" s="4549" t="s">
        <v>2016</v>
      </c>
      <c r="P13" s="4548"/>
      <c r="Q13" s="3397" t="s">
        <v>2017</v>
      </c>
      <c r="R13" s="3398"/>
      <c r="S13" s="3399" t="s">
        <v>4544</v>
      </c>
    </row>
    <row r="14" spans="1:22" x14ac:dyDescent="0.25">
      <c r="D14" s="3395"/>
      <c r="E14" s="4546" t="s">
        <v>1815</v>
      </c>
      <c r="F14" s="4547"/>
      <c r="G14" s="4548"/>
      <c r="H14" s="4549"/>
      <c r="I14" s="4548"/>
      <c r="J14" s="3396"/>
      <c r="K14" s="3396"/>
      <c r="L14" s="4549"/>
      <c r="M14" s="4547"/>
      <c r="N14" s="4548"/>
      <c r="O14" s="4549"/>
      <c r="P14" s="4548"/>
      <c r="Q14" s="3397"/>
      <c r="R14" s="3398" t="s">
        <v>2018</v>
      </c>
      <c r="S14" s="3399" t="s">
        <v>4544</v>
      </c>
    </row>
    <row r="15" spans="1:22" ht="29.25" customHeight="1" x14ac:dyDescent="0.25">
      <c r="D15" s="3395" t="s">
        <v>4547</v>
      </c>
      <c r="E15" s="4546" t="s">
        <v>3535</v>
      </c>
      <c r="F15" s="4547"/>
      <c r="G15" s="4548"/>
      <c r="H15" s="4549"/>
      <c r="I15" s="4548"/>
      <c r="J15" s="3396"/>
      <c r="K15" s="3396"/>
      <c r="L15" s="4549"/>
      <c r="M15" s="4547"/>
      <c r="N15" s="4548"/>
      <c r="O15" s="4549"/>
      <c r="P15" s="4548"/>
      <c r="Q15" s="3397"/>
      <c r="R15" s="3398"/>
      <c r="S15" s="3399" t="s">
        <v>4548</v>
      </c>
    </row>
    <row r="16" spans="1:22" x14ac:dyDescent="0.25">
      <c r="D16" s="3395"/>
      <c r="E16" s="4546" t="s">
        <v>1815</v>
      </c>
      <c r="F16" s="4547"/>
      <c r="G16" s="4548"/>
      <c r="H16" s="4549" t="s">
        <v>4545</v>
      </c>
      <c r="I16" s="4548"/>
      <c r="J16" s="3396" t="s">
        <v>2056</v>
      </c>
      <c r="K16" s="3396" t="s">
        <v>4546</v>
      </c>
      <c r="L16" s="4549" t="s">
        <v>2011</v>
      </c>
      <c r="M16" s="4547"/>
      <c r="N16" s="4548"/>
      <c r="O16" s="4549" t="s">
        <v>2016</v>
      </c>
      <c r="P16" s="4548"/>
      <c r="Q16" s="3397" t="s">
        <v>2017</v>
      </c>
      <c r="R16" s="3398"/>
      <c r="S16" s="3399" t="s">
        <v>4548</v>
      </c>
    </row>
    <row r="17" spans="4:22" x14ac:dyDescent="0.25">
      <c r="D17" s="3395"/>
      <c r="E17" s="4546" t="s">
        <v>1815</v>
      </c>
      <c r="F17" s="4547"/>
      <c r="G17" s="4548"/>
      <c r="H17" s="4549"/>
      <c r="I17" s="4548"/>
      <c r="J17" s="3396"/>
      <c r="K17" s="3396"/>
      <c r="L17" s="4549"/>
      <c r="M17" s="4547"/>
      <c r="N17" s="4548"/>
      <c r="O17" s="4549"/>
      <c r="P17" s="4548"/>
      <c r="Q17" s="3397"/>
      <c r="R17" s="3398" t="s">
        <v>2018</v>
      </c>
      <c r="S17" s="3399" t="s">
        <v>4548</v>
      </c>
    </row>
    <row r="18" spans="4:22" ht="45.75" customHeight="1" x14ac:dyDescent="0.25">
      <c r="D18" s="3395" t="s">
        <v>4549</v>
      </c>
      <c r="E18" s="4546" t="s">
        <v>3286</v>
      </c>
      <c r="F18" s="4547"/>
      <c r="G18" s="4548"/>
      <c r="H18" s="4549"/>
      <c r="I18" s="4548"/>
      <c r="J18" s="3396"/>
      <c r="K18" s="3396"/>
      <c r="L18" s="4549"/>
      <c r="M18" s="4547"/>
      <c r="N18" s="4548"/>
      <c r="O18" s="4549"/>
      <c r="P18" s="4548"/>
      <c r="Q18" s="3397"/>
      <c r="R18" s="3398"/>
      <c r="S18" s="3399" t="s">
        <v>4550</v>
      </c>
    </row>
    <row r="19" spans="4:22" x14ac:dyDescent="0.25">
      <c r="D19" s="3395"/>
      <c r="E19" s="4546" t="s">
        <v>1815</v>
      </c>
      <c r="F19" s="4547"/>
      <c r="G19" s="4548"/>
      <c r="H19" s="4549" t="s">
        <v>4545</v>
      </c>
      <c r="I19" s="4548"/>
      <c r="J19" s="3396" t="s">
        <v>2056</v>
      </c>
      <c r="K19" s="3396" t="s">
        <v>738</v>
      </c>
      <c r="L19" s="4549" t="s">
        <v>2011</v>
      </c>
      <c r="M19" s="4547"/>
      <c r="N19" s="4548"/>
      <c r="O19" s="4549" t="s">
        <v>2016</v>
      </c>
      <c r="P19" s="4548"/>
      <c r="Q19" s="3397" t="s">
        <v>2017</v>
      </c>
      <c r="R19" s="3398"/>
      <c r="S19" s="3399" t="s">
        <v>4550</v>
      </c>
    </row>
    <row r="20" spans="4:22" x14ac:dyDescent="0.25">
      <c r="D20" s="3395"/>
      <c r="E20" s="4546" t="s">
        <v>1815</v>
      </c>
      <c r="F20" s="4547"/>
      <c r="G20" s="4548"/>
      <c r="H20" s="4549"/>
      <c r="I20" s="4548"/>
      <c r="J20" s="3396"/>
      <c r="K20" s="3396"/>
      <c r="L20" s="4549"/>
      <c r="M20" s="4547"/>
      <c r="N20" s="4548"/>
      <c r="O20" s="4549"/>
      <c r="P20" s="4548"/>
      <c r="Q20" s="3397"/>
      <c r="R20" s="3398" t="s">
        <v>2018</v>
      </c>
      <c r="S20" s="3399" t="s">
        <v>4550</v>
      </c>
    </row>
    <row r="21" spans="4:22" ht="64.5" customHeight="1" x14ac:dyDescent="0.25">
      <c r="D21" s="3395" t="s">
        <v>4551</v>
      </c>
      <c r="E21" s="4546" t="s">
        <v>3536</v>
      </c>
      <c r="F21" s="4547"/>
      <c r="G21" s="4548"/>
      <c r="H21" s="4549"/>
      <c r="I21" s="4548"/>
      <c r="J21" s="3396"/>
      <c r="K21" s="3396"/>
      <c r="L21" s="4549"/>
      <c r="M21" s="4547"/>
      <c r="N21" s="4548"/>
      <c r="O21" s="4549"/>
      <c r="P21" s="4548"/>
      <c r="Q21" s="3397"/>
      <c r="R21" s="3398"/>
      <c r="S21" s="3399" t="s">
        <v>4552</v>
      </c>
    </row>
    <row r="22" spans="4:22" x14ac:dyDescent="0.25">
      <c r="D22" s="3395"/>
      <c r="E22" s="4546" t="s">
        <v>1815</v>
      </c>
      <c r="F22" s="4547"/>
      <c r="G22" s="4548"/>
      <c r="H22" s="4549" t="s">
        <v>4545</v>
      </c>
      <c r="I22" s="4548"/>
      <c r="J22" s="3396" t="s">
        <v>2056</v>
      </c>
      <c r="K22" s="3396" t="s">
        <v>738</v>
      </c>
      <c r="L22" s="4549" t="s">
        <v>2011</v>
      </c>
      <c r="M22" s="4547"/>
      <c r="N22" s="4548"/>
      <c r="O22" s="4549" t="s">
        <v>2016</v>
      </c>
      <c r="P22" s="4548"/>
      <c r="Q22" s="3397" t="s">
        <v>2017</v>
      </c>
      <c r="R22" s="3398"/>
      <c r="S22" s="3399" t="s">
        <v>4552</v>
      </c>
    </row>
    <row r="23" spans="4:22" x14ac:dyDescent="0.25">
      <c r="D23" s="3395"/>
      <c r="E23" s="4546" t="s">
        <v>1815</v>
      </c>
      <c r="F23" s="4558"/>
      <c r="G23" s="4558"/>
      <c r="H23" s="4559"/>
      <c r="I23" s="4558"/>
      <c r="J23" s="3395"/>
      <c r="K23" s="3395"/>
      <c r="L23" s="4559"/>
      <c r="M23" s="4558"/>
      <c r="N23" s="4558"/>
      <c r="O23" s="4559"/>
      <c r="P23" s="4558"/>
      <c r="Q23" s="3395"/>
      <c r="R23" s="3395" t="s">
        <v>2018</v>
      </c>
      <c r="S23" s="3399" t="s">
        <v>4552</v>
      </c>
    </row>
    <row r="24" spans="4:22" ht="52.5" customHeight="1" x14ac:dyDescent="0.25">
      <c r="D24" s="3395" t="s">
        <v>4553</v>
      </c>
      <c r="E24" s="4546" t="s">
        <v>3537</v>
      </c>
      <c r="F24" s="4547"/>
      <c r="G24" s="4548"/>
      <c r="H24" s="4549"/>
      <c r="I24" s="4548"/>
      <c r="J24" s="3396"/>
      <c r="K24" s="3396"/>
      <c r="L24" s="4549"/>
      <c r="M24" s="4547"/>
      <c r="N24" s="4548"/>
      <c r="O24" s="4549"/>
      <c r="P24" s="4548"/>
      <c r="Q24" s="3397"/>
      <c r="R24" s="3398"/>
      <c r="S24" s="3399" t="s">
        <v>4554</v>
      </c>
    </row>
    <row r="25" spans="4:22" x14ac:dyDescent="0.25">
      <c r="D25" s="3395"/>
      <c r="E25" s="4546" t="s">
        <v>1815</v>
      </c>
      <c r="F25" s="4547"/>
      <c r="G25" s="4548"/>
      <c r="H25" s="4549" t="s">
        <v>4545</v>
      </c>
      <c r="I25" s="4548"/>
      <c r="J25" s="3396" t="s">
        <v>2056</v>
      </c>
      <c r="K25" s="3396" t="s">
        <v>4546</v>
      </c>
      <c r="L25" s="4549" t="s">
        <v>2011</v>
      </c>
      <c r="M25" s="4547"/>
      <c r="N25" s="4548"/>
      <c r="O25" s="4549" t="s">
        <v>2016</v>
      </c>
      <c r="P25" s="4548"/>
      <c r="Q25" s="3397" t="s">
        <v>2017</v>
      </c>
      <c r="R25" s="3398"/>
      <c r="S25" s="3399" t="s">
        <v>4554</v>
      </c>
    </row>
    <row r="26" spans="4:22" x14ac:dyDescent="0.25">
      <c r="D26" s="3395"/>
      <c r="E26" s="4546" t="s">
        <v>1815</v>
      </c>
      <c r="F26" s="4547"/>
      <c r="G26" s="4548"/>
      <c r="H26" s="4549"/>
      <c r="I26" s="4548"/>
      <c r="J26" s="3396"/>
      <c r="K26" s="3396"/>
      <c r="L26" s="4549"/>
      <c r="M26" s="4547"/>
      <c r="N26" s="4548"/>
      <c r="O26" s="4549"/>
      <c r="P26" s="4548"/>
      <c r="Q26" s="3397"/>
      <c r="R26" s="3398" t="s">
        <v>2018</v>
      </c>
      <c r="S26" s="3399" t="s">
        <v>4554</v>
      </c>
    </row>
    <row r="27" spans="4:22" ht="56.25" customHeight="1" x14ac:dyDescent="0.25">
      <c r="D27" s="3395" t="s">
        <v>4555</v>
      </c>
      <c r="E27" s="4546" t="s">
        <v>3287</v>
      </c>
      <c r="F27" s="4547"/>
      <c r="G27" s="4548"/>
      <c r="H27" s="4549"/>
      <c r="I27" s="4548"/>
      <c r="J27" s="3396"/>
      <c r="K27" s="3396"/>
      <c r="L27" s="4549"/>
      <c r="M27" s="4547"/>
      <c r="N27" s="4548"/>
      <c r="O27" s="4549"/>
      <c r="P27" s="4548"/>
      <c r="Q27" s="3397"/>
      <c r="R27" s="3398"/>
      <c r="S27" s="3399" t="s">
        <v>4556</v>
      </c>
    </row>
    <row r="28" spans="4:22" x14ac:dyDescent="0.25">
      <c r="D28" s="3395"/>
      <c r="E28" s="4546" t="s">
        <v>1815</v>
      </c>
      <c r="F28" s="4547"/>
      <c r="G28" s="4548"/>
      <c r="H28" s="4549" t="s">
        <v>4545</v>
      </c>
      <c r="I28" s="4548"/>
      <c r="J28" s="3396" t="s">
        <v>2056</v>
      </c>
      <c r="K28" s="3396" t="s">
        <v>4546</v>
      </c>
      <c r="L28" s="4549" t="s">
        <v>2011</v>
      </c>
      <c r="M28" s="4547"/>
      <c r="N28" s="4548"/>
      <c r="O28" s="4549" t="s">
        <v>2016</v>
      </c>
      <c r="P28" s="4548"/>
      <c r="Q28" s="3397" t="s">
        <v>2017</v>
      </c>
      <c r="R28" s="3398"/>
      <c r="S28" s="3399" t="s">
        <v>4556</v>
      </c>
    </row>
    <row r="29" spans="4:22" x14ac:dyDescent="0.25">
      <c r="D29" s="3395"/>
      <c r="E29" s="4546" t="s">
        <v>1815</v>
      </c>
      <c r="F29" s="4547"/>
      <c r="G29" s="4548"/>
      <c r="H29" s="4549"/>
      <c r="I29" s="4548"/>
      <c r="J29" s="3396"/>
      <c r="K29" s="3396"/>
      <c r="L29" s="4549"/>
      <c r="M29" s="4547"/>
      <c r="N29" s="4548"/>
      <c r="O29" s="4549"/>
      <c r="P29" s="4548"/>
      <c r="Q29" s="3397"/>
      <c r="R29" s="3398" t="s">
        <v>2018</v>
      </c>
      <c r="S29" s="3399" t="s">
        <v>4556</v>
      </c>
    </row>
    <row r="30" spans="4:22" ht="30" customHeight="1" x14ac:dyDescent="0.25">
      <c r="D30" s="3401" t="s">
        <v>866</v>
      </c>
      <c r="E30" s="4557" t="s">
        <v>1212</v>
      </c>
      <c r="F30" s="4557"/>
      <c r="G30" s="4557"/>
      <c r="H30" s="4557"/>
      <c r="I30" s="4557"/>
      <c r="J30" s="4557"/>
      <c r="K30" s="4557"/>
      <c r="L30" s="4557"/>
      <c r="M30" s="4557"/>
      <c r="N30" s="4557"/>
      <c r="O30" s="4557"/>
      <c r="P30" s="4557"/>
      <c r="Q30" s="4557"/>
      <c r="R30" s="4557"/>
      <c r="S30" s="3394">
        <f>S31+S43+S55+S68</f>
        <v>604889</v>
      </c>
      <c r="V30" s="3393">
        <f>S30-604889</f>
        <v>0</v>
      </c>
    </row>
    <row r="31" spans="4:22" ht="28.5" customHeight="1" x14ac:dyDescent="0.25">
      <c r="D31" s="3395" t="s">
        <v>4557</v>
      </c>
      <c r="E31" s="4546" t="s">
        <v>4558</v>
      </c>
      <c r="F31" s="4547"/>
      <c r="G31" s="4548"/>
      <c r="H31" s="4549"/>
      <c r="I31" s="4548"/>
      <c r="J31" s="3396"/>
      <c r="K31" s="3396"/>
      <c r="L31" s="4549"/>
      <c r="M31" s="4547"/>
      <c r="N31" s="4548"/>
      <c r="O31" s="4549"/>
      <c r="P31" s="4548"/>
      <c r="Q31" s="3397"/>
      <c r="R31" s="3398"/>
      <c r="S31" s="3399" t="s">
        <v>4559</v>
      </c>
    </row>
    <row r="32" spans="4:22" x14ac:dyDescent="0.25">
      <c r="D32" s="3395"/>
      <c r="E32" s="4546" t="s">
        <v>1815</v>
      </c>
      <c r="F32" s="4547"/>
      <c r="G32" s="4548"/>
      <c r="H32" s="4549" t="s">
        <v>4545</v>
      </c>
      <c r="I32" s="4548"/>
      <c r="J32" s="3396" t="s">
        <v>2056</v>
      </c>
      <c r="K32" s="3396" t="s">
        <v>738</v>
      </c>
      <c r="L32" s="4549" t="s">
        <v>1933</v>
      </c>
      <c r="M32" s="4547"/>
      <c r="N32" s="4548"/>
      <c r="O32" s="4549" t="s">
        <v>4046</v>
      </c>
      <c r="P32" s="4548"/>
      <c r="Q32" s="3397" t="s">
        <v>1906</v>
      </c>
      <c r="R32" s="3398"/>
      <c r="S32" s="3399" t="s">
        <v>4560</v>
      </c>
    </row>
    <row r="33" spans="4:19" ht="16.5" customHeight="1" x14ac:dyDescent="0.25">
      <c r="D33" s="3395"/>
      <c r="E33" s="4546" t="s">
        <v>1815</v>
      </c>
      <c r="F33" s="4547"/>
      <c r="G33" s="4548"/>
      <c r="H33" s="4549"/>
      <c r="I33" s="4548"/>
      <c r="J33" s="3396"/>
      <c r="K33" s="3396"/>
      <c r="L33" s="4549"/>
      <c r="M33" s="4547"/>
      <c r="N33" s="4548"/>
      <c r="O33" s="4549"/>
      <c r="P33" s="4548"/>
      <c r="Q33" s="3397"/>
      <c r="R33" s="3398" t="s">
        <v>1909</v>
      </c>
      <c r="S33" s="3399" t="s">
        <v>4560</v>
      </c>
    </row>
    <row r="34" spans="4:19" ht="16.5" customHeight="1" x14ac:dyDescent="0.25">
      <c r="D34" s="3395"/>
      <c r="E34" s="4546" t="s">
        <v>1815</v>
      </c>
      <c r="F34" s="4547"/>
      <c r="G34" s="4548"/>
      <c r="H34" s="4549" t="s">
        <v>4545</v>
      </c>
      <c r="I34" s="4548"/>
      <c r="J34" s="3396" t="s">
        <v>2056</v>
      </c>
      <c r="K34" s="3396" t="s">
        <v>738</v>
      </c>
      <c r="L34" s="4549" t="s">
        <v>1958</v>
      </c>
      <c r="M34" s="4547"/>
      <c r="N34" s="4548"/>
      <c r="O34" s="4549" t="s">
        <v>1959</v>
      </c>
      <c r="P34" s="4548"/>
      <c r="Q34" s="3397" t="s">
        <v>1874</v>
      </c>
      <c r="R34" s="3398"/>
      <c r="S34" s="3399" t="s">
        <v>4561</v>
      </c>
    </row>
    <row r="35" spans="4:19" ht="16.5" customHeight="1" x14ac:dyDescent="0.25">
      <c r="D35" s="3395"/>
      <c r="E35" s="4546" t="s">
        <v>1815</v>
      </c>
      <c r="F35" s="4547"/>
      <c r="G35" s="4548"/>
      <c r="H35" s="4549"/>
      <c r="I35" s="4548"/>
      <c r="J35" s="3396"/>
      <c r="K35" s="3396"/>
      <c r="L35" s="4549"/>
      <c r="M35" s="4547"/>
      <c r="N35" s="4548"/>
      <c r="O35" s="4549"/>
      <c r="P35" s="4548"/>
      <c r="Q35" s="3397"/>
      <c r="R35" s="3398" t="s">
        <v>1876</v>
      </c>
      <c r="S35" s="3399" t="s">
        <v>4561</v>
      </c>
    </row>
    <row r="36" spans="4:19" ht="16.5" customHeight="1" x14ac:dyDescent="0.25">
      <c r="D36" s="3395"/>
      <c r="E36" s="4546" t="s">
        <v>1815</v>
      </c>
      <c r="F36" s="4547"/>
      <c r="G36" s="4548"/>
      <c r="H36" s="4549" t="s">
        <v>4545</v>
      </c>
      <c r="I36" s="4548"/>
      <c r="J36" s="3396" t="s">
        <v>2056</v>
      </c>
      <c r="K36" s="3396" t="s">
        <v>738</v>
      </c>
      <c r="L36" s="4549" t="s">
        <v>1958</v>
      </c>
      <c r="M36" s="4547"/>
      <c r="N36" s="4548"/>
      <c r="O36" s="4549" t="s">
        <v>1959</v>
      </c>
      <c r="P36" s="4548"/>
      <c r="Q36" s="3397" t="s">
        <v>1885</v>
      </c>
      <c r="R36" s="3398"/>
      <c r="S36" s="3399" t="s">
        <v>4562</v>
      </c>
    </row>
    <row r="37" spans="4:19" ht="16.5" customHeight="1" x14ac:dyDescent="0.25">
      <c r="D37" s="3395"/>
      <c r="E37" s="4546" t="s">
        <v>1815</v>
      </c>
      <c r="F37" s="4547"/>
      <c r="G37" s="4548"/>
      <c r="H37" s="4549"/>
      <c r="I37" s="4548"/>
      <c r="J37" s="3396"/>
      <c r="K37" s="3396"/>
      <c r="L37" s="4549"/>
      <c r="M37" s="4547"/>
      <c r="N37" s="4548"/>
      <c r="O37" s="4549"/>
      <c r="P37" s="4548"/>
      <c r="Q37" s="3397"/>
      <c r="R37" s="3398" t="s">
        <v>1925</v>
      </c>
      <c r="S37" s="3399" t="s">
        <v>4563</v>
      </c>
    </row>
    <row r="38" spans="4:19" ht="16.5" customHeight="1" x14ac:dyDescent="0.25">
      <c r="D38" s="3395"/>
      <c r="E38" s="4546" t="s">
        <v>1815</v>
      </c>
      <c r="F38" s="4547"/>
      <c r="G38" s="4548"/>
      <c r="H38" s="4549"/>
      <c r="I38" s="4548"/>
      <c r="J38" s="3396"/>
      <c r="K38" s="3396"/>
      <c r="L38" s="4549"/>
      <c r="M38" s="4547"/>
      <c r="N38" s="4548"/>
      <c r="O38" s="4549"/>
      <c r="P38" s="4548"/>
      <c r="Q38" s="3397"/>
      <c r="R38" s="3398" t="s">
        <v>1886</v>
      </c>
      <c r="S38" s="3399" t="s">
        <v>3750</v>
      </c>
    </row>
    <row r="39" spans="4:19" ht="16.5" customHeight="1" x14ac:dyDescent="0.25">
      <c r="D39" s="3395"/>
      <c r="E39" s="4546" t="s">
        <v>1815</v>
      </c>
      <c r="F39" s="4547"/>
      <c r="G39" s="4548"/>
      <c r="H39" s="4549"/>
      <c r="I39" s="4548"/>
      <c r="J39" s="3396"/>
      <c r="K39" s="3396"/>
      <c r="L39" s="4549"/>
      <c r="M39" s="4547"/>
      <c r="N39" s="4548"/>
      <c r="O39" s="4549"/>
      <c r="P39" s="4548"/>
      <c r="Q39" s="3397"/>
      <c r="R39" s="3398" t="s">
        <v>1888</v>
      </c>
      <c r="S39" s="3399" t="s">
        <v>4564</v>
      </c>
    </row>
    <row r="40" spans="4:19" ht="16.5" customHeight="1" x14ac:dyDescent="0.25">
      <c r="D40" s="3395"/>
      <c r="E40" s="4546" t="s">
        <v>1815</v>
      </c>
      <c r="F40" s="4547"/>
      <c r="G40" s="4548"/>
      <c r="H40" s="4549" t="s">
        <v>4545</v>
      </c>
      <c r="I40" s="4548"/>
      <c r="J40" s="3396" t="s">
        <v>2056</v>
      </c>
      <c r="K40" s="3396" t="s">
        <v>738</v>
      </c>
      <c r="L40" s="4549" t="s">
        <v>1958</v>
      </c>
      <c r="M40" s="4547"/>
      <c r="N40" s="4548"/>
      <c r="O40" s="4549" t="s">
        <v>1959</v>
      </c>
      <c r="P40" s="4548"/>
      <c r="Q40" s="3397" t="s">
        <v>1906</v>
      </c>
      <c r="R40" s="3398"/>
      <c r="S40" s="3399" t="s">
        <v>4565</v>
      </c>
    </row>
    <row r="41" spans="4:19" ht="16.5" customHeight="1" x14ac:dyDescent="0.25">
      <c r="D41" s="3395"/>
      <c r="E41" s="4546" t="s">
        <v>1815</v>
      </c>
      <c r="F41" s="4547"/>
      <c r="G41" s="4548"/>
      <c r="H41" s="4549"/>
      <c r="I41" s="4548"/>
      <c r="J41" s="3396"/>
      <c r="K41" s="3396"/>
      <c r="L41" s="4549"/>
      <c r="M41" s="4547"/>
      <c r="N41" s="4548"/>
      <c r="O41" s="4549"/>
      <c r="P41" s="4548"/>
      <c r="Q41" s="3397"/>
      <c r="R41" s="3398" t="s">
        <v>1907</v>
      </c>
      <c r="S41" s="3399" t="s">
        <v>4404</v>
      </c>
    </row>
    <row r="42" spans="4:19" ht="16.5" customHeight="1" x14ac:dyDescent="0.25">
      <c r="D42" s="3395"/>
      <c r="E42" s="4546" t="s">
        <v>1815</v>
      </c>
      <c r="F42" s="4547"/>
      <c r="G42" s="4548"/>
      <c r="H42" s="4549"/>
      <c r="I42" s="4548"/>
      <c r="J42" s="3396"/>
      <c r="K42" s="3396"/>
      <c r="L42" s="4549"/>
      <c r="M42" s="4547"/>
      <c r="N42" s="4548"/>
      <c r="O42" s="4549"/>
      <c r="P42" s="4548"/>
      <c r="Q42" s="3397"/>
      <c r="R42" s="3398" t="s">
        <v>1909</v>
      </c>
      <c r="S42" s="3399" t="s">
        <v>4566</v>
      </c>
    </row>
    <row r="43" spans="4:19" ht="32.25" customHeight="1" x14ac:dyDescent="0.25">
      <c r="D43" s="3395" t="s">
        <v>4567</v>
      </c>
      <c r="E43" s="4546" t="s">
        <v>4568</v>
      </c>
      <c r="F43" s="4547"/>
      <c r="G43" s="4548"/>
      <c r="H43" s="4549"/>
      <c r="I43" s="4548"/>
      <c r="J43" s="3396"/>
      <c r="K43" s="3396"/>
      <c r="L43" s="4549"/>
      <c r="M43" s="4547"/>
      <c r="N43" s="4548"/>
      <c r="O43" s="4549"/>
      <c r="P43" s="4548"/>
      <c r="Q43" s="3397"/>
      <c r="R43" s="3398"/>
      <c r="S43" s="3399" t="s">
        <v>4569</v>
      </c>
    </row>
    <row r="44" spans="4:19" ht="16.5" customHeight="1" x14ac:dyDescent="0.25">
      <c r="D44" s="3395"/>
      <c r="E44" s="4546" t="s">
        <v>1815</v>
      </c>
      <c r="F44" s="4547"/>
      <c r="G44" s="4548"/>
      <c r="H44" s="4549" t="s">
        <v>4545</v>
      </c>
      <c r="I44" s="4548"/>
      <c r="J44" s="3396" t="s">
        <v>2056</v>
      </c>
      <c r="K44" s="3396" t="s">
        <v>738</v>
      </c>
      <c r="L44" s="4549" t="s">
        <v>2038</v>
      </c>
      <c r="M44" s="4547"/>
      <c r="N44" s="4548"/>
      <c r="O44" s="4549" t="s">
        <v>2238</v>
      </c>
      <c r="P44" s="4548"/>
      <c r="Q44" s="3397" t="s">
        <v>1874</v>
      </c>
      <c r="R44" s="3398"/>
      <c r="S44" s="3399" t="s">
        <v>4570</v>
      </c>
    </row>
    <row r="45" spans="4:19" ht="16.5" customHeight="1" x14ac:dyDescent="0.25">
      <c r="D45" s="3395"/>
      <c r="E45" s="4546" t="s">
        <v>1815</v>
      </c>
      <c r="F45" s="4547"/>
      <c r="G45" s="4548"/>
      <c r="H45" s="4549"/>
      <c r="I45" s="4548"/>
      <c r="J45" s="3396"/>
      <c r="K45" s="3396"/>
      <c r="L45" s="4549"/>
      <c r="M45" s="4547"/>
      <c r="N45" s="4548"/>
      <c r="O45" s="4549"/>
      <c r="P45" s="4548"/>
      <c r="Q45" s="3397"/>
      <c r="R45" s="3398" t="s">
        <v>1876</v>
      </c>
      <c r="S45" s="3399" t="s">
        <v>4571</v>
      </c>
    </row>
    <row r="46" spans="4:19" ht="16.5" customHeight="1" x14ac:dyDescent="0.25">
      <c r="D46" s="3395"/>
      <c r="E46" s="4546" t="s">
        <v>1815</v>
      </c>
      <c r="F46" s="4547"/>
      <c r="G46" s="4548"/>
      <c r="H46" s="4549"/>
      <c r="I46" s="4548"/>
      <c r="J46" s="3396"/>
      <c r="K46" s="3396"/>
      <c r="L46" s="4549"/>
      <c r="M46" s="4547"/>
      <c r="N46" s="4548"/>
      <c r="O46" s="4549"/>
      <c r="P46" s="4548"/>
      <c r="Q46" s="3397"/>
      <c r="R46" s="3398" t="s">
        <v>1877</v>
      </c>
      <c r="S46" s="3399" t="s">
        <v>4572</v>
      </c>
    </row>
    <row r="47" spans="4:19" ht="16.5" customHeight="1" x14ac:dyDescent="0.25">
      <c r="D47" s="3395"/>
      <c r="E47" s="4546" t="s">
        <v>1815</v>
      </c>
      <c r="F47" s="4547"/>
      <c r="G47" s="4548"/>
      <c r="H47" s="4549" t="s">
        <v>4545</v>
      </c>
      <c r="I47" s="4548"/>
      <c r="J47" s="3396" t="s">
        <v>2056</v>
      </c>
      <c r="K47" s="3396" t="s">
        <v>738</v>
      </c>
      <c r="L47" s="4549" t="s">
        <v>2038</v>
      </c>
      <c r="M47" s="4547"/>
      <c r="N47" s="4548"/>
      <c r="O47" s="4549" t="s">
        <v>2238</v>
      </c>
      <c r="P47" s="4548"/>
      <c r="Q47" s="3397" t="s">
        <v>1893</v>
      </c>
      <c r="R47" s="3398"/>
      <c r="S47" s="3399" t="s">
        <v>4083</v>
      </c>
    </row>
    <row r="48" spans="4:19" ht="16.5" customHeight="1" x14ac:dyDescent="0.25">
      <c r="D48" s="3395"/>
      <c r="E48" s="4546" t="s">
        <v>1815</v>
      </c>
      <c r="F48" s="4547"/>
      <c r="G48" s="4548"/>
      <c r="H48" s="4549"/>
      <c r="I48" s="4548"/>
      <c r="J48" s="3396"/>
      <c r="K48" s="3396"/>
      <c r="L48" s="4549"/>
      <c r="M48" s="4547"/>
      <c r="N48" s="4548"/>
      <c r="O48" s="4549"/>
      <c r="P48" s="4548"/>
      <c r="Q48" s="3397"/>
      <c r="R48" s="3398" t="s">
        <v>1895</v>
      </c>
      <c r="S48" s="3399" t="s">
        <v>4083</v>
      </c>
    </row>
    <row r="49" spans="4:19" ht="16.5" customHeight="1" x14ac:dyDescent="0.25">
      <c r="D49" s="3395"/>
      <c r="E49" s="4546" t="s">
        <v>1815</v>
      </c>
      <c r="F49" s="4547"/>
      <c r="G49" s="4548"/>
      <c r="H49" s="4549" t="s">
        <v>4545</v>
      </c>
      <c r="I49" s="4548"/>
      <c r="J49" s="3396" t="s">
        <v>2056</v>
      </c>
      <c r="K49" s="3396" t="s">
        <v>738</v>
      </c>
      <c r="L49" s="4549" t="s">
        <v>2038</v>
      </c>
      <c r="M49" s="4547"/>
      <c r="N49" s="4548"/>
      <c r="O49" s="4549" t="s">
        <v>2238</v>
      </c>
      <c r="P49" s="4548"/>
      <c r="Q49" s="3397" t="s">
        <v>1903</v>
      </c>
      <c r="R49" s="3398"/>
      <c r="S49" s="3399" t="s">
        <v>4573</v>
      </c>
    </row>
    <row r="50" spans="4:19" ht="16.5" customHeight="1" x14ac:dyDescent="0.25">
      <c r="D50" s="3395"/>
      <c r="E50" s="4546" t="s">
        <v>1815</v>
      </c>
      <c r="F50" s="4547"/>
      <c r="G50" s="4548"/>
      <c r="H50" s="4549"/>
      <c r="I50" s="4548"/>
      <c r="J50" s="3396"/>
      <c r="K50" s="3396"/>
      <c r="L50" s="4549"/>
      <c r="M50" s="4547"/>
      <c r="N50" s="4548"/>
      <c r="O50" s="4549"/>
      <c r="P50" s="4548"/>
      <c r="Q50" s="3397"/>
      <c r="R50" s="3398" t="s">
        <v>2771</v>
      </c>
      <c r="S50" s="3399" t="s">
        <v>4573</v>
      </c>
    </row>
    <row r="51" spans="4:19" ht="16.5" customHeight="1" x14ac:dyDescent="0.25">
      <c r="D51" s="3395"/>
      <c r="E51" s="4546" t="s">
        <v>1815</v>
      </c>
      <c r="F51" s="4547"/>
      <c r="G51" s="4548"/>
      <c r="H51" s="4549" t="s">
        <v>4545</v>
      </c>
      <c r="I51" s="4548"/>
      <c r="J51" s="3396" t="s">
        <v>2056</v>
      </c>
      <c r="K51" s="3396" t="s">
        <v>738</v>
      </c>
      <c r="L51" s="4549" t="s">
        <v>2038</v>
      </c>
      <c r="M51" s="4547"/>
      <c r="N51" s="4548"/>
      <c r="O51" s="4549" t="s">
        <v>2238</v>
      </c>
      <c r="P51" s="4548"/>
      <c r="Q51" s="3397" t="s">
        <v>1906</v>
      </c>
      <c r="R51" s="3398"/>
      <c r="S51" s="3399" t="s">
        <v>4086</v>
      </c>
    </row>
    <row r="52" spans="4:19" ht="16.5" customHeight="1" x14ac:dyDescent="0.25">
      <c r="D52" s="3395"/>
      <c r="E52" s="4546" t="s">
        <v>1815</v>
      </c>
      <c r="F52" s="4547"/>
      <c r="G52" s="4548"/>
      <c r="H52" s="4549"/>
      <c r="I52" s="4548"/>
      <c r="J52" s="3396"/>
      <c r="K52" s="3396"/>
      <c r="L52" s="4549"/>
      <c r="M52" s="4547"/>
      <c r="N52" s="4548"/>
      <c r="O52" s="4549"/>
      <c r="P52" s="4548"/>
      <c r="Q52" s="3397"/>
      <c r="R52" s="3398" t="s">
        <v>1909</v>
      </c>
      <c r="S52" s="3399" t="s">
        <v>4086</v>
      </c>
    </row>
    <row r="53" spans="4:19" ht="16.5" customHeight="1" x14ac:dyDescent="0.25">
      <c r="D53" s="3395"/>
      <c r="E53" s="4546" t="s">
        <v>1815</v>
      </c>
      <c r="F53" s="4547"/>
      <c r="G53" s="4548"/>
      <c r="H53" s="4549" t="s">
        <v>4545</v>
      </c>
      <c r="I53" s="4548"/>
      <c r="J53" s="3396" t="s">
        <v>2056</v>
      </c>
      <c r="K53" s="3396" t="s">
        <v>738</v>
      </c>
      <c r="L53" s="4549" t="s">
        <v>2038</v>
      </c>
      <c r="M53" s="4547"/>
      <c r="N53" s="4548"/>
      <c r="O53" s="4549" t="s">
        <v>2238</v>
      </c>
      <c r="P53" s="4548"/>
      <c r="Q53" s="3397" t="s">
        <v>1912</v>
      </c>
      <c r="R53" s="3398"/>
      <c r="S53" s="3399" t="s">
        <v>4256</v>
      </c>
    </row>
    <row r="54" spans="4:19" ht="16.5" customHeight="1" x14ac:dyDescent="0.25">
      <c r="D54" s="3395"/>
      <c r="E54" s="4546" t="s">
        <v>1815</v>
      </c>
      <c r="F54" s="4547"/>
      <c r="G54" s="4548"/>
      <c r="H54" s="4549"/>
      <c r="I54" s="4548"/>
      <c r="J54" s="3396"/>
      <c r="K54" s="3396"/>
      <c r="L54" s="4549"/>
      <c r="M54" s="4547"/>
      <c r="N54" s="4548"/>
      <c r="O54" s="4549"/>
      <c r="P54" s="4548"/>
      <c r="Q54" s="3397"/>
      <c r="R54" s="3398" t="s">
        <v>1916</v>
      </c>
      <c r="S54" s="3399" t="s">
        <v>4256</v>
      </c>
    </row>
    <row r="55" spans="4:19" ht="27" customHeight="1" x14ac:dyDescent="0.25">
      <c r="D55" s="3395" t="s">
        <v>4574</v>
      </c>
      <c r="E55" s="4546" t="s">
        <v>4575</v>
      </c>
      <c r="F55" s="4547"/>
      <c r="G55" s="4548"/>
      <c r="H55" s="4549"/>
      <c r="I55" s="4548"/>
      <c r="J55" s="3396"/>
      <c r="K55" s="3396"/>
      <c r="L55" s="4549"/>
      <c r="M55" s="4547"/>
      <c r="N55" s="4548"/>
      <c r="O55" s="4549"/>
      <c r="P55" s="4548"/>
      <c r="Q55" s="3397"/>
      <c r="R55" s="3398"/>
      <c r="S55" s="3399" t="s">
        <v>4576</v>
      </c>
    </row>
    <row r="56" spans="4:19" ht="16.5" customHeight="1" x14ac:dyDescent="0.25">
      <c r="D56" s="3395"/>
      <c r="E56" s="4546" t="s">
        <v>1815</v>
      </c>
      <c r="F56" s="4547"/>
      <c r="G56" s="4548"/>
      <c r="H56" s="4549" t="s">
        <v>4545</v>
      </c>
      <c r="I56" s="4548"/>
      <c r="J56" s="3396" t="s">
        <v>2056</v>
      </c>
      <c r="K56" s="3396" t="s">
        <v>738</v>
      </c>
      <c r="L56" s="4549" t="s">
        <v>1933</v>
      </c>
      <c r="M56" s="4547"/>
      <c r="N56" s="4548"/>
      <c r="O56" s="4549" t="s">
        <v>4046</v>
      </c>
      <c r="P56" s="4548"/>
      <c r="Q56" s="3397" t="s">
        <v>1885</v>
      </c>
      <c r="R56" s="3398"/>
      <c r="S56" s="3399" t="s">
        <v>4049</v>
      </c>
    </row>
    <row r="57" spans="4:19" ht="16.5" customHeight="1" x14ac:dyDescent="0.25">
      <c r="D57" s="3395"/>
      <c r="E57" s="4546" t="s">
        <v>1815</v>
      </c>
      <c r="F57" s="4547"/>
      <c r="G57" s="4548"/>
      <c r="H57" s="4549"/>
      <c r="I57" s="4548"/>
      <c r="J57" s="3396"/>
      <c r="K57" s="3396"/>
      <c r="L57" s="4549"/>
      <c r="M57" s="4547"/>
      <c r="N57" s="4548"/>
      <c r="O57" s="4549"/>
      <c r="P57" s="4548"/>
      <c r="Q57" s="3397"/>
      <c r="R57" s="3398" t="s">
        <v>1925</v>
      </c>
      <c r="S57" s="3399" t="s">
        <v>4051</v>
      </c>
    </row>
    <row r="58" spans="4:19" ht="16.5" customHeight="1" x14ac:dyDescent="0.25">
      <c r="D58" s="3395"/>
      <c r="E58" s="4546" t="s">
        <v>1815</v>
      </c>
      <c r="F58" s="4547"/>
      <c r="G58" s="4548"/>
      <c r="H58" s="4549"/>
      <c r="I58" s="4548"/>
      <c r="J58" s="3396"/>
      <c r="K58" s="3396"/>
      <c r="L58" s="4549"/>
      <c r="M58" s="4547"/>
      <c r="N58" s="4548"/>
      <c r="O58" s="4549"/>
      <c r="P58" s="4548"/>
      <c r="Q58" s="3397"/>
      <c r="R58" s="3398" t="s">
        <v>1886</v>
      </c>
      <c r="S58" s="3399" t="s">
        <v>4052</v>
      </c>
    </row>
    <row r="59" spans="4:19" ht="16.5" customHeight="1" x14ac:dyDescent="0.25">
      <c r="D59" s="3395"/>
      <c r="E59" s="4546" t="s">
        <v>1815</v>
      </c>
      <c r="F59" s="4547"/>
      <c r="G59" s="4548"/>
      <c r="H59" s="4549"/>
      <c r="I59" s="4548"/>
      <c r="J59" s="3396"/>
      <c r="K59" s="3396"/>
      <c r="L59" s="4549"/>
      <c r="M59" s="4547"/>
      <c r="N59" s="4548"/>
      <c r="O59" s="4549"/>
      <c r="P59" s="4548"/>
      <c r="Q59" s="3397"/>
      <c r="R59" s="3398" t="s">
        <v>1887</v>
      </c>
      <c r="S59" s="3399" t="s">
        <v>4053</v>
      </c>
    </row>
    <row r="60" spans="4:19" ht="16.5" customHeight="1" x14ac:dyDescent="0.25">
      <c r="D60" s="3395"/>
      <c r="E60" s="4546" t="s">
        <v>1815</v>
      </c>
      <c r="F60" s="4547"/>
      <c r="G60" s="4548"/>
      <c r="H60" s="4549"/>
      <c r="I60" s="4548"/>
      <c r="J60" s="3396"/>
      <c r="K60" s="3396"/>
      <c r="L60" s="4549"/>
      <c r="M60" s="4547"/>
      <c r="N60" s="4548"/>
      <c r="O60" s="4549"/>
      <c r="P60" s="4548"/>
      <c r="Q60" s="3397"/>
      <c r="R60" s="3398" t="s">
        <v>1888</v>
      </c>
      <c r="S60" s="3399" t="s">
        <v>4054</v>
      </c>
    </row>
    <row r="61" spans="4:19" ht="16.5" customHeight="1" x14ac:dyDescent="0.25">
      <c r="D61" s="3395"/>
      <c r="E61" s="4546" t="s">
        <v>1815</v>
      </c>
      <c r="F61" s="4547"/>
      <c r="G61" s="4548"/>
      <c r="H61" s="4549" t="s">
        <v>4545</v>
      </c>
      <c r="I61" s="4548"/>
      <c r="J61" s="3396" t="s">
        <v>2056</v>
      </c>
      <c r="K61" s="3396" t="s">
        <v>738</v>
      </c>
      <c r="L61" s="4549" t="s">
        <v>1933</v>
      </c>
      <c r="M61" s="4547"/>
      <c r="N61" s="4548"/>
      <c r="O61" s="4549" t="s">
        <v>4046</v>
      </c>
      <c r="P61" s="4548"/>
      <c r="Q61" s="3397" t="s">
        <v>1889</v>
      </c>
      <c r="R61" s="3398"/>
      <c r="S61" s="3399" t="s">
        <v>4577</v>
      </c>
    </row>
    <row r="62" spans="4:19" ht="16.5" customHeight="1" x14ac:dyDescent="0.25">
      <c r="D62" s="3395"/>
      <c r="E62" s="4546" t="s">
        <v>1815</v>
      </c>
      <c r="F62" s="4547"/>
      <c r="G62" s="4548"/>
      <c r="H62" s="4549"/>
      <c r="I62" s="4548"/>
      <c r="J62" s="3396"/>
      <c r="K62" s="3396"/>
      <c r="L62" s="4549"/>
      <c r="M62" s="4547"/>
      <c r="N62" s="4548"/>
      <c r="O62" s="4549"/>
      <c r="P62" s="4548"/>
      <c r="Q62" s="3397"/>
      <c r="R62" s="3398" t="s">
        <v>1890</v>
      </c>
      <c r="S62" s="3399" t="s">
        <v>4578</v>
      </c>
    </row>
    <row r="63" spans="4:19" ht="16.5" customHeight="1" x14ac:dyDescent="0.25">
      <c r="D63" s="3395"/>
      <c r="E63" s="4546" t="s">
        <v>1815</v>
      </c>
      <c r="F63" s="4547"/>
      <c r="G63" s="4548"/>
      <c r="H63" s="4549"/>
      <c r="I63" s="4548"/>
      <c r="J63" s="3396"/>
      <c r="K63" s="3396"/>
      <c r="L63" s="4549"/>
      <c r="M63" s="4547"/>
      <c r="N63" s="4548"/>
      <c r="O63" s="4549"/>
      <c r="P63" s="4548"/>
      <c r="Q63" s="3397"/>
      <c r="R63" s="3398" t="s">
        <v>1891</v>
      </c>
      <c r="S63" s="3399" t="s">
        <v>4579</v>
      </c>
    </row>
    <row r="64" spans="4:19" ht="16.5" customHeight="1" x14ac:dyDescent="0.25">
      <c r="D64" s="3395"/>
      <c r="E64" s="4546" t="s">
        <v>1815</v>
      </c>
      <c r="F64" s="4547"/>
      <c r="G64" s="4548"/>
      <c r="H64" s="4549" t="s">
        <v>4545</v>
      </c>
      <c r="I64" s="4548"/>
      <c r="J64" s="3396" t="s">
        <v>2056</v>
      </c>
      <c r="K64" s="3396" t="s">
        <v>738</v>
      </c>
      <c r="L64" s="4549" t="s">
        <v>1933</v>
      </c>
      <c r="M64" s="4547"/>
      <c r="N64" s="4548"/>
      <c r="O64" s="4549" t="s">
        <v>4046</v>
      </c>
      <c r="P64" s="4548"/>
      <c r="Q64" s="3397" t="s">
        <v>1893</v>
      </c>
      <c r="R64" s="3398"/>
      <c r="S64" s="3399" t="s">
        <v>4580</v>
      </c>
    </row>
    <row r="65" spans="4:22" x14ac:dyDescent="0.25">
      <c r="D65" s="3395"/>
      <c r="E65" s="4546" t="s">
        <v>1815</v>
      </c>
      <c r="F65" s="4547"/>
      <c r="G65" s="4548"/>
      <c r="H65" s="4549"/>
      <c r="I65" s="4548"/>
      <c r="J65" s="3396"/>
      <c r="K65" s="3396"/>
      <c r="L65" s="4549"/>
      <c r="M65" s="4547"/>
      <c r="N65" s="4548"/>
      <c r="O65" s="4549"/>
      <c r="P65" s="4548"/>
      <c r="Q65" s="3397"/>
      <c r="R65" s="3398" t="s">
        <v>1894</v>
      </c>
      <c r="S65" s="3399" t="s">
        <v>4580</v>
      </c>
    </row>
    <row r="66" spans="4:22" x14ac:dyDescent="0.25">
      <c r="D66" s="3395"/>
      <c r="E66" s="4546" t="s">
        <v>1815</v>
      </c>
      <c r="F66" s="4547"/>
      <c r="G66" s="4548"/>
      <c r="H66" s="4549" t="s">
        <v>4545</v>
      </c>
      <c r="I66" s="4548"/>
      <c r="J66" s="3396" t="s">
        <v>2056</v>
      </c>
      <c r="K66" s="3396" t="s">
        <v>738</v>
      </c>
      <c r="L66" s="4549" t="s">
        <v>1933</v>
      </c>
      <c r="M66" s="4547"/>
      <c r="N66" s="4548"/>
      <c r="O66" s="4549" t="s">
        <v>4046</v>
      </c>
      <c r="P66" s="4548"/>
      <c r="Q66" s="3397" t="s">
        <v>1906</v>
      </c>
      <c r="R66" s="3398"/>
      <c r="S66" s="3399" t="s">
        <v>4581</v>
      </c>
    </row>
    <row r="67" spans="4:22" x14ac:dyDescent="0.25">
      <c r="D67" s="3395"/>
      <c r="E67" s="4546" t="s">
        <v>1815</v>
      </c>
      <c r="F67" s="4547"/>
      <c r="G67" s="4548"/>
      <c r="H67" s="4549"/>
      <c r="I67" s="4548"/>
      <c r="J67" s="3396"/>
      <c r="K67" s="3396"/>
      <c r="L67" s="4549"/>
      <c r="M67" s="4547"/>
      <c r="N67" s="4548"/>
      <c r="O67" s="4549"/>
      <c r="P67" s="4548"/>
      <c r="Q67" s="3397"/>
      <c r="R67" s="3398" t="s">
        <v>1909</v>
      </c>
      <c r="S67" s="3399" t="s">
        <v>4581</v>
      </c>
    </row>
    <row r="68" spans="4:22" ht="24.75" customHeight="1" x14ac:dyDescent="0.25">
      <c r="D68" s="3395" t="s">
        <v>4582</v>
      </c>
      <c r="E68" s="4546" t="s">
        <v>4583</v>
      </c>
      <c r="F68" s="4547"/>
      <c r="G68" s="4548"/>
      <c r="H68" s="4549"/>
      <c r="I68" s="4548"/>
      <c r="J68" s="3396"/>
      <c r="K68" s="3396"/>
      <c r="L68" s="4549"/>
      <c r="M68" s="4547"/>
      <c r="N68" s="4548"/>
      <c r="O68" s="4549"/>
      <c r="P68" s="4548"/>
      <c r="Q68" s="3397"/>
      <c r="R68" s="3398"/>
      <c r="S68" s="3399" t="s">
        <v>4584</v>
      </c>
    </row>
    <row r="69" spans="4:22" x14ac:dyDescent="0.25">
      <c r="D69" s="3395"/>
      <c r="E69" s="4546" t="s">
        <v>1815</v>
      </c>
      <c r="F69" s="4547"/>
      <c r="G69" s="4548"/>
      <c r="H69" s="4549" t="s">
        <v>4545</v>
      </c>
      <c r="I69" s="4548"/>
      <c r="J69" s="3396" t="s">
        <v>2056</v>
      </c>
      <c r="K69" s="3396" t="s">
        <v>738</v>
      </c>
      <c r="L69" s="4549" t="s">
        <v>2038</v>
      </c>
      <c r="M69" s="4547"/>
      <c r="N69" s="4548"/>
      <c r="O69" s="4549" t="s">
        <v>2238</v>
      </c>
      <c r="P69" s="4548"/>
      <c r="Q69" s="3397" t="s">
        <v>1874</v>
      </c>
      <c r="R69" s="3398"/>
      <c r="S69" s="3399" t="s">
        <v>4585</v>
      </c>
    </row>
    <row r="70" spans="4:22" x14ac:dyDescent="0.25">
      <c r="D70" s="3395"/>
      <c r="E70" s="4546" t="s">
        <v>1815</v>
      </c>
      <c r="F70" s="4547"/>
      <c r="G70" s="4548"/>
      <c r="H70" s="4549"/>
      <c r="I70" s="4548"/>
      <c r="J70" s="3396"/>
      <c r="K70" s="3396"/>
      <c r="L70" s="4549"/>
      <c r="M70" s="4547"/>
      <c r="N70" s="4548"/>
      <c r="O70" s="4549"/>
      <c r="P70" s="4548"/>
      <c r="Q70" s="3397"/>
      <c r="R70" s="3398" t="s">
        <v>1876</v>
      </c>
      <c r="S70" s="3399" t="s">
        <v>4585</v>
      </c>
    </row>
    <row r="71" spans="4:22" x14ac:dyDescent="0.25">
      <c r="D71" s="3395"/>
      <c r="E71" s="4546" t="s">
        <v>1815</v>
      </c>
      <c r="F71" s="4547"/>
      <c r="G71" s="4548"/>
      <c r="H71" s="4549" t="s">
        <v>4545</v>
      </c>
      <c r="I71" s="4548"/>
      <c r="J71" s="3396" t="s">
        <v>2056</v>
      </c>
      <c r="K71" s="3396" t="s">
        <v>738</v>
      </c>
      <c r="L71" s="4549" t="s">
        <v>2038</v>
      </c>
      <c r="M71" s="4547"/>
      <c r="N71" s="4548"/>
      <c r="O71" s="4549" t="s">
        <v>2238</v>
      </c>
      <c r="P71" s="4548"/>
      <c r="Q71" s="3397" t="s">
        <v>1912</v>
      </c>
      <c r="R71" s="3398"/>
      <c r="S71" s="3399" t="s">
        <v>4586</v>
      </c>
    </row>
    <row r="72" spans="4:22" x14ac:dyDescent="0.25">
      <c r="D72" s="3395"/>
      <c r="E72" s="4546" t="s">
        <v>1815</v>
      </c>
      <c r="F72" s="4547"/>
      <c r="G72" s="4548"/>
      <c r="H72" s="4549"/>
      <c r="I72" s="4548"/>
      <c r="J72" s="3396"/>
      <c r="K72" s="3396"/>
      <c r="L72" s="4549"/>
      <c r="M72" s="4547"/>
      <c r="N72" s="4548"/>
      <c r="O72" s="4549"/>
      <c r="P72" s="4548"/>
      <c r="Q72" s="3397"/>
      <c r="R72" s="3398" t="s">
        <v>1916</v>
      </c>
      <c r="S72" s="3399" t="s">
        <v>4586</v>
      </c>
    </row>
    <row r="73" spans="4:22" x14ac:dyDescent="0.25">
      <c r="D73" s="3402" t="s">
        <v>872</v>
      </c>
      <c r="E73" s="4554" t="s">
        <v>4587</v>
      </c>
      <c r="F73" s="4555"/>
      <c r="G73" s="4555"/>
      <c r="H73" s="4555"/>
      <c r="I73" s="4555"/>
      <c r="J73" s="4555"/>
      <c r="K73" s="4555"/>
      <c r="L73" s="4555"/>
      <c r="M73" s="4555"/>
      <c r="N73" s="4555"/>
      <c r="O73" s="4555"/>
      <c r="P73" s="4555"/>
      <c r="Q73" s="4555"/>
      <c r="R73" s="4556"/>
      <c r="S73" s="3403">
        <f>S74+S94+S107+S110+S115+S120+S139+S144+S152</f>
        <v>5742395</v>
      </c>
      <c r="V73" s="3393"/>
    </row>
    <row r="74" spans="4:22" ht="54.75" customHeight="1" x14ac:dyDescent="0.25">
      <c r="D74" s="3395" t="s">
        <v>4588</v>
      </c>
      <c r="E74" s="4546" t="s">
        <v>4589</v>
      </c>
      <c r="F74" s="4547"/>
      <c r="G74" s="4548"/>
      <c r="H74" s="4549"/>
      <c r="I74" s="4548"/>
      <c r="J74" s="3396"/>
      <c r="K74" s="3396"/>
      <c r="L74" s="4549"/>
      <c r="M74" s="4547"/>
      <c r="N74" s="4548"/>
      <c r="O74" s="4549"/>
      <c r="P74" s="4548"/>
      <c r="Q74" s="3397"/>
      <c r="R74" s="3398"/>
      <c r="S74" s="3399" t="s">
        <v>4590</v>
      </c>
    </row>
    <row r="75" spans="4:22" x14ac:dyDescent="0.25">
      <c r="D75" s="3395"/>
      <c r="E75" s="4546" t="s">
        <v>1815</v>
      </c>
      <c r="F75" s="4547"/>
      <c r="G75" s="4548"/>
      <c r="H75" s="4549" t="s">
        <v>4545</v>
      </c>
      <c r="I75" s="4548"/>
      <c r="J75" s="3396" t="s">
        <v>2056</v>
      </c>
      <c r="K75" s="3396" t="s">
        <v>738</v>
      </c>
      <c r="L75" s="4549" t="s">
        <v>2038</v>
      </c>
      <c r="M75" s="4547"/>
      <c r="N75" s="4548"/>
      <c r="O75" s="4549" t="s">
        <v>2238</v>
      </c>
      <c r="P75" s="4548"/>
      <c r="Q75" s="3397" t="s">
        <v>1874</v>
      </c>
      <c r="R75" s="3398"/>
      <c r="S75" s="3399" t="s">
        <v>4591</v>
      </c>
    </row>
    <row r="76" spans="4:22" x14ac:dyDescent="0.25">
      <c r="D76" s="3395"/>
      <c r="E76" s="4546" t="s">
        <v>1815</v>
      </c>
      <c r="F76" s="4547"/>
      <c r="G76" s="4548"/>
      <c r="H76" s="4549"/>
      <c r="I76" s="4548"/>
      <c r="J76" s="3396"/>
      <c r="K76" s="3396"/>
      <c r="L76" s="4549"/>
      <c r="M76" s="4547"/>
      <c r="N76" s="4548"/>
      <c r="O76" s="4549"/>
      <c r="P76" s="4548"/>
      <c r="Q76" s="3397"/>
      <c r="R76" s="3398" t="s">
        <v>1876</v>
      </c>
      <c r="S76" s="3399" t="s">
        <v>4592</v>
      </c>
    </row>
    <row r="77" spans="4:22" x14ac:dyDescent="0.25">
      <c r="D77" s="3395"/>
      <c r="E77" s="4546" t="s">
        <v>1815</v>
      </c>
      <c r="F77" s="4547"/>
      <c r="G77" s="4548"/>
      <c r="H77" s="4549"/>
      <c r="I77" s="4548"/>
      <c r="J77" s="3396"/>
      <c r="K77" s="3396"/>
      <c r="L77" s="4549"/>
      <c r="M77" s="4547"/>
      <c r="N77" s="4548"/>
      <c r="O77" s="4549"/>
      <c r="P77" s="4548"/>
      <c r="Q77" s="3397"/>
      <c r="R77" s="3398" t="s">
        <v>1877</v>
      </c>
      <c r="S77" s="3399" t="s">
        <v>4593</v>
      </c>
    </row>
    <row r="78" spans="4:22" x14ac:dyDescent="0.25">
      <c r="D78" s="3395"/>
      <c r="E78" s="4546" t="s">
        <v>1815</v>
      </c>
      <c r="F78" s="4547"/>
      <c r="G78" s="4548"/>
      <c r="H78" s="4549" t="s">
        <v>4545</v>
      </c>
      <c r="I78" s="4548"/>
      <c r="J78" s="3396" t="s">
        <v>2056</v>
      </c>
      <c r="K78" s="3396" t="s">
        <v>738</v>
      </c>
      <c r="L78" s="4549" t="s">
        <v>2038</v>
      </c>
      <c r="M78" s="4547"/>
      <c r="N78" s="4548"/>
      <c r="O78" s="4549" t="s">
        <v>2238</v>
      </c>
      <c r="P78" s="4548"/>
      <c r="Q78" s="3397" t="s">
        <v>1896</v>
      </c>
      <c r="R78" s="3398"/>
      <c r="S78" s="3399" t="s">
        <v>4084</v>
      </c>
    </row>
    <row r="79" spans="4:22" x14ac:dyDescent="0.25">
      <c r="D79" s="3395"/>
      <c r="E79" s="4546" t="s">
        <v>1815</v>
      </c>
      <c r="F79" s="4547"/>
      <c r="G79" s="4548"/>
      <c r="H79" s="4549"/>
      <c r="I79" s="4548"/>
      <c r="J79" s="3396"/>
      <c r="K79" s="3396"/>
      <c r="L79" s="4549"/>
      <c r="M79" s="4547"/>
      <c r="N79" s="4548"/>
      <c r="O79" s="4549"/>
      <c r="P79" s="4548"/>
      <c r="Q79" s="3397"/>
      <c r="R79" s="3398" t="s">
        <v>1900</v>
      </c>
      <c r="S79" s="3399" t="s">
        <v>4084</v>
      </c>
    </row>
    <row r="80" spans="4:22" x14ac:dyDescent="0.25">
      <c r="D80" s="3395"/>
      <c r="E80" s="4546" t="s">
        <v>1815</v>
      </c>
      <c r="F80" s="4547"/>
      <c r="G80" s="4548"/>
      <c r="H80" s="4549" t="s">
        <v>4545</v>
      </c>
      <c r="I80" s="4548"/>
      <c r="J80" s="3396" t="s">
        <v>2056</v>
      </c>
      <c r="K80" s="3396" t="s">
        <v>738</v>
      </c>
      <c r="L80" s="4549" t="s">
        <v>2038</v>
      </c>
      <c r="M80" s="4547"/>
      <c r="N80" s="4548"/>
      <c r="O80" s="4549" t="s">
        <v>2238</v>
      </c>
      <c r="P80" s="4548"/>
      <c r="Q80" s="3397" t="s">
        <v>1903</v>
      </c>
      <c r="R80" s="3398"/>
      <c r="S80" s="3399" t="s">
        <v>4594</v>
      </c>
    </row>
    <row r="81" spans="4:19" ht="16.5" customHeight="1" x14ac:dyDescent="0.25">
      <c r="D81" s="3395"/>
      <c r="E81" s="4546" t="s">
        <v>1815</v>
      </c>
      <c r="F81" s="4547"/>
      <c r="G81" s="4548"/>
      <c r="H81" s="4549"/>
      <c r="I81" s="4548"/>
      <c r="J81" s="3396"/>
      <c r="K81" s="3396"/>
      <c r="L81" s="4549"/>
      <c r="M81" s="4547"/>
      <c r="N81" s="4548"/>
      <c r="O81" s="4549"/>
      <c r="P81" s="4548"/>
      <c r="Q81" s="3397"/>
      <c r="R81" s="3398" t="s">
        <v>2771</v>
      </c>
      <c r="S81" s="3399" t="s">
        <v>4594</v>
      </c>
    </row>
    <row r="82" spans="4:19" ht="16.5" customHeight="1" x14ac:dyDescent="0.25">
      <c r="D82" s="3395"/>
      <c r="E82" s="4546" t="s">
        <v>1815</v>
      </c>
      <c r="F82" s="4547"/>
      <c r="G82" s="4548"/>
      <c r="H82" s="4549" t="s">
        <v>4545</v>
      </c>
      <c r="I82" s="4548"/>
      <c r="J82" s="3396" t="s">
        <v>2056</v>
      </c>
      <c r="K82" s="3396" t="s">
        <v>4595</v>
      </c>
      <c r="L82" s="4549" t="s">
        <v>1933</v>
      </c>
      <c r="M82" s="4547"/>
      <c r="N82" s="4548"/>
      <c r="O82" s="4549" t="s">
        <v>1934</v>
      </c>
      <c r="P82" s="4548"/>
      <c r="Q82" s="3397" t="s">
        <v>2024</v>
      </c>
      <c r="R82" s="3398"/>
      <c r="S82" s="3399" t="s">
        <v>3893</v>
      </c>
    </row>
    <row r="83" spans="4:19" ht="16.5" customHeight="1" x14ac:dyDescent="0.25">
      <c r="D83" s="3395"/>
      <c r="E83" s="4546" t="s">
        <v>1815</v>
      </c>
      <c r="F83" s="4547"/>
      <c r="G83" s="4548"/>
      <c r="H83" s="4549"/>
      <c r="I83" s="4548"/>
      <c r="J83" s="3396"/>
      <c r="K83" s="3396"/>
      <c r="L83" s="4549"/>
      <c r="M83" s="4547"/>
      <c r="N83" s="4548"/>
      <c r="O83" s="4549"/>
      <c r="P83" s="4548"/>
      <c r="Q83" s="3397"/>
      <c r="R83" s="3398" t="s">
        <v>2025</v>
      </c>
      <c r="S83" s="3399" t="s">
        <v>3893</v>
      </c>
    </row>
    <row r="84" spans="4:19" ht="16.5" customHeight="1" x14ac:dyDescent="0.25">
      <c r="D84" s="3395"/>
      <c r="E84" s="4546" t="s">
        <v>1815</v>
      </c>
      <c r="F84" s="4547"/>
      <c r="G84" s="4548"/>
      <c r="H84" s="4549" t="s">
        <v>4545</v>
      </c>
      <c r="I84" s="4548"/>
      <c r="J84" s="3396" t="s">
        <v>2056</v>
      </c>
      <c r="K84" s="3396" t="s">
        <v>4595</v>
      </c>
      <c r="L84" s="4549" t="s">
        <v>1933</v>
      </c>
      <c r="M84" s="4547"/>
      <c r="N84" s="4548"/>
      <c r="O84" s="4549" t="s">
        <v>1934</v>
      </c>
      <c r="P84" s="4548"/>
      <c r="Q84" s="3397" t="s">
        <v>2026</v>
      </c>
      <c r="R84" s="3398"/>
      <c r="S84" s="3399" t="s">
        <v>4596</v>
      </c>
    </row>
    <row r="85" spans="4:19" ht="16.5" customHeight="1" x14ac:dyDescent="0.25">
      <c r="D85" s="3395"/>
      <c r="E85" s="4546" t="s">
        <v>1815</v>
      </c>
      <c r="F85" s="4547"/>
      <c r="G85" s="4548"/>
      <c r="H85" s="4549"/>
      <c r="I85" s="4548"/>
      <c r="J85" s="3396"/>
      <c r="K85" s="3396"/>
      <c r="L85" s="4549"/>
      <c r="M85" s="4547"/>
      <c r="N85" s="4548"/>
      <c r="O85" s="4549"/>
      <c r="P85" s="4548"/>
      <c r="Q85" s="3397"/>
      <c r="R85" s="3398" t="s">
        <v>2028</v>
      </c>
      <c r="S85" s="3399" t="s">
        <v>4596</v>
      </c>
    </row>
    <row r="86" spans="4:19" ht="16.5" customHeight="1" x14ac:dyDescent="0.25">
      <c r="D86" s="3395"/>
      <c r="E86" s="4546" t="s">
        <v>1815</v>
      </c>
      <c r="F86" s="4547"/>
      <c r="G86" s="4548"/>
      <c r="H86" s="4549" t="s">
        <v>4545</v>
      </c>
      <c r="I86" s="4548"/>
      <c r="J86" s="3396" t="s">
        <v>2056</v>
      </c>
      <c r="K86" s="3396" t="s">
        <v>4595</v>
      </c>
      <c r="L86" s="4549" t="s">
        <v>2048</v>
      </c>
      <c r="M86" s="4547"/>
      <c r="N86" s="4548"/>
      <c r="O86" s="4549" t="s">
        <v>2049</v>
      </c>
      <c r="P86" s="4548"/>
      <c r="Q86" s="3397" t="s">
        <v>2024</v>
      </c>
      <c r="R86" s="3398"/>
      <c r="S86" s="3399" t="s">
        <v>4597</v>
      </c>
    </row>
    <row r="87" spans="4:19" ht="16.5" customHeight="1" x14ac:dyDescent="0.25">
      <c r="D87" s="3395"/>
      <c r="E87" s="4546" t="s">
        <v>1815</v>
      </c>
      <c r="F87" s="4547"/>
      <c r="G87" s="4548"/>
      <c r="H87" s="4549"/>
      <c r="I87" s="4548"/>
      <c r="J87" s="3396"/>
      <c r="K87" s="3396"/>
      <c r="L87" s="4549"/>
      <c r="M87" s="4547"/>
      <c r="N87" s="4548"/>
      <c r="O87" s="4549"/>
      <c r="P87" s="4548"/>
      <c r="Q87" s="3397"/>
      <c r="R87" s="3398" t="s">
        <v>2025</v>
      </c>
      <c r="S87" s="3399" t="s">
        <v>4597</v>
      </c>
    </row>
    <row r="88" spans="4:19" ht="16.5" customHeight="1" x14ac:dyDescent="0.25">
      <c r="D88" s="3395"/>
      <c r="E88" s="4546" t="s">
        <v>1815</v>
      </c>
      <c r="F88" s="4547"/>
      <c r="G88" s="4548"/>
      <c r="H88" s="4549" t="s">
        <v>4545</v>
      </c>
      <c r="I88" s="4548"/>
      <c r="J88" s="3396" t="s">
        <v>2056</v>
      </c>
      <c r="K88" s="3396" t="s">
        <v>4595</v>
      </c>
      <c r="L88" s="4549" t="s">
        <v>1919</v>
      </c>
      <c r="M88" s="4547"/>
      <c r="N88" s="4548"/>
      <c r="O88" s="4549" t="s">
        <v>2005</v>
      </c>
      <c r="P88" s="4548"/>
      <c r="Q88" s="3397" t="s">
        <v>2024</v>
      </c>
      <c r="R88" s="3398"/>
      <c r="S88" s="3399" t="s">
        <v>4598</v>
      </c>
    </row>
    <row r="89" spans="4:19" ht="16.5" customHeight="1" x14ac:dyDescent="0.25">
      <c r="D89" s="3395"/>
      <c r="E89" s="4546" t="s">
        <v>1815</v>
      </c>
      <c r="F89" s="4547"/>
      <c r="G89" s="4548"/>
      <c r="H89" s="4549"/>
      <c r="I89" s="4548"/>
      <c r="J89" s="3396"/>
      <c r="K89" s="3396"/>
      <c r="L89" s="4549"/>
      <c r="M89" s="4547"/>
      <c r="N89" s="4548"/>
      <c r="O89" s="4549"/>
      <c r="P89" s="4548"/>
      <c r="Q89" s="3397"/>
      <c r="R89" s="3398" t="s">
        <v>2025</v>
      </c>
      <c r="S89" s="3399" t="s">
        <v>4598</v>
      </c>
    </row>
    <row r="90" spans="4:19" ht="16.5" customHeight="1" x14ac:dyDescent="0.25">
      <c r="D90" s="3395"/>
      <c r="E90" s="4546" t="s">
        <v>1815</v>
      </c>
      <c r="F90" s="4547"/>
      <c r="G90" s="4548"/>
      <c r="H90" s="4549" t="s">
        <v>4545</v>
      </c>
      <c r="I90" s="4548"/>
      <c r="J90" s="3396" t="s">
        <v>2056</v>
      </c>
      <c r="K90" s="3396" t="s">
        <v>4595</v>
      </c>
      <c r="L90" s="4549" t="s">
        <v>1919</v>
      </c>
      <c r="M90" s="4547"/>
      <c r="N90" s="4548"/>
      <c r="O90" s="4549" t="s">
        <v>2005</v>
      </c>
      <c r="P90" s="4548"/>
      <c r="Q90" s="3397" t="s">
        <v>2026</v>
      </c>
      <c r="R90" s="3398"/>
      <c r="S90" s="3399" t="s">
        <v>4599</v>
      </c>
    </row>
    <row r="91" spans="4:19" ht="16.5" customHeight="1" x14ac:dyDescent="0.25">
      <c r="D91" s="3395"/>
      <c r="E91" s="4546" t="s">
        <v>1815</v>
      </c>
      <c r="F91" s="4547"/>
      <c r="G91" s="4548"/>
      <c r="H91" s="4549"/>
      <c r="I91" s="4548"/>
      <c r="J91" s="3396"/>
      <c r="K91" s="3396"/>
      <c r="L91" s="4549"/>
      <c r="M91" s="4547"/>
      <c r="N91" s="4548"/>
      <c r="O91" s="4549"/>
      <c r="P91" s="4548"/>
      <c r="Q91" s="3397"/>
      <c r="R91" s="3398" t="s">
        <v>2028</v>
      </c>
      <c r="S91" s="3399" t="s">
        <v>4599</v>
      </c>
    </row>
    <row r="92" spans="4:19" ht="16.5" customHeight="1" x14ac:dyDescent="0.25">
      <c r="D92" s="3395"/>
      <c r="E92" s="4546" t="s">
        <v>1815</v>
      </c>
      <c r="F92" s="4547"/>
      <c r="G92" s="4548"/>
      <c r="H92" s="4549" t="s">
        <v>4545</v>
      </c>
      <c r="I92" s="4548"/>
      <c r="J92" s="3396" t="s">
        <v>2056</v>
      </c>
      <c r="K92" s="3396" t="s">
        <v>4595</v>
      </c>
      <c r="L92" s="4549" t="s">
        <v>1919</v>
      </c>
      <c r="M92" s="4547"/>
      <c r="N92" s="4548"/>
      <c r="O92" s="4549" t="s">
        <v>1931</v>
      </c>
      <c r="P92" s="4548"/>
      <c r="Q92" s="3397" t="s">
        <v>2024</v>
      </c>
      <c r="R92" s="3398"/>
      <c r="S92" s="3399" t="s">
        <v>4600</v>
      </c>
    </row>
    <row r="93" spans="4:19" ht="16.5" customHeight="1" x14ac:dyDescent="0.25">
      <c r="D93" s="3395"/>
      <c r="E93" s="4546" t="s">
        <v>1815</v>
      </c>
      <c r="F93" s="4547"/>
      <c r="G93" s="4548"/>
      <c r="H93" s="4549"/>
      <c r="I93" s="4548"/>
      <c r="J93" s="3396"/>
      <c r="K93" s="3396"/>
      <c r="L93" s="4549"/>
      <c r="M93" s="4547"/>
      <c r="N93" s="4548"/>
      <c r="O93" s="4549"/>
      <c r="P93" s="4548"/>
      <c r="Q93" s="3397"/>
      <c r="R93" s="3398" t="s">
        <v>2025</v>
      </c>
      <c r="S93" s="3399" t="s">
        <v>4600</v>
      </c>
    </row>
    <row r="94" spans="4:19" ht="79.5" customHeight="1" x14ac:dyDescent="0.25">
      <c r="D94" s="3395" t="s">
        <v>4601</v>
      </c>
      <c r="E94" s="4546" t="s">
        <v>4602</v>
      </c>
      <c r="F94" s="4547"/>
      <c r="G94" s="4548"/>
      <c r="H94" s="4549"/>
      <c r="I94" s="4548"/>
      <c r="J94" s="3396"/>
      <c r="K94" s="3396"/>
      <c r="L94" s="4549"/>
      <c r="M94" s="4547"/>
      <c r="N94" s="4548"/>
      <c r="O94" s="4549"/>
      <c r="P94" s="4548"/>
      <c r="Q94" s="3397"/>
      <c r="R94" s="3398"/>
      <c r="S94" s="3399" t="s">
        <v>4603</v>
      </c>
    </row>
    <row r="95" spans="4:19" ht="16.5" customHeight="1" x14ac:dyDescent="0.25">
      <c r="D95" s="3395"/>
      <c r="E95" s="4546" t="s">
        <v>1815</v>
      </c>
      <c r="F95" s="4547"/>
      <c r="G95" s="4548"/>
      <c r="H95" s="4549" t="s">
        <v>4545</v>
      </c>
      <c r="I95" s="4548"/>
      <c r="J95" s="3396" t="s">
        <v>2056</v>
      </c>
      <c r="K95" s="3396" t="s">
        <v>738</v>
      </c>
      <c r="L95" s="4549" t="s">
        <v>1846</v>
      </c>
      <c r="M95" s="4547"/>
      <c r="N95" s="4548"/>
      <c r="O95" s="4549" t="s">
        <v>1847</v>
      </c>
      <c r="P95" s="4548"/>
      <c r="Q95" s="3397" t="s">
        <v>1853</v>
      </c>
      <c r="R95" s="3398"/>
      <c r="S95" s="3399" t="s">
        <v>4604</v>
      </c>
    </row>
    <row r="96" spans="4:19" ht="16.5" customHeight="1" x14ac:dyDescent="0.25">
      <c r="D96" s="3395"/>
      <c r="E96" s="4546" t="s">
        <v>1815</v>
      </c>
      <c r="F96" s="4547"/>
      <c r="G96" s="4548"/>
      <c r="H96" s="4549"/>
      <c r="I96" s="4548"/>
      <c r="J96" s="3396"/>
      <c r="K96" s="3396"/>
      <c r="L96" s="4549"/>
      <c r="M96" s="4547"/>
      <c r="N96" s="4548"/>
      <c r="O96" s="4549"/>
      <c r="P96" s="4548"/>
      <c r="Q96" s="3397"/>
      <c r="R96" s="3398" t="s">
        <v>1856</v>
      </c>
      <c r="S96" s="3399" t="s">
        <v>4604</v>
      </c>
    </row>
    <row r="97" spans="4:19" ht="16.5" customHeight="1" x14ac:dyDescent="0.25">
      <c r="D97" s="3395"/>
      <c r="E97" s="4546" t="s">
        <v>1815</v>
      </c>
      <c r="F97" s="4547"/>
      <c r="G97" s="4548"/>
      <c r="H97" s="4549" t="s">
        <v>4545</v>
      </c>
      <c r="I97" s="4548"/>
      <c r="J97" s="3396" t="s">
        <v>2056</v>
      </c>
      <c r="K97" s="3396" t="s">
        <v>738</v>
      </c>
      <c r="L97" s="4549" t="s">
        <v>1846</v>
      </c>
      <c r="M97" s="4547"/>
      <c r="N97" s="4548"/>
      <c r="O97" s="4549" t="s">
        <v>1847</v>
      </c>
      <c r="P97" s="4548"/>
      <c r="Q97" s="3397" t="s">
        <v>1869</v>
      </c>
      <c r="R97" s="3398"/>
      <c r="S97" s="3399" t="s">
        <v>2056</v>
      </c>
    </row>
    <row r="98" spans="4:19" ht="16.5" customHeight="1" x14ac:dyDescent="0.25">
      <c r="D98" s="3395"/>
      <c r="E98" s="4546" t="s">
        <v>1815</v>
      </c>
      <c r="F98" s="4547"/>
      <c r="G98" s="4548"/>
      <c r="H98" s="4549"/>
      <c r="I98" s="4548"/>
      <c r="J98" s="3396"/>
      <c r="K98" s="3396"/>
      <c r="L98" s="4549"/>
      <c r="M98" s="4547"/>
      <c r="N98" s="4548"/>
      <c r="O98" s="4549"/>
      <c r="P98" s="4548"/>
      <c r="Q98" s="3397"/>
      <c r="R98" s="3398" t="s">
        <v>1872</v>
      </c>
      <c r="S98" s="3399" t="s">
        <v>2056</v>
      </c>
    </row>
    <row r="99" spans="4:19" ht="16.5" customHeight="1" x14ac:dyDescent="0.25">
      <c r="D99" s="3395"/>
      <c r="E99" s="4546" t="s">
        <v>1815</v>
      </c>
      <c r="F99" s="4547"/>
      <c r="G99" s="4548"/>
      <c r="H99" s="4549" t="s">
        <v>4545</v>
      </c>
      <c r="I99" s="4548"/>
      <c r="J99" s="3396" t="s">
        <v>2056</v>
      </c>
      <c r="K99" s="3396" t="s">
        <v>738</v>
      </c>
      <c r="L99" s="4549" t="s">
        <v>1846</v>
      </c>
      <c r="M99" s="4547"/>
      <c r="N99" s="4548"/>
      <c r="O99" s="4549" t="s">
        <v>1847</v>
      </c>
      <c r="P99" s="4548"/>
      <c r="Q99" s="3397" t="s">
        <v>1889</v>
      </c>
      <c r="R99" s="3398"/>
      <c r="S99" s="3399" t="s">
        <v>4605</v>
      </c>
    </row>
    <row r="100" spans="4:19" ht="16.5" customHeight="1" x14ac:dyDescent="0.25">
      <c r="D100" s="3395"/>
      <c r="E100" s="4546" t="s">
        <v>1815</v>
      </c>
      <c r="F100" s="4547"/>
      <c r="G100" s="4548"/>
      <c r="H100" s="4549"/>
      <c r="I100" s="4548"/>
      <c r="J100" s="3396"/>
      <c r="K100" s="3396"/>
      <c r="L100" s="4549"/>
      <c r="M100" s="4547"/>
      <c r="N100" s="4548"/>
      <c r="O100" s="4549"/>
      <c r="P100" s="4548"/>
      <c r="Q100" s="3397"/>
      <c r="R100" s="3398" t="s">
        <v>1890</v>
      </c>
      <c r="S100" s="3399" t="s">
        <v>4052</v>
      </c>
    </row>
    <row r="101" spans="4:19" ht="16.5" customHeight="1" x14ac:dyDescent="0.25">
      <c r="D101" s="3395"/>
      <c r="E101" s="4546" t="s">
        <v>1815</v>
      </c>
      <c r="F101" s="4547"/>
      <c r="G101" s="4548"/>
      <c r="H101" s="4549"/>
      <c r="I101" s="4548"/>
      <c r="J101" s="3396"/>
      <c r="K101" s="3396"/>
      <c r="L101" s="4549"/>
      <c r="M101" s="4547"/>
      <c r="N101" s="4548"/>
      <c r="O101" s="4549"/>
      <c r="P101" s="4548"/>
      <c r="Q101" s="3397"/>
      <c r="R101" s="3398" t="s">
        <v>1891</v>
      </c>
      <c r="S101" s="3399" t="s">
        <v>3951</v>
      </c>
    </row>
    <row r="102" spans="4:19" ht="16.5" customHeight="1" x14ac:dyDescent="0.25">
      <c r="D102" s="3395"/>
      <c r="E102" s="4546" t="s">
        <v>1815</v>
      </c>
      <c r="F102" s="4547"/>
      <c r="G102" s="4548"/>
      <c r="H102" s="4549"/>
      <c r="I102" s="4548"/>
      <c r="J102" s="3396"/>
      <c r="K102" s="3396"/>
      <c r="L102" s="4549"/>
      <c r="M102" s="4547"/>
      <c r="N102" s="4548"/>
      <c r="O102" s="4549"/>
      <c r="P102" s="4548"/>
      <c r="Q102" s="3397"/>
      <c r="R102" s="3398" t="s">
        <v>1922</v>
      </c>
      <c r="S102" s="3399" t="s">
        <v>4606</v>
      </c>
    </row>
    <row r="103" spans="4:19" ht="16.5" customHeight="1" x14ac:dyDescent="0.25">
      <c r="D103" s="3395"/>
      <c r="E103" s="4546" t="s">
        <v>1815</v>
      </c>
      <c r="F103" s="4547"/>
      <c r="G103" s="4548"/>
      <c r="H103" s="4549" t="s">
        <v>4545</v>
      </c>
      <c r="I103" s="4548"/>
      <c r="J103" s="3396" t="s">
        <v>2056</v>
      </c>
      <c r="K103" s="3396" t="s">
        <v>738</v>
      </c>
      <c r="L103" s="4549" t="s">
        <v>1846</v>
      </c>
      <c r="M103" s="4547"/>
      <c r="N103" s="4548"/>
      <c r="O103" s="4549" t="s">
        <v>1847</v>
      </c>
      <c r="P103" s="4548"/>
      <c r="Q103" s="3397" t="s">
        <v>1906</v>
      </c>
      <c r="R103" s="3398"/>
      <c r="S103" s="3399" t="s">
        <v>4607</v>
      </c>
    </row>
    <row r="104" spans="4:19" ht="16.5" customHeight="1" x14ac:dyDescent="0.25">
      <c r="D104" s="3395"/>
      <c r="E104" s="4546" t="s">
        <v>1815</v>
      </c>
      <c r="F104" s="4547"/>
      <c r="G104" s="4548"/>
      <c r="H104" s="4549"/>
      <c r="I104" s="4548"/>
      <c r="J104" s="3396"/>
      <c r="K104" s="3396"/>
      <c r="L104" s="4549"/>
      <c r="M104" s="4547"/>
      <c r="N104" s="4548"/>
      <c r="O104" s="4549"/>
      <c r="P104" s="4548"/>
      <c r="Q104" s="3397"/>
      <c r="R104" s="3398" t="s">
        <v>1909</v>
      </c>
      <c r="S104" s="3399" t="s">
        <v>4607</v>
      </c>
    </row>
    <row r="105" spans="4:19" ht="16.5" customHeight="1" x14ac:dyDescent="0.25">
      <c r="D105" s="3395"/>
      <c r="E105" s="4546" t="s">
        <v>1815</v>
      </c>
      <c r="F105" s="4547"/>
      <c r="G105" s="4548"/>
      <c r="H105" s="4549" t="s">
        <v>4545</v>
      </c>
      <c r="I105" s="4548"/>
      <c r="J105" s="3396" t="s">
        <v>2056</v>
      </c>
      <c r="K105" s="3396" t="s">
        <v>738</v>
      </c>
      <c r="L105" s="4549" t="s">
        <v>1846</v>
      </c>
      <c r="M105" s="4547"/>
      <c r="N105" s="4548"/>
      <c r="O105" s="4549" t="s">
        <v>1847</v>
      </c>
      <c r="P105" s="4548"/>
      <c r="Q105" s="3397" t="s">
        <v>1912</v>
      </c>
      <c r="R105" s="3398"/>
      <c r="S105" s="3399" t="s">
        <v>4608</v>
      </c>
    </row>
    <row r="106" spans="4:19" ht="16.5" customHeight="1" x14ac:dyDescent="0.25">
      <c r="D106" s="3395"/>
      <c r="E106" s="4546" t="s">
        <v>1815</v>
      </c>
      <c r="F106" s="4547"/>
      <c r="G106" s="4548"/>
      <c r="H106" s="4549"/>
      <c r="I106" s="4548"/>
      <c r="J106" s="3396"/>
      <c r="K106" s="3396"/>
      <c r="L106" s="4549"/>
      <c r="M106" s="4547"/>
      <c r="N106" s="4548"/>
      <c r="O106" s="4549"/>
      <c r="P106" s="4548"/>
      <c r="Q106" s="3397"/>
      <c r="R106" s="3398" t="s">
        <v>1916</v>
      </c>
      <c r="S106" s="3399" t="s">
        <v>4608</v>
      </c>
    </row>
    <row r="107" spans="4:19" ht="67.5" customHeight="1" x14ac:dyDescent="0.25">
      <c r="D107" s="3395" t="s">
        <v>4609</v>
      </c>
      <c r="E107" s="4546" t="s">
        <v>4610</v>
      </c>
      <c r="F107" s="4547"/>
      <c r="G107" s="4548"/>
      <c r="H107" s="4549"/>
      <c r="I107" s="4548"/>
      <c r="J107" s="3396"/>
      <c r="K107" s="3396"/>
      <c r="L107" s="4549"/>
      <c r="M107" s="4547"/>
      <c r="N107" s="4548"/>
      <c r="O107" s="4549"/>
      <c r="P107" s="4548"/>
      <c r="Q107" s="3397"/>
      <c r="R107" s="3398"/>
      <c r="S107" s="3399" t="s">
        <v>4611</v>
      </c>
    </row>
    <row r="108" spans="4:19" ht="16.5" customHeight="1" x14ac:dyDescent="0.25">
      <c r="D108" s="3395"/>
      <c r="E108" s="4546" t="s">
        <v>1815</v>
      </c>
      <c r="F108" s="4547"/>
      <c r="G108" s="4548"/>
      <c r="H108" s="4549" t="s">
        <v>4545</v>
      </c>
      <c r="I108" s="4548"/>
      <c r="J108" s="3396" t="s">
        <v>2056</v>
      </c>
      <c r="K108" s="3396" t="s">
        <v>738</v>
      </c>
      <c r="L108" s="4549" t="s">
        <v>2038</v>
      </c>
      <c r="M108" s="4547"/>
      <c r="N108" s="4548"/>
      <c r="O108" s="4549" t="s">
        <v>2039</v>
      </c>
      <c r="P108" s="4548"/>
      <c r="Q108" s="3397" t="s">
        <v>1906</v>
      </c>
      <c r="R108" s="3398"/>
      <c r="S108" s="3399" t="s">
        <v>4611</v>
      </c>
    </row>
    <row r="109" spans="4:19" ht="16.5" customHeight="1" x14ac:dyDescent="0.25">
      <c r="D109" s="3395"/>
      <c r="E109" s="4546" t="s">
        <v>1815</v>
      </c>
      <c r="F109" s="4547"/>
      <c r="G109" s="4548"/>
      <c r="H109" s="4549"/>
      <c r="I109" s="4548"/>
      <c r="J109" s="3396"/>
      <c r="K109" s="3396"/>
      <c r="L109" s="4549"/>
      <c r="M109" s="4547"/>
      <c r="N109" s="4548"/>
      <c r="O109" s="4549"/>
      <c r="P109" s="4548"/>
      <c r="Q109" s="3397"/>
      <c r="R109" s="3398" t="s">
        <v>1909</v>
      </c>
      <c r="S109" s="3399" t="s">
        <v>4611</v>
      </c>
    </row>
    <row r="110" spans="4:19" ht="65.25" customHeight="1" x14ac:dyDescent="0.25">
      <c r="D110" s="3395" t="s">
        <v>4612</v>
      </c>
      <c r="E110" s="4546" t="s">
        <v>4613</v>
      </c>
      <c r="F110" s="4547"/>
      <c r="G110" s="4548"/>
      <c r="H110" s="4549"/>
      <c r="I110" s="4548"/>
      <c r="J110" s="3396"/>
      <c r="K110" s="3396"/>
      <c r="L110" s="4549"/>
      <c r="M110" s="4547"/>
      <c r="N110" s="4548"/>
      <c r="O110" s="4549"/>
      <c r="P110" s="4548"/>
      <c r="Q110" s="3397"/>
      <c r="R110" s="3398"/>
      <c r="S110" s="3399" t="s">
        <v>4614</v>
      </c>
    </row>
    <row r="111" spans="4:19" ht="16.5" customHeight="1" x14ac:dyDescent="0.25">
      <c r="D111" s="3395"/>
      <c r="E111" s="4546" t="s">
        <v>1815</v>
      </c>
      <c r="F111" s="4547"/>
      <c r="G111" s="4548"/>
      <c r="H111" s="4549" t="s">
        <v>4545</v>
      </c>
      <c r="I111" s="4548"/>
      <c r="J111" s="3396" t="s">
        <v>2056</v>
      </c>
      <c r="K111" s="3396" t="s">
        <v>738</v>
      </c>
      <c r="L111" s="4549" t="s">
        <v>1970</v>
      </c>
      <c r="M111" s="4547"/>
      <c r="N111" s="4548"/>
      <c r="O111" s="4549" t="s">
        <v>1971</v>
      </c>
      <c r="P111" s="4548"/>
      <c r="Q111" s="3397" t="s">
        <v>1912</v>
      </c>
      <c r="R111" s="3398"/>
      <c r="S111" s="3399" t="s">
        <v>4615</v>
      </c>
    </row>
    <row r="112" spans="4:19" ht="16.5" customHeight="1" x14ac:dyDescent="0.25">
      <c r="D112" s="3395"/>
      <c r="E112" s="4546" t="s">
        <v>1815</v>
      </c>
      <c r="F112" s="4547"/>
      <c r="G112" s="4548"/>
      <c r="H112" s="4549"/>
      <c r="I112" s="4548"/>
      <c r="J112" s="3396"/>
      <c r="K112" s="3396"/>
      <c r="L112" s="4549"/>
      <c r="M112" s="4547"/>
      <c r="N112" s="4548"/>
      <c r="O112" s="4549"/>
      <c r="P112" s="4548"/>
      <c r="Q112" s="3397"/>
      <c r="R112" s="3398" t="s">
        <v>1916</v>
      </c>
      <c r="S112" s="3399" t="s">
        <v>4615</v>
      </c>
    </row>
    <row r="113" spans="4:19" ht="16.5" customHeight="1" x14ac:dyDescent="0.25">
      <c r="D113" s="3395"/>
      <c r="E113" s="4546" t="s">
        <v>1815</v>
      </c>
      <c r="F113" s="4547"/>
      <c r="G113" s="4548"/>
      <c r="H113" s="4549" t="s">
        <v>4545</v>
      </c>
      <c r="I113" s="4548"/>
      <c r="J113" s="3396" t="s">
        <v>2056</v>
      </c>
      <c r="K113" s="3396" t="s">
        <v>738</v>
      </c>
      <c r="L113" s="4549" t="s">
        <v>1846</v>
      </c>
      <c r="M113" s="4547"/>
      <c r="N113" s="4548"/>
      <c r="O113" s="4549" t="s">
        <v>1847</v>
      </c>
      <c r="P113" s="4548"/>
      <c r="Q113" s="3397" t="s">
        <v>1912</v>
      </c>
      <c r="R113" s="3398"/>
      <c r="S113" s="3399" t="s">
        <v>4304</v>
      </c>
    </row>
    <row r="114" spans="4:19" ht="16.5" customHeight="1" x14ac:dyDescent="0.25">
      <c r="D114" s="3395"/>
      <c r="E114" s="4546" t="s">
        <v>1815</v>
      </c>
      <c r="F114" s="4547"/>
      <c r="G114" s="4548"/>
      <c r="H114" s="4549"/>
      <c r="I114" s="4548"/>
      <c r="J114" s="3396"/>
      <c r="K114" s="3396"/>
      <c r="L114" s="4549"/>
      <c r="M114" s="4547"/>
      <c r="N114" s="4548"/>
      <c r="O114" s="4549"/>
      <c r="P114" s="4548"/>
      <c r="Q114" s="3397"/>
      <c r="R114" s="3398" t="s">
        <v>1916</v>
      </c>
      <c r="S114" s="3399" t="s">
        <v>4304</v>
      </c>
    </row>
    <row r="115" spans="4:19" ht="78.75" customHeight="1" x14ac:dyDescent="0.25">
      <c r="D115" s="3395" t="s">
        <v>4616</v>
      </c>
      <c r="E115" s="4546" t="s">
        <v>4617</v>
      </c>
      <c r="F115" s="4547"/>
      <c r="G115" s="4548"/>
      <c r="H115" s="4549"/>
      <c r="I115" s="4548"/>
      <c r="J115" s="3396"/>
      <c r="K115" s="3396"/>
      <c r="L115" s="4549"/>
      <c r="M115" s="4547"/>
      <c r="N115" s="4548"/>
      <c r="O115" s="4549"/>
      <c r="P115" s="4548"/>
      <c r="Q115" s="3397"/>
      <c r="R115" s="3398"/>
      <c r="S115" s="3399" t="s">
        <v>4142</v>
      </c>
    </row>
    <row r="116" spans="4:19" ht="16.5" customHeight="1" x14ac:dyDescent="0.25">
      <c r="D116" s="3395"/>
      <c r="E116" s="4546" t="s">
        <v>1815</v>
      </c>
      <c r="F116" s="4547"/>
      <c r="G116" s="4548"/>
      <c r="H116" s="4549" t="s">
        <v>4545</v>
      </c>
      <c r="I116" s="4548"/>
      <c r="J116" s="3396" t="s">
        <v>2056</v>
      </c>
      <c r="K116" s="3396" t="s">
        <v>738</v>
      </c>
      <c r="L116" s="4549" t="s">
        <v>1919</v>
      </c>
      <c r="M116" s="4547"/>
      <c r="N116" s="4548"/>
      <c r="O116" s="4549" t="s">
        <v>3343</v>
      </c>
      <c r="P116" s="4548"/>
      <c r="Q116" s="3397" t="s">
        <v>1885</v>
      </c>
      <c r="R116" s="3398"/>
      <c r="S116" s="3399" t="s">
        <v>4142</v>
      </c>
    </row>
    <row r="117" spans="4:19" ht="16.5" customHeight="1" x14ac:dyDescent="0.25">
      <c r="D117" s="3395"/>
      <c r="E117" s="4546" t="s">
        <v>1815</v>
      </c>
      <c r="F117" s="4547"/>
      <c r="G117" s="4548"/>
      <c r="H117" s="4549"/>
      <c r="I117" s="4548"/>
      <c r="J117" s="3396"/>
      <c r="K117" s="3396"/>
      <c r="L117" s="4549"/>
      <c r="M117" s="4547"/>
      <c r="N117" s="4548"/>
      <c r="O117" s="4549"/>
      <c r="P117" s="4548"/>
      <c r="Q117" s="3397"/>
      <c r="R117" s="3398" t="s">
        <v>1925</v>
      </c>
      <c r="S117" s="3399" t="s">
        <v>4143</v>
      </c>
    </row>
    <row r="118" spans="4:19" ht="16.5" customHeight="1" x14ac:dyDescent="0.25">
      <c r="D118" s="3395"/>
      <c r="E118" s="4546" t="s">
        <v>1815</v>
      </c>
      <c r="F118" s="4547"/>
      <c r="G118" s="4548"/>
      <c r="H118" s="4549"/>
      <c r="I118" s="4548"/>
      <c r="J118" s="3396"/>
      <c r="K118" s="3396"/>
      <c r="L118" s="4549"/>
      <c r="M118" s="4547"/>
      <c r="N118" s="4548"/>
      <c r="O118" s="4549"/>
      <c r="P118" s="4548"/>
      <c r="Q118" s="3397"/>
      <c r="R118" s="3398" t="s">
        <v>1886</v>
      </c>
      <c r="S118" s="3399" t="s">
        <v>4144</v>
      </c>
    </row>
    <row r="119" spans="4:19" ht="18" customHeight="1" x14ac:dyDescent="0.25">
      <c r="D119" s="3395"/>
      <c r="E119" s="4546" t="s">
        <v>1815</v>
      </c>
      <c r="F119" s="4547"/>
      <c r="G119" s="4548"/>
      <c r="H119" s="4549"/>
      <c r="I119" s="4548"/>
      <c r="J119" s="3396"/>
      <c r="K119" s="3396"/>
      <c r="L119" s="4549"/>
      <c r="M119" s="4547"/>
      <c r="N119" s="4548"/>
      <c r="O119" s="4549"/>
      <c r="P119" s="4548"/>
      <c r="Q119" s="3397"/>
      <c r="R119" s="3398" t="s">
        <v>1888</v>
      </c>
      <c r="S119" s="3399" t="s">
        <v>4145</v>
      </c>
    </row>
    <row r="120" spans="4:19" ht="66" customHeight="1" x14ac:dyDescent="0.25">
      <c r="D120" s="3395" t="s">
        <v>4618</v>
      </c>
      <c r="E120" s="4546" t="s">
        <v>4619</v>
      </c>
      <c r="F120" s="4547"/>
      <c r="G120" s="4548"/>
      <c r="H120" s="4549"/>
      <c r="I120" s="4548"/>
      <c r="J120" s="3396"/>
      <c r="K120" s="3396"/>
      <c r="L120" s="4549"/>
      <c r="M120" s="4547"/>
      <c r="N120" s="4548"/>
      <c r="O120" s="4549"/>
      <c r="P120" s="4548"/>
      <c r="Q120" s="3397"/>
      <c r="R120" s="3398"/>
      <c r="S120" s="3399" t="s">
        <v>4620</v>
      </c>
    </row>
    <row r="121" spans="4:19" ht="16.5" customHeight="1" x14ac:dyDescent="0.25">
      <c r="D121" s="3395"/>
      <c r="E121" s="4546" t="s">
        <v>1815</v>
      </c>
      <c r="F121" s="4547"/>
      <c r="G121" s="4548"/>
      <c r="H121" s="4549" t="s">
        <v>4545</v>
      </c>
      <c r="I121" s="4548"/>
      <c r="J121" s="3396" t="s">
        <v>2056</v>
      </c>
      <c r="K121" s="3396" t="s">
        <v>738</v>
      </c>
      <c r="L121" s="4549" t="s">
        <v>2038</v>
      </c>
      <c r="M121" s="4547"/>
      <c r="N121" s="4548"/>
      <c r="O121" s="4549" t="s">
        <v>2238</v>
      </c>
      <c r="P121" s="4548"/>
      <c r="Q121" s="3397" t="s">
        <v>1874</v>
      </c>
      <c r="R121" s="3398"/>
      <c r="S121" s="3399" t="s">
        <v>4621</v>
      </c>
    </row>
    <row r="122" spans="4:19" ht="16.5" customHeight="1" x14ac:dyDescent="0.25">
      <c r="D122" s="3395"/>
      <c r="E122" s="4546" t="s">
        <v>1815</v>
      </c>
      <c r="F122" s="4547"/>
      <c r="G122" s="4548"/>
      <c r="H122" s="4549"/>
      <c r="I122" s="4548"/>
      <c r="J122" s="3396"/>
      <c r="K122" s="3396"/>
      <c r="L122" s="4549"/>
      <c r="M122" s="4547"/>
      <c r="N122" s="4548"/>
      <c r="O122" s="4549"/>
      <c r="P122" s="4548"/>
      <c r="Q122" s="3397"/>
      <c r="R122" s="3398" t="s">
        <v>1876</v>
      </c>
      <c r="S122" s="3399" t="s">
        <v>4621</v>
      </c>
    </row>
    <row r="123" spans="4:19" ht="16.5" customHeight="1" x14ac:dyDescent="0.25">
      <c r="D123" s="3395"/>
      <c r="E123" s="4546" t="s">
        <v>1815</v>
      </c>
      <c r="F123" s="4547"/>
      <c r="G123" s="4548"/>
      <c r="H123" s="4549" t="s">
        <v>4545</v>
      </c>
      <c r="I123" s="4548"/>
      <c r="J123" s="3396" t="s">
        <v>2056</v>
      </c>
      <c r="K123" s="3396" t="s">
        <v>4595</v>
      </c>
      <c r="L123" s="4549" t="s">
        <v>1933</v>
      </c>
      <c r="M123" s="4547"/>
      <c r="N123" s="4548"/>
      <c r="O123" s="4549" t="s">
        <v>1934</v>
      </c>
      <c r="P123" s="4548"/>
      <c r="Q123" s="3397" t="s">
        <v>2026</v>
      </c>
      <c r="R123" s="3398"/>
      <c r="S123" s="3399" t="s">
        <v>4622</v>
      </c>
    </row>
    <row r="124" spans="4:19" ht="16.5" customHeight="1" x14ac:dyDescent="0.25">
      <c r="D124" s="3395"/>
      <c r="E124" s="4546" t="s">
        <v>1815</v>
      </c>
      <c r="F124" s="4547"/>
      <c r="G124" s="4548"/>
      <c r="H124" s="4549"/>
      <c r="I124" s="4548"/>
      <c r="J124" s="3396"/>
      <c r="K124" s="3396"/>
      <c r="L124" s="4549"/>
      <c r="M124" s="4547"/>
      <c r="N124" s="4548"/>
      <c r="O124" s="4549"/>
      <c r="P124" s="4548"/>
      <c r="Q124" s="3397"/>
      <c r="R124" s="3398" t="s">
        <v>2027</v>
      </c>
      <c r="S124" s="3399" t="s">
        <v>3898</v>
      </c>
    </row>
    <row r="125" spans="4:19" ht="16.5" customHeight="1" x14ac:dyDescent="0.25">
      <c r="D125" s="3395"/>
      <c r="E125" s="4546" t="s">
        <v>1815</v>
      </c>
      <c r="F125" s="4547"/>
      <c r="G125" s="4548"/>
      <c r="H125" s="4549"/>
      <c r="I125" s="4548"/>
      <c r="J125" s="3396"/>
      <c r="K125" s="3396"/>
      <c r="L125" s="4549"/>
      <c r="M125" s="4547"/>
      <c r="N125" s="4548"/>
      <c r="O125" s="4549"/>
      <c r="P125" s="4548"/>
      <c r="Q125" s="3397"/>
      <c r="R125" s="3398" t="s">
        <v>2028</v>
      </c>
      <c r="S125" s="3399" t="s">
        <v>4623</v>
      </c>
    </row>
    <row r="126" spans="4:19" ht="16.5" customHeight="1" x14ac:dyDescent="0.25">
      <c r="D126" s="3395"/>
      <c r="E126" s="4546" t="s">
        <v>1815</v>
      </c>
      <c r="F126" s="4547"/>
      <c r="G126" s="4548"/>
      <c r="H126" s="4549"/>
      <c r="I126" s="4548"/>
      <c r="J126" s="3396"/>
      <c r="K126" s="3396"/>
      <c r="L126" s="4549"/>
      <c r="M126" s="4547"/>
      <c r="N126" s="4548"/>
      <c r="O126" s="4549"/>
      <c r="P126" s="4548"/>
      <c r="Q126" s="3397"/>
      <c r="R126" s="3398" t="s">
        <v>2029</v>
      </c>
      <c r="S126" s="3399" t="s">
        <v>3901</v>
      </c>
    </row>
    <row r="127" spans="4:19" ht="16.5" customHeight="1" x14ac:dyDescent="0.25">
      <c r="D127" s="3395"/>
      <c r="E127" s="4546" t="s">
        <v>1815</v>
      </c>
      <c r="F127" s="4547"/>
      <c r="G127" s="4548"/>
      <c r="H127" s="4549" t="s">
        <v>4545</v>
      </c>
      <c r="I127" s="4548"/>
      <c r="J127" s="3396" t="s">
        <v>2056</v>
      </c>
      <c r="K127" s="3396" t="s">
        <v>4595</v>
      </c>
      <c r="L127" s="4549" t="s">
        <v>1933</v>
      </c>
      <c r="M127" s="4547"/>
      <c r="N127" s="4548"/>
      <c r="O127" s="4549" t="s">
        <v>1952</v>
      </c>
      <c r="P127" s="4548"/>
      <c r="Q127" s="3397" t="s">
        <v>2024</v>
      </c>
      <c r="R127" s="3398"/>
      <c r="S127" s="3399" t="s">
        <v>4624</v>
      </c>
    </row>
    <row r="128" spans="4:19" ht="16.5" customHeight="1" x14ac:dyDescent="0.25">
      <c r="D128" s="3395"/>
      <c r="E128" s="4546" t="s">
        <v>1815</v>
      </c>
      <c r="F128" s="4547"/>
      <c r="G128" s="4548"/>
      <c r="H128" s="4549"/>
      <c r="I128" s="4548"/>
      <c r="J128" s="3396"/>
      <c r="K128" s="3396"/>
      <c r="L128" s="4549"/>
      <c r="M128" s="4547"/>
      <c r="N128" s="4548"/>
      <c r="O128" s="4549"/>
      <c r="P128" s="4548"/>
      <c r="Q128" s="3397"/>
      <c r="R128" s="3398" t="s">
        <v>2025</v>
      </c>
      <c r="S128" s="3399" t="s">
        <v>4624</v>
      </c>
    </row>
    <row r="129" spans="4:19" ht="16.5" customHeight="1" x14ac:dyDescent="0.25">
      <c r="D129" s="3395"/>
      <c r="E129" s="4546" t="s">
        <v>1815</v>
      </c>
      <c r="F129" s="4547"/>
      <c r="G129" s="4548"/>
      <c r="H129" s="4549" t="s">
        <v>4545</v>
      </c>
      <c r="I129" s="4548"/>
      <c r="J129" s="3396" t="s">
        <v>2056</v>
      </c>
      <c r="K129" s="3396" t="s">
        <v>4595</v>
      </c>
      <c r="L129" s="4549" t="s">
        <v>1933</v>
      </c>
      <c r="M129" s="4547"/>
      <c r="N129" s="4548"/>
      <c r="O129" s="4549" t="s">
        <v>1952</v>
      </c>
      <c r="P129" s="4548"/>
      <c r="Q129" s="3397" t="s">
        <v>2026</v>
      </c>
      <c r="R129" s="3398"/>
      <c r="S129" s="3399" t="s">
        <v>3972</v>
      </c>
    </row>
    <row r="130" spans="4:19" ht="16.5" customHeight="1" x14ac:dyDescent="0.25">
      <c r="D130" s="3395"/>
      <c r="E130" s="4546" t="s">
        <v>1815</v>
      </c>
      <c r="F130" s="4547"/>
      <c r="G130" s="4548"/>
      <c r="H130" s="4549"/>
      <c r="I130" s="4548"/>
      <c r="J130" s="3396"/>
      <c r="K130" s="3396"/>
      <c r="L130" s="4549"/>
      <c r="M130" s="4547"/>
      <c r="N130" s="4548"/>
      <c r="O130" s="4549"/>
      <c r="P130" s="4548"/>
      <c r="Q130" s="3397"/>
      <c r="R130" s="3398" t="s">
        <v>2027</v>
      </c>
      <c r="S130" s="3399" t="s">
        <v>3973</v>
      </c>
    </row>
    <row r="131" spans="4:19" ht="16.5" customHeight="1" x14ac:dyDescent="0.25">
      <c r="D131" s="3395"/>
      <c r="E131" s="4546" t="s">
        <v>1815</v>
      </c>
      <c r="F131" s="4547"/>
      <c r="G131" s="4548"/>
      <c r="H131" s="4549"/>
      <c r="I131" s="4548"/>
      <c r="J131" s="3396"/>
      <c r="K131" s="3396"/>
      <c r="L131" s="4549"/>
      <c r="M131" s="4547"/>
      <c r="N131" s="4548"/>
      <c r="O131" s="4549"/>
      <c r="P131" s="4548"/>
      <c r="Q131" s="3397"/>
      <c r="R131" s="3398" t="s">
        <v>2028</v>
      </c>
      <c r="S131" s="3399" t="s">
        <v>3974</v>
      </c>
    </row>
    <row r="132" spans="4:19" ht="16.5" customHeight="1" x14ac:dyDescent="0.25">
      <c r="D132" s="3395"/>
      <c r="E132" s="4546" t="s">
        <v>1815</v>
      </c>
      <c r="F132" s="4547"/>
      <c r="G132" s="4548"/>
      <c r="H132" s="4549"/>
      <c r="I132" s="4548"/>
      <c r="J132" s="3396"/>
      <c r="K132" s="3396"/>
      <c r="L132" s="4549"/>
      <c r="M132" s="4547"/>
      <c r="N132" s="4548"/>
      <c r="O132" s="4549"/>
      <c r="P132" s="4548"/>
      <c r="Q132" s="3397"/>
      <c r="R132" s="3398" t="s">
        <v>2029</v>
      </c>
      <c r="S132" s="3399" t="s">
        <v>3975</v>
      </c>
    </row>
    <row r="133" spans="4:19" ht="16.5" customHeight="1" x14ac:dyDescent="0.25">
      <c r="D133" s="3395"/>
      <c r="E133" s="4546" t="s">
        <v>1815</v>
      </c>
      <c r="F133" s="4547"/>
      <c r="G133" s="4548"/>
      <c r="H133" s="4549" t="s">
        <v>4545</v>
      </c>
      <c r="I133" s="4548"/>
      <c r="J133" s="3396" t="s">
        <v>2056</v>
      </c>
      <c r="K133" s="3396" t="s">
        <v>4595</v>
      </c>
      <c r="L133" s="4549" t="s">
        <v>2048</v>
      </c>
      <c r="M133" s="4547"/>
      <c r="N133" s="4548"/>
      <c r="O133" s="4549" t="s">
        <v>2049</v>
      </c>
      <c r="P133" s="4548"/>
      <c r="Q133" s="3397" t="s">
        <v>2024</v>
      </c>
      <c r="R133" s="3398"/>
      <c r="S133" s="3399" t="s">
        <v>4625</v>
      </c>
    </row>
    <row r="134" spans="4:19" ht="16.5" customHeight="1" x14ac:dyDescent="0.25">
      <c r="D134" s="3395"/>
      <c r="E134" s="4546" t="s">
        <v>1815</v>
      </c>
      <c r="F134" s="4547"/>
      <c r="G134" s="4548"/>
      <c r="H134" s="4549"/>
      <c r="I134" s="4548"/>
      <c r="J134" s="3396"/>
      <c r="K134" s="3396"/>
      <c r="L134" s="4549"/>
      <c r="M134" s="4547"/>
      <c r="N134" s="4548"/>
      <c r="O134" s="4549"/>
      <c r="P134" s="4548"/>
      <c r="Q134" s="3397"/>
      <c r="R134" s="3398" t="s">
        <v>2025</v>
      </c>
      <c r="S134" s="3399" t="s">
        <v>4625</v>
      </c>
    </row>
    <row r="135" spans="4:19" ht="16.5" customHeight="1" x14ac:dyDescent="0.25">
      <c r="D135" s="3395"/>
      <c r="E135" s="4546" t="s">
        <v>1815</v>
      </c>
      <c r="F135" s="4547"/>
      <c r="G135" s="4548"/>
      <c r="H135" s="4549" t="s">
        <v>4545</v>
      </c>
      <c r="I135" s="4548"/>
      <c r="J135" s="3396" t="s">
        <v>2056</v>
      </c>
      <c r="K135" s="3396" t="s">
        <v>4595</v>
      </c>
      <c r="L135" s="4549" t="s">
        <v>1919</v>
      </c>
      <c r="M135" s="4547"/>
      <c r="N135" s="4548"/>
      <c r="O135" s="4549" t="s">
        <v>1931</v>
      </c>
      <c r="P135" s="4548"/>
      <c r="Q135" s="3397" t="s">
        <v>2024</v>
      </c>
      <c r="R135" s="3398"/>
      <c r="S135" s="3399" t="s">
        <v>4626</v>
      </c>
    </row>
    <row r="136" spans="4:19" ht="16.5" customHeight="1" x14ac:dyDescent="0.25">
      <c r="D136" s="3395"/>
      <c r="E136" s="4546" t="s">
        <v>1815</v>
      </c>
      <c r="F136" s="4547"/>
      <c r="G136" s="4548"/>
      <c r="H136" s="4549"/>
      <c r="I136" s="4548"/>
      <c r="J136" s="3396"/>
      <c r="K136" s="3396"/>
      <c r="L136" s="4549"/>
      <c r="M136" s="4547"/>
      <c r="N136" s="4548"/>
      <c r="O136" s="4549"/>
      <c r="P136" s="4548"/>
      <c r="Q136" s="3397"/>
      <c r="R136" s="3398" t="s">
        <v>2025</v>
      </c>
      <c r="S136" s="3399" t="s">
        <v>4626</v>
      </c>
    </row>
    <row r="137" spans="4:19" ht="16.5" customHeight="1" x14ac:dyDescent="0.25">
      <c r="D137" s="3395"/>
      <c r="E137" s="4546" t="s">
        <v>1815</v>
      </c>
      <c r="F137" s="4547"/>
      <c r="G137" s="4548"/>
      <c r="H137" s="4549" t="s">
        <v>4545</v>
      </c>
      <c r="I137" s="4548"/>
      <c r="J137" s="3396" t="s">
        <v>2056</v>
      </c>
      <c r="K137" s="3396" t="s">
        <v>4595</v>
      </c>
      <c r="L137" s="4549" t="s">
        <v>1919</v>
      </c>
      <c r="M137" s="4547"/>
      <c r="N137" s="4548"/>
      <c r="O137" s="4549" t="s">
        <v>1973</v>
      </c>
      <c r="P137" s="4548"/>
      <c r="Q137" s="3397" t="s">
        <v>4151</v>
      </c>
      <c r="R137" s="3398"/>
      <c r="S137" s="3399" t="s">
        <v>4627</v>
      </c>
    </row>
    <row r="138" spans="4:19" ht="16.5" customHeight="1" x14ac:dyDescent="0.25">
      <c r="D138" s="3395"/>
      <c r="E138" s="4546" t="s">
        <v>1815</v>
      </c>
      <c r="F138" s="4547"/>
      <c r="G138" s="4548"/>
      <c r="H138" s="4549"/>
      <c r="I138" s="4548"/>
      <c r="J138" s="3396"/>
      <c r="K138" s="3396"/>
      <c r="L138" s="4549"/>
      <c r="M138" s="4547"/>
      <c r="N138" s="4548"/>
      <c r="O138" s="4549"/>
      <c r="P138" s="4548"/>
      <c r="Q138" s="3397"/>
      <c r="R138" s="3398" t="s">
        <v>4153</v>
      </c>
      <c r="S138" s="3399" t="s">
        <v>4627</v>
      </c>
    </row>
    <row r="139" spans="4:19" ht="63" customHeight="1" x14ac:dyDescent="0.25">
      <c r="D139" s="3395" t="s">
        <v>4628</v>
      </c>
      <c r="E139" s="4546" t="s">
        <v>4629</v>
      </c>
      <c r="F139" s="4547"/>
      <c r="G139" s="4548"/>
      <c r="H139" s="4549"/>
      <c r="I139" s="4548"/>
      <c r="J139" s="3396"/>
      <c r="K139" s="3396"/>
      <c r="L139" s="4549"/>
      <c r="M139" s="4547"/>
      <c r="N139" s="4548"/>
      <c r="O139" s="4549"/>
      <c r="P139" s="4548"/>
      <c r="Q139" s="3397"/>
      <c r="R139" s="3398"/>
      <c r="S139" s="3399" t="s">
        <v>4630</v>
      </c>
    </row>
    <row r="140" spans="4:19" ht="16.5" customHeight="1" x14ac:dyDescent="0.25">
      <c r="D140" s="3395"/>
      <c r="E140" s="4546" t="s">
        <v>1815</v>
      </c>
      <c r="F140" s="4547"/>
      <c r="G140" s="4548"/>
      <c r="H140" s="4549" t="s">
        <v>4545</v>
      </c>
      <c r="I140" s="4548"/>
      <c r="J140" s="3396" t="s">
        <v>2056</v>
      </c>
      <c r="K140" s="3396" t="s">
        <v>738</v>
      </c>
      <c r="L140" s="4549" t="s">
        <v>1970</v>
      </c>
      <c r="M140" s="4547"/>
      <c r="N140" s="4548"/>
      <c r="O140" s="4549" t="s">
        <v>1971</v>
      </c>
      <c r="P140" s="4548"/>
      <c r="Q140" s="3397" t="s">
        <v>1912</v>
      </c>
      <c r="R140" s="3398"/>
      <c r="S140" s="3399" t="s">
        <v>4631</v>
      </c>
    </row>
    <row r="141" spans="4:19" ht="16.5" customHeight="1" x14ac:dyDescent="0.25">
      <c r="D141" s="3395"/>
      <c r="E141" s="4546" t="s">
        <v>1815</v>
      </c>
      <c r="F141" s="4547"/>
      <c r="G141" s="4548"/>
      <c r="H141" s="4549"/>
      <c r="I141" s="4548"/>
      <c r="J141" s="3396"/>
      <c r="K141" s="3396"/>
      <c r="L141" s="4549"/>
      <c r="M141" s="4547"/>
      <c r="N141" s="4548"/>
      <c r="O141" s="4549"/>
      <c r="P141" s="4548"/>
      <c r="Q141" s="3397"/>
      <c r="R141" s="3398" t="s">
        <v>1916</v>
      </c>
      <c r="S141" s="3399" t="s">
        <v>4631</v>
      </c>
    </row>
    <row r="142" spans="4:19" ht="16.5" customHeight="1" x14ac:dyDescent="0.25">
      <c r="D142" s="3395"/>
      <c r="E142" s="4546" t="s">
        <v>1815</v>
      </c>
      <c r="F142" s="4547"/>
      <c r="G142" s="4548"/>
      <c r="H142" s="4549" t="s">
        <v>4545</v>
      </c>
      <c r="I142" s="4548"/>
      <c r="J142" s="3396" t="s">
        <v>2056</v>
      </c>
      <c r="K142" s="3396" t="s">
        <v>738</v>
      </c>
      <c r="L142" s="4549" t="s">
        <v>1846</v>
      </c>
      <c r="M142" s="4547"/>
      <c r="N142" s="4548"/>
      <c r="O142" s="4549" t="s">
        <v>1847</v>
      </c>
      <c r="P142" s="4548"/>
      <c r="Q142" s="3397" t="s">
        <v>1912</v>
      </c>
      <c r="R142" s="3398"/>
      <c r="S142" s="3399" t="s">
        <v>4632</v>
      </c>
    </row>
    <row r="143" spans="4:19" ht="16.5" customHeight="1" x14ac:dyDescent="0.25">
      <c r="D143" s="3395"/>
      <c r="E143" s="4546" t="s">
        <v>1815</v>
      </c>
      <c r="F143" s="4547"/>
      <c r="G143" s="4548"/>
      <c r="H143" s="4549"/>
      <c r="I143" s="4548"/>
      <c r="J143" s="3396"/>
      <c r="K143" s="3396"/>
      <c r="L143" s="4549"/>
      <c r="M143" s="4547"/>
      <c r="N143" s="4548"/>
      <c r="O143" s="4549"/>
      <c r="P143" s="4548"/>
      <c r="Q143" s="3397"/>
      <c r="R143" s="3398" t="s">
        <v>1916</v>
      </c>
      <c r="S143" s="3399" t="s">
        <v>4632</v>
      </c>
    </row>
    <row r="144" spans="4:19" ht="77.25" customHeight="1" x14ac:dyDescent="0.25">
      <c r="D144" s="3395" t="s">
        <v>4633</v>
      </c>
      <c r="E144" s="4546" t="s">
        <v>4634</v>
      </c>
      <c r="F144" s="4547"/>
      <c r="G144" s="4548"/>
      <c r="H144" s="4549"/>
      <c r="I144" s="4548"/>
      <c r="J144" s="3396"/>
      <c r="K144" s="3396"/>
      <c r="L144" s="4549"/>
      <c r="M144" s="4547"/>
      <c r="N144" s="4548"/>
      <c r="O144" s="4549"/>
      <c r="P144" s="4548"/>
      <c r="Q144" s="3397"/>
      <c r="R144" s="3398"/>
      <c r="S144" s="3399" t="s">
        <v>4635</v>
      </c>
    </row>
    <row r="145" spans="4:19" ht="16.5" customHeight="1" x14ac:dyDescent="0.25">
      <c r="D145" s="3395"/>
      <c r="E145" s="4546" t="s">
        <v>1815</v>
      </c>
      <c r="F145" s="4547"/>
      <c r="G145" s="4548"/>
      <c r="H145" s="4549" t="s">
        <v>4545</v>
      </c>
      <c r="I145" s="4548"/>
      <c r="J145" s="3396" t="s">
        <v>2056</v>
      </c>
      <c r="K145" s="3396" t="s">
        <v>738</v>
      </c>
      <c r="L145" s="4549" t="s">
        <v>1846</v>
      </c>
      <c r="M145" s="4547"/>
      <c r="N145" s="4548"/>
      <c r="O145" s="4549" t="s">
        <v>1847</v>
      </c>
      <c r="P145" s="4548"/>
      <c r="Q145" s="3397" t="s">
        <v>1853</v>
      </c>
      <c r="R145" s="3398"/>
      <c r="S145" s="3399" t="s">
        <v>4636</v>
      </c>
    </row>
    <row r="146" spans="4:19" ht="16.5" customHeight="1" x14ac:dyDescent="0.25">
      <c r="D146" s="3395"/>
      <c r="E146" s="4546" t="s">
        <v>1815</v>
      </c>
      <c r="F146" s="4547"/>
      <c r="G146" s="4548"/>
      <c r="H146" s="4549"/>
      <c r="I146" s="4548"/>
      <c r="J146" s="3396"/>
      <c r="K146" s="3396"/>
      <c r="L146" s="4549"/>
      <c r="M146" s="4547"/>
      <c r="N146" s="4548"/>
      <c r="O146" s="4549"/>
      <c r="P146" s="4548"/>
      <c r="Q146" s="3397"/>
      <c r="R146" s="3398" t="s">
        <v>1856</v>
      </c>
      <c r="S146" s="3399" t="s">
        <v>4636</v>
      </c>
    </row>
    <row r="147" spans="4:19" ht="16.5" customHeight="1" x14ac:dyDescent="0.25">
      <c r="D147" s="3395"/>
      <c r="E147" s="4546" t="s">
        <v>1815</v>
      </c>
      <c r="F147" s="4547"/>
      <c r="G147" s="4548"/>
      <c r="H147" s="4549" t="s">
        <v>4545</v>
      </c>
      <c r="I147" s="4548"/>
      <c r="J147" s="3396" t="s">
        <v>2056</v>
      </c>
      <c r="K147" s="3396" t="s">
        <v>738</v>
      </c>
      <c r="L147" s="4549" t="s">
        <v>1846</v>
      </c>
      <c r="M147" s="4547"/>
      <c r="N147" s="4548"/>
      <c r="O147" s="4549" t="s">
        <v>1847</v>
      </c>
      <c r="P147" s="4548"/>
      <c r="Q147" s="3397" t="s">
        <v>1874</v>
      </c>
      <c r="R147" s="3398"/>
      <c r="S147" s="3399" t="s">
        <v>4637</v>
      </c>
    </row>
    <row r="148" spans="4:19" ht="16.5" customHeight="1" x14ac:dyDescent="0.25">
      <c r="D148" s="3395"/>
      <c r="E148" s="4546" t="s">
        <v>1815</v>
      </c>
      <c r="F148" s="4547"/>
      <c r="G148" s="4548"/>
      <c r="H148" s="4549"/>
      <c r="I148" s="4548"/>
      <c r="J148" s="3396"/>
      <c r="K148" s="3396"/>
      <c r="L148" s="4549"/>
      <c r="M148" s="4547"/>
      <c r="N148" s="4548"/>
      <c r="O148" s="4549"/>
      <c r="P148" s="4548"/>
      <c r="Q148" s="3397"/>
      <c r="R148" s="3398" t="s">
        <v>1875</v>
      </c>
      <c r="S148" s="3399" t="s">
        <v>4638</v>
      </c>
    </row>
    <row r="149" spans="4:19" ht="16.5" customHeight="1" x14ac:dyDescent="0.25">
      <c r="D149" s="3395"/>
      <c r="E149" s="4546" t="s">
        <v>1815</v>
      </c>
      <c r="F149" s="4547"/>
      <c r="G149" s="4548"/>
      <c r="H149" s="4549"/>
      <c r="I149" s="4548"/>
      <c r="J149" s="3396"/>
      <c r="K149" s="3396"/>
      <c r="L149" s="4549"/>
      <c r="M149" s="4547"/>
      <c r="N149" s="4548"/>
      <c r="O149" s="4549"/>
      <c r="P149" s="4548"/>
      <c r="Q149" s="3397"/>
      <c r="R149" s="3398" t="s">
        <v>1877</v>
      </c>
      <c r="S149" s="3399" t="s">
        <v>4639</v>
      </c>
    </row>
    <row r="150" spans="4:19" ht="16.5" customHeight="1" x14ac:dyDescent="0.25">
      <c r="D150" s="3395"/>
      <c r="E150" s="4546" t="s">
        <v>1815</v>
      </c>
      <c r="F150" s="4547"/>
      <c r="G150" s="4548"/>
      <c r="H150" s="4549" t="s">
        <v>4545</v>
      </c>
      <c r="I150" s="4548"/>
      <c r="J150" s="3396" t="s">
        <v>2056</v>
      </c>
      <c r="K150" s="3396" t="s">
        <v>738</v>
      </c>
      <c r="L150" s="4549" t="s">
        <v>1846</v>
      </c>
      <c r="M150" s="4547"/>
      <c r="N150" s="4548"/>
      <c r="O150" s="4549" t="s">
        <v>1847</v>
      </c>
      <c r="P150" s="4548"/>
      <c r="Q150" s="3397" t="s">
        <v>1903</v>
      </c>
      <c r="R150" s="3398"/>
      <c r="S150" s="3399" t="s">
        <v>4640</v>
      </c>
    </row>
    <row r="151" spans="4:19" ht="16.5" customHeight="1" x14ac:dyDescent="0.25">
      <c r="D151" s="3395"/>
      <c r="E151" s="4546" t="s">
        <v>1815</v>
      </c>
      <c r="F151" s="4547"/>
      <c r="G151" s="4548"/>
      <c r="H151" s="4549"/>
      <c r="I151" s="4548"/>
      <c r="J151" s="3396"/>
      <c r="K151" s="3396"/>
      <c r="L151" s="4549"/>
      <c r="M151" s="4547"/>
      <c r="N151" s="4548"/>
      <c r="O151" s="4549"/>
      <c r="P151" s="4548"/>
      <c r="Q151" s="3397"/>
      <c r="R151" s="3398" t="s">
        <v>1904</v>
      </c>
      <c r="S151" s="3399" t="s">
        <v>4640</v>
      </c>
    </row>
    <row r="152" spans="4:19" ht="78.75" customHeight="1" x14ac:dyDescent="0.25">
      <c r="D152" s="3395" t="s">
        <v>4641</v>
      </c>
      <c r="E152" s="4546" t="s">
        <v>4642</v>
      </c>
      <c r="F152" s="4547"/>
      <c r="G152" s="4548"/>
      <c r="H152" s="4549"/>
      <c r="I152" s="4548"/>
      <c r="J152" s="3396"/>
      <c r="K152" s="3396"/>
      <c r="L152" s="4549"/>
      <c r="M152" s="4547"/>
      <c r="N152" s="4548"/>
      <c r="O152" s="4549"/>
      <c r="P152" s="4548"/>
      <c r="Q152" s="3397"/>
      <c r="R152" s="3398"/>
      <c r="S152" s="3399" t="s">
        <v>4586</v>
      </c>
    </row>
    <row r="153" spans="4:19" ht="16.5" customHeight="1" x14ac:dyDescent="0.25">
      <c r="D153" s="3395"/>
      <c r="E153" s="4546" t="s">
        <v>1815</v>
      </c>
      <c r="F153" s="4547"/>
      <c r="G153" s="4548"/>
      <c r="H153" s="4549" t="s">
        <v>4545</v>
      </c>
      <c r="I153" s="4548"/>
      <c r="J153" s="3396" t="s">
        <v>2056</v>
      </c>
      <c r="K153" s="3396" t="s">
        <v>738</v>
      </c>
      <c r="L153" s="4549" t="s">
        <v>1846</v>
      </c>
      <c r="M153" s="4547"/>
      <c r="N153" s="4548"/>
      <c r="O153" s="4549" t="s">
        <v>1847</v>
      </c>
      <c r="P153" s="4548"/>
      <c r="Q153" s="3397" t="s">
        <v>1874</v>
      </c>
      <c r="R153" s="3398"/>
      <c r="S153" s="3399" t="s">
        <v>4586</v>
      </c>
    </row>
    <row r="154" spans="4:19" ht="16.5" customHeight="1" x14ac:dyDescent="0.25">
      <c r="D154" s="3395"/>
      <c r="E154" s="4546" t="s">
        <v>1815</v>
      </c>
      <c r="F154" s="4547"/>
      <c r="G154" s="4548"/>
      <c r="H154" s="4549"/>
      <c r="I154" s="4548"/>
      <c r="J154" s="3396"/>
      <c r="K154" s="3396"/>
      <c r="L154" s="4549"/>
      <c r="M154" s="4547"/>
      <c r="N154" s="4548"/>
      <c r="O154" s="4549"/>
      <c r="P154" s="4548"/>
      <c r="Q154" s="3397"/>
      <c r="R154" s="3398" t="s">
        <v>1877</v>
      </c>
      <c r="S154" s="3399" t="s">
        <v>4586</v>
      </c>
    </row>
    <row r="155" spans="4:19" ht="25.5" customHeight="1" x14ac:dyDescent="0.25">
      <c r="D155" s="3402" t="s">
        <v>873</v>
      </c>
      <c r="E155" s="4554" t="s">
        <v>4643</v>
      </c>
      <c r="F155" s="4555"/>
      <c r="G155" s="4555"/>
      <c r="H155" s="4555"/>
      <c r="I155" s="4555"/>
      <c r="J155" s="4555"/>
      <c r="K155" s="4555"/>
      <c r="L155" s="4555"/>
      <c r="M155" s="4555"/>
      <c r="N155" s="4555"/>
      <c r="O155" s="4555"/>
      <c r="P155" s="4555"/>
      <c r="Q155" s="4556"/>
      <c r="R155" s="3404"/>
      <c r="S155" s="3403">
        <f>S156+S159+S181+S188+S201+S209+S216+S224+S239+S242+S245+S251+S254+S261+S264</f>
        <v>7798532</v>
      </c>
    </row>
    <row r="156" spans="4:19" ht="46.5" customHeight="1" x14ac:dyDescent="0.25">
      <c r="D156" s="3395" t="s">
        <v>4644</v>
      </c>
      <c r="E156" s="4546" t="s">
        <v>4645</v>
      </c>
      <c r="F156" s="4547"/>
      <c r="G156" s="4548"/>
      <c r="H156" s="4549"/>
      <c r="I156" s="4548"/>
      <c r="J156" s="3396"/>
      <c r="K156" s="3396"/>
      <c r="L156" s="4549"/>
      <c r="M156" s="4547"/>
      <c r="N156" s="4548"/>
      <c r="O156" s="4549"/>
      <c r="P156" s="4548"/>
      <c r="Q156" s="3397"/>
      <c r="R156" s="3398"/>
      <c r="S156" s="3399" t="s">
        <v>4646</v>
      </c>
    </row>
    <row r="157" spans="4:19" ht="16.5" customHeight="1" x14ac:dyDescent="0.25">
      <c r="D157" s="3395"/>
      <c r="E157" s="4546" t="s">
        <v>1815</v>
      </c>
      <c r="F157" s="4547"/>
      <c r="G157" s="4548"/>
      <c r="H157" s="4549" t="s">
        <v>4545</v>
      </c>
      <c r="I157" s="4548"/>
      <c r="J157" s="3396" t="s">
        <v>2056</v>
      </c>
      <c r="K157" s="3396" t="s">
        <v>4595</v>
      </c>
      <c r="L157" s="4549" t="s">
        <v>1919</v>
      </c>
      <c r="M157" s="4547"/>
      <c r="N157" s="4548"/>
      <c r="O157" s="4549" t="s">
        <v>2235</v>
      </c>
      <c r="P157" s="4548"/>
      <c r="Q157" s="3397" t="s">
        <v>2026</v>
      </c>
      <c r="R157" s="3398"/>
      <c r="S157" s="3399" t="s">
        <v>4646</v>
      </c>
    </row>
    <row r="158" spans="4:19" ht="16.5" customHeight="1" x14ac:dyDescent="0.25">
      <c r="D158" s="3395"/>
      <c r="E158" s="4546" t="s">
        <v>1815</v>
      </c>
      <c r="F158" s="4547"/>
      <c r="G158" s="4548"/>
      <c r="H158" s="4549"/>
      <c r="I158" s="4548"/>
      <c r="J158" s="3396"/>
      <c r="K158" s="3396"/>
      <c r="L158" s="4549"/>
      <c r="M158" s="4547"/>
      <c r="N158" s="4548"/>
      <c r="O158" s="4549"/>
      <c r="P158" s="4548"/>
      <c r="Q158" s="3397"/>
      <c r="R158" s="3398" t="s">
        <v>2029</v>
      </c>
      <c r="S158" s="3399" t="s">
        <v>4646</v>
      </c>
    </row>
    <row r="159" spans="4:19" ht="55.5" customHeight="1" x14ac:dyDescent="0.25">
      <c r="D159" s="3395" t="s">
        <v>4647</v>
      </c>
      <c r="E159" s="4546" t="s">
        <v>4648</v>
      </c>
      <c r="F159" s="4547"/>
      <c r="G159" s="4548"/>
      <c r="H159" s="4549"/>
      <c r="I159" s="4548"/>
      <c r="J159" s="3396"/>
      <c r="K159" s="3396"/>
      <c r="L159" s="4549"/>
      <c r="M159" s="4547"/>
      <c r="N159" s="4548"/>
      <c r="O159" s="4549"/>
      <c r="P159" s="4548"/>
      <c r="Q159" s="3397"/>
      <c r="R159" s="3398"/>
      <c r="S159" s="3399" t="s">
        <v>4649</v>
      </c>
    </row>
    <row r="160" spans="4:19" ht="16.5" customHeight="1" x14ac:dyDescent="0.25">
      <c r="D160" s="3395"/>
      <c r="E160" s="4546" t="s">
        <v>1815</v>
      </c>
      <c r="F160" s="4547"/>
      <c r="G160" s="4548"/>
      <c r="H160" s="4549" t="s">
        <v>4545</v>
      </c>
      <c r="I160" s="4548"/>
      <c r="J160" s="3396" t="s">
        <v>2056</v>
      </c>
      <c r="K160" s="3396" t="s">
        <v>738</v>
      </c>
      <c r="L160" s="4549" t="s">
        <v>1919</v>
      </c>
      <c r="M160" s="4547"/>
      <c r="N160" s="4548"/>
      <c r="O160" s="4549" t="s">
        <v>1920</v>
      </c>
      <c r="P160" s="4548"/>
      <c r="Q160" s="3397" t="s">
        <v>1853</v>
      </c>
      <c r="R160" s="3398"/>
      <c r="S160" s="3399" t="s">
        <v>4111</v>
      </c>
    </row>
    <row r="161" spans="4:19" ht="16.5" customHeight="1" x14ac:dyDescent="0.25">
      <c r="D161" s="3395"/>
      <c r="E161" s="4546" t="s">
        <v>1815</v>
      </c>
      <c r="F161" s="4547"/>
      <c r="G161" s="4548"/>
      <c r="H161" s="4549"/>
      <c r="I161" s="4548"/>
      <c r="J161" s="3396"/>
      <c r="K161" s="3396"/>
      <c r="L161" s="4549"/>
      <c r="M161" s="4547"/>
      <c r="N161" s="4548"/>
      <c r="O161" s="4549"/>
      <c r="P161" s="4548"/>
      <c r="Q161" s="3397"/>
      <c r="R161" s="3398" t="s">
        <v>1856</v>
      </c>
      <c r="S161" s="3399" t="s">
        <v>4111</v>
      </c>
    </row>
    <row r="162" spans="4:19" ht="16.5" customHeight="1" x14ac:dyDescent="0.25">
      <c r="D162" s="3395"/>
      <c r="E162" s="4546" t="s">
        <v>1815</v>
      </c>
      <c r="F162" s="4547"/>
      <c r="G162" s="4548"/>
      <c r="H162" s="4549" t="s">
        <v>4545</v>
      </c>
      <c r="I162" s="4548"/>
      <c r="J162" s="3396" t="s">
        <v>2056</v>
      </c>
      <c r="K162" s="3396" t="s">
        <v>738</v>
      </c>
      <c r="L162" s="4549" t="s">
        <v>1919</v>
      </c>
      <c r="M162" s="4547"/>
      <c r="N162" s="4548"/>
      <c r="O162" s="4549" t="s">
        <v>1920</v>
      </c>
      <c r="P162" s="4548"/>
      <c r="Q162" s="3397" t="s">
        <v>1874</v>
      </c>
      <c r="R162" s="3398"/>
      <c r="S162" s="3399" t="s">
        <v>3856</v>
      </c>
    </row>
    <row r="163" spans="4:19" ht="16.5" customHeight="1" x14ac:dyDescent="0.25">
      <c r="D163" s="3395"/>
      <c r="E163" s="4546" t="s">
        <v>1815</v>
      </c>
      <c r="F163" s="4547"/>
      <c r="G163" s="4548"/>
      <c r="H163" s="4549"/>
      <c r="I163" s="4548"/>
      <c r="J163" s="3396"/>
      <c r="K163" s="3396"/>
      <c r="L163" s="4549"/>
      <c r="M163" s="4547"/>
      <c r="N163" s="4548"/>
      <c r="O163" s="4549"/>
      <c r="P163" s="4548"/>
      <c r="Q163" s="3397"/>
      <c r="R163" s="3398" t="s">
        <v>1875</v>
      </c>
      <c r="S163" s="3399" t="s">
        <v>3856</v>
      </c>
    </row>
    <row r="164" spans="4:19" ht="16.5" customHeight="1" x14ac:dyDescent="0.25">
      <c r="D164" s="3395"/>
      <c r="E164" s="4546" t="s">
        <v>1815</v>
      </c>
      <c r="F164" s="4547"/>
      <c r="G164" s="4548"/>
      <c r="H164" s="4549" t="s">
        <v>4545</v>
      </c>
      <c r="I164" s="4548"/>
      <c r="J164" s="3396" t="s">
        <v>2056</v>
      </c>
      <c r="K164" s="3396" t="s">
        <v>738</v>
      </c>
      <c r="L164" s="4549" t="s">
        <v>1919</v>
      </c>
      <c r="M164" s="4547"/>
      <c r="N164" s="4548"/>
      <c r="O164" s="4549" t="s">
        <v>1920</v>
      </c>
      <c r="P164" s="4548"/>
      <c r="Q164" s="3397" t="s">
        <v>1885</v>
      </c>
      <c r="R164" s="3398"/>
      <c r="S164" s="3399" t="s">
        <v>4650</v>
      </c>
    </row>
    <row r="165" spans="4:19" ht="16.5" customHeight="1" x14ac:dyDescent="0.25">
      <c r="D165" s="3395"/>
      <c r="E165" s="4546" t="s">
        <v>1815</v>
      </c>
      <c r="F165" s="4547"/>
      <c r="G165" s="4548"/>
      <c r="H165" s="4549"/>
      <c r="I165" s="4548"/>
      <c r="J165" s="3396"/>
      <c r="K165" s="3396"/>
      <c r="L165" s="4549"/>
      <c r="M165" s="4547"/>
      <c r="N165" s="4548"/>
      <c r="O165" s="4549"/>
      <c r="P165" s="4548"/>
      <c r="Q165" s="3397"/>
      <c r="R165" s="3398" t="s">
        <v>1925</v>
      </c>
      <c r="S165" s="3399" t="s">
        <v>2036</v>
      </c>
    </row>
    <row r="166" spans="4:19" ht="16.5" customHeight="1" x14ac:dyDescent="0.25">
      <c r="D166" s="3395"/>
      <c r="E166" s="4546" t="s">
        <v>1815</v>
      </c>
      <c r="F166" s="4547"/>
      <c r="G166" s="4548"/>
      <c r="H166" s="4549"/>
      <c r="I166" s="4548"/>
      <c r="J166" s="3396"/>
      <c r="K166" s="3396"/>
      <c r="L166" s="4549"/>
      <c r="M166" s="4547"/>
      <c r="N166" s="4548"/>
      <c r="O166" s="4549"/>
      <c r="P166" s="4548"/>
      <c r="Q166" s="3397"/>
      <c r="R166" s="3398" t="s">
        <v>1888</v>
      </c>
      <c r="S166" s="3399" t="s">
        <v>4113</v>
      </c>
    </row>
    <row r="167" spans="4:19" ht="16.5" customHeight="1" x14ac:dyDescent="0.25">
      <c r="D167" s="3395"/>
      <c r="E167" s="4546" t="s">
        <v>1815</v>
      </c>
      <c r="F167" s="4547"/>
      <c r="G167" s="4548"/>
      <c r="H167" s="4549" t="s">
        <v>4545</v>
      </c>
      <c r="I167" s="4548"/>
      <c r="J167" s="3396" t="s">
        <v>2056</v>
      </c>
      <c r="K167" s="3396" t="s">
        <v>738</v>
      </c>
      <c r="L167" s="4549" t="s">
        <v>1919</v>
      </c>
      <c r="M167" s="4547"/>
      <c r="N167" s="4548"/>
      <c r="O167" s="4549" t="s">
        <v>1920</v>
      </c>
      <c r="P167" s="4548"/>
      <c r="Q167" s="3397" t="s">
        <v>1906</v>
      </c>
      <c r="R167" s="3398"/>
      <c r="S167" s="3399" t="s">
        <v>4651</v>
      </c>
    </row>
    <row r="168" spans="4:19" ht="16.5" customHeight="1" x14ac:dyDescent="0.25">
      <c r="D168" s="3395"/>
      <c r="E168" s="4546" t="s">
        <v>1815</v>
      </c>
      <c r="F168" s="4547"/>
      <c r="G168" s="4548"/>
      <c r="H168" s="4549"/>
      <c r="I168" s="4548"/>
      <c r="J168" s="3396"/>
      <c r="K168" s="3396"/>
      <c r="L168" s="4549"/>
      <c r="M168" s="4547"/>
      <c r="N168" s="4548"/>
      <c r="O168" s="4549"/>
      <c r="P168" s="4548"/>
      <c r="Q168" s="3397"/>
      <c r="R168" s="3398" t="s">
        <v>1909</v>
      </c>
      <c r="S168" s="3399" t="s">
        <v>4651</v>
      </c>
    </row>
    <row r="169" spans="4:19" ht="16.5" customHeight="1" x14ac:dyDescent="0.25">
      <c r="D169" s="3395"/>
      <c r="E169" s="4546" t="s">
        <v>1815</v>
      </c>
      <c r="F169" s="4547"/>
      <c r="G169" s="4548"/>
      <c r="H169" s="4549" t="s">
        <v>4545</v>
      </c>
      <c r="I169" s="4548"/>
      <c r="J169" s="3396" t="s">
        <v>2056</v>
      </c>
      <c r="K169" s="3396" t="s">
        <v>738</v>
      </c>
      <c r="L169" s="4549" t="s">
        <v>1919</v>
      </c>
      <c r="M169" s="4547"/>
      <c r="N169" s="4548"/>
      <c r="O169" s="4549" t="s">
        <v>1920</v>
      </c>
      <c r="P169" s="4548"/>
      <c r="Q169" s="3397" t="s">
        <v>1912</v>
      </c>
      <c r="R169" s="3398"/>
      <c r="S169" s="3399" t="s">
        <v>4117</v>
      </c>
    </row>
    <row r="170" spans="4:19" ht="16.5" customHeight="1" x14ac:dyDescent="0.25">
      <c r="D170" s="3395"/>
      <c r="E170" s="4546" t="s">
        <v>1815</v>
      </c>
      <c r="F170" s="4547"/>
      <c r="G170" s="4548"/>
      <c r="H170" s="4549"/>
      <c r="I170" s="4548"/>
      <c r="J170" s="3396"/>
      <c r="K170" s="3396"/>
      <c r="L170" s="4549"/>
      <c r="M170" s="4547"/>
      <c r="N170" s="4548"/>
      <c r="O170" s="4549"/>
      <c r="P170" s="4548"/>
      <c r="Q170" s="3397"/>
      <c r="R170" s="3398" t="s">
        <v>1916</v>
      </c>
      <c r="S170" s="3399" t="s">
        <v>4117</v>
      </c>
    </row>
    <row r="171" spans="4:19" ht="16.5" customHeight="1" x14ac:dyDescent="0.25">
      <c r="D171" s="3395"/>
      <c r="E171" s="4546" t="s">
        <v>1815</v>
      </c>
      <c r="F171" s="4547"/>
      <c r="G171" s="4548"/>
      <c r="H171" s="4549" t="s">
        <v>4545</v>
      </c>
      <c r="I171" s="4548"/>
      <c r="J171" s="3396" t="s">
        <v>2056</v>
      </c>
      <c r="K171" s="3396" t="s">
        <v>738</v>
      </c>
      <c r="L171" s="4549" t="s">
        <v>1919</v>
      </c>
      <c r="M171" s="4547"/>
      <c r="N171" s="4548"/>
      <c r="O171" s="4549" t="s">
        <v>2052</v>
      </c>
      <c r="P171" s="4548"/>
      <c r="Q171" s="3397" t="s">
        <v>1853</v>
      </c>
      <c r="R171" s="3398"/>
      <c r="S171" s="3399" t="s">
        <v>4120</v>
      </c>
    </row>
    <row r="172" spans="4:19" ht="16.5" customHeight="1" x14ac:dyDescent="0.25">
      <c r="D172" s="3395"/>
      <c r="E172" s="4546" t="s">
        <v>1815</v>
      </c>
      <c r="F172" s="4547"/>
      <c r="G172" s="4548"/>
      <c r="H172" s="4549"/>
      <c r="I172" s="4548"/>
      <c r="J172" s="3396"/>
      <c r="K172" s="3396"/>
      <c r="L172" s="4549"/>
      <c r="M172" s="4547"/>
      <c r="N172" s="4548"/>
      <c r="O172" s="4549"/>
      <c r="P172" s="4548"/>
      <c r="Q172" s="3397"/>
      <c r="R172" s="3398" t="s">
        <v>1856</v>
      </c>
      <c r="S172" s="3399" t="s">
        <v>4120</v>
      </c>
    </row>
    <row r="173" spans="4:19" ht="16.5" customHeight="1" x14ac:dyDescent="0.25">
      <c r="D173" s="3395"/>
      <c r="E173" s="4546" t="s">
        <v>1815</v>
      </c>
      <c r="F173" s="4547"/>
      <c r="G173" s="4548"/>
      <c r="H173" s="4549" t="s">
        <v>4545</v>
      </c>
      <c r="I173" s="4548"/>
      <c r="J173" s="3396" t="s">
        <v>2056</v>
      </c>
      <c r="K173" s="3396" t="s">
        <v>738</v>
      </c>
      <c r="L173" s="4549" t="s">
        <v>1919</v>
      </c>
      <c r="M173" s="4547"/>
      <c r="N173" s="4548"/>
      <c r="O173" s="4549" t="s">
        <v>2052</v>
      </c>
      <c r="P173" s="4548"/>
      <c r="Q173" s="3397" t="s">
        <v>1874</v>
      </c>
      <c r="R173" s="3398"/>
      <c r="S173" s="3399" t="s">
        <v>4121</v>
      </c>
    </row>
    <row r="174" spans="4:19" ht="16.5" customHeight="1" x14ac:dyDescent="0.25">
      <c r="D174" s="3395"/>
      <c r="E174" s="4546" t="s">
        <v>1815</v>
      </c>
      <c r="F174" s="4547"/>
      <c r="G174" s="4548"/>
      <c r="H174" s="4549"/>
      <c r="I174" s="4548"/>
      <c r="J174" s="3396"/>
      <c r="K174" s="3396"/>
      <c r="L174" s="4549"/>
      <c r="M174" s="4547"/>
      <c r="N174" s="4548"/>
      <c r="O174" s="4549"/>
      <c r="P174" s="4548"/>
      <c r="Q174" s="3397"/>
      <c r="R174" s="3398" t="s">
        <v>1875</v>
      </c>
      <c r="S174" s="3399" t="s">
        <v>4121</v>
      </c>
    </row>
    <row r="175" spans="4:19" ht="16.5" customHeight="1" x14ac:dyDescent="0.25">
      <c r="D175" s="3395"/>
      <c r="E175" s="4546" t="s">
        <v>1815</v>
      </c>
      <c r="F175" s="4547"/>
      <c r="G175" s="4548"/>
      <c r="H175" s="4549" t="s">
        <v>4545</v>
      </c>
      <c r="I175" s="4548"/>
      <c r="J175" s="3396" t="s">
        <v>2056</v>
      </c>
      <c r="K175" s="3396" t="s">
        <v>738</v>
      </c>
      <c r="L175" s="4549" t="s">
        <v>1919</v>
      </c>
      <c r="M175" s="4547"/>
      <c r="N175" s="4548"/>
      <c r="O175" s="4549" t="s">
        <v>2052</v>
      </c>
      <c r="P175" s="4548"/>
      <c r="Q175" s="3397" t="s">
        <v>1893</v>
      </c>
      <c r="R175" s="3398"/>
      <c r="S175" s="3399" t="s">
        <v>4652</v>
      </c>
    </row>
    <row r="176" spans="4:19" ht="16.5" customHeight="1" x14ac:dyDescent="0.25">
      <c r="D176" s="3395"/>
      <c r="E176" s="4546" t="s">
        <v>1815</v>
      </c>
      <c r="F176" s="4547"/>
      <c r="G176" s="4548"/>
      <c r="H176" s="4549"/>
      <c r="I176" s="4548"/>
      <c r="J176" s="3396"/>
      <c r="K176" s="3396"/>
      <c r="L176" s="4549"/>
      <c r="M176" s="4547"/>
      <c r="N176" s="4548"/>
      <c r="O176" s="4549"/>
      <c r="P176" s="4548"/>
      <c r="Q176" s="3397"/>
      <c r="R176" s="3398" t="s">
        <v>1895</v>
      </c>
      <c r="S176" s="3399" t="s">
        <v>4652</v>
      </c>
    </row>
    <row r="177" spans="4:19" ht="16.5" customHeight="1" x14ac:dyDescent="0.25">
      <c r="D177" s="3395"/>
      <c r="E177" s="4546" t="s">
        <v>1815</v>
      </c>
      <c r="F177" s="4547"/>
      <c r="G177" s="4548"/>
      <c r="H177" s="4549" t="s">
        <v>4545</v>
      </c>
      <c r="I177" s="4548"/>
      <c r="J177" s="3396" t="s">
        <v>2056</v>
      </c>
      <c r="K177" s="3396" t="s">
        <v>738</v>
      </c>
      <c r="L177" s="4549" t="s">
        <v>1919</v>
      </c>
      <c r="M177" s="4547"/>
      <c r="N177" s="4548"/>
      <c r="O177" s="4549" t="s">
        <v>2052</v>
      </c>
      <c r="P177" s="4548"/>
      <c r="Q177" s="3397" t="s">
        <v>1906</v>
      </c>
      <c r="R177" s="3398"/>
      <c r="S177" s="3399" t="s">
        <v>4125</v>
      </c>
    </row>
    <row r="178" spans="4:19" ht="16.5" customHeight="1" x14ac:dyDescent="0.25">
      <c r="D178" s="3395"/>
      <c r="E178" s="4546" t="s">
        <v>1815</v>
      </c>
      <c r="F178" s="4547"/>
      <c r="G178" s="4548"/>
      <c r="H178" s="4549"/>
      <c r="I178" s="4548"/>
      <c r="J178" s="3396"/>
      <c r="K178" s="3396"/>
      <c r="L178" s="4549"/>
      <c r="M178" s="4547"/>
      <c r="N178" s="4548"/>
      <c r="O178" s="4549"/>
      <c r="P178" s="4548"/>
      <c r="Q178" s="3397"/>
      <c r="R178" s="3398" t="s">
        <v>1907</v>
      </c>
      <c r="S178" s="3399" t="s">
        <v>4125</v>
      </c>
    </row>
    <row r="179" spans="4:19" ht="16.5" customHeight="1" x14ac:dyDescent="0.25">
      <c r="D179" s="3395"/>
      <c r="E179" s="4546" t="s">
        <v>1815</v>
      </c>
      <c r="F179" s="4547"/>
      <c r="G179" s="4548"/>
      <c r="H179" s="4549" t="s">
        <v>4545</v>
      </c>
      <c r="I179" s="4548"/>
      <c r="J179" s="3396" t="s">
        <v>2056</v>
      </c>
      <c r="K179" s="3396" t="s">
        <v>738</v>
      </c>
      <c r="L179" s="4549" t="s">
        <v>1919</v>
      </c>
      <c r="M179" s="4547"/>
      <c r="N179" s="4548"/>
      <c r="O179" s="4549" t="s">
        <v>2052</v>
      </c>
      <c r="P179" s="4548"/>
      <c r="Q179" s="3397" t="s">
        <v>1912</v>
      </c>
      <c r="R179" s="3398"/>
      <c r="S179" s="3399" t="s">
        <v>4126</v>
      </c>
    </row>
    <row r="180" spans="4:19" ht="16.5" customHeight="1" x14ac:dyDescent="0.25">
      <c r="D180" s="3395"/>
      <c r="E180" s="4546" t="s">
        <v>1815</v>
      </c>
      <c r="F180" s="4547"/>
      <c r="G180" s="4548"/>
      <c r="H180" s="4549"/>
      <c r="I180" s="4548"/>
      <c r="J180" s="3396"/>
      <c r="K180" s="3396"/>
      <c r="L180" s="4549"/>
      <c r="M180" s="4547"/>
      <c r="N180" s="4548"/>
      <c r="O180" s="4549"/>
      <c r="P180" s="4548"/>
      <c r="Q180" s="3397"/>
      <c r="R180" s="3398" t="s">
        <v>1916</v>
      </c>
      <c r="S180" s="3399" t="s">
        <v>4126</v>
      </c>
    </row>
    <row r="181" spans="4:19" ht="61.5" customHeight="1" x14ac:dyDescent="0.25">
      <c r="D181" s="3395" t="s">
        <v>4653</v>
      </c>
      <c r="E181" s="4546" t="s">
        <v>4654</v>
      </c>
      <c r="F181" s="4547"/>
      <c r="G181" s="4548"/>
      <c r="H181" s="4549"/>
      <c r="I181" s="4548"/>
      <c r="J181" s="3396"/>
      <c r="K181" s="3396"/>
      <c r="L181" s="4549"/>
      <c r="M181" s="4547"/>
      <c r="N181" s="4548"/>
      <c r="O181" s="4549"/>
      <c r="P181" s="4548"/>
      <c r="Q181" s="3397"/>
      <c r="R181" s="3398"/>
      <c r="S181" s="3399" t="s">
        <v>4655</v>
      </c>
    </row>
    <row r="182" spans="4:19" ht="16.5" customHeight="1" x14ac:dyDescent="0.25">
      <c r="D182" s="3395"/>
      <c r="E182" s="4546" t="s">
        <v>1815</v>
      </c>
      <c r="F182" s="4547"/>
      <c r="G182" s="4548"/>
      <c r="H182" s="4549" t="s">
        <v>4545</v>
      </c>
      <c r="I182" s="4548"/>
      <c r="J182" s="3396" t="s">
        <v>2056</v>
      </c>
      <c r="K182" s="3396" t="s">
        <v>738</v>
      </c>
      <c r="L182" s="4549" t="s">
        <v>1919</v>
      </c>
      <c r="M182" s="4547"/>
      <c r="N182" s="4548"/>
      <c r="O182" s="4549" t="s">
        <v>2052</v>
      </c>
      <c r="P182" s="4548"/>
      <c r="Q182" s="3397" t="s">
        <v>1896</v>
      </c>
      <c r="R182" s="3398"/>
      <c r="S182" s="3399" t="s">
        <v>4123</v>
      </c>
    </row>
    <row r="183" spans="4:19" ht="16.5" customHeight="1" x14ac:dyDescent="0.25">
      <c r="D183" s="3395"/>
      <c r="E183" s="4546" t="s">
        <v>1815</v>
      </c>
      <c r="F183" s="4547"/>
      <c r="G183" s="4548"/>
      <c r="H183" s="4549"/>
      <c r="I183" s="4548"/>
      <c r="J183" s="3396"/>
      <c r="K183" s="3396"/>
      <c r="L183" s="4549"/>
      <c r="M183" s="4547"/>
      <c r="N183" s="4548"/>
      <c r="O183" s="4549"/>
      <c r="P183" s="4548"/>
      <c r="Q183" s="3397"/>
      <c r="R183" s="3398" t="s">
        <v>1932</v>
      </c>
      <c r="S183" s="3399" t="s">
        <v>4123</v>
      </c>
    </row>
    <row r="184" spans="4:19" ht="16.5" customHeight="1" x14ac:dyDescent="0.25">
      <c r="D184" s="3395"/>
      <c r="E184" s="4546" t="s">
        <v>1815</v>
      </c>
      <c r="F184" s="4547"/>
      <c r="G184" s="4548"/>
      <c r="H184" s="4549" t="s">
        <v>4545</v>
      </c>
      <c r="I184" s="4548"/>
      <c r="J184" s="3396" t="s">
        <v>2056</v>
      </c>
      <c r="K184" s="3396" t="s">
        <v>738</v>
      </c>
      <c r="L184" s="4549" t="s">
        <v>1919</v>
      </c>
      <c r="M184" s="4547"/>
      <c r="N184" s="4548"/>
      <c r="O184" s="4549" t="s">
        <v>2005</v>
      </c>
      <c r="P184" s="4548"/>
      <c r="Q184" s="3397" t="s">
        <v>1896</v>
      </c>
      <c r="R184" s="3398"/>
      <c r="S184" s="3399" t="s">
        <v>4133</v>
      </c>
    </row>
    <row r="185" spans="4:19" ht="16.5" customHeight="1" x14ac:dyDescent="0.25">
      <c r="D185" s="3395"/>
      <c r="E185" s="4546" t="s">
        <v>1815</v>
      </c>
      <c r="F185" s="4547"/>
      <c r="G185" s="4548"/>
      <c r="H185" s="4549"/>
      <c r="I185" s="4548"/>
      <c r="J185" s="3396"/>
      <c r="K185" s="3396"/>
      <c r="L185" s="4549"/>
      <c r="M185" s="4547"/>
      <c r="N185" s="4548"/>
      <c r="O185" s="4549"/>
      <c r="P185" s="4548"/>
      <c r="Q185" s="3397"/>
      <c r="R185" s="3398" t="s">
        <v>2006</v>
      </c>
      <c r="S185" s="3399" t="s">
        <v>4133</v>
      </c>
    </row>
    <row r="186" spans="4:19" ht="16.5" customHeight="1" x14ac:dyDescent="0.25">
      <c r="D186" s="3395"/>
      <c r="E186" s="4546" t="s">
        <v>1815</v>
      </c>
      <c r="F186" s="4547"/>
      <c r="G186" s="4548"/>
      <c r="H186" s="4549" t="s">
        <v>4545</v>
      </c>
      <c r="I186" s="4548"/>
      <c r="J186" s="3396" t="s">
        <v>2056</v>
      </c>
      <c r="K186" s="3396" t="s">
        <v>738</v>
      </c>
      <c r="L186" s="4549" t="s">
        <v>1919</v>
      </c>
      <c r="M186" s="4547"/>
      <c r="N186" s="4548"/>
      <c r="O186" s="4549" t="s">
        <v>1931</v>
      </c>
      <c r="P186" s="4548"/>
      <c r="Q186" s="3397" t="s">
        <v>1896</v>
      </c>
      <c r="R186" s="3398"/>
      <c r="S186" s="3399" t="s">
        <v>4656</v>
      </c>
    </row>
    <row r="187" spans="4:19" ht="16.5" customHeight="1" x14ac:dyDescent="0.25">
      <c r="D187" s="3395"/>
      <c r="E187" s="4546" t="s">
        <v>1815</v>
      </c>
      <c r="F187" s="4547"/>
      <c r="G187" s="4548"/>
      <c r="H187" s="4549"/>
      <c r="I187" s="4548"/>
      <c r="J187" s="3396"/>
      <c r="K187" s="3396"/>
      <c r="L187" s="4549"/>
      <c r="M187" s="4547"/>
      <c r="N187" s="4548"/>
      <c r="O187" s="4549"/>
      <c r="P187" s="4548"/>
      <c r="Q187" s="3397"/>
      <c r="R187" s="3398" t="s">
        <v>1932</v>
      </c>
      <c r="S187" s="3399" t="s">
        <v>4656</v>
      </c>
    </row>
    <row r="188" spans="4:19" ht="43.5" customHeight="1" x14ac:dyDescent="0.25">
      <c r="D188" s="3395" t="s">
        <v>4657</v>
      </c>
      <c r="E188" s="4546" t="s">
        <v>4658</v>
      </c>
      <c r="F188" s="4547"/>
      <c r="G188" s="4548"/>
      <c r="H188" s="4549"/>
      <c r="I188" s="4548"/>
      <c r="J188" s="3396"/>
      <c r="K188" s="3396"/>
      <c r="L188" s="4549"/>
      <c r="M188" s="4547"/>
      <c r="N188" s="4548"/>
      <c r="O188" s="4549"/>
      <c r="P188" s="4548"/>
      <c r="Q188" s="3397"/>
      <c r="R188" s="3398"/>
      <c r="S188" s="3399" t="s">
        <v>4659</v>
      </c>
    </row>
    <row r="189" spans="4:19" ht="16.5" customHeight="1" x14ac:dyDescent="0.25">
      <c r="D189" s="3395"/>
      <c r="E189" s="4546" t="s">
        <v>1815</v>
      </c>
      <c r="F189" s="4547"/>
      <c r="G189" s="4548"/>
      <c r="H189" s="4549" t="s">
        <v>4545</v>
      </c>
      <c r="I189" s="4548"/>
      <c r="J189" s="3396" t="s">
        <v>2056</v>
      </c>
      <c r="K189" s="3396" t="s">
        <v>738</v>
      </c>
      <c r="L189" s="4549" t="s">
        <v>1933</v>
      </c>
      <c r="M189" s="4547"/>
      <c r="N189" s="4548"/>
      <c r="O189" s="4549" t="s">
        <v>4046</v>
      </c>
      <c r="P189" s="4548"/>
      <c r="Q189" s="3397" t="s">
        <v>1889</v>
      </c>
      <c r="R189" s="3398"/>
      <c r="S189" s="3399" t="s">
        <v>4660</v>
      </c>
    </row>
    <row r="190" spans="4:19" ht="16.5" customHeight="1" x14ac:dyDescent="0.25">
      <c r="D190" s="3395"/>
      <c r="E190" s="4546" t="s">
        <v>1815</v>
      </c>
      <c r="F190" s="4547"/>
      <c r="G190" s="4548"/>
      <c r="H190" s="4549"/>
      <c r="I190" s="4548"/>
      <c r="J190" s="3396"/>
      <c r="K190" s="3396"/>
      <c r="L190" s="4549"/>
      <c r="M190" s="4547"/>
      <c r="N190" s="4548"/>
      <c r="O190" s="4549"/>
      <c r="P190" s="4548"/>
      <c r="Q190" s="3397"/>
      <c r="R190" s="3398" t="s">
        <v>1890</v>
      </c>
      <c r="S190" s="3399" t="s">
        <v>4366</v>
      </c>
    </row>
    <row r="191" spans="4:19" ht="16.5" customHeight="1" x14ac:dyDescent="0.25">
      <c r="D191" s="3395"/>
      <c r="E191" s="4546" t="s">
        <v>1815</v>
      </c>
      <c r="F191" s="4547"/>
      <c r="G191" s="4548"/>
      <c r="H191" s="4549"/>
      <c r="I191" s="4548"/>
      <c r="J191" s="3396"/>
      <c r="K191" s="3396"/>
      <c r="L191" s="4549"/>
      <c r="M191" s="4547"/>
      <c r="N191" s="4548"/>
      <c r="O191" s="4549"/>
      <c r="P191" s="4548"/>
      <c r="Q191" s="3397"/>
      <c r="R191" s="3398" t="s">
        <v>1891</v>
      </c>
      <c r="S191" s="3399" t="s">
        <v>4661</v>
      </c>
    </row>
    <row r="192" spans="4:19" ht="16.5" customHeight="1" x14ac:dyDescent="0.25">
      <c r="D192" s="3395"/>
      <c r="E192" s="4546" t="s">
        <v>1815</v>
      </c>
      <c r="F192" s="4547"/>
      <c r="G192" s="4548"/>
      <c r="H192" s="4549" t="s">
        <v>4545</v>
      </c>
      <c r="I192" s="4548"/>
      <c r="J192" s="3396" t="s">
        <v>2056</v>
      </c>
      <c r="K192" s="3396" t="s">
        <v>738</v>
      </c>
      <c r="L192" s="4549" t="s">
        <v>1933</v>
      </c>
      <c r="M192" s="4547"/>
      <c r="N192" s="4548"/>
      <c r="O192" s="4549" t="s">
        <v>4046</v>
      </c>
      <c r="P192" s="4548"/>
      <c r="Q192" s="3397" t="s">
        <v>1893</v>
      </c>
      <c r="R192" s="3398"/>
      <c r="S192" s="3399" t="s">
        <v>4662</v>
      </c>
    </row>
    <row r="193" spans="4:19" ht="16.5" customHeight="1" x14ac:dyDescent="0.25">
      <c r="D193" s="3395"/>
      <c r="E193" s="4546" t="s">
        <v>1815</v>
      </c>
      <c r="F193" s="4547"/>
      <c r="G193" s="4548"/>
      <c r="H193" s="4549"/>
      <c r="I193" s="4548"/>
      <c r="J193" s="3396"/>
      <c r="K193" s="3396"/>
      <c r="L193" s="4549"/>
      <c r="M193" s="4547"/>
      <c r="N193" s="4548"/>
      <c r="O193" s="4549"/>
      <c r="P193" s="4548"/>
      <c r="Q193" s="3397"/>
      <c r="R193" s="3398" t="s">
        <v>1894</v>
      </c>
      <c r="S193" s="3399" t="s">
        <v>4662</v>
      </c>
    </row>
    <row r="194" spans="4:19" ht="16.5" customHeight="1" x14ac:dyDescent="0.25">
      <c r="D194" s="3395"/>
      <c r="E194" s="4546" t="s">
        <v>1815</v>
      </c>
      <c r="F194" s="4547"/>
      <c r="G194" s="4548"/>
      <c r="H194" s="4549" t="s">
        <v>4545</v>
      </c>
      <c r="I194" s="4548"/>
      <c r="J194" s="3396" t="s">
        <v>2056</v>
      </c>
      <c r="K194" s="3396" t="s">
        <v>738</v>
      </c>
      <c r="L194" s="4549" t="s">
        <v>1933</v>
      </c>
      <c r="M194" s="4547"/>
      <c r="N194" s="4548"/>
      <c r="O194" s="4549" t="s">
        <v>4046</v>
      </c>
      <c r="P194" s="4548"/>
      <c r="Q194" s="3397" t="s">
        <v>1906</v>
      </c>
      <c r="R194" s="3398"/>
      <c r="S194" s="3399" t="s">
        <v>4663</v>
      </c>
    </row>
    <row r="195" spans="4:19" ht="16.5" customHeight="1" x14ac:dyDescent="0.25">
      <c r="D195" s="3395"/>
      <c r="E195" s="4546" t="s">
        <v>1815</v>
      </c>
      <c r="F195" s="4547"/>
      <c r="G195" s="4548"/>
      <c r="H195" s="4549"/>
      <c r="I195" s="4548"/>
      <c r="J195" s="3396"/>
      <c r="K195" s="3396"/>
      <c r="L195" s="4549"/>
      <c r="M195" s="4547"/>
      <c r="N195" s="4548"/>
      <c r="O195" s="4549"/>
      <c r="P195" s="4548"/>
      <c r="Q195" s="3397"/>
      <c r="R195" s="3398" t="s">
        <v>1909</v>
      </c>
      <c r="S195" s="3399" t="s">
        <v>4663</v>
      </c>
    </row>
    <row r="196" spans="4:19" ht="16.5" customHeight="1" x14ac:dyDescent="0.25">
      <c r="D196" s="3395"/>
      <c r="E196" s="4546" t="s">
        <v>1815</v>
      </c>
      <c r="F196" s="4547"/>
      <c r="G196" s="4548"/>
      <c r="H196" s="4549" t="s">
        <v>4545</v>
      </c>
      <c r="I196" s="4548"/>
      <c r="J196" s="3396" t="s">
        <v>2056</v>
      </c>
      <c r="K196" s="3396" t="s">
        <v>738</v>
      </c>
      <c r="L196" s="4549" t="s">
        <v>1958</v>
      </c>
      <c r="M196" s="4547"/>
      <c r="N196" s="4548"/>
      <c r="O196" s="4549" t="s">
        <v>1959</v>
      </c>
      <c r="P196" s="4548"/>
      <c r="Q196" s="3397" t="s">
        <v>1874</v>
      </c>
      <c r="R196" s="3398"/>
      <c r="S196" s="3399" t="s">
        <v>4664</v>
      </c>
    </row>
    <row r="197" spans="4:19" ht="16.5" customHeight="1" x14ac:dyDescent="0.25">
      <c r="D197" s="3395"/>
      <c r="E197" s="4546" t="s">
        <v>1815</v>
      </c>
      <c r="F197" s="4547"/>
      <c r="G197" s="4548"/>
      <c r="H197" s="4549"/>
      <c r="I197" s="4548"/>
      <c r="J197" s="3396"/>
      <c r="K197" s="3396"/>
      <c r="L197" s="4549"/>
      <c r="M197" s="4547"/>
      <c r="N197" s="4548"/>
      <c r="O197" s="4549"/>
      <c r="P197" s="4548"/>
      <c r="Q197" s="3397"/>
      <c r="R197" s="3398" t="s">
        <v>1876</v>
      </c>
      <c r="S197" s="3399" t="s">
        <v>4665</v>
      </c>
    </row>
    <row r="198" spans="4:19" ht="16.5" customHeight="1" x14ac:dyDescent="0.25">
      <c r="D198" s="3395"/>
      <c r="E198" s="4546" t="s">
        <v>1815</v>
      </c>
      <c r="F198" s="4547"/>
      <c r="G198" s="4548"/>
      <c r="H198" s="4549"/>
      <c r="I198" s="4548"/>
      <c r="J198" s="3396"/>
      <c r="K198" s="3396"/>
      <c r="L198" s="4549"/>
      <c r="M198" s="4547"/>
      <c r="N198" s="4548"/>
      <c r="O198" s="4549"/>
      <c r="P198" s="4548"/>
      <c r="Q198" s="3397"/>
      <c r="R198" s="3398" t="s">
        <v>1877</v>
      </c>
      <c r="S198" s="3399" t="s">
        <v>4666</v>
      </c>
    </row>
    <row r="199" spans="4:19" ht="16.5" customHeight="1" x14ac:dyDescent="0.25">
      <c r="D199" s="3395"/>
      <c r="E199" s="4546" t="s">
        <v>1815</v>
      </c>
      <c r="F199" s="4547"/>
      <c r="G199" s="4548"/>
      <c r="H199" s="4549" t="s">
        <v>4545</v>
      </c>
      <c r="I199" s="4548"/>
      <c r="J199" s="3396" t="s">
        <v>2056</v>
      </c>
      <c r="K199" s="3396" t="s">
        <v>738</v>
      </c>
      <c r="L199" s="4549" t="s">
        <v>1958</v>
      </c>
      <c r="M199" s="4547"/>
      <c r="N199" s="4548"/>
      <c r="O199" s="4549" t="s">
        <v>1959</v>
      </c>
      <c r="P199" s="4548"/>
      <c r="Q199" s="3397" t="s">
        <v>1903</v>
      </c>
      <c r="R199" s="3398"/>
      <c r="S199" s="3399" t="s">
        <v>4402</v>
      </c>
    </row>
    <row r="200" spans="4:19" ht="16.5" customHeight="1" x14ac:dyDescent="0.25">
      <c r="D200" s="3395"/>
      <c r="E200" s="4546" t="s">
        <v>1815</v>
      </c>
      <c r="F200" s="4547"/>
      <c r="G200" s="4548"/>
      <c r="H200" s="4549"/>
      <c r="I200" s="4548"/>
      <c r="J200" s="3396"/>
      <c r="K200" s="3396"/>
      <c r="L200" s="4549"/>
      <c r="M200" s="4547"/>
      <c r="N200" s="4548"/>
      <c r="O200" s="4549"/>
      <c r="P200" s="4548"/>
      <c r="Q200" s="3397"/>
      <c r="R200" s="3398" t="s">
        <v>1905</v>
      </c>
      <c r="S200" s="3399" t="s">
        <v>4402</v>
      </c>
    </row>
    <row r="201" spans="4:19" ht="51" customHeight="1" x14ac:dyDescent="0.25">
      <c r="D201" s="3395" t="s">
        <v>4667</v>
      </c>
      <c r="E201" s="4546" t="s">
        <v>4668</v>
      </c>
      <c r="F201" s="4547"/>
      <c r="G201" s="4548"/>
      <c r="H201" s="4549"/>
      <c r="I201" s="4548"/>
      <c r="J201" s="3396"/>
      <c r="K201" s="3396"/>
      <c r="L201" s="4549"/>
      <c r="M201" s="4547"/>
      <c r="N201" s="4548"/>
      <c r="O201" s="4549"/>
      <c r="P201" s="4548"/>
      <c r="Q201" s="3397"/>
      <c r="R201" s="3398"/>
      <c r="S201" s="3399" t="s">
        <v>4669</v>
      </c>
    </row>
    <row r="202" spans="4:19" ht="16.5" customHeight="1" x14ac:dyDescent="0.25">
      <c r="D202" s="3395"/>
      <c r="E202" s="4546" t="s">
        <v>1815</v>
      </c>
      <c r="F202" s="4547"/>
      <c r="G202" s="4548"/>
      <c r="H202" s="4549" t="s">
        <v>4545</v>
      </c>
      <c r="I202" s="4548"/>
      <c r="J202" s="3396" t="s">
        <v>2056</v>
      </c>
      <c r="K202" s="3396" t="s">
        <v>738</v>
      </c>
      <c r="L202" s="4549" t="s">
        <v>2038</v>
      </c>
      <c r="M202" s="4547"/>
      <c r="N202" s="4548"/>
      <c r="O202" s="4549" t="s">
        <v>2039</v>
      </c>
      <c r="P202" s="4548"/>
      <c r="Q202" s="3397" t="s">
        <v>1874</v>
      </c>
      <c r="R202" s="3398"/>
      <c r="S202" s="3399" t="s">
        <v>4068</v>
      </c>
    </row>
    <row r="203" spans="4:19" ht="16.5" customHeight="1" x14ac:dyDescent="0.25">
      <c r="D203" s="3395"/>
      <c r="E203" s="4546" t="s">
        <v>1815</v>
      </c>
      <c r="F203" s="4547"/>
      <c r="G203" s="4548"/>
      <c r="H203" s="4549"/>
      <c r="I203" s="4548"/>
      <c r="J203" s="3396"/>
      <c r="K203" s="3396"/>
      <c r="L203" s="4549"/>
      <c r="M203" s="4547"/>
      <c r="N203" s="4548"/>
      <c r="O203" s="4549"/>
      <c r="P203" s="4548"/>
      <c r="Q203" s="3397"/>
      <c r="R203" s="3398" t="s">
        <v>1876</v>
      </c>
      <c r="S203" s="3399" t="s">
        <v>4069</v>
      </c>
    </row>
    <row r="204" spans="4:19" ht="16.5" customHeight="1" x14ac:dyDescent="0.25">
      <c r="D204" s="3395"/>
      <c r="E204" s="4546" t="s">
        <v>1815</v>
      </c>
      <c r="F204" s="4547"/>
      <c r="G204" s="4548"/>
      <c r="H204" s="4549"/>
      <c r="I204" s="4548"/>
      <c r="J204" s="3396"/>
      <c r="K204" s="3396"/>
      <c r="L204" s="4549"/>
      <c r="M204" s="4547"/>
      <c r="N204" s="4548"/>
      <c r="O204" s="4549"/>
      <c r="P204" s="4548"/>
      <c r="Q204" s="3397"/>
      <c r="R204" s="3398" t="s">
        <v>1877</v>
      </c>
      <c r="S204" s="3399" t="s">
        <v>4070</v>
      </c>
    </row>
    <row r="205" spans="4:19" ht="16.5" customHeight="1" x14ac:dyDescent="0.25">
      <c r="D205" s="3395"/>
      <c r="E205" s="4546" t="s">
        <v>1815</v>
      </c>
      <c r="F205" s="4547"/>
      <c r="G205" s="4548"/>
      <c r="H205" s="4549" t="s">
        <v>4545</v>
      </c>
      <c r="I205" s="4548"/>
      <c r="J205" s="3396" t="s">
        <v>2056</v>
      </c>
      <c r="K205" s="3396" t="s">
        <v>738</v>
      </c>
      <c r="L205" s="4549" t="s">
        <v>2038</v>
      </c>
      <c r="M205" s="4547"/>
      <c r="N205" s="4548"/>
      <c r="O205" s="4549" t="s">
        <v>2039</v>
      </c>
      <c r="P205" s="4548"/>
      <c r="Q205" s="3397" t="s">
        <v>1903</v>
      </c>
      <c r="R205" s="3398"/>
      <c r="S205" s="3399" t="s">
        <v>4073</v>
      </c>
    </row>
    <row r="206" spans="4:19" ht="16.5" customHeight="1" x14ac:dyDescent="0.25">
      <c r="D206" s="3395"/>
      <c r="E206" s="4546" t="s">
        <v>1815</v>
      </c>
      <c r="F206" s="4547"/>
      <c r="G206" s="4548"/>
      <c r="H206" s="4549"/>
      <c r="I206" s="4548"/>
      <c r="J206" s="3396"/>
      <c r="K206" s="3396"/>
      <c r="L206" s="4549"/>
      <c r="M206" s="4547"/>
      <c r="N206" s="4548"/>
      <c r="O206" s="4549"/>
      <c r="P206" s="4548"/>
      <c r="Q206" s="3397"/>
      <c r="R206" s="3398" t="s">
        <v>1905</v>
      </c>
      <c r="S206" s="3399" t="s">
        <v>4073</v>
      </c>
    </row>
    <row r="207" spans="4:19" ht="16.5" customHeight="1" x14ac:dyDescent="0.25">
      <c r="D207" s="3395"/>
      <c r="E207" s="4546" t="s">
        <v>1815</v>
      </c>
      <c r="F207" s="4547"/>
      <c r="G207" s="4548"/>
      <c r="H207" s="4549" t="s">
        <v>4545</v>
      </c>
      <c r="I207" s="4548"/>
      <c r="J207" s="3396" t="s">
        <v>2056</v>
      </c>
      <c r="K207" s="3396" t="s">
        <v>738</v>
      </c>
      <c r="L207" s="4549" t="s">
        <v>2038</v>
      </c>
      <c r="M207" s="4547"/>
      <c r="N207" s="4548"/>
      <c r="O207" s="4549" t="s">
        <v>2039</v>
      </c>
      <c r="P207" s="4548"/>
      <c r="Q207" s="3397" t="s">
        <v>1906</v>
      </c>
      <c r="R207" s="3398"/>
      <c r="S207" s="3399" t="s">
        <v>4670</v>
      </c>
    </row>
    <row r="208" spans="4:19" ht="16.5" customHeight="1" x14ac:dyDescent="0.25">
      <c r="D208" s="3395"/>
      <c r="E208" s="4546" t="s">
        <v>1815</v>
      </c>
      <c r="F208" s="4547"/>
      <c r="G208" s="4548"/>
      <c r="H208" s="4549"/>
      <c r="I208" s="4548"/>
      <c r="J208" s="3396"/>
      <c r="K208" s="3396"/>
      <c r="L208" s="4549"/>
      <c r="M208" s="4547"/>
      <c r="N208" s="4548"/>
      <c r="O208" s="4549"/>
      <c r="P208" s="4548"/>
      <c r="Q208" s="3397"/>
      <c r="R208" s="3398" t="s">
        <v>1978</v>
      </c>
      <c r="S208" s="3399" t="s">
        <v>4670</v>
      </c>
    </row>
    <row r="209" spans="4:19" ht="53.25" customHeight="1" x14ac:dyDescent="0.25">
      <c r="D209" s="3395" t="s">
        <v>4671</v>
      </c>
      <c r="E209" s="4546" t="s">
        <v>4672</v>
      </c>
      <c r="F209" s="4547"/>
      <c r="G209" s="4548"/>
      <c r="H209" s="4549"/>
      <c r="I209" s="4548"/>
      <c r="J209" s="3396"/>
      <c r="K209" s="3396"/>
      <c r="L209" s="4549"/>
      <c r="M209" s="4547"/>
      <c r="N209" s="4548"/>
      <c r="O209" s="4549"/>
      <c r="P209" s="4548"/>
      <c r="Q209" s="3397"/>
      <c r="R209" s="3398"/>
      <c r="S209" s="3399" t="s">
        <v>4673</v>
      </c>
    </row>
    <row r="210" spans="4:19" ht="16.5" customHeight="1" x14ac:dyDescent="0.25">
      <c r="D210" s="3395"/>
      <c r="E210" s="4546" t="s">
        <v>1815</v>
      </c>
      <c r="F210" s="4547"/>
      <c r="G210" s="4548"/>
      <c r="H210" s="4549" t="s">
        <v>4545</v>
      </c>
      <c r="I210" s="4548"/>
      <c r="J210" s="3396" t="s">
        <v>2056</v>
      </c>
      <c r="K210" s="3396" t="s">
        <v>738</v>
      </c>
      <c r="L210" s="4549" t="s">
        <v>1958</v>
      </c>
      <c r="M210" s="4547"/>
      <c r="N210" s="4548"/>
      <c r="O210" s="4549" t="s">
        <v>1959</v>
      </c>
      <c r="P210" s="4548"/>
      <c r="Q210" s="3397" t="s">
        <v>1885</v>
      </c>
      <c r="R210" s="3398"/>
      <c r="S210" s="3399" t="s">
        <v>4674</v>
      </c>
    </row>
    <row r="211" spans="4:19" ht="16.5" customHeight="1" x14ac:dyDescent="0.25">
      <c r="D211" s="3395"/>
      <c r="E211" s="4546" t="s">
        <v>1815</v>
      </c>
      <c r="F211" s="4547"/>
      <c r="G211" s="4548"/>
      <c r="H211" s="4549"/>
      <c r="I211" s="4548"/>
      <c r="J211" s="3396"/>
      <c r="K211" s="3396"/>
      <c r="L211" s="4549"/>
      <c r="M211" s="4547"/>
      <c r="N211" s="4548"/>
      <c r="O211" s="4549"/>
      <c r="P211" s="4548"/>
      <c r="Q211" s="3397"/>
      <c r="R211" s="3398" t="s">
        <v>1925</v>
      </c>
      <c r="S211" s="3399" t="s">
        <v>4203</v>
      </c>
    </row>
    <row r="212" spans="4:19" ht="16.5" customHeight="1" x14ac:dyDescent="0.25">
      <c r="D212" s="3395"/>
      <c r="E212" s="4546" t="s">
        <v>1815</v>
      </c>
      <c r="F212" s="4547"/>
      <c r="G212" s="4548"/>
      <c r="H212" s="4549"/>
      <c r="I212" s="4548"/>
      <c r="J212" s="3396"/>
      <c r="K212" s="3396"/>
      <c r="L212" s="4549"/>
      <c r="M212" s="4547"/>
      <c r="N212" s="4548"/>
      <c r="O212" s="4549"/>
      <c r="P212" s="4548"/>
      <c r="Q212" s="3397"/>
      <c r="R212" s="3398" t="s">
        <v>1886</v>
      </c>
      <c r="S212" s="3399" t="s">
        <v>4675</v>
      </c>
    </row>
    <row r="213" spans="4:19" ht="16.5" customHeight="1" x14ac:dyDescent="0.25">
      <c r="D213" s="3395"/>
      <c r="E213" s="4546" t="s">
        <v>1815</v>
      </c>
      <c r="F213" s="4547"/>
      <c r="G213" s="4548"/>
      <c r="H213" s="4549"/>
      <c r="I213" s="4548"/>
      <c r="J213" s="3396"/>
      <c r="K213" s="3396"/>
      <c r="L213" s="4549"/>
      <c r="M213" s="4547"/>
      <c r="N213" s="4548"/>
      <c r="O213" s="4549"/>
      <c r="P213" s="4548"/>
      <c r="Q213" s="3397"/>
      <c r="R213" s="3398" t="s">
        <v>1888</v>
      </c>
      <c r="S213" s="3399" t="s">
        <v>4676</v>
      </c>
    </row>
    <row r="214" spans="4:19" ht="16.5" customHeight="1" x14ac:dyDescent="0.25">
      <c r="D214" s="3395"/>
      <c r="E214" s="4546" t="s">
        <v>1815</v>
      </c>
      <c r="F214" s="4547"/>
      <c r="G214" s="4548"/>
      <c r="H214" s="4549" t="s">
        <v>4545</v>
      </c>
      <c r="I214" s="4548"/>
      <c r="J214" s="3396" t="s">
        <v>2056</v>
      </c>
      <c r="K214" s="3396" t="s">
        <v>738</v>
      </c>
      <c r="L214" s="4549" t="s">
        <v>1958</v>
      </c>
      <c r="M214" s="4547"/>
      <c r="N214" s="4548"/>
      <c r="O214" s="4549" t="s">
        <v>1959</v>
      </c>
      <c r="P214" s="4548"/>
      <c r="Q214" s="3397" t="s">
        <v>1906</v>
      </c>
      <c r="R214" s="3398"/>
      <c r="S214" s="3399" t="s">
        <v>4677</v>
      </c>
    </row>
    <row r="215" spans="4:19" ht="16.5" customHeight="1" x14ac:dyDescent="0.25">
      <c r="D215" s="3395"/>
      <c r="E215" s="4546" t="s">
        <v>1815</v>
      </c>
      <c r="F215" s="4547"/>
      <c r="G215" s="4548"/>
      <c r="H215" s="4549"/>
      <c r="I215" s="4548"/>
      <c r="J215" s="3396"/>
      <c r="K215" s="3396"/>
      <c r="L215" s="4549"/>
      <c r="M215" s="4547"/>
      <c r="N215" s="4548"/>
      <c r="O215" s="4549"/>
      <c r="P215" s="4548"/>
      <c r="Q215" s="3397"/>
      <c r="R215" s="3398" t="s">
        <v>1909</v>
      </c>
      <c r="S215" s="3399" t="s">
        <v>4677</v>
      </c>
    </row>
    <row r="216" spans="4:19" ht="40.5" customHeight="1" x14ac:dyDescent="0.25">
      <c r="D216" s="3395" t="s">
        <v>4678</v>
      </c>
      <c r="E216" s="4546" t="s">
        <v>4679</v>
      </c>
      <c r="F216" s="4547"/>
      <c r="G216" s="4548"/>
      <c r="H216" s="4549"/>
      <c r="I216" s="4548"/>
      <c r="J216" s="3396"/>
      <c r="K216" s="3396"/>
      <c r="L216" s="4549"/>
      <c r="M216" s="4547"/>
      <c r="N216" s="4548"/>
      <c r="O216" s="4549"/>
      <c r="P216" s="4548"/>
      <c r="Q216" s="3397"/>
      <c r="R216" s="3398"/>
      <c r="S216" s="3399" t="s">
        <v>4680</v>
      </c>
    </row>
    <row r="217" spans="4:19" ht="16.5" customHeight="1" x14ac:dyDescent="0.25">
      <c r="D217" s="3395"/>
      <c r="E217" s="4546" t="s">
        <v>1815</v>
      </c>
      <c r="F217" s="4547"/>
      <c r="G217" s="4548"/>
      <c r="H217" s="4549" t="s">
        <v>4545</v>
      </c>
      <c r="I217" s="4548"/>
      <c r="J217" s="3396" t="s">
        <v>2056</v>
      </c>
      <c r="K217" s="3396" t="s">
        <v>738</v>
      </c>
      <c r="L217" s="4549" t="s">
        <v>1958</v>
      </c>
      <c r="M217" s="4547"/>
      <c r="N217" s="4548"/>
      <c r="O217" s="4549" t="s">
        <v>1959</v>
      </c>
      <c r="P217" s="4548"/>
      <c r="Q217" s="3397" t="s">
        <v>1885</v>
      </c>
      <c r="R217" s="3398"/>
      <c r="S217" s="3399" t="s">
        <v>4681</v>
      </c>
    </row>
    <row r="218" spans="4:19" ht="16.5" customHeight="1" x14ac:dyDescent="0.25">
      <c r="D218" s="3395"/>
      <c r="E218" s="4546" t="s">
        <v>1815</v>
      </c>
      <c r="F218" s="4547"/>
      <c r="G218" s="4548"/>
      <c r="H218" s="4549"/>
      <c r="I218" s="4548"/>
      <c r="J218" s="3396"/>
      <c r="K218" s="3396"/>
      <c r="L218" s="4549"/>
      <c r="M218" s="4547"/>
      <c r="N218" s="4548"/>
      <c r="O218" s="4549"/>
      <c r="P218" s="4548"/>
      <c r="Q218" s="3397"/>
      <c r="R218" s="3398" t="s">
        <v>1925</v>
      </c>
      <c r="S218" s="3399" t="s">
        <v>4682</v>
      </c>
    </row>
    <row r="219" spans="4:19" ht="16.5" customHeight="1" x14ac:dyDescent="0.25">
      <c r="D219" s="3395"/>
      <c r="E219" s="4546" t="s">
        <v>1815</v>
      </c>
      <c r="F219" s="4547"/>
      <c r="G219" s="4548"/>
      <c r="H219" s="4549"/>
      <c r="I219" s="4548"/>
      <c r="J219" s="3396"/>
      <c r="K219" s="3396"/>
      <c r="L219" s="4549"/>
      <c r="M219" s="4547"/>
      <c r="N219" s="4548"/>
      <c r="O219" s="4549"/>
      <c r="P219" s="4548"/>
      <c r="Q219" s="3397"/>
      <c r="R219" s="3398" t="s">
        <v>1886</v>
      </c>
      <c r="S219" s="3399" t="s">
        <v>4683</v>
      </c>
    </row>
    <row r="220" spans="4:19" ht="16.5" customHeight="1" x14ac:dyDescent="0.25">
      <c r="D220" s="3395"/>
      <c r="E220" s="4546" t="s">
        <v>1815</v>
      </c>
      <c r="F220" s="4547"/>
      <c r="G220" s="4548"/>
      <c r="H220" s="4549"/>
      <c r="I220" s="4548"/>
      <c r="J220" s="3396"/>
      <c r="K220" s="3396"/>
      <c r="L220" s="4549"/>
      <c r="M220" s="4547"/>
      <c r="N220" s="4548"/>
      <c r="O220" s="4549"/>
      <c r="P220" s="4548"/>
      <c r="Q220" s="3397"/>
      <c r="R220" s="3398" t="s">
        <v>1888</v>
      </c>
      <c r="S220" s="3399" t="s">
        <v>4684</v>
      </c>
    </row>
    <row r="221" spans="4:19" ht="16.5" customHeight="1" x14ac:dyDescent="0.25">
      <c r="D221" s="3395"/>
      <c r="E221" s="4546" t="s">
        <v>1815</v>
      </c>
      <c r="F221" s="4547"/>
      <c r="G221" s="4548"/>
      <c r="H221" s="4549" t="s">
        <v>4545</v>
      </c>
      <c r="I221" s="4548"/>
      <c r="J221" s="3396" t="s">
        <v>2056</v>
      </c>
      <c r="K221" s="3396" t="s">
        <v>738</v>
      </c>
      <c r="L221" s="4549" t="s">
        <v>1958</v>
      </c>
      <c r="M221" s="4547"/>
      <c r="N221" s="4548"/>
      <c r="O221" s="4549" t="s">
        <v>1959</v>
      </c>
      <c r="P221" s="4548"/>
      <c r="Q221" s="3397" t="s">
        <v>1889</v>
      </c>
      <c r="R221" s="3398"/>
      <c r="S221" s="3399" t="s">
        <v>4399</v>
      </c>
    </row>
    <row r="222" spans="4:19" ht="16.5" customHeight="1" x14ac:dyDescent="0.25">
      <c r="D222" s="3395"/>
      <c r="E222" s="4546" t="s">
        <v>1815</v>
      </c>
      <c r="F222" s="4547"/>
      <c r="G222" s="4548"/>
      <c r="H222" s="4549"/>
      <c r="I222" s="4548"/>
      <c r="J222" s="3396"/>
      <c r="K222" s="3396"/>
      <c r="L222" s="4549"/>
      <c r="M222" s="4547"/>
      <c r="N222" s="4548"/>
      <c r="O222" s="4549"/>
      <c r="P222" s="4548"/>
      <c r="Q222" s="3397"/>
      <c r="R222" s="3398" t="s">
        <v>1921</v>
      </c>
      <c r="S222" s="3399" t="s">
        <v>4400</v>
      </c>
    </row>
    <row r="223" spans="4:19" ht="16.5" customHeight="1" x14ac:dyDescent="0.25">
      <c r="D223" s="3395"/>
      <c r="E223" s="4546" t="s">
        <v>1815</v>
      </c>
      <c r="F223" s="4547"/>
      <c r="G223" s="4548"/>
      <c r="H223" s="4549"/>
      <c r="I223" s="4548"/>
      <c r="J223" s="3396"/>
      <c r="K223" s="3396"/>
      <c r="L223" s="4549"/>
      <c r="M223" s="4547"/>
      <c r="N223" s="4548"/>
      <c r="O223" s="4549"/>
      <c r="P223" s="4548"/>
      <c r="Q223" s="3397"/>
      <c r="R223" s="3398" t="s">
        <v>1890</v>
      </c>
      <c r="S223" s="3399" t="s">
        <v>4401</v>
      </c>
    </row>
    <row r="224" spans="4:19" ht="66.75" customHeight="1" x14ac:dyDescent="0.25">
      <c r="D224" s="3395" t="s">
        <v>4685</v>
      </c>
      <c r="E224" s="4546" t="s">
        <v>4686</v>
      </c>
      <c r="F224" s="4547"/>
      <c r="G224" s="4548"/>
      <c r="H224" s="4549"/>
      <c r="I224" s="4548"/>
      <c r="J224" s="3396"/>
      <c r="K224" s="3396"/>
      <c r="L224" s="4549"/>
      <c r="M224" s="4547"/>
      <c r="N224" s="4548"/>
      <c r="O224" s="4549"/>
      <c r="P224" s="4548"/>
      <c r="Q224" s="3397"/>
      <c r="R224" s="3398"/>
      <c r="S224" s="3399" t="s">
        <v>4687</v>
      </c>
    </row>
    <row r="225" spans="4:19" ht="16.5" customHeight="1" x14ac:dyDescent="0.25">
      <c r="D225" s="3395"/>
      <c r="E225" s="4546" t="s">
        <v>1815</v>
      </c>
      <c r="F225" s="4547"/>
      <c r="G225" s="4548"/>
      <c r="H225" s="4549" t="s">
        <v>4545</v>
      </c>
      <c r="I225" s="4548"/>
      <c r="J225" s="3396" t="s">
        <v>2056</v>
      </c>
      <c r="K225" s="3396" t="s">
        <v>738</v>
      </c>
      <c r="L225" s="4549" t="s">
        <v>1846</v>
      </c>
      <c r="M225" s="4547"/>
      <c r="N225" s="4548"/>
      <c r="O225" s="4549" t="s">
        <v>1847</v>
      </c>
      <c r="P225" s="4548"/>
      <c r="Q225" s="3397" t="s">
        <v>1853</v>
      </c>
      <c r="R225" s="3398"/>
      <c r="S225" s="3399" t="s">
        <v>4688</v>
      </c>
    </row>
    <row r="226" spans="4:19" ht="16.5" customHeight="1" x14ac:dyDescent="0.25">
      <c r="D226" s="3395"/>
      <c r="E226" s="4546" t="s">
        <v>1815</v>
      </c>
      <c r="F226" s="4547"/>
      <c r="G226" s="4548"/>
      <c r="H226" s="4549"/>
      <c r="I226" s="4548"/>
      <c r="J226" s="3396"/>
      <c r="K226" s="3396"/>
      <c r="L226" s="4549"/>
      <c r="M226" s="4547"/>
      <c r="N226" s="4548"/>
      <c r="O226" s="4549"/>
      <c r="P226" s="4548"/>
      <c r="Q226" s="3397"/>
      <c r="R226" s="3398" t="s">
        <v>1856</v>
      </c>
      <c r="S226" s="3399" t="s">
        <v>4688</v>
      </c>
    </row>
    <row r="227" spans="4:19" ht="16.5" customHeight="1" x14ac:dyDescent="0.25">
      <c r="D227" s="3395"/>
      <c r="E227" s="4546" t="s">
        <v>1815</v>
      </c>
      <c r="F227" s="4547"/>
      <c r="G227" s="4548"/>
      <c r="H227" s="4549" t="s">
        <v>4545</v>
      </c>
      <c r="I227" s="4548"/>
      <c r="J227" s="3396" t="s">
        <v>2056</v>
      </c>
      <c r="K227" s="3396" t="s">
        <v>738</v>
      </c>
      <c r="L227" s="4549" t="s">
        <v>1846</v>
      </c>
      <c r="M227" s="4547"/>
      <c r="N227" s="4548"/>
      <c r="O227" s="4549" t="s">
        <v>1847</v>
      </c>
      <c r="P227" s="4548"/>
      <c r="Q227" s="3397" t="s">
        <v>1885</v>
      </c>
      <c r="R227" s="3398"/>
      <c r="S227" s="3399" t="s">
        <v>4632</v>
      </c>
    </row>
    <row r="228" spans="4:19" ht="16.5" customHeight="1" x14ac:dyDescent="0.25">
      <c r="D228" s="3395"/>
      <c r="E228" s="4546" t="s">
        <v>1815</v>
      </c>
      <c r="F228" s="4547"/>
      <c r="G228" s="4548"/>
      <c r="H228" s="4549"/>
      <c r="I228" s="4548"/>
      <c r="J228" s="3396"/>
      <c r="K228" s="3396"/>
      <c r="L228" s="4549"/>
      <c r="M228" s="4547"/>
      <c r="N228" s="4548"/>
      <c r="O228" s="4549"/>
      <c r="P228" s="4548"/>
      <c r="Q228" s="3397"/>
      <c r="R228" s="3398" t="s">
        <v>1888</v>
      </c>
      <c r="S228" s="3399" t="s">
        <v>4632</v>
      </c>
    </row>
    <row r="229" spans="4:19" ht="16.5" customHeight="1" x14ac:dyDescent="0.25">
      <c r="D229" s="3395"/>
      <c r="E229" s="4546" t="s">
        <v>1815</v>
      </c>
      <c r="F229" s="4547"/>
      <c r="G229" s="4548"/>
      <c r="H229" s="4549" t="s">
        <v>4545</v>
      </c>
      <c r="I229" s="4548"/>
      <c r="J229" s="3396" t="s">
        <v>2056</v>
      </c>
      <c r="K229" s="3396" t="s">
        <v>738</v>
      </c>
      <c r="L229" s="4549" t="s">
        <v>1846</v>
      </c>
      <c r="M229" s="4547"/>
      <c r="N229" s="4548"/>
      <c r="O229" s="4549" t="s">
        <v>1847</v>
      </c>
      <c r="P229" s="4548"/>
      <c r="Q229" s="3397" t="s">
        <v>1889</v>
      </c>
      <c r="R229" s="3398"/>
      <c r="S229" s="3399" t="s">
        <v>4307</v>
      </c>
    </row>
    <row r="230" spans="4:19" ht="16.5" customHeight="1" x14ac:dyDescent="0.25">
      <c r="D230" s="3395"/>
      <c r="E230" s="4546" t="s">
        <v>1815</v>
      </c>
      <c r="F230" s="4547"/>
      <c r="G230" s="4548"/>
      <c r="H230" s="4549"/>
      <c r="I230" s="4548"/>
      <c r="J230" s="3396"/>
      <c r="K230" s="3396"/>
      <c r="L230" s="4549"/>
      <c r="M230" s="4547"/>
      <c r="N230" s="4548"/>
      <c r="O230" s="4549"/>
      <c r="P230" s="4548"/>
      <c r="Q230" s="3397"/>
      <c r="R230" s="3398" t="s">
        <v>1890</v>
      </c>
      <c r="S230" s="3399" t="s">
        <v>4307</v>
      </c>
    </row>
    <row r="231" spans="4:19" ht="16.5" customHeight="1" x14ac:dyDescent="0.25">
      <c r="D231" s="3395"/>
      <c r="E231" s="4546" t="s">
        <v>1815</v>
      </c>
      <c r="F231" s="4547"/>
      <c r="G231" s="4548"/>
      <c r="H231" s="4549" t="s">
        <v>4545</v>
      </c>
      <c r="I231" s="4548"/>
      <c r="J231" s="3396" t="s">
        <v>2056</v>
      </c>
      <c r="K231" s="3396" t="s">
        <v>738</v>
      </c>
      <c r="L231" s="4549" t="s">
        <v>1846</v>
      </c>
      <c r="M231" s="4547"/>
      <c r="N231" s="4548"/>
      <c r="O231" s="4549" t="s">
        <v>1847</v>
      </c>
      <c r="P231" s="4548"/>
      <c r="Q231" s="3397" t="s">
        <v>1906</v>
      </c>
      <c r="R231" s="3398"/>
      <c r="S231" s="3399" t="s">
        <v>4689</v>
      </c>
    </row>
    <row r="232" spans="4:19" ht="16.5" customHeight="1" x14ac:dyDescent="0.25">
      <c r="D232" s="3395"/>
      <c r="E232" s="4546" t="s">
        <v>1815</v>
      </c>
      <c r="F232" s="4547"/>
      <c r="G232" s="4548"/>
      <c r="H232" s="4549"/>
      <c r="I232" s="4548"/>
      <c r="J232" s="3396"/>
      <c r="K232" s="3396"/>
      <c r="L232" s="4549"/>
      <c r="M232" s="4547"/>
      <c r="N232" s="4548"/>
      <c r="O232" s="4549"/>
      <c r="P232" s="4548"/>
      <c r="Q232" s="3397"/>
      <c r="R232" s="3398" t="s">
        <v>1907</v>
      </c>
      <c r="S232" s="3399" t="s">
        <v>4690</v>
      </c>
    </row>
    <row r="233" spans="4:19" ht="16.5" customHeight="1" x14ac:dyDescent="0.25">
      <c r="D233" s="3395"/>
      <c r="E233" s="4546" t="s">
        <v>1815</v>
      </c>
      <c r="F233" s="4547"/>
      <c r="G233" s="4548"/>
      <c r="H233" s="4549"/>
      <c r="I233" s="4548"/>
      <c r="J233" s="3396"/>
      <c r="K233" s="3396"/>
      <c r="L233" s="4549"/>
      <c r="M233" s="4547"/>
      <c r="N233" s="4548"/>
      <c r="O233" s="4549"/>
      <c r="P233" s="4548"/>
      <c r="Q233" s="3397"/>
      <c r="R233" s="3398" t="s">
        <v>1978</v>
      </c>
      <c r="S233" s="3399" t="s">
        <v>3800</v>
      </c>
    </row>
    <row r="234" spans="4:19" ht="16.5" customHeight="1" x14ac:dyDescent="0.25">
      <c r="D234" s="3395"/>
      <c r="E234" s="4546" t="s">
        <v>1815</v>
      </c>
      <c r="F234" s="4547"/>
      <c r="G234" s="4548"/>
      <c r="H234" s="4549" t="s">
        <v>4545</v>
      </c>
      <c r="I234" s="4548"/>
      <c r="J234" s="3396" t="s">
        <v>2056</v>
      </c>
      <c r="K234" s="3396" t="s">
        <v>738</v>
      </c>
      <c r="L234" s="4549" t="s">
        <v>1958</v>
      </c>
      <c r="M234" s="4547"/>
      <c r="N234" s="4548"/>
      <c r="O234" s="4549" t="s">
        <v>1959</v>
      </c>
      <c r="P234" s="4548"/>
      <c r="Q234" s="3397" t="s">
        <v>1885</v>
      </c>
      <c r="R234" s="3398"/>
      <c r="S234" s="3399" t="s">
        <v>4691</v>
      </c>
    </row>
    <row r="235" spans="4:19" ht="16.5" customHeight="1" x14ac:dyDescent="0.25">
      <c r="D235" s="3395"/>
      <c r="E235" s="4546" t="s">
        <v>1815</v>
      </c>
      <c r="F235" s="4547"/>
      <c r="G235" s="4548"/>
      <c r="H235" s="4549"/>
      <c r="I235" s="4548"/>
      <c r="J235" s="3396"/>
      <c r="K235" s="3396"/>
      <c r="L235" s="4549"/>
      <c r="M235" s="4547"/>
      <c r="N235" s="4548"/>
      <c r="O235" s="4549"/>
      <c r="P235" s="4548"/>
      <c r="Q235" s="3397"/>
      <c r="R235" s="3398" t="s">
        <v>1925</v>
      </c>
      <c r="S235" s="3399" t="s">
        <v>4692</v>
      </c>
    </row>
    <row r="236" spans="4:19" ht="16.5" customHeight="1" x14ac:dyDescent="0.25">
      <c r="D236" s="3395"/>
      <c r="E236" s="4546" t="s">
        <v>1815</v>
      </c>
      <c r="F236" s="4547"/>
      <c r="G236" s="4548"/>
      <c r="H236" s="4549"/>
      <c r="I236" s="4548"/>
      <c r="J236" s="3396"/>
      <c r="K236" s="3396"/>
      <c r="L236" s="4549"/>
      <c r="M236" s="4547"/>
      <c r="N236" s="4548"/>
      <c r="O236" s="4549"/>
      <c r="P236" s="4548"/>
      <c r="Q236" s="3397"/>
      <c r="R236" s="3398" t="s">
        <v>1888</v>
      </c>
      <c r="S236" s="3399" t="s">
        <v>4693</v>
      </c>
    </row>
    <row r="237" spans="4:19" ht="16.5" customHeight="1" x14ac:dyDescent="0.25">
      <c r="D237" s="3395"/>
      <c r="E237" s="4546" t="s">
        <v>1815</v>
      </c>
      <c r="F237" s="4547"/>
      <c r="G237" s="4548"/>
      <c r="H237" s="4549" t="s">
        <v>4545</v>
      </c>
      <c r="I237" s="4548"/>
      <c r="J237" s="3396" t="s">
        <v>2056</v>
      </c>
      <c r="K237" s="3396" t="s">
        <v>738</v>
      </c>
      <c r="L237" s="4549" t="s">
        <v>1958</v>
      </c>
      <c r="M237" s="4547"/>
      <c r="N237" s="4548"/>
      <c r="O237" s="4549" t="s">
        <v>1959</v>
      </c>
      <c r="P237" s="4548"/>
      <c r="Q237" s="3397" t="s">
        <v>1906</v>
      </c>
      <c r="R237" s="3398"/>
      <c r="S237" s="3399" t="s">
        <v>4694</v>
      </c>
    </row>
    <row r="238" spans="4:19" ht="16.5" customHeight="1" x14ac:dyDescent="0.25">
      <c r="D238" s="3395"/>
      <c r="E238" s="4546" t="s">
        <v>1815</v>
      </c>
      <c r="F238" s="4547"/>
      <c r="G238" s="4548"/>
      <c r="H238" s="4549"/>
      <c r="I238" s="4548"/>
      <c r="J238" s="3396"/>
      <c r="K238" s="3396"/>
      <c r="L238" s="4549"/>
      <c r="M238" s="4547"/>
      <c r="N238" s="4548"/>
      <c r="O238" s="4549"/>
      <c r="P238" s="4548"/>
      <c r="Q238" s="3397"/>
      <c r="R238" s="3398" t="s">
        <v>1909</v>
      </c>
      <c r="S238" s="3399" t="s">
        <v>4694</v>
      </c>
    </row>
    <row r="239" spans="4:19" ht="16.5" customHeight="1" x14ac:dyDescent="0.25">
      <c r="D239" s="3395" t="s">
        <v>4695</v>
      </c>
      <c r="E239" s="4546" t="s">
        <v>1815</v>
      </c>
      <c r="F239" s="4547"/>
      <c r="G239" s="4548"/>
      <c r="H239" s="4549"/>
      <c r="I239" s="4548"/>
      <c r="J239" s="3396"/>
      <c r="K239" s="3396"/>
      <c r="L239" s="4549"/>
      <c r="M239" s="4547"/>
      <c r="N239" s="4548"/>
      <c r="O239" s="4549"/>
      <c r="P239" s="4548"/>
      <c r="Q239" s="3397"/>
      <c r="R239" s="3398"/>
      <c r="S239" s="3399" t="s">
        <v>4696</v>
      </c>
    </row>
    <row r="240" spans="4:19" ht="16.5" customHeight="1" x14ac:dyDescent="0.25">
      <c r="D240" s="3395"/>
      <c r="E240" s="4546" t="s">
        <v>1815</v>
      </c>
      <c r="F240" s="4547"/>
      <c r="G240" s="4548"/>
      <c r="H240" s="4549" t="s">
        <v>4545</v>
      </c>
      <c r="I240" s="4548"/>
      <c r="J240" s="3396" t="s">
        <v>2056</v>
      </c>
      <c r="K240" s="3396" t="s">
        <v>4595</v>
      </c>
      <c r="L240" s="4549" t="s">
        <v>1919</v>
      </c>
      <c r="M240" s="4547"/>
      <c r="N240" s="4548"/>
      <c r="O240" s="4549" t="s">
        <v>2235</v>
      </c>
      <c r="P240" s="4548"/>
      <c r="Q240" s="3397" t="s">
        <v>2026</v>
      </c>
      <c r="R240" s="3398"/>
      <c r="S240" s="3399" t="s">
        <v>4696</v>
      </c>
    </row>
    <row r="241" spans="4:19" ht="16.5" customHeight="1" x14ac:dyDescent="0.25">
      <c r="D241" s="3395"/>
      <c r="E241" s="4546" t="s">
        <v>1815</v>
      </c>
      <c r="F241" s="4547"/>
      <c r="G241" s="4548"/>
      <c r="H241" s="4549"/>
      <c r="I241" s="4548"/>
      <c r="J241" s="3396"/>
      <c r="K241" s="3396"/>
      <c r="L241" s="4549"/>
      <c r="M241" s="4547"/>
      <c r="N241" s="4548"/>
      <c r="O241" s="4549"/>
      <c r="P241" s="4548"/>
      <c r="Q241" s="3397"/>
      <c r="R241" s="3398" t="s">
        <v>2029</v>
      </c>
      <c r="S241" s="3399" t="s">
        <v>4696</v>
      </c>
    </row>
    <row r="242" spans="4:19" ht="68.25" customHeight="1" x14ac:dyDescent="0.25">
      <c r="D242" s="3395" t="s">
        <v>4697</v>
      </c>
      <c r="E242" s="4546" t="s">
        <v>4698</v>
      </c>
      <c r="F242" s="4547"/>
      <c r="G242" s="4548"/>
      <c r="H242" s="4549"/>
      <c r="I242" s="4548"/>
      <c r="J242" s="3396"/>
      <c r="K242" s="3396"/>
      <c r="L242" s="4549"/>
      <c r="M242" s="4547"/>
      <c r="N242" s="4548"/>
      <c r="O242" s="4549"/>
      <c r="P242" s="4548"/>
      <c r="Q242" s="3397"/>
      <c r="R242" s="3398"/>
      <c r="S242" s="3399" t="s">
        <v>4699</v>
      </c>
    </row>
    <row r="243" spans="4:19" ht="16.5" customHeight="1" x14ac:dyDescent="0.25">
      <c r="D243" s="3395"/>
      <c r="E243" s="4546" t="s">
        <v>1815</v>
      </c>
      <c r="F243" s="4547"/>
      <c r="G243" s="4548"/>
      <c r="H243" s="4549" t="s">
        <v>4545</v>
      </c>
      <c r="I243" s="4548"/>
      <c r="J243" s="3396" t="s">
        <v>2056</v>
      </c>
      <c r="K243" s="3396" t="s">
        <v>738</v>
      </c>
      <c r="L243" s="4549" t="s">
        <v>1919</v>
      </c>
      <c r="M243" s="4547"/>
      <c r="N243" s="4548"/>
      <c r="O243" s="4549" t="s">
        <v>1931</v>
      </c>
      <c r="P243" s="4548"/>
      <c r="Q243" s="3397" t="s">
        <v>1896</v>
      </c>
      <c r="R243" s="3398"/>
      <c r="S243" s="3399" t="s">
        <v>4699</v>
      </c>
    </row>
    <row r="244" spans="4:19" ht="16.5" customHeight="1" x14ac:dyDescent="0.25">
      <c r="D244" s="3395"/>
      <c r="E244" s="4546" t="s">
        <v>1815</v>
      </c>
      <c r="F244" s="4547"/>
      <c r="G244" s="4548"/>
      <c r="H244" s="4549"/>
      <c r="I244" s="4548"/>
      <c r="J244" s="3396"/>
      <c r="K244" s="3396"/>
      <c r="L244" s="4549"/>
      <c r="M244" s="4547"/>
      <c r="N244" s="4548"/>
      <c r="O244" s="4549"/>
      <c r="P244" s="4548"/>
      <c r="Q244" s="3397"/>
      <c r="R244" s="3398" t="s">
        <v>1932</v>
      </c>
      <c r="S244" s="3399" t="s">
        <v>4699</v>
      </c>
    </row>
    <row r="245" spans="4:19" ht="16.5" customHeight="1" x14ac:dyDescent="0.25">
      <c r="D245" s="3395" t="s">
        <v>4700</v>
      </c>
      <c r="E245" s="4546" t="s">
        <v>1815</v>
      </c>
      <c r="F245" s="4547"/>
      <c r="G245" s="4548"/>
      <c r="H245" s="4549"/>
      <c r="I245" s="4548"/>
      <c r="J245" s="3396"/>
      <c r="K245" s="3396"/>
      <c r="L245" s="4549"/>
      <c r="M245" s="4547"/>
      <c r="N245" s="4548"/>
      <c r="O245" s="4549"/>
      <c r="P245" s="4548"/>
      <c r="Q245" s="3397"/>
      <c r="R245" s="3398"/>
      <c r="S245" s="3399" t="s">
        <v>4701</v>
      </c>
    </row>
    <row r="246" spans="4:19" ht="16.5" customHeight="1" x14ac:dyDescent="0.25">
      <c r="D246" s="3395"/>
      <c r="E246" s="4546" t="s">
        <v>1815</v>
      </c>
      <c r="F246" s="4547"/>
      <c r="G246" s="4548"/>
      <c r="H246" s="4549" t="s">
        <v>4545</v>
      </c>
      <c r="I246" s="4548"/>
      <c r="J246" s="3396" t="s">
        <v>2056</v>
      </c>
      <c r="K246" s="3396" t="s">
        <v>738</v>
      </c>
      <c r="L246" s="4549" t="s">
        <v>1933</v>
      </c>
      <c r="M246" s="4547"/>
      <c r="N246" s="4548"/>
      <c r="O246" s="4549" t="s">
        <v>4046</v>
      </c>
      <c r="P246" s="4548"/>
      <c r="Q246" s="3397" t="s">
        <v>1906</v>
      </c>
      <c r="R246" s="3398"/>
      <c r="S246" s="3399" t="s">
        <v>4702</v>
      </c>
    </row>
    <row r="247" spans="4:19" ht="16.5" customHeight="1" x14ac:dyDescent="0.25">
      <c r="D247" s="3395"/>
      <c r="E247" s="4546" t="s">
        <v>1815</v>
      </c>
      <c r="F247" s="4547"/>
      <c r="G247" s="4548"/>
      <c r="H247" s="4549"/>
      <c r="I247" s="4548"/>
      <c r="J247" s="3396"/>
      <c r="K247" s="3396"/>
      <c r="L247" s="4549"/>
      <c r="M247" s="4547"/>
      <c r="N247" s="4548"/>
      <c r="O247" s="4549"/>
      <c r="P247" s="4548"/>
      <c r="Q247" s="3397"/>
      <c r="R247" s="3398" t="s">
        <v>1909</v>
      </c>
      <c r="S247" s="3399" t="s">
        <v>4702</v>
      </c>
    </row>
    <row r="248" spans="4:19" ht="16.5" customHeight="1" x14ac:dyDescent="0.25">
      <c r="D248" s="3395"/>
      <c r="E248" s="4546" t="s">
        <v>1815</v>
      </c>
      <c r="F248" s="4547"/>
      <c r="G248" s="4548"/>
      <c r="H248" s="4549" t="s">
        <v>4545</v>
      </c>
      <c r="I248" s="4548"/>
      <c r="J248" s="3396" t="s">
        <v>2056</v>
      </c>
      <c r="K248" s="3396" t="s">
        <v>738</v>
      </c>
      <c r="L248" s="4549" t="s">
        <v>1958</v>
      </c>
      <c r="M248" s="4547"/>
      <c r="N248" s="4548"/>
      <c r="O248" s="4549" t="s">
        <v>1959</v>
      </c>
      <c r="P248" s="4548"/>
      <c r="Q248" s="3397" t="s">
        <v>1874</v>
      </c>
      <c r="R248" s="3398"/>
      <c r="S248" s="3399" t="s">
        <v>4703</v>
      </c>
    </row>
    <row r="249" spans="4:19" ht="16.5" customHeight="1" x14ac:dyDescent="0.25">
      <c r="D249" s="3395"/>
      <c r="E249" s="4546" t="s">
        <v>1815</v>
      </c>
      <c r="F249" s="4547"/>
      <c r="G249" s="4548"/>
      <c r="H249" s="4549"/>
      <c r="I249" s="4548"/>
      <c r="J249" s="3396"/>
      <c r="K249" s="3396"/>
      <c r="L249" s="4549"/>
      <c r="M249" s="4547"/>
      <c r="N249" s="4548"/>
      <c r="O249" s="4549"/>
      <c r="P249" s="4548"/>
      <c r="Q249" s="3397"/>
      <c r="R249" s="3398" t="s">
        <v>1876</v>
      </c>
      <c r="S249" s="3399" t="s">
        <v>4704</v>
      </c>
    </row>
    <row r="250" spans="4:19" ht="16.5" customHeight="1" x14ac:dyDescent="0.25">
      <c r="D250" s="3395"/>
      <c r="E250" s="4546" t="s">
        <v>1815</v>
      </c>
      <c r="F250" s="4547"/>
      <c r="G250" s="4548"/>
      <c r="H250" s="4549"/>
      <c r="I250" s="4548"/>
      <c r="J250" s="3396"/>
      <c r="K250" s="3396"/>
      <c r="L250" s="4549"/>
      <c r="M250" s="4547"/>
      <c r="N250" s="4548"/>
      <c r="O250" s="4549"/>
      <c r="P250" s="4548"/>
      <c r="Q250" s="3397"/>
      <c r="R250" s="3398" t="s">
        <v>1877</v>
      </c>
      <c r="S250" s="3399" t="s">
        <v>4705</v>
      </c>
    </row>
    <row r="251" spans="4:19" ht="16.5" customHeight="1" x14ac:dyDescent="0.25">
      <c r="D251" s="3395" t="s">
        <v>4706</v>
      </c>
      <c r="E251" s="4546" t="s">
        <v>1815</v>
      </c>
      <c r="F251" s="4547"/>
      <c r="G251" s="4548"/>
      <c r="H251" s="4549"/>
      <c r="I251" s="4548"/>
      <c r="J251" s="3396"/>
      <c r="K251" s="3396"/>
      <c r="L251" s="4549"/>
      <c r="M251" s="4547"/>
      <c r="N251" s="4548"/>
      <c r="O251" s="4549"/>
      <c r="P251" s="4548"/>
      <c r="Q251" s="3397"/>
      <c r="R251" s="3398"/>
      <c r="S251" s="3399" t="s">
        <v>4707</v>
      </c>
    </row>
    <row r="252" spans="4:19" ht="16.5" customHeight="1" x14ac:dyDescent="0.25">
      <c r="D252" s="3395"/>
      <c r="E252" s="4546" t="s">
        <v>1815</v>
      </c>
      <c r="F252" s="4547"/>
      <c r="G252" s="4548"/>
      <c r="H252" s="4549" t="s">
        <v>4545</v>
      </c>
      <c r="I252" s="4548"/>
      <c r="J252" s="3396" t="s">
        <v>2056</v>
      </c>
      <c r="K252" s="3396" t="s">
        <v>738</v>
      </c>
      <c r="L252" s="4549" t="s">
        <v>2038</v>
      </c>
      <c r="M252" s="4547"/>
      <c r="N252" s="4548"/>
      <c r="O252" s="4549" t="s">
        <v>2039</v>
      </c>
      <c r="P252" s="4548"/>
      <c r="Q252" s="3397" t="s">
        <v>1906</v>
      </c>
      <c r="R252" s="3398"/>
      <c r="S252" s="3399" t="s">
        <v>4707</v>
      </c>
    </row>
    <row r="253" spans="4:19" ht="16.5" customHeight="1" x14ac:dyDescent="0.25">
      <c r="D253" s="3395"/>
      <c r="E253" s="4546" t="s">
        <v>1815</v>
      </c>
      <c r="F253" s="4547"/>
      <c r="G253" s="4548"/>
      <c r="H253" s="4549"/>
      <c r="I253" s="4548"/>
      <c r="J253" s="3396"/>
      <c r="K253" s="3396"/>
      <c r="L253" s="4549"/>
      <c r="M253" s="4547"/>
      <c r="N253" s="4548"/>
      <c r="O253" s="4549"/>
      <c r="P253" s="4548"/>
      <c r="Q253" s="3397"/>
      <c r="R253" s="3398" t="s">
        <v>1978</v>
      </c>
      <c r="S253" s="3399" t="s">
        <v>4707</v>
      </c>
    </row>
    <row r="254" spans="4:19" ht="16.5" customHeight="1" x14ac:dyDescent="0.25">
      <c r="D254" s="3395" t="s">
        <v>4708</v>
      </c>
      <c r="E254" s="4546" t="s">
        <v>1815</v>
      </c>
      <c r="F254" s="4547"/>
      <c r="G254" s="4548"/>
      <c r="H254" s="4549"/>
      <c r="I254" s="4548"/>
      <c r="J254" s="3396"/>
      <c r="K254" s="3396"/>
      <c r="L254" s="4549"/>
      <c r="M254" s="4547"/>
      <c r="N254" s="4548"/>
      <c r="O254" s="4549"/>
      <c r="P254" s="4548"/>
      <c r="Q254" s="3397"/>
      <c r="R254" s="3398"/>
      <c r="S254" s="3399" t="s">
        <v>4709</v>
      </c>
    </row>
    <row r="255" spans="4:19" ht="16.5" customHeight="1" x14ac:dyDescent="0.25">
      <c r="D255" s="3395"/>
      <c r="E255" s="4546" t="s">
        <v>1815</v>
      </c>
      <c r="F255" s="4547"/>
      <c r="G255" s="4548"/>
      <c r="H255" s="4549" t="s">
        <v>4545</v>
      </c>
      <c r="I255" s="4548"/>
      <c r="J255" s="3396" t="s">
        <v>2056</v>
      </c>
      <c r="K255" s="3396" t="s">
        <v>738</v>
      </c>
      <c r="L255" s="4549" t="s">
        <v>1958</v>
      </c>
      <c r="M255" s="4547"/>
      <c r="N255" s="4548"/>
      <c r="O255" s="4549" t="s">
        <v>1959</v>
      </c>
      <c r="P255" s="4548"/>
      <c r="Q255" s="3397" t="s">
        <v>1885</v>
      </c>
      <c r="R255" s="3398"/>
      <c r="S255" s="3399" t="s">
        <v>4710</v>
      </c>
    </row>
    <row r="256" spans="4:19" ht="16.5" customHeight="1" x14ac:dyDescent="0.25">
      <c r="D256" s="3395"/>
      <c r="E256" s="4546" t="s">
        <v>1815</v>
      </c>
      <c r="F256" s="4547"/>
      <c r="G256" s="4548"/>
      <c r="H256" s="4549"/>
      <c r="I256" s="4548"/>
      <c r="J256" s="3396"/>
      <c r="K256" s="3396"/>
      <c r="L256" s="4549"/>
      <c r="M256" s="4547"/>
      <c r="N256" s="4548"/>
      <c r="O256" s="4549"/>
      <c r="P256" s="4548"/>
      <c r="Q256" s="3397"/>
      <c r="R256" s="3398" t="s">
        <v>1925</v>
      </c>
      <c r="S256" s="3399" t="s">
        <v>4711</v>
      </c>
    </row>
    <row r="257" spans="4:19" ht="16.5" customHeight="1" x14ac:dyDescent="0.25">
      <c r="D257" s="3395"/>
      <c r="E257" s="4546" t="s">
        <v>1815</v>
      </c>
      <c r="F257" s="4547"/>
      <c r="G257" s="4548"/>
      <c r="H257" s="4549"/>
      <c r="I257" s="4548"/>
      <c r="J257" s="3396"/>
      <c r="K257" s="3396"/>
      <c r="L257" s="4549"/>
      <c r="M257" s="4547"/>
      <c r="N257" s="4548"/>
      <c r="O257" s="4549"/>
      <c r="P257" s="4548"/>
      <c r="Q257" s="3397"/>
      <c r="R257" s="3398" t="s">
        <v>1886</v>
      </c>
      <c r="S257" s="3399" t="s">
        <v>3951</v>
      </c>
    </row>
    <row r="258" spans="4:19" ht="16.5" customHeight="1" x14ac:dyDescent="0.25">
      <c r="D258" s="3395"/>
      <c r="E258" s="4546" t="s">
        <v>1815</v>
      </c>
      <c r="F258" s="4547"/>
      <c r="G258" s="4548"/>
      <c r="H258" s="4549"/>
      <c r="I258" s="4548"/>
      <c r="J258" s="3396"/>
      <c r="K258" s="3396"/>
      <c r="L258" s="4549"/>
      <c r="M258" s="4547"/>
      <c r="N258" s="4548"/>
      <c r="O258" s="4549"/>
      <c r="P258" s="4548"/>
      <c r="Q258" s="3397"/>
      <c r="R258" s="3398" t="s">
        <v>1888</v>
      </c>
      <c r="S258" s="3399" t="s">
        <v>4712</v>
      </c>
    </row>
    <row r="259" spans="4:19" ht="16.5" customHeight="1" x14ac:dyDescent="0.25">
      <c r="D259" s="3395"/>
      <c r="E259" s="4546" t="s">
        <v>1815</v>
      </c>
      <c r="F259" s="4547"/>
      <c r="G259" s="4548"/>
      <c r="H259" s="4549" t="s">
        <v>4545</v>
      </c>
      <c r="I259" s="4548"/>
      <c r="J259" s="3396" t="s">
        <v>2056</v>
      </c>
      <c r="K259" s="3396" t="s">
        <v>738</v>
      </c>
      <c r="L259" s="4549" t="s">
        <v>1958</v>
      </c>
      <c r="M259" s="4547"/>
      <c r="N259" s="4548"/>
      <c r="O259" s="4549" t="s">
        <v>1959</v>
      </c>
      <c r="P259" s="4548"/>
      <c r="Q259" s="3397" t="s">
        <v>1906</v>
      </c>
      <c r="R259" s="3398"/>
      <c r="S259" s="3399" t="s">
        <v>4675</v>
      </c>
    </row>
    <row r="260" spans="4:19" ht="16.5" customHeight="1" x14ac:dyDescent="0.25">
      <c r="D260" s="3395"/>
      <c r="E260" s="4546" t="s">
        <v>1815</v>
      </c>
      <c r="F260" s="4547"/>
      <c r="G260" s="4548"/>
      <c r="H260" s="4549"/>
      <c r="I260" s="4548"/>
      <c r="J260" s="3396"/>
      <c r="K260" s="3396"/>
      <c r="L260" s="4549"/>
      <c r="M260" s="4547"/>
      <c r="N260" s="4548"/>
      <c r="O260" s="4549"/>
      <c r="P260" s="4548"/>
      <c r="Q260" s="3397"/>
      <c r="R260" s="3398" t="s">
        <v>1909</v>
      </c>
      <c r="S260" s="3399" t="s">
        <v>4675</v>
      </c>
    </row>
    <row r="261" spans="4:19" ht="45" customHeight="1" x14ac:dyDescent="0.25">
      <c r="D261" s="3395" t="s">
        <v>4713</v>
      </c>
      <c r="E261" s="4546" t="s">
        <v>4714</v>
      </c>
      <c r="F261" s="4547"/>
      <c r="G261" s="4548"/>
      <c r="H261" s="4549"/>
      <c r="I261" s="4548"/>
      <c r="J261" s="3396"/>
      <c r="K261" s="3396"/>
      <c r="L261" s="4549"/>
      <c r="M261" s="4547"/>
      <c r="N261" s="4548"/>
      <c r="O261" s="4549"/>
      <c r="P261" s="4548"/>
      <c r="Q261" s="3397"/>
      <c r="R261" s="3398"/>
      <c r="S261" s="3399" t="s">
        <v>4715</v>
      </c>
    </row>
    <row r="262" spans="4:19" ht="16.5" customHeight="1" x14ac:dyDescent="0.25">
      <c r="D262" s="3395"/>
      <c r="E262" s="4546" t="s">
        <v>1815</v>
      </c>
      <c r="F262" s="4547"/>
      <c r="G262" s="4548"/>
      <c r="H262" s="4549" t="s">
        <v>4545</v>
      </c>
      <c r="I262" s="4548"/>
      <c r="J262" s="3396" t="s">
        <v>2056</v>
      </c>
      <c r="K262" s="3396" t="s">
        <v>738</v>
      </c>
      <c r="L262" s="4549" t="s">
        <v>1958</v>
      </c>
      <c r="M262" s="4547"/>
      <c r="N262" s="4548"/>
      <c r="O262" s="4549" t="s">
        <v>1959</v>
      </c>
      <c r="P262" s="4548"/>
      <c r="Q262" s="3397" t="s">
        <v>1885</v>
      </c>
      <c r="R262" s="3398"/>
      <c r="S262" s="3399" t="s">
        <v>4715</v>
      </c>
    </row>
    <row r="263" spans="4:19" ht="16.5" customHeight="1" x14ac:dyDescent="0.25">
      <c r="D263" s="3395"/>
      <c r="E263" s="4546" t="s">
        <v>1815</v>
      </c>
      <c r="F263" s="4547"/>
      <c r="G263" s="4548"/>
      <c r="H263" s="4549"/>
      <c r="I263" s="4548"/>
      <c r="J263" s="3396"/>
      <c r="K263" s="3396"/>
      <c r="L263" s="4549"/>
      <c r="M263" s="4547"/>
      <c r="N263" s="4548"/>
      <c r="O263" s="4549"/>
      <c r="P263" s="4548"/>
      <c r="Q263" s="3397"/>
      <c r="R263" s="3398" t="s">
        <v>1925</v>
      </c>
      <c r="S263" s="3399" t="s">
        <v>4715</v>
      </c>
    </row>
    <row r="264" spans="4:19" ht="16.5" customHeight="1" x14ac:dyDescent="0.25">
      <c r="D264" s="3395" t="s">
        <v>4716</v>
      </c>
      <c r="E264" s="4546" t="s">
        <v>1815</v>
      </c>
      <c r="F264" s="4547"/>
      <c r="G264" s="4548"/>
      <c r="H264" s="4549"/>
      <c r="I264" s="4548"/>
      <c r="J264" s="3396"/>
      <c r="K264" s="3396"/>
      <c r="L264" s="4549"/>
      <c r="M264" s="4547"/>
      <c r="N264" s="4548"/>
      <c r="O264" s="4549"/>
      <c r="P264" s="4548"/>
      <c r="Q264" s="3397"/>
      <c r="R264" s="3398"/>
      <c r="S264" s="3399" t="s">
        <v>4717</v>
      </c>
    </row>
    <row r="265" spans="4:19" ht="16.5" customHeight="1" x14ac:dyDescent="0.25">
      <c r="D265" s="3395"/>
      <c r="E265" s="4546" t="s">
        <v>1815</v>
      </c>
      <c r="F265" s="4547"/>
      <c r="G265" s="4548"/>
      <c r="H265" s="4549" t="s">
        <v>4545</v>
      </c>
      <c r="I265" s="4548"/>
      <c r="J265" s="3396" t="s">
        <v>2056</v>
      </c>
      <c r="K265" s="3396" t="s">
        <v>738</v>
      </c>
      <c r="L265" s="4549" t="s">
        <v>1958</v>
      </c>
      <c r="M265" s="4547"/>
      <c r="N265" s="4548"/>
      <c r="O265" s="4549" t="s">
        <v>1959</v>
      </c>
      <c r="P265" s="4548"/>
      <c r="Q265" s="3397" t="s">
        <v>1885</v>
      </c>
      <c r="R265" s="3398"/>
      <c r="S265" s="3399" t="s">
        <v>4717</v>
      </c>
    </row>
    <row r="266" spans="4:19" ht="16.5" customHeight="1" x14ac:dyDescent="0.25">
      <c r="D266" s="3402" t="s">
        <v>909</v>
      </c>
      <c r="E266" s="4554" t="s">
        <v>4718</v>
      </c>
      <c r="F266" s="4555"/>
      <c r="G266" s="4555"/>
      <c r="H266" s="4555"/>
      <c r="I266" s="4555"/>
      <c r="J266" s="4555"/>
      <c r="K266" s="4555"/>
      <c r="L266" s="4555"/>
      <c r="M266" s="4555"/>
      <c r="N266" s="4555"/>
      <c r="O266" s="4555"/>
      <c r="P266" s="4556"/>
      <c r="Q266" s="3405"/>
      <c r="R266" s="3404"/>
      <c r="S266" s="3406" t="str">
        <f>S267</f>
        <v>8.611</v>
      </c>
    </row>
    <row r="267" spans="4:19" ht="16.5" customHeight="1" x14ac:dyDescent="0.25">
      <c r="D267" s="3395" t="s">
        <v>4719</v>
      </c>
      <c r="E267" s="4546" t="s">
        <v>4720</v>
      </c>
      <c r="F267" s="4547"/>
      <c r="G267" s="4548"/>
      <c r="H267" s="4549"/>
      <c r="I267" s="4548"/>
      <c r="J267" s="3396"/>
      <c r="K267" s="3396"/>
      <c r="L267" s="4549"/>
      <c r="M267" s="4547"/>
      <c r="N267" s="4548"/>
      <c r="O267" s="4549"/>
      <c r="P267" s="4548"/>
      <c r="Q267" s="3397"/>
      <c r="R267" s="3398"/>
      <c r="S267" s="3399" t="s">
        <v>4721</v>
      </c>
    </row>
    <row r="268" spans="4:19" ht="16.5" customHeight="1" x14ac:dyDescent="0.25">
      <c r="D268" s="3395"/>
      <c r="E268" s="4546" t="s">
        <v>1815</v>
      </c>
      <c r="F268" s="4547"/>
      <c r="G268" s="4548"/>
      <c r="H268" s="4549" t="s">
        <v>4545</v>
      </c>
      <c r="I268" s="4548"/>
      <c r="J268" s="3396" t="s">
        <v>2056</v>
      </c>
      <c r="K268" s="3396" t="s">
        <v>738</v>
      </c>
      <c r="L268" s="4549" t="s">
        <v>2011</v>
      </c>
      <c r="M268" s="4547"/>
      <c r="N268" s="4548"/>
      <c r="O268" s="4549" t="s">
        <v>2016</v>
      </c>
      <c r="P268" s="4548"/>
      <c r="Q268" s="3397" t="s">
        <v>2017</v>
      </c>
      <c r="R268" s="3398"/>
      <c r="S268" s="3399" t="s">
        <v>4721</v>
      </c>
    </row>
    <row r="269" spans="4:19" ht="16.5" customHeight="1" x14ac:dyDescent="0.25">
      <c r="D269" s="3395"/>
      <c r="E269" s="4546" t="s">
        <v>1815</v>
      </c>
      <c r="F269" s="4547"/>
      <c r="G269" s="4548"/>
      <c r="H269" s="4549"/>
      <c r="I269" s="4548"/>
      <c r="J269" s="3396"/>
      <c r="K269" s="3396"/>
      <c r="L269" s="4549"/>
      <c r="M269" s="4547"/>
      <c r="N269" s="4548"/>
      <c r="O269" s="4549"/>
      <c r="P269" s="4548"/>
      <c r="Q269" s="3397"/>
      <c r="R269" s="3398" t="s">
        <v>2018</v>
      </c>
      <c r="S269" s="3399" t="s">
        <v>4721</v>
      </c>
    </row>
    <row r="270" spans="4:19" ht="16.5" customHeight="1" x14ac:dyDescent="0.25">
      <c r="D270" s="3407"/>
      <c r="E270" s="4550" t="s">
        <v>1815</v>
      </c>
      <c r="F270" s="4551"/>
      <c r="G270" s="4552"/>
      <c r="H270" s="4553"/>
      <c r="I270" s="4552"/>
      <c r="J270" s="3408"/>
      <c r="K270" s="3408"/>
      <c r="L270" s="4553"/>
      <c r="M270" s="4551"/>
      <c r="N270" s="4552"/>
      <c r="O270" s="4553"/>
      <c r="P270" s="4552"/>
      <c r="Q270" s="3409"/>
      <c r="R270" s="3410" t="s">
        <v>1888</v>
      </c>
      <c r="S270" s="3411" t="s">
        <v>4717</v>
      </c>
    </row>
    <row r="271" spans="4:19" ht="16.5" customHeight="1" x14ac:dyDescent="0.25"/>
    <row r="272" spans="4:19" ht="16.5" hidden="1" customHeight="1" x14ac:dyDescent="0.25">
      <c r="D272" s="3997" t="s">
        <v>3559</v>
      </c>
      <c r="E272" s="3997"/>
      <c r="F272" s="3997"/>
      <c r="G272" s="3997"/>
      <c r="H272" s="3997"/>
      <c r="I272" s="3997"/>
      <c r="J272" s="3997"/>
    </row>
    <row r="273" spans="4:19" ht="16.5" hidden="1" customHeight="1" x14ac:dyDescent="0.25">
      <c r="D273" s="3998" t="s">
        <v>2174</v>
      </c>
      <c r="E273" s="3998"/>
      <c r="F273" s="3998"/>
      <c r="G273" s="3998"/>
      <c r="H273" s="3998"/>
      <c r="I273" s="3998"/>
      <c r="J273" s="3998"/>
      <c r="K273" s="3322"/>
      <c r="L273" s="3322"/>
      <c r="P273" s="4044" t="s">
        <v>3573</v>
      </c>
      <c r="Q273" s="4044"/>
      <c r="R273" s="4044"/>
      <c r="S273" s="4044"/>
    </row>
    <row r="274" spans="4:19" ht="16.5" hidden="1" customHeight="1" x14ac:dyDescent="0.25">
      <c r="D274" s="3998" t="s">
        <v>2781</v>
      </c>
      <c r="E274" s="3998"/>
      <c r="F274" s="3998"/>
      <c r="G274" s="3998"/>
      <c r="H274" s="3998"/>
      <c r="I274" s="3998"/>
      <c r="J274" s="3998"/>
      <c r="P274" s="4044" t="s">
        <v>807</v>
      </c>
      <c r="Q274" s="4044"/>
      <c r="R274" s="4044"/>
      <c r="S274" s="4044"/>
    </row>
    <row r="275" spans="4:19" ht="16.5" hidden="1" customHeight="1" x14ac:dyDescent="0.25">
      <c r="D275" s="3264"/>
      <c r="E275" s="3264"/>
      <c r="F275" s="718"/>
      <c r="P275" s="1183"/>
      <c r="Q275" s="589"/>
      <c r="R275" s="1373"/>
      <c r="S275" s="182"/>
    </row>
    <row r="276" spans="4:19" ht="16.5" hidden="1" customHeight="1" x14ac:dyDescent="0.25">
      <c r="D276" s="3264"/>
      <c r="E276" s="3264"/>
      <c r="F276" s="718"/>
      <c r="P276" s="1183"/>
      <c r="Q276" s="589"/>
      <c r="R276" s="1374"/>
      <c r="S276" s="182"/>
    </row>
    <row r="277" spans="4:19" ht="16.5" hidden="1" customHeight="1" x14ac:dyDescent="0.25">
      <c r="D277" s="3264"/>
      <c r="E277" s="3264"/>
      <c r="F277" s="718"/>
      <c r="P277" s="1183"/>
      <c r="Q277" s="589"/>
      <c r="R277" s="1374"/>
      <c r="S277" s="182"/>
    </row>
    <row r="278" spans="4:19" ht="16.5" hidden="1" customHeight="1" x14ac:dyDescent="0.25">
      <c r="D278" s="3264"/>
      <c r="E278" s="3264"/>
      <c r="F278" s="718"/>
      <c r="P278" s="1183"/>
      <c r="Q278" s="589"/>
      <c r="R278" s="1374"/>
      <c r="S278" s="182"/>
    </row>
    <row r="279" spans="4:19" ht="16.5" hidden="1" customHeight="1" x14ac:dyDescent="0.25">
      <c r="D279" s="3264"/>
      <c r="E279" s="3264"/>
      <c r="F279" s="718"/>
      <c r="P279" s="1183"/>
      <c r="Q279" s="589"/>
      <c r="R279" s="1373"/>
      <c r="S279" s="182"/>
    </row>
    <row r="280" spans="4:19" ht="16.5" hidden="1" customHeight="1" x14ac:dyDescent="0.25">
      <c r="D280" s="1376"/>
      <c r="E280" s="589"/>
      <c r="F280" s="718"/>
      <c r="P280" s="718"/>
      <c r="Q280" s="589"/>
      <c r="R280" s="2386"/>
      <c r="S280" s="182"/>
    </row>
    <row r="281" spans="4:19" ht="16.5" hidden="1" customHeight="1" x14ac:dyDescent="0.25">
      <c r="D281" s="1376"/>
      <c r="E281" s="583"/>
      <c r="F281" s="2930"/>
      <c r="P281" s="4509" t="s">
        <v>3574</v>
      </c>
      <c r="Q281" s="4509"/>
      <c r="R281" s="4509"/>
      <c r="S281" s="4509"/>
    </row>
    <row r="282" spans="4:19" ht="16.5" hidden="1" customHeight="1" x14ac:dyDescent="0.25">
      <c r="D282" s="1602"/>
      <c r="J282" s="2934"/>
    </row>
    <row r="283" spans="4:19" ht="16.5" hidden="1" customHeight="1" x14ac:dyDescent="0.25">
      <c r="D283" s="1602"/>
      <c r="F283" s="4544" t="s">
        <v>4722</v>
      </c>
      <c r="G283" s="4544"/>
      <c r="H283" s="4544"/>
      <c r="I283" s="4544"/>
      <c r="J283" s="4544"/>
      <c r="K283" s="4544"/>
      <c r="L283" s="4544"/>
      <c r="M283" s="4544"/>
      <c r="N283" s="4544"/>
      <c r="O283" s="4544"/>
    </row>
    <row r="284" spans="4:19" ht="16.5" hidden="1" customHeight="1" x14ac:dyDescent="0.25">
      <c r="D284" s="1602"/>
      <c r="F284" s="4545" t="s">
        <v>638</v>
      </c>
      <c r="G284" s="4545"/>
      <c r="H284" s="4545"/>
      <c r="I284" s="4545"/>
      <c r="J284" s="4545"/>
      <c r="K284" s="4545"/>
      <c r="L284" s="4545"/>
      <c r="M284" s="4545"/>
    </row>
    <row r="285" spans="4:19" ht="16.5" hidden="1" customHeight="1" x14ac:dyDescent="0.25">
      <c r="D285" s="1602"/>
      <c r="F285" s="3998" t="s">
        <v>639</v>
      </c>
      <c r="G285" s="3998"/>
      <c r="H285" s="3998"/>
      <c r="I285" s="3998"/>
      <c r="J285" s="3998"/>
      <c r="K285" s="3998"/>
      <c r="L285" s="3998"/>
      <c r="M285" s="3998"/>
      <c r="N285" s="3998"/>
      <c r="O285" s="3998"/>
    </row>
    <row r="286" spans="4:19" ht="16.5" hidden="1" customHeight="1" x14ac:dyDescent="0.25">
      <c r="D286" s="1602"/>
      <c r="G286" s="2931"/>
      <c r="H286" s="589"/>
      <c r="I286" s="2932"/>
      <c r="J286" s="589"/>
      <c r="K286" s="2931"/>
    </row>
    <row r="287" spans="4:19" ht="16.5" hidden="1" customHeight="1" x14ac:dyDescent="0.25">
      <c r="D287" s="1602"/>
      <c r="G287" s="2931"/>
      <c r="H287" s="589"/>
      <c r="I287" s="2933"/>
      <c r="J287" s="589"/>
      <c r="K287" s="2931"/>
    </row>
    <row r="288" spans="4:19" ht="16.5" hidden="1" customHeight="1" x14ac:dyDescent="0.25">
      <c r="D288" s="1602"/>
      <c r="G288" s="2931"/>
      <c r="H288" s="589"/>
      <c r="I288" s="2932"/>
      <c r="J288" s="589"/>
      <c r="K288" s="2931"/>
    </row>
    <row r="289" spans="4:13" ht="16.5" hidden="1" customHeight="1" x14ac:dyDescent="0.25">
      <c r="D289" s="1602"/>
      <c r="G289" s="2931"/>
      <c r="H289" s="589"/>
      <c r="I289" s="2932"/>
      <c r="J289" s="589"/>
      <c r="K289" s="2931"/>
    </row>
    <row r="290" spans="4:13" ht="16.5" hidden="1" customHeight="1" x14ac:dyDescent="0.25">
      <c r="D290" s="1602"/>
      <c r="G290" s="2931"/>
      <c r="H290" s="589"/>
      <c r="I290" s="2932"/>
      <c r="J290" s="589"/>
      <c r="K290" s="2931"/>
    </row>
    <row r="291" spans="4:13" ht="16.5" hidden="1" customHeight="1" x14ac:dyDescent="0.25">
      <c r="D291" s="1602"/>
      <c r="G291" s="2931"/>
      <c r="H291" s="589"/>
      <c r="I291" s="2932"/>
      <c r="J291" s="589"/>
      <c r="K291" s="2931"/>
    </row>
    <row r="292" spans="4:13" ht="16.5" hidden="1" customHeight="1" x14ac:dyDescent="0.25">
      <c r="F292" s="4511" t="s">
        <v>3572</v>
      </c>
      <c r="G292" s="4511"/>
      <c r="H292" s="4511"/>
      <c r="I292" s="4511"/>
      <c r="J292" s="4511"/>
      <c r="K292" s="4511"/>
      <c r="L292" s="4511"/>
      <c r="M292" s="4511"/>
    </row>
    <row r="293" spans="4:13" ht="16.5" customHeight="1" x14ac:dyDescent="0.25"/>
    <row r="294" spans="4:13" ht="16.5" customHeight="1" x14ac:dyDescent="0.25"/>
    <row r="295" spans="4:13" ht="16.5" customHeight="1" x14ac:dyDescent="0.25"/>
    <row r="296" spans="4:13" ht="16.5" customHeight="1" x14ac:dyDescent="0.25"/>
    <row r="297" spans="4:13" ht="16.5" customHeight="1" x14ac:dyDescent="0.25"/>
    <row r="298" spans="4:13" ht="16.5" customHeight="1" x14ac:dyDescent="0.25"/>
    <row r="299" spans="4:13" ht="16.5" customHeight="1" x14ac:dyDescent="0.25"/>
    <row r="300" spans="4:13" ht="16.5" customHeight="1" x14ac:dyDescent="0.25"/>
    <row r="301" spans="4:13" ht="16.5" customHeight="1" x14ac:dyDescent="0.25"/>
    <row r="302" spans="4:13" ht="16.5" customHeight="1" x14ac:dyDescent="0.25"/>
    <row r="303" spans="4:13" ht="16.5" customHeight="1" x14ac:dyDescent="0.25"/>
    <row r="304" spans="4:13" ht="16.5" customHeight="1" x14ac:dyDescent="0.25"/>
    <row r="305" ht="16.5" customHeight="1" x14ac:dyDescent="0.25"/>
    <row r="306" ht="16.5" customHeight="1" x14ac:dyDescent="0.25"/>
    <row r="307" ht="16.5" customHeight="1" x14ac:dyDescent="0.25"/>
    <row r="308" ht="16.5" customHeight="1" x14ac:dyDescent="0.25"/>
    <row r="309" ht="16.5" customHeight="1" x14ac:dyDescent="0.25"/>
    <row r="310" ht="16.5" customHeight="1" x14ac:dyDescent="0.25"/>
    <row r="311" ht="16.5" customHeight="1" x14ac:dyDescent="0.25"/>
    <row r="312" ht="16.5" customHeight="1" x14ac:dyDescent="0.25"/>
    <row r="313" ht="16.5" customHeight="1" x14ac:dyDescent="0.25"/>
    <row r="314" ht="16.5" customHeight="1" x14ac:dyDescent="0.25"/>
    <row r="315" ht="16.5" customHeight="1" x14ac:dyDescent="0.25"/>
    <row r="316" ht="16.5" customHeight="1" x14ac:dyDescent="0.25"/>
    <row r="317" ht="16.5" customHeight="1" x14ac:dyDescent="0.25"/>
    <row r="318" ht="16.5" customHeight="1" x14ac:dyDescent="0.25"/>
    <row r="319" ht="16.5" customHeight="1" x14ac:dyDescent="0.25"/>
    <row r="320" ht="16.5" customHeight="1" x14ac:dyDescent="0.25"/>
    <row r="321" ht="16.5" customHeight="1" x14ac:dyDescent="0.25"/>
    <row r="322" ht="16.5" customHeight="1" x14ac:dyDescent="0.25"/>
    <row r="323" ht="16.5" customHeight="1" x14ac:dyDescent="0.25"/>
    <row r="324" ht="16.5" customHeight="1" x14ac:dyDescent="0.25"/>
    <row r="325" ht="16.5" customHeight="1" x14ac:dyDescent="0.25"/>
    <row r="326" ht="16.5" customHeight="1" x14ac:dyDescent="0.25"/>
    <row r="327" ht="16.5" customHeight="1" x14ac:dyDescent="0.25"/>
    <row r="328" ht="16.5" customHeight="1" x14ac:dyDescent="0.25"/>
    <row r="329" ht="16.5" customHeight="1" x14ac:dyDescent="0.25"/>
    <row r="330" ht="16.5" customHeight="1" x14ac:dyDescent="0.25"/>
    <row r="331" ht="16.5" customHeight="1" x14ac:dyDescent="0.25"/>
    <row r="332" ht="16.5" customHeight="1" x14ac:dyDescent="0.25"/>
    <row r="333" ht="16.5" customHeight="1" x14ac:dyDescent="0.25"/>
    <row r="334" ht="16.5" customHeight="1" x14ac:dyDescent="0.25"/>
    <row r="335" ht="16.5" customHeight="1" x14ac:dyDescent="0.25"/>
    <row r="336" ht="16.5" customHeight="1" x14ac:dyDescent="0.25"/>
    <row r="337" ht="16.5" customHeight="1" x14ac:dyDescent="0.25"/>
    <row r="338" ht="16.5" customHeight="1" x14ac:dyDescent="0.25"/>
    <row r="339" ht="16.5" customHeight="1" x14ac:dyDescent="0.25"/>
    <row r="340" ht="16.5" customHeight="1" x14ac:dyDescent="0.25"/>
    <row r="341" ht="16.5" customHeight="1" x14ac:dyDescent="0.25"/>
    <row r="342" ht="16.5" customHeight="1" x14ac:dyDescent="0.25"/>
    <row r="343" ht="16.5" customHeight="1" x14ac:dyDescent="0.25"/>
    <row r="344" ht="16.5" customHeight="1" x14ac:dyDescent="0.25"/>
    <row r="345" ht="16.5" customHeight="1" x14ac:dyDescent="0.25"/>
    <row r="346" ht="16.5" customHeight="1" x14ac:dyDescent="0.25"/>
    <row r="347" ht="16.5" customHeight="1" x14ac:dyDescent="0.25"/>
    <row r="348" ht="16.5" customHeight="1" x14ac:dyDescent="0.25"/>
    <row r="349" ht="16.5" customHeight="1" x14ac:dyDescent="0.25"/>
    <row r="350" ht="16.5" customHeight="1" x14ac:dyDescent="0.25"/>
    <row r="351" ht="16.5" customHeight="1" x14ac:dyDescent="0.25"/>
    <row r="352" ht="16.5" customHeight="1" x14ac:dyDescent="0.25"/>
    <row r="353" ht="16.5" customHeight="1" x14ac:dyDescent="0.25"/>
    <row r="354" ht="16.5" customHeight="1" x14ac:dyDescent="0.25"/>
    <row r="355" ht="16.5" customHeight="1" x14ac:dyDescent="0.25"/>
    <row r="356" ht="16.5" customHeight="1" x14ac:dyDescent="0.25"/>
    <row r="357" ht="16.5" customHeight="1" x14ac:dyDescent="0.25"/>
    <row r="358" ht="16.5" customHeight="1" x14ac:dyDescent="0.25"/>
    <row r="359" ht="16.5" customHeight="1" x14ac:dyDescent="0.25"/>
    <row r="360" ht="16.5" customHeight="1" x14ac:dyDescent="0.25"/>
    <row r="361" ht="16.5" customHeight="1" x14ac:dyDescent="0.25"/>
    <row r="362" ht="16.5" customHeight="1" x14ac:dyDescent="0.25"/>
    <row r="363" ht="16.5" customHeight="1" x14ac:dyDescent="0.25"/>
    <row r="364" ht="16.5" customHeight="1" x14ac:dyDescent="0.25"/>
    <row r="365" ht="16.5" customHeight="1" x14ac:dyDescent="0.25"/>
    <row r="366" ht="16.5" customHeight="1" x14ac:dyDescent="0.25"/>
    <row r="367" ht="16.5" customHeight="1" x14ac:dyDescent="0.25"/>
    <row r="368" ht="16.5" customHeight="1" x14ac:dyDescent="0.25"/>
    <row r="369" ht="16.5" customHeight="1" x14ac:dyDescent="0.25"/>
    <row r="370" ht="16.5" customHeight="1" x14ac:dyDescent="0.25"/>
    <row r="371" ht="16.5" customHeight="1" x14ac:dyDescent="0.25"/>
    <row r="372" ht="16.5" customHeight="1" x14ac:dyDescent="0.25"/>
    <row r="373" ht="16.5" customHeight="1" x14ac:dyDescent="0.25"/>
    <row r="374" ht="16.5" customHeight="1" x14ac:dyDescent="0.25"/>
    <row r="375" ht="16.5" customHeight="1" x14ac:dyDescent="0.25"/>
    <row r="376" ht="16.5" customHeight="1" x14ac:dyDescent="0.25"/>
    <row r="377" ht="16.5" customHeight="1" x14ac:dyDescent="0.25"/>
    <row r="378" ht="16.5" customHeight="1" x14ac:dyDescent="0.25"/>
    <row r="379" ht="16.5" customHeight="1" x14ac:dyDescent="0.25"/>
    <row r="380" ht="16.5" customHeight="1" x14ac:dyDescent="0.25"/>
    <row r="381" ht="16.5" customHeight="1" x14ac:dyDescent="0.25"/>
    <row r="382" ht="16.5" customHeight="1" x14ac:dyDescent="0.25"/>
    <row r="385" ht="15.75" customHeight="1" x14ac:dyDescent="0.25"/>
    <row r="386" ht="15.75" customHeight="1" x14ac:dyDescent="0.25"/>
    <row r="395" ht="15.75" customHeight="1" x14ac:dyDescent="0.25"/>
    <row r="396" ht="15.75" customHeight="1" x14ac:dyDescent="0.25"/>
  </sheetData>
  <mergeCells count="1050">
    <mergeCell ref="A5:S5"/>
    <mergeCell ref="E73:R73"/>
    <mergeCell ref="E74:G74"/>
    <mergeCell ref="H74:I74"/>
    <mergeCell ref="L74:N74"/>
    <mergeCell ref="O74:P74"/>
    <mergeCell ref="E75:G75"/>
    <mergeCell ref="H75:I75"/>
    <mergeCell ref="L75:N75"/>
    <mergeCell ref="O75:P75"/>
    <mergeCell ref="E76:G76"/>
    <mergeCell ref="N2:S2"/>
    <mergeCell ref="E9:G9"/>
    <mergeCell ref="H9:I9"/>
    <mergeCell ref="L9:N9"/>
    <mergeCell ref="O9:P9"/>
    <mergeCell ref="D10:R10"/>
    <mergeCell ref="E11:R11"/>
    <mergeCell ref="E12:G12"/>
    <mergeCell ref="H12:I12"/>
    <mergeCell ref="L12:N12"/>
    <mergeCell ref="O12:P12"/>
    <mergeCell ref="B2:H2"/>
    <mergeCell ref="C3:S3"/>
    <mergeCell ref="D4:S4"/>
    <mergeCell ref="B6:S6"/>
    <mergeCell ref="E8:G8"/>
    <mergeCell ref="H8:I8"/>
    <mergeCell ref="L8:N8"/>
    <mergeCell ref="O8:P8"/>
    <mergeCell ref="E16:G16"/>
    <mergeCell ref="H16:I16"/>
    <mergeCell ref="L16:N16"/>
    <mergeCell ref="O16:P16"/>
    <mergeCell ref="E17:G17"/>
    <mergeCell ref="H17:I17"/>
    <mergeCell ref="L17:N17"/>
    <mergeCell ref="O17:P17"/>
    <mergeCell ref="E18:G18"/>
    <mergeCell ref="H18:I18"/>
    <mergeCell ref="L18:N18"/>
    <mergeCell ref="O18:P18"/>
    <mergeCell ref="E13:G13"/>
    <mergeCell ref="H13:I13"/>
    <mergeCell ref="L13:N13"/>
    <mergeCell ref="O13:P13"/>
    <mergeCell ref="E14:G14"/>
    <mergeCell ref="H14:I14"/>
    <mergeCell ref="L14:N14"/>
    <mergeCell ref="O14:P14"/>
    <mergeCell ref="E15:G15"/>
    <mergeCell ref="H15:I15"/>
    <mergeCell ref="L15:N15"/>
    <mergeCell ref="O15:P15"/>
    <mergeCell ref="E22:G22"/>
    <mergeCell ref="H22:I22"/>
    <mergeCell ref="L22:N22"/>
    <mergeCell ref="O22:P22"/>
    <mergeCell ref="E23:G23"/>
    <mergeCell ref="H23:I23"/>
    <mergeCell ref="L23:N23"/>
    <mergeCell ref="O23:P23"/>
    <mergeCell ref="E24:G24"/>
    <mergeCell ref="H24:I24"/>
    <mergeCell ref="L24:N24"/>
    <mergeCell ref="O24:P24"/>
    <mergeCell ref="E19:G19"/>
    <mergeCell ref="H19:I19"/>
    <mergeCell ref="L19:N19"/>
    <mergeCell ref="O19:P19"/>
    <mergeCell ref="E20:G20"/>
    <mergeCell ref="H20:I20"/>
    <mergeCell ref="L20:N20"/>
    <mergeCell ref="O20:P20"/>
    <mergeCell ref="E21:G21"/>
    <mergeCell ref="H21:I21"/>
    <mergeCell ref="L21:N21"/>
    <mergeCell ref="O21:P21"/>
    <mergeCell ref="E28:G28"/>
    <mergeCell ref="H28:I28"/>
    <mergeCell ref="L28:N28"/>
    <mergeCell ref="O28:P28"/>
    <mergeCell ref="E29:G29"/>
    <mergeCell ref="H29:I29"/>
    <mergeCell ref="L29:N29"/>
    <mergeCell ref="O29:P29"/>
    <mergeCell ref="E30:R30"/>
    <mergeCell ref="E25:G25"/>
    <mergeCell ref="H25:I25"/>
    <mergeCell ref="L25:N25"/>
    <mergeCell ref="O25:P25"/>
    <mergeCell ref="E26:G26"/>
    <mergeCell ref="H26:I26"/>
    <mergeCell ref="L26:N26"/>
    <mergeCell ref="O26:P26"/>
    <mergeCell ref="E27:G27"/>
    <mergeCell ref="H27:I27"/>
    <mergeCell ref="L27:N27"/>
    <mergeCell ref="O27:P27"/>
    <mergeCell ref="E34:G34"/>
    <mergeCell ref="H34:I34"/>
    <mergeCell ref="L34:N34"/>
    <mergeCell ref="O34:P34"/>
    <mergeCell ref="E35:G35"/>
    <mergeCell ref="H35:I35"/>
    <mergeCell ref="L35:N35"/>
    <mergeCell ref="O35:P35"/>
    <mergeCell ref="E36:G36"/>
    <mergeCell ref="H36:I36"/>
    <mergeCell ref="L36:N36"/>
    <mergeCell ref="O36:P36"/>
    <mergeCell ref="E31:G31"/>
    <mergeCell ref="H31:I31"/>
    <mergeCell ref="L31:N31"/>
    <mergeCell ref="O31:P31"/>
    <mergeCell ref="E32:G32"/>
    <mergeCell ref="H32:I32"/>
    <mergeCell ref="L32:N32"/>
    <mergeCell ref="O32:P32"/>
    <mergeCell ref="E33:G33"/>
    <mergeCell ref="H33:I33"/>
    <mergeCell ref="L33:N33"/>
    <mergeCell ref="O33:P33"/>
    <mergeCell ref="E40:G40"/>
    <mergeCell ref="H40:I40"/>
    <mergeCell ref="L40:N40"/>
    <mergeCell ref="O40:P40"/>
    <mergeCell ref="E41:G41"/>
    <mergeCell ref="H41:I41"/>
    <mergeCell ref="L41:N41"/>
    <mergeCell ref="O41:P41"/>
    <mergeCell ref="E42:G42"/>
    <mergeCell ref="H42:I42"/>
    <mergeCell ref="L42:N42"/>
    <mergeCell ref="O42:P42"/>
    <mergeCell ref="E37:G37"/>
    <mergeCell ref="H37:I37"/>
    <mergeCell ref="L37:N37"/>
    <mergeCell ref="O37:P37"/>
    <mergeCell ref="E38:G38"/>
    <mergeCell ref="H38:I38"/>
    <mergeCell ref="L38:N38"/>
    <mergeCell ref="O38:P38"/>
    <mergeCell ref="E39:G39"/>
    <mergeCell ref="H39:I39"/>
    <mergeCell ref="L39:N39"/>
    <mergeCell ref="O39:P39"/>
    <mergeCell ref="E46:G46"/>
    <mergeCell ref="H46:I46"/>
    <mergeCell ref="L46:N46"/>
    <mergeCell ref="O46:P46"/>
    <mergeCell ref="E47:G47"/>
    <mergeCell ref="H47:I47"/>
    <mergeCell ref="L47:N47"/>
    <mergeCell ref="O47:P47"/>
    <mergeCell ref="E48:G48"/>
    <mergeCell ref="H48:I48"/>
    <mergeCell ref="L48:N48"/>
    <mergeCell ref="O48:P48"/>
    <mergeCell ref="E43:G43"/>
    <mergeCell ref="H43:I43"/>
    <mergeCell ref="L43:N43"/>
    <mergeCell ref="O43:P43"/>
    <mergeCell ref="E44:G44"/>
    <mergeCell ref="H44:I44"/>
    <mergeCell ref="L44:N44"/>
    <mergeCell ref="O44:P44"/>
    <mergeCell ref="E45:G45"/>
    <mergeCell ref="H45:I45"/>
    <mergeCell ref="L45:N45"/>
    <mergeCell ref="O45:P45"/>
    <mergeCell ref="E52:G52"/>
    <mergeCell ref="H52:I52"/>
    <mergeCell ref="L52:N52"/>
    <mergeCell ref="O52:P52"/>
    <mergeCell ref="E53:G53"/>
    <mergeCell ref="H53:I53"/>
    <mergeCell ref="L53:N53"/>
    <mergeCell ref="O53:P53"/>
    <mergeCell ref="E54:G54"/>
    <mergeCell ref="H54:I54"/>
    <mergeCell ref="L54:N54"/>
    <mergeCell ref="O54:P54"/>
    <mergeCell ref="E49:G49"/>
    <mergeCell ref="H49:I49"/>
    <mergeCell ref="L49:N49"/>
    <mergeCell ref="O49:P49"/>
    <mergeCell ref="E50:G50"/>
    <mergeCell ref="H50:I50"/>
    <mergeCell ref="L50:N50"/>
    <mergeCell ref="O50:P50"/>
    <mergeCell ref="E51:G51"/>
    <mergeCell ref="H51:I51"/>
    <mergeCell ref="L51:N51"/>
    <mergeCell ref="O51:P51"/>
    <mergeCell ref="H58:I58"/>
    <mergeCell ref="L58:N58"/>
    <mergeCell ref="O58:P58"/>
    <mergeCell ref="E59:G59"/>
    <mergeCell ref="H59:I59"/>
    <mergeCell ref="L59:N59"/>
    <mergeCell ref="O59:P59"/>
    <mergeCell ref="E60:G60"/>
    <mergeCell ref="H60:I60"/>
    <mergeCell ref="L60:N60"/>
    <mergeCell ref="O60:P60"/>
    <mergeCell ref="H55:I55"/>
    <mergeCell ref="L55:N55"/>
    <mergeCell ref="O55:P55"/>
    <mergeCell ref="E56:G56"/>
    <mergeCell ref="H56:I56"/>
    <mergeCell ref="L56:N56"/>
    <mergeCell ref="O56:P56"/>
    <mergeCell ref="E57:G57"/>
    <mergeCell ref="H57:I57"/>
    <mergeCell ref="L57:N57"/>
    <mergeCell ref="O57:P57"/>
    <mergeCell ref="E55:G55"/>
    <mergeCell ref="E58:G58"/>
    <mergeCell ref="H64:I64"/>
    <mergeCell ref="L64:N64"/>
    <mergeCell ref="O64:P64"/>
    <mergeCell ref="E65:G65"/>
    <mergeCell ref="H65:I65"/>
    <mergeCell ref="L65:N65"/>
    <mergeCell ref="O65:P65"/>
    <mergeCell ref="E66:G66"/>
    <mergeCell ref="H66:I66"/>
    <mergeCell ref="L66:N66"/>
    <mergeCell ref="O66:P66"/>
    <mergeCell ref="H61:I61"/>
    <mergeCell ref="L61:N61"/>
    <mergeCell ref="O61:P61"/>
    <mergeCell ref="E62:G62"/>
    <mergeCell ref="H62:I62"/>
    <mergeCell ref="L62:N62"/>
    <mergeCell ref="O62:P62"/>
    <mergeCell ref="E63:G63"/>
    <mergeCell ref="H63:I63"/>
    <mergeCell ref="L63:N63"/>
    <mergeCell ref="O63:P63"/>
    <mergeCell ref="E61:G61"/>
    <mergeCell ref="E64:G64"/>
    <mergeCell ref="H70:I70"/>
    <mergeCell ref="L70:N70"/>
    <mergeCell ref="O70:P70"/>
    <mergeCell ref="E71:G71"/>
    <mergeCell ref="H71:I71"/>
    <mergeCell ref="L71:N71"/>
    <mergeCell ref="O71:P71"/>
    <mergeCell ref="E72:G72"/>
    <mergeCell ref="H72:I72"/>
    <mergeCell ref="L72:N72"/>
    <mergeCell ref="O72:P72"/>
    <mergeCell ref="H67:I67"/>
    <mergeCell ref="L67:N67"/>
    <mergeCell ref="O67:P67"/>
    <mergeCell ref="E68:G68"/>
    <mergeCell ref="H68:I68"/>
    <mergeCell ref="L68:N68"/>
    <mergeCell ref="O68:P68"/>
    <mergeCell ref="E69:G69"/>
    <mergeCell ref="H69:I69"/>
    <mergeCell ref="L69:N69"/>
    <mergeCell ref="O69:P69"/>
    <mergeCell ref="E67:G67"/>
    <mergeCell ref="E70:G70"/>
    <mergeCell ref="E79:G79"/>
    <mergeCell ref="H79:I79"/>
    <mergeCell ref="L79:N79"/>
    <mergeCell ref="O79:P79"/>
    <mergeCell ref="E80:G80"/>
    <mergeCell ref="H80:I80"/>
    <mergeCell ref="L80:N80"/>
    <mergeCell ref="O80:P80"/>
    <mergeCell ref="E81:G81"/>
    <mergeCell ref="H81:I81"/>
    <mergeCell ref="L81:N81"/>
    <mergeCell ref="O81:P81"/>
    <mergeCell ref="H76:I76"/>
    <mergeCell ref="L76:N76"/>
    <mergeCell ref="O76:P76"/>
    <mergeCell ref="E77:G77"/>
    <mergeCell ref="H77:I77"/>
    <mergeCell ref="L77:N77"/>
    <mergeCell ref="O77:P77"/>
    <mergeCell ref="E78:G78"/>
    <mergeCell ref="H78:I78"/>
    <mergeCell ref="L78:N78"/>
    <mergeCell ref="O78:P78"/>
    <mergeCell ref="E85:G85"/>
    <mergeCell ref="H85:I85"/>
    <mergeCell ref="L85:N85"/>
    <mergeCell ref="O85:P85"/>
    <mergeCell ref="E86:G86"/>
    <mergeCell ref="H86:I86"/>
    <mergeCell ref="L86:N86"/>
    <mergeCell ref="O86:P86"/>
    <mergeCell ref="E87:G87"/>
    <mergeCell ref="H87:I87"/>
    <mergeCell ref="L87:N87"/>
    <mergeCell ref="O87:P87"/>
    <mergeCell ref="E82:G82"/>
    <mergeCell ref="H82:I82"/>
    <mergeCell ref="L82:N82"/>
    <mergeCell ref="O82:P82"/>
    <mergeCell ref="E83:G83"/>
    <mergeCell ref="H83:I83"/>
    <mergeCell ref="L83:N83"/>
    <mergeCell ref="O83:P83"/>
    <mergeCell ref="E84:G84"/>
    <mergeCell ref="H84:I84"/>
    <mergeCell ref="L84:N84"/>
    <mergeCell ref="O84:P84"/>
    <mergeCell ref="H91:I91"/>
    <mergeCell ref="L91:N91"/>
    <mergeCell ref="O91:P91"/>
    <mergeCell ref="E92:G92"/>
    <mergeCell ref="H92:I92"/>
    <mergeCell ref="L92:N92"/>
    <mergeCell ref="O92:P92"/>
    <mergeCell ref="E93:G93"/>
    <mergeCell ref="H93:I93"/>
    <mergeCell ref="L93:N93"/>
    <mergeCell ref="O93:P93"/>
    <mergeCell ref="E88:G88"/>
    <mergeCell ref="H88:I88"/>
    <mergeCell ref="L88:N88"/>
    <mergeCell ref="O88:P88"/>
    <mergeCell ref="E89:G89"/>
    <mergeCell ref="H89:I89"/>
    <mergeCell ref="L89:N89"/>
    <mergeCell ref="O89:P89"/>
    <mergeCell ref="E90:G90"/>
    <mergeCell ref="H90:I90"/>
    <mergeCell ref="L90:N90"/>
    <mergeCell ref="O90:P90"/>
    <mergeCell ref="E91:G91"/>
    <mergeCell ref="H97:I97"/>
    <mergeCell ref="L97:N97"/>
    <mergeCell ref="O97:P97"/>
    <mergeCell ref="E98:G98"/>
    <mergeCell ref="H98:I98"/>
    <mergeCell ref="L98:N98"/>
    <mergeCell ref="O98:P98"/>
    <mergeCell ref="E99:G99"/>
    <mergeCell ref="H99:I99"/>
    <mergeCell ref="L99:N99"/>
    <mergeCell ref="O99:P99"/>
    <mergeCell ref="H94:I94"/>
    <mergeCell ref="L94:N94"/>
    <mergeCell ref="O94:P94"/>
    <mergeCell ref="E95:G95"/>
    <mergeCell ref="H95:I95"/>
    <mergeCell ref="L95:N95"/>
    <mergeCell ref="O95:P95"/>
    <mergeCell ref="E96:G96"/>
    <mergeCell ref="H96:I96"/>
    <mergeCell ref="L96:N96"/>
    <mergeCell ref="O96:P96"/>
    <mergeCell ref="E94:G94"/>
    <mergeCell ref="E97:G97"/>
    <mergeCell ref="H103:I103"/>
    <mergeCell ref="L103:N103"/>
    <mergeCell ref="O103:P103"/>
    <mergeCell ref="E104:G104"/>
    <mergeCell ref="H104:I104"/>
    <mergeCell ref="L104:N104"/>
    <mergeCell ref="O104:P104"/>
    <mergeCell ref="E105:G105"/>
    <mergeCell ref="H105:I105"/>
    <mergeCell ref="L105:N105"/>
    <mergeCell ref="O105:P105"/>
    <mergeCell ref="H100:I100"/>
    <mergeCell ref="L100:N100"/>
    <mergeCell ref="O100:P100"/>
    <mergeCell ref="E101:G101"/>
    <mergeCell ref="H101:I101"/>
    <mergeCell ref="L101:N101"/>
    <mergeCell ref="O101:P101"/>
    <mergeCell ref="E102:G102"/>
    <mergeCell ref="H102:I102"/>
    <mergeCell ref="L102:N102"/>
    <mergeCell ref="O102:P102"/>
    <mergeCell ref="E100:G100"/>
    <mergeCell ref="E103:G103"/>
    <mergeCell ref="E109:G109"/>
    <mergeCell ref="H109:I109"/>
    <mergeCell ref="L109:N109"/>
    <mergeCell ref="O109:P109"/>
    <mergeCell ref="E110:G110"/>
    <mergeCell ref="H110:I110"/>
    <mergeCell ref="L110:N110"/>
    <mergeCell ref="O110:P110"/>
    <mergeCell ref="E111:G111"/>
    <mergeCell ref="H111:I111"/>
    <mergeCell ref="L111:N111"/>
    <mergeCell ref="O111:P111"/>
    <mergeCell ref="H106:I106"/>
    <mergeCell ref="L106:N106"/>
    <mergeCell ref="O106:P106"/>
    <mergeCell ref="E107:G107"/>
    <mergeCell ref="H107:I107"/>
    <mergeCell ref="L107:N107"/>
    <mergeCell ref="O107:P107"/>
    <mergeCell ref="E108:G108"/>
    <mergeCell ref="H108:I108"/>
    <mergeCell ref="L108:N108"/>
    <mergeCell ref="O108:P108"/>
    <mergeCell ref="E106:G106"/>
    <mergeCell ref="E115:G115"/>
    <mergeCell ref="H115:I115"/>
    <mergeCell ref="L115:N115"/>
    <mergeCell ref="O115:P115"/>
    <mergeCell ref="E116:G116"/>
    <mergeCell ref="H116:I116"/>
    <mergeCell ref="L116:N116"/>
    <mergeCell ref="O116:P116"/>
    <mergeCell ref="E117:G117"/>
    <mergeCell ref="H117:I117"/>
    <mergeCell ref="L117:N117"/>
    <mergeCell ref="O117:P117"/>
    <mergeCell ref="E112:G112"/>
    <mergeCell ref="H112:I112"/>
    <mergeCell ref="L112:N112"/>
    <mergeCell ref="O112:P112"/>
    <mergeCell ref="E113:G113"/>
    <mergeCell ref="H113:I113"/>
    <mergeCell ref="L113:N113"/>
    <mergeCell ref="O113:P113"/>
    <mergeCell ref="E114:G114"/>
    <mergeCell ref="H114:I114"/>
    <mergeCell ref="L114:N114"/>
    <mergeCell ref="O114:P114"/>
    <mergeCell ref="H121:I121"/>
    <mergeCell ref="L121:N121"/>
    <mergeCell ref="O121:P121"/>
    <mergeCell ref="E122:G122"/>
    <mergeCell ref="H122:I122"/>
    <mergeCell ref="L122:N122"/>
    <mergeCell ref="O122:P122"/>
    <mergeCell ref="E123:G123"/>
    <mergeCell ref="H123:I123"/>
    <mergeCell ref="L123:N123"/>
    <mergeCell ref="O123:P123"/>
    <mergeCell ref="E118:G118"/>
    <mergeCell ref="H118:I118"/>
    <mergeCell ref="L118:N118"/>
    <mergeCell ref="O118:P118"/>
    <mergeCell ref="E119:G119"/>
    <mergeCell ref="H119:I119"/>
    <mergeCell ref="L119:N119"/>
    <mergeCell ref="O119:P119"/>
    <mergeCell ref="E120:G120"/>
    <mergeCell ref="H120:I120"/>
    <mergeCell ref="L120:N120"/>
    <mergeCell ref="O120:P120"/>
    <mergeCell ref="E121:G121"/>
    <mergeCell ref="H127:I127"/>
    <mergeCell ref="L127:N127"/>
    <mergeCell ref="O127:P127"/>
    <mergeCell ref="E128:G128"/>
    <mergeCell ref="H128:I128"/>
    <mergeCell ref="L128:N128"/>
    <mergeCell ref="O128:P128"/>
    <mergeCell ref="E129:G129"/>
    <mergeCell ref="H129:I129"/>
    <mergeCell ref="L129:N129"/>
    <mergeCell ref="O129:P129"/>
    <mergeCell ref="H124:I124"/>
    <mergeCell ref="L124:N124"/>
    <mergeCell ref="O124:P124"/>
    <mergeCell ref="E125:G125"/>
    <mergeCell ref="H125:I125"/>
    <mergeCell ref="L125:N125"/>
    <mergeCell ref="O125:P125"/>
    <mergeCell ref="E126:G126"/>
    <mergeCell ref="H126:I126"/>
    <mergeCell ref="L126:N126"/>
    <mergeCell ref="O126:P126"/>
    <mergeCell ref="E124:G124"/>
    <mergeCell ref="E127:G127"/>
    <mergeCell ref="H133:I133"/>
    <mergeCell ref="L133:N133"/>
    <mergeCell ref="O133:P133"/>
    <mergeCell ref="E134:G134"/>
    <mergeCell ref="H134:I134"/>
    <mergeCell ref="L134:N134"/>
    <mergeCell ref="O134:P134"/>
    <mergeCell ref="E135:G135"/>
    <mergeCell ref="H135:I135"/>
    <mergeCell ref="L135:N135"/>
    <mergeCell ref="O135:P135"/>
    <mergeCell ref="H130:I130"/>
    <mergeCell ref="L130:N130"/>
    <mergeCell ref="O130:P130"/>
    <mergeCell ref="E131:G131"/>
    <mergeCell ref="H131:I131"/>
    <mergeCell ref="L131:N131"/>
    <mergeCell ref="O131:P131"/>
    <mergeCell ref="E132:G132"/>
    <mergeCell ref="H132:I132"/>
    <mergeCell ref="L132:N132"/>
    <mergeCell ref="O132:P132"/>
    <mergeCell ref="E133:G133"/>
    <mergeCell ref="E130:G130"/>
    <mergeCell ref="H139:I139"/>
    <mergeCell ref="L139:N139"/>
    <mergeCell ref="O139:P139"/>
    <mergeCell ref="E140:G140"/>
    <mergeCell ref="H140:I140"/>
    <mergeCell ref="L140:N140"/>
    <mergeCell ref="O140:P140"/>
    <mergeCell ref="E141:G141"/>
    <mergeCell ref="H141:I141"/>
    <mergeCell ref="L141:N141"/>
    <mergeCell ref="O141:P141"/>
    <mergeCell ref="H136:I136"/>
    <mergeCell ref="L136:N136"/>
    <mergeCell ref="O136:P136"/>
    <mergeCell ref="E137:G137"/>
    <mergeCell ref="H137:I137"/>
    <mergeCell ref="L137:N137"/>
    <mergeCell ref="O137:P137"/>
    <mergeCell ref="E138:G138"/>
    <mergeCell ref="H138:I138"/>
    <mergeCell ref="L138:N138"/>
    <mergeCell ref="O138:P138"/>
    <mergeCell ref="E136:G136"/>
    <mergeCell ref="E139:G139"/>
    <mergeCell ref="H145:I145"/>
    <mergeCell ref="L145:N145"/>
    <mergeCell ref="O145:P145"/>
    <mergeCell ref="E146:G146"/>
    <mergeCell ref="H146:I146"/>
    <mergeCell ref="L146:N146"/>
    <mergeCell ref="O146:P146"/>
    <mergeCell ref="E147:G147"/>
    <mergeCell ref="H147:I147"/>
    <mergeCell ref="L147:N147"/>
    <mergeCell ref="O147:P147"/>
    <mergeCell ref="H142:I142"/>
    <mergeCell ref="L142:N142"/>
    <mergeCell ref="O142:P142"/>
    <mergeCell ref="E143:G143"/>
    <mergeCell ref="H143:I143"/>
    <mergeCell ref="L143:N143"/>
    <mergeCell ref="O143:P143"/>
    <mergeCell ref="E144:G144"/>
    <mergeCell ref="H144:I144"/>
    <mergeCell ref="L144:N144"/>
    <mergeCell ref="O144:P144"/>
    <mergeCell ref="E142:G142"/>
    <mergeCell ref="E145:G145"/>
    <mergeCell ref="H151:I151"/>
    <mergeCell ref="L151:N151"/>
    <mergeCell ref="O151:P151"/>
    <mergeCell ref="E152:G152"/>
    <mergeCell ref="H152:I152"/>
    <mergeCell ref="L152:N152"/>
    <mergeCell ref="O152:P152"/>
    <mergeCell ref="E153:G153"/>
    <mergeCell ref="H153:I153"/>
    <mergeCell ref="L153:N153"/>
    <mergeCell ref="O153:P153"/>
    <mergeCell ref="H148:I148"/>
    <mergeCell ref="L148:N148"/>
    <mergeCell ref="O148:P148"/>
    <mergeCell ref="E149:G149"/>
    <mergeCell ref="H149:I149"/>
    <mergeCell ref="L149:N149"/>
    <mergeCell ref="O149:P149"/>
    <mergeCell ref="E150:G150"/>
    <mergeCell ref="H150:I150"/>
    <mergeCell ref="L150:N150"/>
    <mergeCell ref="O150:P150"/>
    <mergeCell ref="E148:G148"/>
    <mergeCell ref="E151:G151"/>
    <mergeCell ref="E157:G157"/>
    <mergeCell ref="H157:I157"/>
    <mergeCell ref="L157:N157"/>
    <mergeCell ref="O157:P157"/>
    <mergeCell ref="E158:G158"/>
    <mergeCell ref="H158:I158"/>
    <mergeCell ref="L158:N158"/>
    <mergeCell ref="O158:P158"/>
    <mergeCell ref="E159:G159"/>
    <mergeCell ref="H159:I159"/>
    <mergeCell ref="L159:N159"/>
    <mergeCell ref="O159:P159"/>
    <mergeCell ref="E154:G154"/>
    <mergeCell ref="H154:I154"/>
    <mergeCell ref="L154:N154"/>
    <mergeCell ref="O154:P154"/>
    <mergeCell ref="E155:Q155"/>
    <mergeCell ref="E156:G156"/>
    <mergeCell ref="H156:I156"/>
    <mergeCell ref="L156:N156"/>
    <mergeCell ref="O156:P156"/>
    <mergeCell ref="E163:G163"/>
    <mergeCell ref="H163:I163"/>
    <mergeCell ref="L163:N163"/>
    <mergeCell ref="O163:P163"/>
    <mergeCell ref="E164:G164"/>
    <mergeCell ref="H164:I164"/>
    <mergeCell ref="L164:N164"/>
    <mergeCell ref="O164:P164"/>
    <mergeCell ref="E165:G165"/>
    <mergeCell ref="H165:I165"/>
    <mergeCell ref="L165:N165"/>
    <mergeCell ref="O165:P165"/>
    <mergeCell ref="E160:G160"/>
    <mergeCell ref="H160:I160"/>
    <mergeCell ref="L160:N160"/>
    <mergeCell ref="O160:P160"/>
    <mergeCell ref="E161:G161"/>
    <mergeCell ref="H161:I161"/>
    <mergeCell ref="L161:N161"/>
    <mergeCell ref="O161:P161"/>
    <mergeCell ref="E162:G162"/>
    <mergeCell ref="H162:I162"/>
    <mergeCell ref="L162:N162"/>
    <mergeCell ref="O162:P162"/>
    <mergeCell ref="E169:G169"/>
    <mergeCell ref="H169:I169"/>
    <mergeCell ref="L169:N169"/>
    <mergeCell ref="O169:P169"/>
    <mergeCell ref="E170:G170"/>
    <mergeCell ref="H170:I170"/>
    <mergeCell ref="L170:N170"/>
    <mergeCell ref="O170:P170"/>
    <mergeCell ref="E171:G171"/>
    <mergeCell ref="H171:I171"/>
    <mergeCell ref="L171:N171"/>
    <mergeCell ref="O171:P171"/>
    <mergeCell ref="E166:G166"/>
    <mergeCell ref="H166:I166"/>
    <mergeCell ref="L166:N166"/>
    <mergeCell ref="O166:P166"/>
    <mergeCell ref="E167:G167"/>
    <mergeCell ref="H167:I167"/>
    <mergeCell ref="L167:N167"/>
    <mergeCell ref="O167:P167"/>
    <mergeCell ref="E168:G168"/>
    <mergeCell ref="H168:I168"/>
    <mergeCell ref="L168:N168"/>
    <mergeCell ref="O168:P168"/>
    <mergeCell ref="E175:G175"/>
    <mergeCell ref="H175:I175"/>
    <mergeCell ref="L175:N175"/>
    <mergeCell ref="O175:P175"/>
    <mergeCell ref="E176:G176"/>
    <mergeCell ref="H176:I176"/>
    <mergeCell ref="L176:N176"/>
    <mergeCell ref="O176:P176"/>
    <mergeCell ref="E177:G177"/>
    <mergeCell ref="H177:I177"/>
    <mergeCell ref="L177:N177"/>
    <mergeCell ref="O177:P177"/>
    <mergeCell ref="E172:G172"/>
    <mergeCell ref="H172:I172"/>
    <mergeCell ref="L172:N172"/>
    <mergeCell ref="O172:P172"/>
    <mergeCell ref="E173:G173"/>
    <mergeCell ref="H173:I173"/>
    <mergeCell ref="L173:N173"/>
    <mergeCell ref="O173:P173"/>
    <mergeCell ref="E174:G174"/>
    <mergeCell ref="H174:I174"/>
    <mergeCell ref="L174:N174"/>
    <mergeCell ref="O174:P174"/>
    <mergeCell ref="H181:I181"/>
    <mergeCell ref="L181:N181"/>
    <mergeCell ref="O181:P181"/>
    <mergeCell ref="E182:G182"/>
    <mergeCell ref="H182:I182"/>
    <mergeCell ref="L182:N182"/>
    <mergeCell ref="O182:P182"/>
    <mergeCell ref="E183:G183"/>
    <mergeCell ref="H183:I183"/>
    <mergeCell ref="L183:N183"/>
    <mergeCell ref="O183:P183"/>
    <mergeCell ref="E178:G178"/>
    <mergeCell ref="H178:I178"/>
    <mergeCell ref="L178:N178"/>
    <mergeCell ref="O178:P178"/>
    <mergeCell ref="E179:G179"/>
    <mergeCell ref="H179:I179"/>
    <mergeCell ref="L179:N179"/>
    <mergeCell ref="O179:P179"/>
    <mergeCell ref="E180:G180"/>
    <mergeCell ref="H180:I180"/>
    <mergeCell ref="L180:N180"/>
    <mergeCell ref="O180:P180"/>
    <mergeCell ref="E181:G181"/>
    <mergeCell ref="H187:I187"/>
    <mergeCell ref="L187:N187"/>
    <mergeCell ref="O187:P187"/>
    <mergeCell ref="E188:G188"/>
    <mergeCell ref="H188:I188"/>
    <mergeCell ref="L188:N188"/>
    <mergeCell ref="O188:P188"/>
    <mergeCell ref="E189:G189"/>
    <mergeCell ref="H189:I189"/>
    <mergeCell ref="L189:N189"/>
    <mergeCell ref="O189:P189"/>
    <mergeCell ref="H184:I184"/>
    <mergeCell ref="L184:N184"/>
    <mergeCell ref="O184:P184"/>
    <mergeCell ref="E185:G185"/>
    <mergeCell ref="H185:I185"/>
    <mergeCell ref="L185:N185"/>
    <mergeCell ref="O185:P185"/>
    <mergeCell ref="E186:G186"/>
    <mergeCell ref="H186:I186"/>
    <mergeCell ref="L186:N186"/>
    <mergeCell ref="O186:P186"/>
    <mergeCell ref="E184:G184"/>
    <mergeCell ref="E187:G187"/>
    <mergeCell ref="H193:I193"/>
    <mergeCell ref="L193:N193"/>
    <mergeCell ref="O193:P193"/>
    <mergeCell ref="E194:G194"/>
    <mergeCell ref="H194:I194"/>
    <mergeCell ref="L194:N194"/>
    <mergeCell ref="O194:P194"/>
    <mergeCell ref="E195:G195"/>
    <mergeCell ref="H195:I195"/>
    <mergeCell ref="L195:N195"/>
    <mergeCell ref="O195:P195"/>
    <mergeCell ref="H190:I190"/>
    <mergeCell ref="L190:N190"/>
    <mergeCell ref="O190:P190"/>
    <mergeCell ref="E191:G191"/>
    <mergeCell ref="H191:I191"/>
    <mergeCell ref="L191:N191"/>
    <mergeCell ref="O191:P191"/>
    <mergeCell ref="E192:G192"/>
    <mergeCell ref="H192:I192"/>
    <mergeCell ref="L192:N192"/>
    <mergeCell ref="O192:P192"/>
    <mergeCell ref="E190:G190"/>
    <mergeCell ref="E193:G193"/>
    <mergeCell ref="H199:I199"/>
    <mergeCell ref="L199:N199"/>
    <mergeCell ref="O199:P199"/>
    <mergeCell ref="E200:G200"/>
    <mergeCell ref="H200:I200"/>
    <mergeCell ref="L200:N200"/>
    <mergeCell ref="O200:P200"/>
    <mergeCell ref="E201:G201"/>
    <mergeCell ref="H201:I201"/>
    <mergeCell ref="L201:N201"/>
    <mergeCell ref="O201:P201"/>
    <mergeCell ref="H196:I196"/>
    <mergeCell ref="L196:N196"/>
    <mergeCell ref="O196:P196"/>
    <mergeCell ref="E197:G197"/>
    <mergeCell ref="H197:I197"/>
    <mergeCell ref="L197:N197"/>
    <mergeCell ref="O197:P197"/>
    <mergeCell ref="E198:G198"/>
    <mergeCell ref="H198:I198"/>
    <mergeCell ref="L198:N198"/>
    <mergeCell ref="O198:P198"/>
    <mergeCell ref="E196:G196"/>
    <mergeCell ref="E199:G199"/>
    <mergeCell ref="H205:I205"/>
    <mergeCell ref="L205:N205"/>
    <mergeCell ref="O205:P205"/>
    <mergeCell ref="E206:G206"/>
    <mergeCell ref="H206:I206"/>
    <mergeCell ref="L206:N206"/>
    <mergeCell ref="O206:P206"/>
    <mergeCell ref="E207:G207"/>
    <mergeCell ref="H207:I207"/>
    <mergeCell ref="L207:N207"/>
    <mergeCell ref="O207:P207"/>
    <mergeCell ref="H202:I202"/>
    <mergeCell ref="L202:N202"/>
    <mergeCell ref="O202:P202"/>
    <mergeCell ref="E203:G203"/>
    <mergeCell ref="H203:I203"/>
    <mergeCell ref="L203:N203"/>
    <mergeCell ref="O203:P203"/>
    <mergeCell ref="E204:G204"/>
    <mergeCell ref="H204:I204"/>
    <mergeCell ref="L204:N204"/>
    <mergeCell ref="O204:P204"/>
    <mergeCell ref="E202:G202"/>
    <mergeCell ref="E205:G205"/>
    <mergeCell ref="H211:I211"/>
    <mergeCell ref="L211:N211"/>
    <mergeCell ref="O211:P211"/>
    <mergeCell ref="E212:G212"/>
    <mergeCell ref="H212:I212"/>
    <mergeCell ref="L212:N212"/>
    <mergeCell ref="O212:P212"/>
    <mergeCell ref="E213:G213"/>
    <mergeCell ref="H213:I213"/>
    <mergeCell ref="L213:N213"/>
    <mergeCell ref="O213:P213"/>
    <mergeCell ref="H208:I208"/>
    <mergeCell ref="L208:N208"/>
    <mergeCell ref="O208:P208"/>
    <mergeCell ref="E209:G209"/>
    <mergeCell ref="H209:I209"/>
    <mergeCell ref="L209:N209"/>
    <mergeCell ref="O209:P209"/>
    <mergeCell ref="E210:G210"/>
    <mergeCell ref="H210:I210"/>
    <mergeCell ref="L210:N210"/>
    <mergeCell ref="O210:P210"/>
    <mergeCell ref="E208:G208"/>
    <mergeCell ref="E211:G211"/>
    <mergeCell ref="H217:I217"/>
    <mergeCell ref="L217:N217"/>
    <mergeCell ref="O217:P217"/>
    <mergeCell ref="E218:G218"/>
    <mergeCell ref="H218:I218"/>
    <mergeCell ref="L218:N218"/>
    <mergeCell ref="O218:P218"/>
    <mergeCell ref="E219:G219"/>
    <mergeCell ref="H219:I219"/>
    <mergeCell ref="L219:N219"/>
    <mergeCell ref="O219:P219"/>
    <mergeCell ref="H214:I214"/>
    <mergeCell ref="L214:N214"/>
    <mergeCell ref="O214:P214"/>
    <mergeCell ref="E215:G215"/>
    <mergeCell ref="H215:I215"/>
    <mergeCell ref="L215:N215"/>
    <mergeCell ref="O215:P215"/>
    <mergeCell ref="E216:G216"/>
    <mergeCell ref="H216:I216"/>
    <mergeCell ref="L216:N216"/>
    <mergeCell ref="O216:P216"/>
    <mergeCell ref="E214:G214"/>
    <mergeCell ref="E217:G217"/>
    <mergeCell ref="E223:G223"/>
    <mergeCell ref="H223:I223"/>
    <mergeCell ref="L223:N223"/>
    <mergeCell ref="O223:P223"/>
    <mergeCell ref="E224:G224"/>
    <mergeCell ref="H224:I224"/>
    <mergeCell ref="L224:N224"/>
    <mergeCell ref="O224:P224"/>
    <mergeCell ref="E225:G225"/>
    <mergeCell ref="H225:I225"/>
    <mergeCell ref="L225:N225"/>
    <mergeCell ref="O225:P225"/>
    <mergeCell ref="E220:G220"/>
    <mergeCell ref="H220:I220"/>
    <mergeCell ref="L220:N220"/>
    <mergeCell ref="O220:P220"/>
    <mergeCell ref="E221:G221"/>
    <mergeCell ref="H221:I221"/>
    <mergeCell ref="L221:N221"/>
    <mergeCell ref="O221:P221"/>
    <mergeCell ref="E222:G222"/>
    <mergeCell ref="H222:I222"/>
    <mergeCell ref="L222:N222"/>
    <mergeCell ref="O222:P222"/>
    <mergeCell ref="E229:G229"/>
    <mergeCell ref="H229:I229"/>
    <mergeCell ref="L229:N229"/>
    <mergeCell ref="O229:P229"/>
    <mergeCell ref="E230:G230"/>
    <mergeCell ref="H230:I230"/>
    <mergeCell ref="L230:N230"/>
    <mergeCell ref="O230:P230"/>
    <mergeCell ref="E231:G231"/>
    <mergeCell ref="H231:I231"/>
    <mergeCell ref="L231:N231"/>
    <mergeCell ref="O231:P231"/>
    <mergeCell ref="E226:G226"/>
    <mergeCell ref="H226:I226"/>
    <mergeCell ref="L226:N226"/>
    <mergeCell ref="O226:P226"/>
    <mergeCell ref="E227:G227"/>
    <mergeCell ref="H227:I227"/>
    <mergeCell ref="L227:N227"/>
    <mergeCell ref="O227:P227"/>
    <mergeCell ref="E228:G228"/>
    <mergeCell ref="H228:I228"/>
    <mergeCell ref="L228:N228"/>
    <mergeCell ref="O228:P228"/>
    <mergeCell ref="E235:G235"/>
    <mergeCell ref="H235:I235"/>
    <mergeCell ref="L235:N235"/>
    <mergeCell ref="O235:P235"/>
    <mergeCell ref="E236:G236"/>
    <mergeCell ref="H236:I236"/>
    <mergeCell ref="L236:N236"/>
    <mergeCell ref="O236:P236"/>
    <mergeCell ref="E237:G237"/>
    <mergeCell ref="H237:I237"/>
    <mergeCell ref="L237:N237"/>
    <mergeCell ref="O237:P237"/>
    <mergeCell ref="E232:G232"/>
    <mergeCell ref="H232:I232"/>
    <mergeCell ref="L232:N232"/>
    <mergeCell ref="O232:P232"/>
    <mergeCell ref="E233:G233"/>
    <mergeCell ref="H233:I233"/>
    <mergeCell ref="L233:N233"/>
    <mergeCell ref="O233:P233"/>
    <mergeCell ref="E234:G234"/>
    <mergeCell ref="H234:I234"/>
    <mergeCell ref="L234:N234"/>
    <mergeCell ref="O234:P234"/>
    <mergeCell ref="E241:G241"/>
    <mergeCell ref="H241:I241"/>
    <mergeCell ref="L241:N241"/>
    <mergeCell ref="O241:P241"/>
    <mergeCell ref="E242:G242"/>
    <mergeCell ref="H242:I242"/>
    <mergeCell ref="L242:N242"/>
    <mergeCell ref="O242:P242"/>
    <mergeCell ref="E243:G243"/>
    <mergeCell ref="H243:I243"/>
    <mergeCell ref="L243:N243"/>
    <mergeCell ref="O243:P243"/>
    <mergeCell ref="E238:G238"/>
    <mergeCell ref="H238:I238"/>
    <mergeCell ref="L238:N238"/>
    <mergeCell ref="O238:P238"/>
    <mergeCell ref="E239:G239"/>
    <mergeCell ref="H239:I239"/>
    <mergeCell ref="L239:N239"/>
    <mergeCell ref="O239:P239"/>
    <mergeCell ref="E240:G240"/>
    <mergeCell ref="H240:I240"/>
    <mergeCell ref="L240:N240"/>
    <mergeCell ref="O240:P240"/>
    <mergeCell ref="E247:G247"/>
    <mergeCell ref="H247:I247"/>
    <mergeCell ref="L247:N247"/>
    <mergeCell ref="O247:P247"/>
    <mergeCell ref="E248:G248"/>
    <mergeCell ref="H248:I248"/>
    <mergeCell ref="L248:N248"/>
    <mergeCell ref="O248:P248"/>
    <mergeCell ref="E249:G249"/>
    <mergeCell ref="H249:I249"/>
    <mergeCell ref="L249:N249"/>
    <mergeCell ref="O249:P249"/>
    <mergeCell ref="E244:G244"/>
    <mergeCell ref="H244:I244"/>
    <mergeCell ref="L244:N244"/>
    <mergeCell ref="O244:P244"/>
    <mergeCell ref="E245:G245"/>
    <mergeCell ref="H245:I245"/>
    <mergeCell ref="L245:N245"/>
    <mergeCell ref="O245:P245"/>
    <mergeCell ref="E246:G246"/>
    <mergeCell ref="H246:I246"/>
    <mergeCell ref="L246:N246"/>
    <mergeCell ref="O246:P246"/>
    <mergeCell ref="E253:G253"/>
    <mergeCell ref="H253:I253"/>
    <mergeCell ref="L253:N253"/>
    <mergeCell ref="O253:P253"/>
    <mergeCell ref="E254:G254"/>
    <mergeCell ref="H254:I254"/>
    <mergeCell ref="L254:N254"/>
    <mergeCell ref="O254:P254"/>
    <mergeCell ref="E255:G255"/>
    <mergeCell ref="H255:I255"/>
    <mergeCell ref="L255:N255"/>
    <mergeCell ref="O255:P255"/>
    <mergeCell ref="E250:G250"/>
    <mergeCell ref="H250:I250"/>
    <mergeCell ref="L250:N250"/>
    <mergeCell ref="O250:P250"/>
    <mergeCell ref="E251:G251"/>
    <mergeCell ref="H251:I251"/>
    <mergeCell ref="L251:N251"/>
    <mergeCell ref="O251:P251"/>
    <mergeCell ref="E252:G252"/>
    <mergeCell ref="H252:I252"/>
    <mergeCell ref="L252:N252"/>
    <mergeCell ref="O252:P252"/>
    <mergeCell ref="E259:G259"/>
    <mergeCell ref="H259:I259"/>
    <mergeCell ref="L259:N259"/>
    <mergeCell ref="O259:P259"/>
    <mergeCell ref="E260:G260"/>
    <mergeCell ref="H260:I260"/>
    <mergeCell ref="L260:N260"/>
    <mergeCell ref="O260:P260"/>
    <mergeCell ref="E261:G261"/>
    <mergeCell ref="H261:I261"/>
    <mergeCell ref="L261:N261"/>
    <mergeCell ref="O261:P261"/>
    <mergeCell ref="E256:G256"/>
    <mergeCell ref="H256:I256"/>
    <mergeCell ref="L256:N256"/>
    <mergeCell ref="O256:P256"/>
    <mergeCell ref="E257:G257"/>
    <mergeCell ref="H257:I257"/>
    <mergeCell ref="L257:N257"/>
    <mergeCell ref="O257:P257"/>
    <mergeCell ref="E258:G258"/>
    <mergeCell ref="H258:I258"/>
    <mergeCell ref="L258:N258"/>
    <mergeCell ref="O258:P258"/>
    <mergeCell ref="E265:G265"/>
    <mergeCell ref="H265:I265"/>
    <mergeCell ref="L265:N265"/>
    <mergeCell ref="O265:P265"/>
    <mergeCell ref="E266:P266"/>
    <mergeCell ref="E267:G267"/>
    <mergeCell ref="H267:I267"/>
    <mergeCell ref="L267:N267"/>
    <mergeCell ref="O267:P267"/>
    <mergeCell ref="E262:G262"/>
    <mergeCell ref="H262:I262"/>
    <mergeCell ref="L262:N262"/>
    <mergeCell ref="O262:P262"/>
    <mergeCell ref="E263:G263"/>
    <mergeCell ref="H263:I263"/>
    <mergeCell ref="L263:N263"/>
    <mergeCell ref="O263:P263"/>
    <mergeCell ref="E264:G264"/>
    <mergeCell ref="H264:I264"/>
    <mergeCell ref="L264:N264"/>
    <mergeCell ref="O264:P264"/>
    <mergeCell ref="F292:M292"/>
    <mergeCell ref="D272:J272"/>
    <mergeCell ref="D273:J273"/>
    <mergeCell ref="P273:S273"/>
    <mergeCell ref="D274:J274"/>
    <mergeCell ref="P274:S274"/>
    <mergeCell ref="P281:S281"/>
    <mergeCell ref="F283:O283"/>
    <mergeCell ref="F284:M284"/>
    <mergeCell ref="F285:O285"/>
    <mergeCell ref="E268:G268"/>
    <mergeCell ref="H268:I268"/>
    <mergeCell ref="L268:N268"/>
    <mergeCell ref="O268:P268"/>
    <mergeCell ref="E269:G269"/>
    <mergeCell ref="H269:I269"/>
    <mergeCell ref="L269:N269"/>
    <mergeCell ref="O269:P269"/>
    <mergeCell ref="E270:G270"/>
    <mergeCell ref="H270:I270"/>
    <mergeCell ref="L270:N270"/>
    <mergeCell ref="O270:P270"/>
  </mergeCells>
  <pageMargins left="0.62" right="0.5" top="0.49" bottom="0.51" header="0.31496062992126" footer="0.31"/>
  <pageSetup paperSize="9" scale="90" orientation="portrait" useFirstPageNumber="1" r:id="rId1"/>
  <headerFoot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50"/>
  </sheetPr>
  <dimension ref="A1:J353"/>
  <sheetViews>
    <sheetView view="pageBreakPreview" zoomScale="85" zoomScaleSheetLayoutView="85" workbookViewId="0">
      <selection sqref="A1:XFD4"/>
    </sheetView>
  </sheetViews>
  <sheetFormatPr defaultColWidth="9.140625" defaultRowHeight="15.75" x14ac:dyDescent="0.25"/>
  <cols>
    <col min="1" max="1" width="9.140625" style="7"/>
    <col min="2" max="2" width="55.7109375" style="7" customWidth="1"/>
    <col min="3" max="4" width="12.140625" style="739" customWidth="1"/>
    <col min="5" max="5" width="7.7109375" style="739" customWidth="1"/>
    <col min="6" max="6" width="12.140625" style="739" customWidth="1"/>
    <col min="7" max="7" width="14.42578125" style="739" customWidth="1"/>
    <col min="8" max="8" width="20.7109375" style="7" customWidth="1"/>
    <col min="9" max="9" width="9.140625" style="7"/>
    <col min="10" max="10" width="21.7109375" style="1064" hidden="1" customWidth="1"/>
    <col min="11" max="16384" width="9.140625" style="7"/>
  </cols>
  <sheetData>
    <row r="1" spans="1:10" x14ac:dyDescent="0.25">
      <c r="B1" s="185"/>
      <c r="G1" s="3935" t="s">
        <v>2172</v>
      </c>
      <c r="H1" s="3935"/>
    </row>
    <row r="2" spans="1:10" x14ac:dyDescent="0.25">
      <c r="B2" s="217"/>
    </row>
    <row r="3" spans="1:10" ht="27.75" customHeight="1" x14ac:dyDescent="0.25">
      <c r="B3" s="4122" t="s">
        <v>2239</v>
      </c>
      <c r="C3" s="4122"/>
      <c r="D3" s="4122"/>
      <c r="E3" s="4122"/>
      <c r="F3" s="4122"/>
      <c r="G3" s="4122"/>
      <c r="H3" s="4122"/>
    </row>
    <row r="4" spans="1:10" ht="22.5" customHeight="1" x14ac:dyDescent="0.25">
      <c r="A4" s="4575" t="str">
        <f>'B62-342'!A4:H4</f>
        <v>(Kèm theo Quyết định số         /QĐ-UBND ngày      tháng 4 năm 2026 của UBND xã Phong Quang)</v>
      </c>
      <c r="B4" s="4575"/>
      <c r="C4" s="4575"/>
      <c r="D4" s="4575"/>
      <c r="E4" s="4575"/>
      <c r="F4" s="4575"/>
      <c r="G4" s="4575"/>
      <c r="H4" s="4575"/>
    </row>
    <row r="5" spans="1:10" x14ac:dyDescent="0.25">
      <c r="H5" s="180" t="s">
        <v>192</v>
      </c>
    </row>
    <row r="6" spans="1:10" s="738" customFormat="1" ht="25.5" x14ac:dyDescent="0.25">
      <c r="A6" s="1072"/>
      <c r="B6" s="1073" t="s">
        <v>2137</v>
      </c>
      <c r="C6" s="1073" t="s">
        <v>2138</v>
      </c>
      <c r="D6" s="1073" t="s">
        <v>2139</v>
      </c>
      <c r="E6" s="1073" t="s">
        <v>2140</v>
      </c>
      <c r="F6" s="1073" t="s">
        <v>2141</v>
      </c>
      <c r="G6" s="1073" t="s">
        <v>2142</v>
      </c>
      <c r="H6" s="1073" t="s">
        <v>2143</v>
      </c>
      <c r="I6" s="1054"/>
      <c r="J6" s="1065"/>
    </row>
    <row r="7" spans="1:10" s="738" customFormat="1" x14ac:dyDescent="0.25">
      <c r="A7" s="1074"/>
      <c r="B7" s="4573" t="s">
        <v>2144</v>
      </c>
      <c r="C7" s="4573"/>
      <c r="D7" s="4573"/>
      <c r="E7" s="4573"/>
      <c r="F7" s="4573"/>
      <c r="G7" s="4573"/>
      <c r="H7" s="1055">
        <f>H8+H211</f>
        <v>91416148394</v>
      </c>
      <c r="I7" s="1054"/>
      <c r="J7" s="1065"/>
    </row>
    <row r="8" spans="1:10" s="1071" customFormat="1" x14ac:dyDescent="0.25">
      <c r="A8" s="1075"/>
      <c r="B8" s="4574" t="s">
        <v>2145</v>
      </c>
      <c r="C8" s="4574"/>
      <c r="D8" s="4574"/>
      <c r="E8" s="4574"/>
      <c r="F8" s="4574"/>
      <c r="G8" s="4574"/>
      <c r="H8" s="1068">
        <v>18220386336</v>
      </c>
      <c r="I8" s="1069"/>
      <c r="J8" s="1070"/>
    </row>
    <row r="9" spans="1:10" s="738" customFormat="1" x14ac:dyDescent="0.25">
      <c r="A9" s="1074"/>
      <c r="B9" s="1056"/>
      <c r="C9" s="4568" t="s">
        <v>1580</v>
      </c>
      <c r="D9" s="4568"/>
      <c r="E9" s="4568"/>
      <c r="F9" s="4568"/>
      <c r="G9" s="4568"/>
      <c r="H9" s="1057">
        <v>6912912510</v>
      </c>
      <c r="I9" s="1054"/>
      <c r="J9" s="1067"/>
    </row>
    <row r="10" spans="1:10" s="738" customFormat="1" x14ac:dyDescent="0.25">
      <c r="A10" s="1074"/>
      <c r="B10" s="1058" t="s">
        <v>1815</v>
      </c>
      <c r="C10" s="1056" t="s">
        <v>1154</v>
      </c>
      <c r="D10" s="1056" t="s">
        <v>1958</v>
      </c>
      <c r="E10" s="1056" t="s">
        <v>2234</v>
      </c>
      <c r="F10" s="1056" t="s">
        <v>1885</v>
      </c>
      <c r="G10" s="1056" t="s">
        <v>1888</v>
      </c>
      <c r="H10" s="1057">
        <v>1980000</v>
      </c>
      <c r="I10" s="1054"/>
      <c r="J10" s="1065"/>
    </row>
    <row r="11" spans="1:10" s="738" customFormat="1" x14ac:dyDescent="0.25">
      <c r="A11" s="1074"/>
      <c r="B11" s="1058" t="s">
        <v>1815</v>
      </c>
      <c r="C11" s="1056" t="s">
        <v>1154</v>
      </c>
      <c r="D11" s="1056" t="s">
        <v>1958</v>
      </c>
      <c r="E11" s="1056" t="s">
        <v>2234</v>
      </c>
      <c r="F11" s="1056" t="s">
        <v>1885</v>
      </c>
      <c r="G11" s="1056" t="s">
        <v>1887</v>
      </c>
      <c r="H11" s="1057">
        <v>9000000</v>
      </c>
      <c r="I11" s="1054"/>
      <c r="J11" s="1065"/>
    </row>
    <row r="12" spans="1:10" s="738" customFormat="1" x14ac:dyDescent="0.25">
      <c r="A12" s="1074"/>
      <c r="B12" s="1058" t="s">
        <v>1815</v>
      </c>
      <c r="C12" s="1056" t="s">
        <v>1154</v>
      </c>
      <c r="D12" s="1056" t="s">
        <v>1958</v>
      </c>
      <c r="E12" s="1056" t="s">
        <v>2234</v>
      </c>
      <c r="F12" s="1056" t="s">
        <v>1885</v>
      </c>
      <c r="G12" s="1056" t="s">
        <v>1886</v>
      </c>
      <c r="H12" s="1057">
        <v>1000000</v>
      </c>
      <c r="I12" s="1054"/>
      <c r="J12" s="1065"/>
    </row>
    <row r="13" spans="1:10" s="738" customFormat="1" x14ac:dyDescent="0.25">
      <c r="A13" s="1074"/>
      <c r="B13" s="1058" t="s">
        <v>1815</v>
      </c>
      <c r="C13" s="1056" t="s">
        <v>1154</v>
      </c>
      <c r="D13" s="1056" t="s">
        <v>1958</v>
      </c>
      <c r="E13" s="1056" t="s">
        <v>2234</v>
      </c>
      <c r="F13" s="1056" t="s">
        <v>1889</v>
      </c>
      <c r="G13" s="1056" t="s">
        <v>1890</v>
      </c>
      <c r="H13" s="1057">
        <v>1200000</v>
      </c>
      <c r="I13" s="1054"/>
      <c r="J13" s="1065"/>
    </row>
    <row r="14" spans="1:10" s="738" customFormat="1" x14ac:dyDescent="0.25">
      <c r="A14" s="1074"/>
      <c r="B14" s="1058" t="s">
        <v>1815</v>
      </c>
      <c r="C14" s="1056" t="s">
        <v>1154</v>
      </c>
      <c r="D14" s="1056" t="s">
        <v>1958</v>
      </c>
      <c r="E14" s="1056" t="s">
        <v>2234</v>
      </c>
      <c r="F14" s="1056" t="s">
        <v>1912</v>
      </c>
      <c r="G14" s="1056" t="s">
        <v>1916</v>
      </c>
      <c r="H14" s="1057">
        <v>69840000</v>
      </c>
      <c r="I14" s="1054"/>
      <c r="J14" s="1065"/>
    </row>
    <row r="15" spans="1:10" s="738" customFormat="1" x14ac:dyDescent="0.25">
      <c r="A15" s="1074"/>
      <c r="B15" s="1058" t="s">
        <v>1815</v>
      </c>
      <c r="C15" s="1056" t="s">
        <v>1178</v>
      </c>
      <c r="D15" s="1056" t="s">
        <v>2003</v>
      </c>
      <c r="E15" s="1056" t="s">
        <v>2004</v>
      </c>
      <c r="F15" s="1056" t="s">
        <v>1912</v>
      </c>
      <c r="G15" s="1056" t="s">
        <v>1916</v>
      </c>
      <c r="H15" s="1057">
        <v>90000000</v>
      </c>
      <c r="I15" s="1054"/>
      <c r="J15" s="1065"/>
    </row>
    <row r="16" spans="1:10" s="738" customFormat="1" x14ac:dyDescent="0.25">
      <c r="A16" s="1074"/>
      <c r="B16" s="1058" t="s">
        <v>1815</v>
      </c>
      <c r="C16" s="1056" t="s">
        <v>1189</v>
      </c>
      <c r="D16" s="1056" t="s">
        <v>1919</v>
      </c>
      <c r="E16" s="1056" t="s">
        <v>2052</v>
      </c>
      <c r="F16" s="1056" t="s">
        <v>1848</v>
      </c>
      <c r="G16" s="1056" t="s">
        <v>1850</v>
      </c>
      <c r="H16" s="1057">
        <v>132000000</v>
      </c>
      <c r="I16" s="1054"/>
      <c r="J16" s="1065"/>
    </row>
    <row r="17" spans="1:10" s="738" customFormat="1" x14ac:dyDescent="0.25">
      <c r="A17" s="1074"/>
      <c r="B17" s="1058" t="s">
        <v>1815</v>
      </c>
      <c r="C17" s="1056" t="s">
        <v>1189</v>
      </c>
      <c r="D17" s="1056" t="s">
        <v>1919</v>
      </c>
      <c r="E17" s="1056" t="s">
        <v>2052</v>
      </c>
      <c r="F17" s="1056" t="s">
        <v>1853</v>
      </c>
      <c r="G17" s="1056" t="s">
        <v>1939</v>
      </c>
      <c r="H17" s="1057">
        <v>74908260</v>
      </c>
      <c r="I17" s="1054"/>
      <c r="J17" s="1065"/>
    </row>
    <row r="18" spans="1:10" s="738" customFormat="1" x14ac:dyDescent="0.25">
      <c r="A18" s="1074"/>
      <c r="B18" s="1058" t="s">
        <v>1815</v>
      </c>
      <c r="C18" s="1056" t="s">
        <v>1189</v>
      </c>
      <c r="D18" s="1056" t="s">
        <v>1919</v>
      </c>
      <c r="E18" s="1056" t="s">
        <v>2052</v>
      </c>
      <c r="F18" s="1056" t="s">
        <v>1853</v>
      </c>
      <c r="G18" s="1056" t="s">
        <v>1856</v>
      </c>
      <c r="H18" s="1057">
        <v>14000000</v>
      </c>
      <c r="I18" s="1054"/>
      <c r="J18" s="1065"/>
    </row>
    <row r="19" spans="1:10" s="738" customFormat="1" x14ac:dyDescent="0.25">
      <c r="A19" s="1074"/>
      <c r="B19" s="1058" t="s">
        <v>1815</v>
      </c>
      <c r="C19" s="1056" t="s">
        <v>1189</v>
      </c>
      <c r="D19" s="1056" t="s">
        <v>1919</v>
      </c>
      <c r="E19" s="1056" t="s">
        <v>2052</v>
      </c>
      <c r="F19" s="1056" t="s">
        <v>1869</v>
      </c>
      <c r="G19" s="1056" t="s">
        <v>1872</v>
      </c>
      <c r="H19" s="1057">
        <v>2994050</v>
      </c>
      <c r="I19" s="1054"/>
      <c r="J19" s="1065"/>
    </row>
    <row r="20" spans="1:10" s="738" customFormat="1" x14ac:dyDescent="0.25">
      <c r="A20" s="1074"/>
      <c r="B20" s="1058" t="s">
        <v>1815</v>
      </c>
      <c r="C20" s="1056" t="s">
        <v>1189</v>
      </c>
      <c r="D20" s="1056" t="s">
        <v>1919</v>
      </c>
      <c r="E20" s="1056" t="s">
        <v>2052</v>
      </c>
      <c r="F20" s="1056" t="s">
        <v>1874</v>
      </c>
      <c r="G20" s="1056" t="s">
        <v>1875</v>
      </c>
      <c r="H20" s="1057">
        <v>13083000</v>
      </c>
      <c r="I20" s="1054"/>
      <c r="J20" s="1065"/>
    </row>
    <row r="21" spans="1:10" s="738" customFormat="1" x14ac:dyDescent="0.25">
      <c r="A21" s="1074"/>
      <c r="B21" s="1058" t="s">
        <v>1815</v>
      </c>
      <c r="C21" s="1056" t="s">
        <v>1189</v>
      </c>
      <c r="D21" s="1056" t="s">
        <v>1919</v>
      </c>
      <c r="E21" s="1056" t="s">
        <v>2052</v>
      </c>
      <c r="F21" s="1056" t="s">
        <v>1874</v>
      </c>
      <c r="G21" s="1056" t="s">
        <v>1876</v>
      </c>
      <c r="H21" s="1057">
        <v>500000</v>
      </c>
      <c r="I21" s="1054"/>
      <c r="J21" s="1065"/>
    </row>
    <row r="22" spans="1:10" s="738" customFormat="1" x14ac:dyDescent="0.25">
      <c r="A22" s="1074"/>
      <c r="B22" s="1058" t="s">
        <v>1815</v>
      </c>
      <c r="C22" s="1056" t="s">
        <v>1189</v>
      </c>
      <c r="D22" s="1056" t="s">
        <v>1919</v>
      </c>
      <c r="E22" s="1056" t="s">
        <v>2052</v>
      </c>
      <c r="F22" s="1056" t="s">
        <v>1896</v>
      </c>
      <c r="G22" s="1056" t="s">
        <v>1900</v>
      </c>
      <c r="H22" s="1057">
        <v>4000000</v>
      </c>
      <c r="I22" s="1054"/>
      <c r="J22" s="1065"/>
    </row>
    <row r="23" spans="1:10" s="738" customFormat="1" x14ac:dyDescent="0.25">
      <c r="A23" s="1074"/>
      <c r="B23" s="1058" t="s">
        <v>1815</v>
      </c>
      <c r="C23" s="1056" t="s">
        <v>1189</v>
      </c>
      <c r="D23" s="1056" t="s">
        <v>1919</v>
      </c>
      <c r="E23" s="1056" t="s">
        <v>2052</v>
      </c>
      <c r="F23" s="1056" t="s">
        <v>1896</v>
      </c>
      <c r="G23" s="1056" t="s">
        <v>1901</v>
      </c>
      <c r="H23" s="1057">
        <v>6840000</v>
      </c>
      <c r="I23" s="1054"/>
      <c r="J23" s="1065"/>
    </row>
    <row r="24" spans="1:10" s="738" customFormat="1" x14ac:dyDescent="0.25">
      <c r="A24" s="1074"/>
      <c r="B24" s="1058" t="s">
        <v>1815</v>
      </c>
      <c r="C24" s="1056" t="s">
        <v>1189</v>
      </c>
      <c r="D24" s="1056" t="s">
        <v>1919</v>
      </c>
      <c r="E24" s="1056" t="s">
        <v>2052</v>
      </c>
      <c r="F24" s="1056" t="s">
        <v>1906</v>
      </c>
      <c r="G24" s="1056" t="s">
        <v>1907</v>
      </c>
      <c r="H24" s="1057">
        <v>4048000</v>
      </c>
      <c r="I24" s="1054"/>
      <c r="J24" s="1065"/>
    </row>
    <row r="25" spans="1:10" s="738" customFormat="1" x14ac:dyDescent="0.25">
      <c r="A25" s="1074"/>
      <c r="B25" s="1058" t="s">
        <v>1815</v>
      </c>
      <c r="C25" s="1056" t="s">
        <v>1189</v>
      </c>
      <c r="D25" s="1056" t="s">
        <v>1919</v>
      </c>
      <c r="E25" s="1056" t="s">
        <v>2052</v>
      </c>
      <c r="F25" s="1056" t="s">
        <v>1912</v>
      </c>
      <c r="G25" s="1056" t="s">
        <v>1913</v>
      </c>
      <c r="H25" s="1057">
        <v>3190000</v>
      </c>
      <c r="I25" s="1054"/>
      <c r="J25" s="1065"/>
    </row>
    <row r="26" spans="1:10" s="738" customFormat="1" x14ac:dyDescent="0.25">
      <c r="A26" s="1074"/>
      <c r="B26" s="1058" t="s">
        <v>1815</v>
      </c>
      <c r="C26" s="1056" t="s">
        <v>1189</v>
      </c>
      <c r="D26" s="1056" t="s">
        <v>1919</v>
      </c>
      <c r="E26" s="1056" t="s">
        <v>2052</v>
      </c>
      <c r="F26" s="1056" t="s">
        <v>1912</v>
      </c>
      <c r="G26" s="1056" t="s">
        <v>1916</v>
      </c>
      <c r="H26" s="1057">
        <v>6484329200</v>
      </c>
      <c r="I26" s="1054"/>
      <c r="J26" s="1065"/>
    </row>
    <row r="27" spans="1:10" s="738" customFormat="1" ht="63" x14ac:dyDescent="0.25">
      <c r="A27" s="1074"/>
      <c r="B27" s="1056" t="s">
        <v>2154</v>
      </c>
      <c r="C27" s="4568" t="s">
        <v>1580</v>
      </c>
      <c r="D27" s="4568"/>
      <c r="E27" s="4568"/>
      <c r="F27" s="4568"/>
      <c r="G27" s="4568"/>
      <c r="H27" s="1057">
        <v>200000000</v>
      </c>
      <c r="I27" s="1054"/>
      <c r="J27" s="1065"/>
    </row>
    <row r="28" spans="1:10" s="738" customFormat="1" x14ac:dyDescent="0.25">
      <c r="A28" s="1074"/>
      <c r="B28" s="1058" t="s">
        <v>1815</v>
      </c>
      <c r="C28" s="1056" t="s">
        <v>2056</v>
      </c>
      <c r="D28" s="1056" t="s">
        <v>1972</v>
      </c>
      <c r="E28" s="1056" t="s">
        <v>2235</v>
      </c>
      <c r="F28" s="1056" t="s">
        <v>1923</v>
      </c>
      <c r="G28" s="1056" t="s">
        <v>2007</v>
      </c>
      <c r="H28" s="1057">
        <v>200000000</v>
      </c>
      <c r="I28" s="1054"/>
      <c r="J28" s="1065"/>
    </row>
    <row r="29" spans="1:10" s="738" customFormat="1" ht="47.25" x14ac:dyDescent="0.25">
      <c r="A29" s="1074"/>
      <c r="B29" s="1056" t="s">
        <v>2146</v>
      </c>
      <c r="C29" s="4568" t="s">
        <v>1580</v>
      </c>
      <c r="D29" s="4568"/>
      <c r="E29" s="4568"/>
      <c r="F29" s="4568"/>
      <c r="G29" s="4568"/>
      <c r="H29" s="1057">
        <v>6280951419</v>
      </c>
      <c r="I29" s="1054"/>
      <c r="J29" s="1065"/>
    </row>
    <row r="30" spans="1:10" s="738" customFormat="1" x14ac:dyDescent="0.25">
      <c r="A30" s="1074"/>
      <c r="B30" s="1058" t="s">
        <v>1815</v>
      </c>
      <c r="C30" s="1056" t="s">
        <v>1825</v>
      </c>
      <c r="D30" s="1056" t="s">
        <v>1919</v>
      </c>
      <c r="E30" s="1056" t="s">
        <v>1920</v>
      </c>
      <c r="F30" s="1056" t="s">
        <v>1874</v>
      </c>
      <c r="G30" s="1056" t="s">
        <v>1875</v>
      </c>
      <c r="H30" s="1057">
        <v>330000</v>
      </c>
      <c r="I30" s="1054"/>
      <c r="J30" s="1065"/>
    </row>
    <row r="31" spans="1:10" s="738" customFormat="1" x14ac:dyDescent="0.25">
      <c r="A31" s="1074"/>
      <c r="B31" s="1058" t="s">
        <v>1815</v>
      </c>
      <c r="C31" s="1056" t="s">
        <v>1825</v>
      </c>
      <c r="D31" s="1056" t="s">
        <v>1919</v>
      </c>
      <c r="E31" s="1056" t="s">
        <v>1920</v>
      </c>
      <c r="F31" s="1056" t="s">
        <v>1885</v>
      </c>
      <c r="G31" s="1056" t="s">
        <v>1888</v>
      </c>
      <c r="H31" s="1057">
        <v>1540000</v>
      </c>
      <c r="I31" s="1054"/>
      <c r="J31" s="1065"/>
    </row>
    <row r="32" spans="1:10" s="738" customFormat="1" x14ac:dyDescent="0.25">
      <c r="A32" s="1074"/>
      <c r="B32" s="1058" t="s">
        <v>1815</v>
      </c>
      <c r="C32" s="1056" t="s">
        <v>1825</v>
      </c>
      <c r="D32" s="1056" t="s">
        <v>1919</v>
      </c>
      <c r="E32" s="1056" t="s">
        <v>1920</v>
      </c>
      <c r="F32" s="1056" t="s">
        <v>1885</v>
      </c>
      <c r="G32" s="1056" t="s">
        <v>1887</v>
      </c>
      <c r="H32" s="1057">
        <v>7700000</v>
      </c>
      <c r="I32" s="1054"/>
      <c r="J32" s="1065"/>
    </row>
    <row r="33" spans="1:10" s="738" customFormat="1" x14ac:dyDescent="0.25">
      <c r="A33" s="1074"/>
      <c r="B33" s="1058" t="s">
        <v>1815</v>
      </c>
      <c r="C33" s="1056" t="s">
        <v>1825</v>
      </c>
      <c r="D33" s="1056" t="s">
        <v>1919</v>
      </c>
      <c r="E33" s="1056" t="s">
        <v>1920</v>
      </c>
      <c r="F33" s="1056" t="s">
        <v>1885</v>
      </c>
      <c r="G33" s="1056" t="s">
        <v>1886</v>
      </c>
      <c r="H33" s="1057">
        <v>2400000</v>
      </c>
      <c r="I33" s="1054"/>
      <c r="J33" s="1065"/>
    </row>
    <row r="34" spans="1:10" s="738" customFormat="1" x14ac:dyDescent="0.25">
      <c r="A34" s="1074"/>
      <c r="B34" s="1058" t="s">
        <v>1815</v>
      </c>
      <c r="C34" s="1056" t="s">
        <v>1825</v>
      </c>
      <c r="D34" s="1056" t="s">
        <v>1919</v>
      </c>
      <c r="E34" s="1056" t="s">
        <v>1920</v>
      </c>
      <c r="F34" s="1056" t="s">
        <v>1885</v>
      </c>
      <c r="G34" s="1056" t="s">
        <v>1925</v>
      </c>
      <c r="H34" s="1057">
        <v>1360000</v>
      </c>
      <c r="I34" s="1054"/>
      <c r="J34" s="1065"/>
    </row>
    <row r="35" spans="1:10" s="738" customFormat="1" x14ac:dyDescent="0.25">
      <c r="A35" s="1074"/>
      <c r="B35" s="1058" t="s">
        <v>1815</v>
      </c>
      <c r="C35" s="1056" t="s">
        <v>1825</v>
      </c>
      <c r="D35" s="1056" t="s">
        <v>1919</v>
      </c>
      <c r="E35" s="1056" t="s">
        <v>1920</v>
      </c>
      <c r="F35" s="1056" t="s">
        <v>1912</v>
      </c>
      <c r="G35" s="1056" t="s">
        <v>1916</v>
      </c>
      <c r="H35" s="1057">
        <v>678269720</v>
      </c>
      <c r="I35" s="1054"/>
      <c r="J35" s="1065"/>
    </row>
    <row r="36" spans="1:10" s="738" customFormat="1" x14ac:dyDescent="0.25">
      <c r="A36" s="1074"/>
      <c r="B36" s="1058" t="s">
        <v>1815</v>
      </c>
      <c r="C36" s="1056" t="s">
        <v>1171</v>
      </c>
      <c r="D36" s="1056" t="s">
        <v>1919</v>
      </c>
      <c r="E36" s="1056" t="s">
        <v>1920</v>
      </c>
      <c r="F36" s="1056" t="s">
        <v>1923</v>
      </c>
      <c r="G36" s="1056" t="s">
        <v>2063</v>
      </c>
      <c r="H36" s="1057">
        <v>1642187000</v>
      </c>
      <c r="I36" s="1054"/>
      <c r="J36" s="1065"/>
    </row>
    <row r="37" spans="1:10" s="738" customFormat="1" x14ac:dyDescent="0.25">
      <c r="A37" s="1074"/>
      <c r="B37" s="1058" t="s">
        <v>1815</v>
      </c>
      <c r="C37" s="1056" t="s">
        <v>2056</v>
      </c>
      <c r="D37" s="1056" t="s">
        <v>1919</v>
      </c>
      <c r="E37" s="1056" t="s">
        <v>1920</v>
      </c>
      <c r="F37" s="1056" t="s">
        <v>1851</v>
      </c>
      <c r="G37" s="1056" t="s">
        <v>2065</v>
      </c>
      <c r="H37" s="1057">
        <v>8195000</v>
      </c>
      <c r="I37" s="1054"/>
      <c r="J37" s="1065"/>
    </row>
    <row r="38" spans="1:10" s="738" customFormat="1" x14ac:dyDescent="0.25">
      <c r="A38" s="1074"/>
      <c r="B38" s="1058" t="s">
        <v>1815</v>
      </c>
      <c r="C38" s="1056" t="s">
        <v>2056</v>
      </c>
      <c r="D38" s="1056" t="s">
        <v>1919</v>
      </c>
      <c r="E38" s="1056" t="s">
        <v>1920</v>
      </c>
      <c r="F38" s="1056" t="s">
        <v>1874</v>
      </c>
      <c r="G38" s="1056" t="s">
        <v>1876</v>
      </c>
      <c r="H38" s="1057">
        <v>600000</v>
      </c>
      <c r="I38" s="1054"/>
      <c r="J38" s="1065"/>
    </row>
    <row r="39" spans="1:10" s="738" customFormat="1" x14ac:dyDescent="0.25">
      <c r="A39" s="1074"/>
      <c r="B39" s="1058" t="s">
        <v>1815</v>
      </c>
      <c r="C39" s="1056" t="s">
        <v>2056</v>
      </c>
      <c r="D39" s="1056" t="s">
        <v>1919</v>
      </c>
      <c r="E39" s="1056" t="s">
        <v>1920</v>
      </c>
      <c r="F39" s="1056" t="s">
        <v>1874</v>
      </c>
      <c r="G39" s="1056" t="s">
        <v>1875</v>
      </c>
      <c r="H39" s="1057">
        <v>7348000</v>
      </c>
      <c r="I39" s="1054"/>
      <c r="J39" s="1065"/>
    </row>
    <row r="40" spans="1:10" s="738" customFormat="1" x14ac:dyDescent="0.25">
      <c r="A40" s="1074"/>
      <c r="B40" s="1058" t="s">
        <v>1815</v>
      </c>
      <c r="C40" s="1056" t="s">
        <v>2056</v>
      </c>
      <c r="D40" s="1056" t="s">
        <v>1919</v>
      </c>
      <c r="E40" s="1056" t="s">
        <v>1920</v>
      </c>
      <c r="F40" s="1056" t="s">
        <v>1885</v>
      </c>
      <c r="G40" s="1056" t="s">
        <v>1925</v>
      </c>
      <c r="H40" s="1057">
        <v>5895000</v>
      </c>
      <c r="I40" s="1054"/>
      <c r="J40" s="1065"/>
    </row>
    <row r="41" spans="1:10" s="738" customFormat="1" x14ac:dyDescent="0.25">
      <c r="A41" s="1074"/>
      <c r="B41" s="1058" t="s">
        <v>1815</v>
      </c>
      <c r="C41" s="1056" t="s">
        <v>2056</v>
      </c>
      <c r="D41" s="1056" t="s">
        <v>1919</v>
      </c>
      <c r="E41" s="1056" t="s">
        <v>1920</v>
      </c>
      <c r="F41" s="1056" t="s">
        <v>1885</v>
      </c>
      <c r="G41" s="1056" t="s">
        <v>1888</v>
      </c>
      <c r="H41" s="1057">
        <v>19853500</v>
      </c>
      <c r="I41" s="1054"/>
      <c r="J41" s="1065"/>
    </row>
    <row r="42" spans="1:10" s="738" customFormat="1" x14ac:dyDescent="0.25">
      <c r="A42" s="1074"/>
      <c r="B42" s="1058" t="s">
        <v>1815</v>
      </c>
      <c r="C42" s="1056" t="s">
        <v>2056</v>
      </c>
      <c r="D42" s="1056" t="s">
        <v>1919</v>
      </c>
      <c r="E42" s="1056" t="s">
        <v>1920</v>
      </c>
      <c r="F42" s="1056" t="s">
        <v>1885</v>
      </c>
      <c r="G42" s="1056" t="s">
        <v>1887</v>
      </c>
      <c r="H42" s="1057">
        <v>82600000</v>
      </c>
      <c r="I42" s="1054"/>
      <c r="J42" s="1065"/>
    </row>
    <row r="43" spans="1:10" s="738" customFormat="1" x14ac:dyDescent="0.25">
      <c r="A43" s="1074"/>
      <c r="B43" s="1058" t="s">
        <v>1815</v>
      </c>
      <c r="C43" s="1056" t="s">
        <v>2056</v>
      </c>
      <c r="D43" s="1056" t="s">
        <v>1919</v>
      </c>
      <c r="E43" s="1056" t="s">
        <v>1920</v>
      </c>
      <c r="F43" s="1056" t="s">
        <v>1885</v>
      </c>
      <c r="G43" s="1056" t="s">
        <v>1886</v>
      </c>
      <c r="H43" s="1057">
        <v>28400000</v>
      </c>
      <c r="I43" s="1054"/>
      <c r="J43" s="1065"/>
    </row>
    <row r="44" spans="1:10" s="738" customFormat="1" x14ac:dyDescent="0.25">
      <c r="A44" s="1074"/>
      <c r="B44" s="1058" t="s">
        <v>1815</v>
      </c>
      <c r="C44" s="1056" t="s">
        <v>2056</v>
      </c>
      <c r="D44" s="1056" t="s">
        <v>1919</v>
      </c>
      <c r="E44" s="1056" t="s">
        <v>1920</v>
      </c>
      <c r="F44" s="1056" t="s">
        <v>1893</v>
      </c>
      <c r="G44" s="1056" t="s">
        <v>2051</v>
      </c>
      <c r="H44" s="1057">
        <v>2458500</v>
      </c>
      <c r="I44" s="1054"/>
      <c r="J44" s="1065"/>
    </row>
    <row r="45" spans="1:10" s="738" customFormat="1" x14ac:dyDescent="0.25">
      <c r="A45" s="1074"/>
      <c r="B45" s="1058" t="s">
        <v>1815</v>
      </c>
      <c r="C45" s="1056" t="s">
        <v>2056</v>
      </c>
      <c r="D45" s="1056" t="s">
        <v>1919</v>
      </c>
      <c r="E45" s="1056" t="s">
        <v>1920</v>
      </c>
      <c r="F45" s="1056" t="s">
        <v>1906</v>
      </c>
      <c r="G45" s="1056" t="s">
        <v>1978</v>
      </c>
      <c r="H45" s="1057">
        <v>72500000</v>
      </c>
      <c r="I45" s="1054"/>
      <c r="J45" s="1065"/>
    </row>
    <row r="46" spans="1:10" s="738" customFormat="1" x14ac:dyDescent="0.25">
      <c r="A46" s="1074"/>
      <c r="B46" s="1058" t="s">
        <v>1815</v>
      </c>
      <c r="C46" s="1056" t="s">
        <v>2056</v>
      </c>
      <c r="D46" s="1056" t="s">
        <v>1919</v>
      </c>
      <c r="E46" s="1056" t="s">
        <v>1920</v>
      </c>
      <c r="F46" s="1056" t="s">
        <v>1923</v>
      </c>
      <c r="G46" s="1056" t="s">
        <v>2007</v>
      </c>
      <c r="H46" s="1057">
        <v>2825766376</v>
      </c>
      <c r="I46" s="1054"/>
      <c r="J46" s="1065"/>
    </row>
    <row r="47" spans="1:10" s="738" customFormat="1" x14ac:dyDescent="0.25">
      <c r="A47" s="1074"/>
      <c r="B47" s="1058" t="s">
        <v>1815</v>
      </c>
      <c r="C47" s="1056" t="s">
        <v>2056</v>
      </c>
      <c r="D47" s="1056" t="s">
        <v>1919</v>
      </c>
      <c r="E47" s="1056" t="s">
        <v>1920</v>
      </c>
      <c r="F47" s="1056" t="s">
        <v>1923</v>
      </c>
      <c r="G47" s="1056" t="s">
        <v>2063</v>
      </c>
      <c r="H47" s="1057">
        <v>132417460</v>
      </c>
      <c r="I47" s="1054"/>
      <c r="J47" s="1065"/>
    </row>
    <row r="48" spans="1:10" s="738" customFormat="1" x14ac:dyDescent="0.25">
      <c r="A48" s="1074"/>
      <c r="B48" s="1058" t="s">
        <v>1815</v>
      </c>
      <c r="C48" s="1056" t="s">
        <v>2056</v>
      </c>
      <c r="D48" s="1056" t="s">
        <v>1919</v>
      </c>
      <c r="E48" s="1056" t="s">
        <v>1920</v>
      </c>
      <c r="F48" s="1056" t="s">
        <v>1912</v>
      </c>
      <c r="G48" s="1056" t="s">
        <v>1916</v>
      </c>
      <c r="H48" s="1057">
        <v>761130863</v>
      </c>
      <c r="I48" s="1054"/>
      <c r="J48" s="1065"/>
    </row>
    <row r="49" spans="1:10" s="738" customFormat="1" x14ac:dyDescent="0.25">
      <c r="A49" s="1074"/>
      <c r="B49" s="1056" t="s">
        <v>170</v>
      </c>
      <c r="C49" s="4568" t="s">
        <v>1580</v>
      </c>
      <c r="D49" s="4568"/>
      <c r="E49" s="4568"/>
      <c r="F49" s="4568"/>
      <c r="G49" s="4568"/>
      <c r="H49" s="1057">
        <v>17943142234</v>
      </c>
      <c r="I49" s="1054"/>
      <c r="J49" s="1065"/>
    </row>
    <row r="50" spans="1:10" s="738" customFormat="1" x14ac:dyDescent="0.25">
      <c r="A50" s="1074"/>
      <c r="B50" s="1058" t="s">
        <v>1815</v>
      </c>
      <c r="C50" s="1056" t="s">
        <v>1189</v>
      </c>
      <c r="D50" s="1056" t="s">
        <v>1972</v>
      </c>
      <c r="E50" s="1056" t="s">
        <v>2235</v>
      </c>
      <c r="F50" s="1056" t="s">
        <v>2024</v>
      </c>
      <c r="G50" s="1056" t="s">
        <v>2025</v>
      </c>
      <c r="H50" s="1057">
        <v>117000000</v>
      </c>
      <c r="I50" s="1054"/>
      <c r="J50" s="1065"/>
    </row>
    <row r="51" spans="1:10" s="738" customFormat="1" x14ac:dyDescent="0.25">
      <c r="A51" s="1074"/>
      <c r="B51" s="1058" t="s">
        <v>1815</v>
      </c>
      <c r="C51" s="1056" t="s">
        <v>2056</v>
      </c>
      <c r="D51" s="1056" t="s">
        <v>1933</v>
      </c>
      <c r="E51" s="1056" t="s">
        <v>1954</v>
      </c>
      <c r="F51" s="1056" t="s">
        <v>1896</v>
      </c>
      <c r="G51" s="1056" t="s">
        <v>1902</v>
      </c>
      <c r="H51" s="1057">
        <v>70724141</v>
      </c>
      <c r="I51" s="1054"/>
      <c r="J51" s="1065"/>
    </row>
    <row r="52" spans="1:10" s="738" customFormat="1" x14ac:dyDescent="0.25">
      <c r="A52" s="1074"/>
      <c r="B52" s="1058" t="s">
        <v>1815</v>
      </c>
      <c r="C52" s="1056" t="s">
        <v>2056</v>
      </c>
      <c r="D52" s="1056" t="s">
        <v>2038</v>
      </c>
      <c r="E52" s="1056" t="s">
        <v>2039</v>
      </c>
      <c r="F52" s="1056" t="s">
        <v>1896</v>
      </c>
      <c r="G52" s="1056" t="s">
        <v>2006</v>
      </c>
      <c r="H52" s="1057">
        <v>50968306</v>
      </c>
      <c r="I52" s="1054"/>
      <c r="J52" s="1065"/>
    </row>
    <row r="53" spans="1:10" s="738" customFormat="1" x14ac:dyDescent="0.25">
      <c r="A53" s="1074"/>
      <c r="B53" s="1058" t="s">
        <v>1815</v>
      </c>
      <c r="C53" s="1056" t="s">
        <v>2056</v>
      </c>
      <c r="D53" s="1056" t="s">
        <v>2038</v>
      </c>
      <c r="E53" s="1056" t="s">
        <v>2039</v>
      </c>
      <c r="F53" s="1056" t="s">
        <v>1896</v>
      </c>
      <c r="G53" s="1056" t="s">
        <v>1902</v>
      </c>
      <c r="H53" s="1057">
        <v>84239000</v>
      </c>
      <c r="I53" s="1054"/>
      <c r="J53" s="1065"/>
    </row>
    <row r="54" spans="1:10" s="738" customFormat="1" x14ac:dyDescent="0.25">
      <c r="A54" s="1074"/>
      <c r="B54" s="1058" t="s">
        <v>1815</v>
      </c>
      <c r="C54" s="1056" t="s">
        <v>2056</v>
      </c>
      <c r="D54" s="1056" t="s">
        <v>2038</v>
      </c>
      <c r="E54" s="1056" t="s">
        <v>2039</v>
      </c>
      <c r="F54" s="1056" t="s">
        <v>1896</v>
      </c>
      <c r="G54" s="1056" t="s">
        <v>1899</v>
      </c>
      <c r="H54" s="1057">
        <v>13992000</v>
      </c>
      <c r="I54" s="1054"/>
      <c r="J54" s="1065"/>
    </row>
    <row r="55" spans="1:10" s="738" customFormat="1" x14ac:dyDescent="0.25">
      <c r="A55" s="1074"/>
      <c r="B55" s="1058" t="s">
        <v>1815</v>
      </c>
      <c r="C55" s="1056" t="s">
        <v>2056</v>
      </c>
      <c r="D55" s="1056" t="s">
        <v>2038</v>
      </c>
      <c r="E55" s="1056" t="s">
        <v>2039</v>
      </c>
      <c r="F55" s="1056" t="s">
        <v>2024</v>
      </c>
      <c r="G55" s="1056" t="s">
        <v>2025</v>
      </c>
      <c r="H55" s="1057">
        <v>1274301932</v>
      </c>
      <c r="I55" s="1054"/>
      <c r="J55" s="1065"/>
    </row>
    <row r="56" spans="1:10" s="738" customFormat="1" x14ac:dyDescent="0.25">
      <c r="A56" s="1074"/>
      <c r="B56" s="1058" t="s">
        <v>1815</v>
      </c>
      <c r="C56" s="1056" t="s">
        <v>2056</v>
      </c>
      <c r="D56" s="1056" t="s">
        <v>2038</v>
      </c>
      <c r="E56" s="1056" t="s">
        <v>2039</v>
      </c>
      <c r="F56" s="1056" t="s">
        <v>2026</v>
      </c>
      <c r="G56" s="1056" t="s">
        <v>2029</v>
      </c>
      <c r="H56" s="1057">
        <v>8765732</v>
      </c>
      <c r="I56" s="1054"/>
      <c r="J56" s="1065"/>
    </row>
    <row r="57" spans="1:10" s="738" customFormat="1" x14ac:dyDescent="0.25">
      <c r="A57" s="1074"/>
      <c r="B57" s="1058" t="s">
        <v>1815</v>
      </c>
      <c r="C57" s="1056" t="s">
        <v>2056</v>
      </c>
      <c r="D57" s="1056" t="s">
        <v>2038</v>
      </c>
      <c r="E57" s="1056" t="s">
        <v>2039</v>
      </c>
      <c r="F57" s="1056" t="s">
        <v>2026</v>
      </c>
      <c r="G57" s="1056" t="s">
        <v>2027</v>
      </c>
      <c r="H57" s="1057">
        <v>31414131</v>
      </c>
      <c r="I57" s="1054"/>
      <c r="J57" s="1065"/>
    </row>
    <row r="58" spans="1:10" s="738" customFormat="1" x14ac:dyDescent="0.25">
      <c r="A58" s="1074"/>
      <c r="B58" s="1058" t="s">
        <v>1815</v>
      </c>
      <c r="C58" s="1056" t="s">
        <v>2056</v>
      </c>
      <c r="D58" s="1056" t="s">
        <v>2044</v>
      </c>
      <c r="E58" s="1056" t="s">
        <v>2045</v>
      </c>
      <c r="F58" s="1056" t="s">
        <v>2046</v>
      </c>
      <c r="G58" s="1056" t="s">
        <v>2047</v>
      </c>
      <c r="H58" s="1057">
        <v>208422862</v>
      </c>
      <c r="I58" s="1054"/>
      <c r="J58" s="1065"/>
    </row>
    <row r="59" spans="1:10" s="738" customFormat="1" x14ac:dyDescent="0.25">
      <c r="A59" s="1074"/>
      <c r="B59" s="1058" t="s">
        <v>1815</v>
      </c>
      <c r="C59" s="1056" t="s">
        <v>2056</v>
      </c>
      <c r="D59" s="1056" t="s">
        <v>2044</v>
      </c>
      <c r="E59" s="1056" t="s">
        <v>2045</v>
      </c>
      <c r="F59" s="1056" t="s">
        <v>2026</v>
      </c>
      <c r="G59" s="1056" t="s">
        <v>2027</v>
      </c>
      <c r="H59" s="1057">
        <v>4260888</v>
      </c>
      <c r="I59" s="1054"/>
      <c r="J59" s="1065"/>
    </row>
    <row r="60" spans="1:10" s="738" customFormat="1" x14ac:dyDescent="0.25">
      <c r="A60" s="1074"/>
      <c r="B60" s="1058" t="s">
        <v>1815</v>
      </c>
      <c r="C60" s="1056" t="s">
        <v>2056</v>
      </c>
      <c r="D60" s="1056" t="s">
        <v>2044</v>
      </c>
      <c r="E60" s="1056" t="s">
        <v>2045</v>
      </c>
      <c r="F60" s="1056" t="s">
        <v>2026</v>
      </c>
      <c r="G60" s="1056" t="s">
        <v>2028</v>
      </c>
      <c r="H60" s="1057">
        <v>4389270</v>
      </c>
      <c r="I60" s="1054"/>
      <c r="J60" s="1065"/>
    </row>
    <row r="61" spans="1:10" s="738" customFormat="1" x14ac:dyDescent="0.25">
      <c r="A61" s="1074"/>
      <c r="B61" s="1058" t="s">
        <v>1815</v>
      </c>
      <c r="C61" s="1056" t="s">
        <v>2056</v>
      </c>
      <c r="D61" s="1056" t="s">
        <v>2044</v>
      </c>
      <c r="E61" s="1056" t="s">
        <v>2045</v>
      </c>
      <c r="F61" s="1056" t="s">
        <v>2026</v>
      </c>
      <c r="G61" s="1056" t="s">
        <v>2029</v>
      </c>
      <c r="H61" s="1057">
        <v>9883280</v>
      </c>
      <c r="I61" s="1054"/>
      <c r="J61" s="1065"/>
    </row>
    <row r="62" spans="1:10" s="738" customFormat="1" x14ac:dyDescent="0.25">
      <c r="A62" s="1074"/>
      <c r="B62" s="1058" t="s">
        <v>1815</v>
      </c>
      <c r="C62" s="1056" t="s">
        <v>2056</v>
      </c>
      <c r="D62" s="1056" t="s">
        <v>1919</v>
      </c>
      <c r="E62" s="1056" t="s">
        <v>1920</v>
      </c>
      <c r="F62" s="1056" t="s">
        <v>1853</v>
      </c>
      <c r="G62" s="1056" t="s">
        <v>1939</v>
      </c>
      <c r="H62" s="1057">
        <v>29034000</v>
      </c>
      <c r="I62" s="1054"/>
      <c r="J62" s="1065"/>
    </row>
    <row r="63" spans="1:10" s="738" customFormat="1" x14ac:dyDescent="0.25">
      <c r="A63" s="1074"/>
      <c r="B63" s="1058" t="s">
        <v>1815</v>
      </c>
      <c r="C63" s="1056" t="s">
        <v>2056</v>
      </c>
      <c r="D63" s="1056" t="s">
        <v>1919</v>
      </c>
      <c r="E63" s="1056" t="s">
        <v>1920</v>
      </c>
      <c r="F63" s="1056" t="s">
        <v>1853</v>
      </c>
      <c r="G63" s="1056" t="s">
        <v>1856</v>
      </c>
      <c r="H63" s="1057">
        <v>73354951</v>
      </c>
      <c r="I63" s="1054"/>
      <c r="J63" s="1065"/>
    </row>
    <row r="64" spans="1:10" s="738" customFormat="1" x14ac:dyDescent="0.25">
      <c r="A64" s="1074"/>
      <c r="B64" s="1058" t="s">
        <v>1815</v>
      </c>
      <c r="C64" s="1056" t="s">
        <v>2056</v>
      </c>
      <c r="D64" s="1056" t="s">
        <v>1919</v>
      </c>
      <c r="E64" s="1056" t="s">
        <v>1920</v>
      </c>
      <c r="F64" s="1056" t="s">
        <v>1874</v>
      </c>
      <c r="G64" s="1056" t="s">
        <v>1875</v>
      </c>
      <c r="H64" s="1057">
        <v>4900155</v>
      </c>
      <c r="I64" s="1054"/>
      <c r="J64" s="1065"/>
    </row>
    <row r="65" spans="1:10" s="738" customFormat="1" x14ac:dyDescent="0.25">
      <c r="A65" s="1074"/>
      <c r="B65" s="1058" t="s">
        <v>1815</v>
      </c>
      <c r="C65" s="1056" t="s">
        <v>2056</v>
      </c>
      <c r="D65" s="1056" t="s">
        <v>1919</v>
      </c>
      <c r="E65" s="1056" t="s">
        <v>1920</v>
      </c>
      <c r="F65" s="1056" t="s">
        <v>1874</v>
      </c>
      <c r="G65" s="1056" t="s">
        <v>1876</v>
      </c>
      <c r="H65" s="1057">
        <v>800000</v>
      </c>
      <c r="I65" s="1054"/>
      <c r="J65" s="1065"/>
    </row>
    <row r="66" spans="1:10" s="738" customFormat="1" x14ac:dyDescent="0.25">
      <c r="A66" s="1074"/>
      <c r="B66" s="1058" t="s">
        <v>1815</v>
      </c>
      <c r="C66" s="1056" t="s">
        <v>2056</v>
      </c>
      <c r="D66" s="1056" t="s">
        <v>1919</v>
      </c>
      <c r="E66" s="1056" t="s">
        <v>1920</v>
      </c>
      <c r="F66" s="1056" t="s">
        <v>1885</v>
      </c>
      <c r="G66" s="1056" t="s">
        <v>1888</v>
      </c>
      <c r="H66" s="1057">
        <v>1840000</v>
      </c>
      <c r="I66" s="1054"/>
      <c r="J66" s="1065"/>
    </row>
    <row r="67" spans="1:10" s="738" customFormat="1" x14ac:dyDescent="0.25">
      <c r="A67" s="1074"/>
      <c r="B67" s="1058" t="s">
        <v>1815</v>
      </c>
      <c r="C67" s="1056" t="s">
        <v>2056</v>
      </c>
      <c r="D67" s="1056" t="s">
        <v>1919</v>
      </c>
      <c r="E67" s="1056" t="s">
        <v>1920</v>
      </c>
      <c r="F67" s="1056" t="s">
        <v>1885</v>
      </c>
      <c r="G67" s="1056" t="s">
        <v>1925</v>
      </c>
      <c r="H67" s="1057">
        <v>468000</v>
      </c>
      <c r="I67" s="1054"/>
      <c r="J67" s="1065"/>
    </row>
    <row r="68" spans="1:10" s="738" customFormat="1" x14ac:dyDescent="0.25">
      <c r="A68" s="1074"/>
      <c r="B68" s="1058" t="s">
        <v>1815</v>
      </c>
      <c r="C68" s="1056" t="s">
        <v>2056</v>
      </c>
      <c r="D68" s="1056" t="s">
        <v>1919</v>
      </c>
      <c r="E68" s="1056" t="s">
        <v>1920</v>
      </c>
      <c r="F68" s="1056" t="s">
        <v>1885</v>
      </c>
      <c r="G68" s="1056" t="s">
        <v>1887</v>
      </c>
      <c r="H68" s="1057">
        <v>12500000</v>
      </c>
      <c r="I68" s="1054"/>
      <c r="J68" s="1065"/>
    </row>
    <row r="69" spans="1:10" s="738" customFormat="1" x14ac:dyDescent="0.25">
      <c r="A69" s="1074"/>
      <c r="B69" s="1058" t="s">
        <v>1815</v>
      </c>
      <c r="C69" s="1056" t="s">
        <v>2056</v>
      </c>
      <c r="D69" s="1056" t="s">
        <v>1919</v>
      </c>
      <c r="E69" s="1056" t="s">
        <v>1920</v>
      </c>
      <c r="F69" s="1056" t="s">
        <v>1885</v>
      </c>
      <c r="G69" s="1056" t="s">
        <v>1886</v>
      </c>
      <c r="H69" s="1057">
        <v>7200000</v>
      </c>
      <c r="I69" s="1054"/>
      <c r="J69" s="1065"/>
    </row>
    <row r="70" spans="1:10" s="738" customFormat="1" x14ac:dyDescent="0.25">
      <c r="A70" s="1074"/>
      <c r="B70" s="1058" t="s">
        <v>1815</v>
      </c>
      <c r="C70" s="1056" t="s">
        <v>2056</v>
      </c>
      <c r="D70" s="1056" t="s">
        <v>1919</v>
      </c>
      <c r="E70" s="1056" t="s">
        <v>1920</v>
      </c>
      <c r="F70" s="1056" t="s">
        <v>1889</v>
      </c>
      <c r="G70" s="1056" t="s">
        <v>1890</v>
      </c>
      <c r="H70" s="1057">
        <v>3260000</v>
      </c>
      <c r="I70" s="1054"/>
      <c r="J70" s="1065"/>
    </row>
    <row r="71" spans="1:10" s="738" customFormat="1" x14ac:dyDescent="0.25">
      <c r="A71" s="1074"/>
      <c r="B71" s="1058" t="s">
        <v>1815</v>
      </c>
      <c r="C71" s="1056" t="s">
        <v>2056</v>
      </c>
      <c r="D71" s="1056" t="s">
        <v>1919</v>
      </c>
      <c r="E71" s="1056" t="s">
        <v>1920</v>
      </c>
      <c r="F71" s="1056" t="s">
        <v>1889</v>
      </c>
      <c r="G71" s="1056" t="s">
        <v>1922</v>
      </c>
      <c r="H71" s="1057">
        <v>870000</v>
      </c>
      <c r="I71" s="1054"/>
      <c r="J71" s="1065"/>
    </row>
    <row r="72" spans="1:10" s="738" customFormat="1" x14ac:dyDescent="0.25">
      <c r="A72" s="1074"/>
      <c r="B72" s="1058" t="s">
        <v>1815</v>
      </c>
      <c r="C72" s="1056" t="s">
        <v>2056</v>
      </c>
      <c r="D72" s="1056" t="s">
        <v>1919</v>
      </c>
      <c r="E72" s="1056" t="s">
        <v>1920</v>
      </c>
      <c r="F72" s="1056" t="s">
        <v>1889</v>
      </c>
      <c r="G72" s="1056" t="s">
        <v>1891</v>
      </c>
      <c r="H72" s="1057">
        <v>100000</v>
      </c>
      <c r="I72" s="1054"/>
      <c r="J72" s="1065"/>
    </row>
    <row r="73" spans="1:10" s="738" customFormat="1" x14ac:dyDescent="0.25">
      <c r="A73" s="1074"/>
      <c r="B73" s="1058" t="s">
        <v>1815</v>
      </c>
      <c r="C73" s="1056" t="s">
        <v>2056</v>
      </c>
      <c r="D73" s="1056" t="s">
        <v>1919</v>
      </c>
      <c r="E73" s="1056" t="s">
        <v>1920</v>
      </c>
      <c r="F73" s="1056" t="s">
        <v>1923</v>
      </c>
      <c r="G73" s="1056" t="s">
        <v>2007</v>
      </c>
      <c r="H73" s="1057">
        <v>3208336650</v>
      </c>
      <c r="I73" s="1054"/>
      <c r="J73" s="1065"/>
    </row>
    <row r="74" spans="1:10" s="738" customFormat="1" x14ac:dyDescent="0.25">
      <c r="A74" s="1074"/>
      <c r="B74" s="1058" t="s">
        <v>1815</v>
      </c>
      <c r="C74" s="1056" t="s">
        <v>2056</v>
      </c>
      <c r="D74" s="1056" t="s">
        <v>1919</v>
      </c>
      <c r="E74" s="1056" t="s">
        <v>1920</v>
      </c>
      <c r="F74" s="1056" t="s">
        <v>1912</v>
      </c>
      <c r="G74" s="1056" t="s">
        <v>1915</v>
      </c>
      <c r="H74" s="1057">
        <v>900000</v>
      </c>
      <c r="I74" s="1054"/>
      <c r="J74" s="1065"/>
    </row>
    <row r="75" spans="1:10" s="738" customFormat="1" x14ac:dyDescent="0.25">
      <c r="A75" s="1074"/>
      <c r="B75" s="1058" t="s">
        <v>1815</v>
      </c>
      <c r="C75" s="1056" t="s">
        <v>2056</v>
      </c>
      <c r="D75" s="1056" t="s">
        <v>1919</v>
      </c>
      <c r="E75" s="1056" t="s">
        <v>1920</v>
      </c>
      <c r="F75" s="1056" t="s">
        <v>1912</v>
      </c>
      <c r="G75" s="1056" t="s">
        <v>1916</v>
      </c>
      <c r="H75" s="1057">
        <v>48730000</v>
      </c>
      <c r="I75" s="1054"/>
      <c r="J75" s="1065"/>
    </row>
    <row r="76" spans="1:10" s="738" customFormat="1" x14ac:dyDescent="0.25">
      <c r="A76" s="1074"/>
      <c r="B76" s="1058" t="s">
        <v>1815</v>
      </c>
      <c r="C76" s="1056" t="s">
        <v>2056</v>
      </c>
      <c r="D76" s="1056" t="s">
        <v>1919</v>
      </c>
      <c r="E76" s="1056" t="s">
        <v>2005</v>
      </c>
      <c r="F76" s="1056" t="s">
        <v>1896</v>
      </c>
      <c r="G76" s="1056" t="s">
        <v>2006</v>
      </c>
      <c r="H76" s="1057">
        <v>122295726</v>
      </c>
      <c r="I76" s="1054"/>
      <c r="J76" s="1065"/>
    </row>
    <row r="77" spans="1:10" s="738" customFormat="1" x14ac:dyDescent="0.25">
      <c r="A77" s="1074"/>
      <c r="B77" s="1058" t="s">
        <v>1815</v>
      </c>
      <c r="C77" s="1056" t="s">
        <v>2056</v>
      </c>
      <c r="D77" s="1056" t="s">
        <v>1919</v>
      </c>
      <c r="E77" s="1056" t="s">
        <v>2005</v>
      </c>
      <c r="F77" s="1056" t="s">
        <v>1896</v>
      </c>
      <c r="G77" s="1056" t="s">
        <v>1902</v>
      </c>
      <c r="H77" s="1057">
        <v>500000</v>
      </c>
      <c r="I77" s="1054"/>
      <c r="J77" s="1065"/>
    </row>
    <row r="78" spans="1:10" s="738" customFormat="1" x14ac:dyDescent="0.25">
      <c r="A78" s="1074"/>
      <c r="B78" s="1058" t="s">
        <v>1815</v>
      </c>
      <c r="C78" s="1056" t="s">
        <v>2056</v>
      </c>
      <c r="D78" s="1056" t="s">
        <v>1919</v>
      </c>
      <c r="E78" s="1056" t="s">
        <v>2005</v>
      </c>
      <c r="F78" s="1056" t="s">
        <v>1896</v>
      </c>
      <c r="G78" s="1056" t="s">
        <v>1928</v>
      </c>
      <c r="H78" s="1057">
        <v>54430033</v>
      </c>
      <c r="I78" s="1054"/>
      <c r="J78" s="1065"/>
    </row>
    <row r="79" spans="1:10" s="738" customFormat="1" x14ac:dyDescent="0.25">
      <c r="A79" s="1074"/>
      <c r="B79" s="1058" t="s">
        <v>1815</v>
      </c>
      <c r="C79" s="1056" t="s">
        <v>2056</v>
      </c>
      <c r="D79" s="1056" t="s">
        <v>1919</v>
      </c>
      <c r="E79" s="1056" t="s">
        <v>2005</v>
      </c>
      <c r="F79" s="1056" t="s">
        <v>2030</v>
      </c>
      <c r="G79" s="1056" t="s">
        <v>2031</v>
      </c>
      <c r="H79" s="1057">
        <v>673700</v>
      </c>
      <c r="I79" s="1054"/>
      <c r="J79" s="1065"/>
    </row>
    <row r="80" spans="1:10" s="738" customFormat="1" x14ac:dyDescent="0.25">
      <c r="A80" s="1074"/>
      <c r="B80" s="1058" t="s">
        <v>1815</v>
      </c>
      <c r="C80" s="1056" t="s">
        <v>2056</v>
      </c>
      <c r="D80" s="1056" t="s">
        <v>1919</v>
      </c>
      <c r="E80" s="1056" t="s">
        <v>2005</v>
      </c>
      <c r="F80" s="1056" t="s">
        <v>2024</v>
      </c>
      <c r="G80" s="1056" t="s">
        <v>2025</v>
      </c>
      <c r="H80" s="1057">
        <v>4810104591</v>
      </c>
      <c r="I80" s="1054"/>
      <c r="J80" s="1065"/>
    </row>
    <row r="81" spans="1:10" s="738" customFormat="1" x14ac:dyDescent="0.25">
      <c r="A81" s="1074"/>
      <c r="B81" s="1058" t="s">
        <v>1815</v>
      </c>
      <c r="C81" s="1056" t="s">
        <v>2056</v>
      </c>
      <c r="D81" s="1056" t="s">
        <v>1919</v>
      </c>
      <c r="E81" s="1056" t="s">
        <v>2005</v>
      </c>
      <c r="F81" s="1056" t="s">
        <v>2026</v>
      </c>
      <c r="G81" s="1056" t="s">
        <v>2029</v>
      </c>
      <c r="H81" s="1057">
        <v>49987991</v>
      </c>
      <c r="I81" s="1054"/>
      <c r="J81" s="1065"/>
    </row>
    <row r="82" spans="1:10" s="738" customFormat="1" x14ac:dyDescent="0.25">
      <c r="A82" s="1074"/>
      <c r="B82" s="1058" t="s">
        <v>1815</v>
      </c>
      <c r="C82" s="1056" t="s">
        <v>2056</v>
      </c>
      <c r="D82" s="1056" t="s">
        <v>1919</v>
      </c>
      <c r="E82" s="1056" t="s">
        <v>2005</v>
      </c>
      <c r="F82" s="1056" t="s">
        <v>2026</v>
      </c>
      <c r="G82" s="1056" t="s">
        <v>2028</v>
      </c>
      <c r="H82" s="1057">
        <v>580460943</v>
      </c>
      <c r="I82" s="1054"/>
      <c r="J82" s="1065"/>
    </row>
    <row r="83" spans="1:10" s="738" customFormat="1" x14ac:dyDescent="0.25">
      <c r="A83" s="1074"/>
      <c r="B83" s="1058" t="s">
        <v>1815</v>
      </c>
      <c r="C83" s="1056" t="s">
        <v>2056</v>
      </c>
      <c r="D83" s="1056" t="s">
        <v>1919</v>
      </c>
      <c r="E83" s="1056" t="s">
        <v>2005</v>
      </c>
      <c r="F83" s="1056" t="s">
        <v>2026</v>
      </c>
      <c r="G83" s="1056" t="s">
        <v>2027</v>
      </c>
      <c r="H83" s="1057">
        <v>128979572</v>
      </c>
      <c r="I83" s="1054"/>
      <c r="J83" s="1065"/>
    </row>
    <row r="84" spans="1:10" s="738" customFormat="1" x14ac:dyDescent="0.25">
      <c r="A84" s="1074"/>
      <c r="B84" s="1058" t="s">
        <v>1815</v>
      </c>
      <c r="C84" s="1056" t="s">
        <v>2056</v>
      </c>
      <c r="D84" s="1056" t="s">
        <v>1919</v>
      </c>
      <c r="E84" s="1056" t="s">
        <v>1931</v>
      </c>
      <c r="F84" s="1056" t="s">
        <v>1896</v>
      </c>
      <c r="G84" s="1056" t="s">
        <v>1932</v>
      </c>
      <c r="H84" s="1057">
        <v>444314388</v>
      </c>
      <c r="I84" s="1054"/>
      <c r="J84" s="1065"/>
    </row>
    <row r="85" spans="1:10" s="738" customFormat="1" x14ac:dyDescent="0.25">
      <c r="A85" s="1074"/>
      <c r="B85" s="1058" t="s">
        <v>1815</v>
      </c>
      <c r="C85" s="1056" t="s">
        <v>2056</v>
      </c>
      <c r="D85" s="1056" t="s">
        <v>1919</v>
      </c>
      <c r="E85" s="1056" t="s">
        <v>1931</v>
      </c>
      <c r="F85" s="1056" t="s">
        <v>2030</v>
      </c>
      <c r="G85" s="1056" t="s">
        <v>2031</v>
      </c>
      <c r="H85" s="1057">
        <v>118402</v>
      </c>
      <c r="I85" s="1054"/>
      <c r="J85" s="1065"/>
    </row>
    <row r="86" spans="1:10" s="738" customFormat="1" x14ac:dyDescent="0.25">
      <c r="A86" s="1074"/>
      <c r="B86" s="1058" t="s">
        <v>1815</v>
      </c>
      <c r="C86" s="1056" t="s">
        <v>2056</v>
      </c>
      <c r="D86" s="1056" t="s">
        <v>1919</v>
      </c>
      <c r="E86" s="1056" t="s">
        <v>1931</v>
      </c>
      <c r="F86" s="1056" t="s">
        <v>2024</v>
      </c>
      <c r="G86" s="1056" t="s">
        <v>2025</v>
      </c>
      <c r="H86" s="1057">
        <v>5971635606</v>
      </c>
      <c r="I86" s="1054"/>
      <c r="J86" s="1065"/>
    </row>
    <row r="87" spans="1:10" s="738" customFormat="1" x14ac:dyDescent="0.25">
      <c r="A87" s="1074"/>
      <c r="B87" s="1058" t="s">
        <v>1815</v>
      </c>
      <c r="C87" s="1056" t="s">
        <v>2056</v>
      </c>
      <c r="D87" s="1056" t="s">
        <v>1919</v>
      </c>
      <c r="E87" s="1056" t="s">
        <v>1931</v>
      </c>
      <c r="F87" s="1056" t="s">
        <v>2026</v>
      </c>
      <c r="G87" s="1056" t="s">
        <v>2028</v>
      </c>
      <c r="H87" s="1057">
        <v>153768573</v>
      </c>
      <c r="I87" s="1054"/>
      <c r="J87" s="1065"/>
    </row>
    <row r="88" spans="1:10" s="738" customFormat="1" x14ac:dyDescent="0.25">
      <c r="A88" s="1074"/>
      <c r="B88" s="1058" t="s">
        <v>1815</v>
      </c>
      <c r="C88" s="1056" t="s">
        <v>2056</v>
      </c>
      <c r="D88" s="1056" t="s">
        <v>1919</v>
      </c>
      <c r="E88" s="1056" t="s">
        <v>1931</v>
      </c>
      <c r="F88" s="1056" t="s">
        <v>2026</v>
      </c>
      <c r="G88" s="1056" t="s">
        <v>2027</v>
      </c>
      <c r="H88" s="1057">
        <v>186494884</v>
      </c>
      <c r="I88" s="1054"/>
      <c r="J88" s="1065"/>
    </row>
    <row r="89" spans="1:10" s="738" customFormat="1" x14ac:dyDescent="0.25">
      <c r="A89" s="1074"/>
      <c r="B89" s="1058" t="s">
        <v>1815</v>
      </c>
      <c r="C89" s="1056" t="s">
        <v>2056</v>
      </c>
      <c r="D89" s="1056" t="s">
        <v>1919</v>
      </c>
      <c r="E89" s="1056" t="s">
        <v>1931</v>
      </c>
      <c r="F89" s="1056" t="s">
        <v>2026</v>
      </c>
      <c r="G89" s="1056" t="s">
        <v>2029</v>
      </c>
      <c r="H89" s="1057">
        <v>83722527</v>
      </c>
      <c r="I89" s="1054"/>
      <c r="J89" s="1065"/>
    </row>
    <row r="90" spans="1:10" s="738" customFormat="1" x14ac:dyDescent="0.25">
      <c r="A90" s="1074"/>
      <c r="B90" s="1058" t="s">
        <v>1815</v>
      </c>
      <c r="C90" s="1056" t="s">
        <v>2056</v>
      </c>
      <c r="D90" s="1056" t="s">
        <v>1972</v>
      </c>
      <c r="E90" s="1056" t="s">
        <v>2053</v>
      </c>
      <c r="F90" s="1056" t="s">
        <v>1896</v>
      </c>
      <c r="G90" s="1056" t="s">
        <v>1928</v>
      </c>
      <c r="H90" s="1057">
        <v>85000000</v>
      </c>
      <c r="I90" s="1054"/>
      <c r="J90" s="1065"/>
    </row>
    <row r="91" spans="1:10" s="738" customFormat="1" x14ac:dyDescent="0.25">
      <c r="A91" s="1074"/>
      <c r="B91" s="1056" t="s">
        <v>2236</v>
      </c>
      <c r="C91" s="4568" t="s">
        <v>1580</v>
      </c>
      <c r="D91" s="4568"/>
      <c r="E91" s="4568"/>
      <c r="F91" s="4568"/>
      <c r="G91" s="4568"/>
      <c r="H91" s="1057">
        <v>7961149</v>
      </c>
      <c r="I91" s="1054"/>
      <c r="J91" s="1065"/>
    </row>
    <row r="92" spans="1:10" s="738" customFormat="1" x14ac:dyDescent="0.25">
      <c r="A92" s="1074"/>
      <c r="B92" s="1058" t="s">
        <v>1815</v>
      </c>
      <c r="C92" s="1056" t="s">
        <v>2056</v>
      </c>
      <c r="D92" s="1056" t="s">
        <v>1919</v>
      </c>
      <c r="E92" s="1056" t="s">
        <v>1920</v>
      </c>
      <c r="F92" s="1056" t="s">
        <v>1923</v>
      </c>
      <c r="G92" s="1056" t="s">
        <v>2007</v>
      </c>
      <c r="H92" s="1057">
        <v>7961149</v>
      </c>
      <c r="I92" s="1054"/>
      <c r="J92" s="1065"/>
    </row>
    <row r="93" spans="1:10" s="738" customFormat="1" ht="47.25" x14ac:dyDescent="0.25">
      <c r="A93" s="1074"/>
      <c r="B93" s="1056" t="s">
        <v>2147</v>
      </c>
      <c r="C93" s="4568" t="s">
        <v>1580</v>
      </c>
      <c r="D93" s="4568"/>
      <c r="E93" s="4568"/>
      <c r="F93" s="4568"/>
      <c r="G93" s="4568"/>
      <c r="H93" s="1057">
        <v>160000000</v>
      </c>
      <c r="I93" s="1054"/>
      <c r="J93" s="1065"/>
    </row>
    <row r="94" spans="1:10" s="738" customFormat="1" x14ac:dyDescent="0.25">
      <c r="A94" s="1074"/>
      <c r="B94" s="1058" t="s">
        <v>1815</v>
      </c>
      <c r="C94" s="1056" t="s">
        <v>2056</v>
      </c>
      <c r="D94" s="1056" t="s">
        <v>1919</v>
      </c>
      <c r="E94" s="1056" t="s">
        <v>1920</v>
      </c>
      <c r="F94" s="1056" t="s">
        <v>1853</v>
      </c>
      <c r="G94" s="1056" t="s">
        <v>1939</v>
      </c>
      <c r="H94" s="1057">
        <v>8950000</v>
      </c>
      <c r="I94" s="1054"/>
      <c r="J94" s="1065"/>
    </row>
    <row r="95" spans="1:10" s="738" customFormat="1" x14ac:dyDescent="0.25">
      <c r="A95" s="1074"/>
      <c r="B95" s="1058" t="s">
        <v>1815</v>
      </c>
      <c r="C95" s="1056" t="s">
        <v>2056</v>
      </c>
      <c r="D95" s="1056" t="s">
        <v>1919</v>
      </c>
      <c r="E95" s="1056" t="s">
        <v>1920</v>
      </c>
      <c r="F95" s="1056" t="s">
        <v>1874</v>
      </c>
      <c r="G95" s="1056" t="s">
        <v>1875</v>
      </c>
      <c r="H95" s="1057">
        <v>350000</v>
      </c>
      <c r="I95" s="1054"/>
      <c r="J95" s="1065"/>
    </row>
    <row r="96" spans="1:10" s="738" customFormat="1" x14ac:dyDescent="0.25">
      <c r="A96" s="1074"/>
      <c r="B96" s="1058" t="s">
        <v>1815</v>
      </c>
      <c r="C96" s="1056" t="s">
        <v>2056</v>
      </c>
      <c r="D96" s="1056" t="s">
        <v>1919</v>
      </c>
      <c r="E96" s="1056" t="s">
        <v>1920</v>
      </c>
      <c r="F96" s="1056" t="s">
        <v>1923</v>
      </c>
      <c r="G96" s="1056" t="s">
        <v>2007</v>
      </c>
      <c r="H96" s="1057">
        <v>144000000</v>
      </c>
      <c r="I96" s="1054"/>
      <c r="J96" s="1065"/>
    </row>
    <row r="97" spans="1:10" s="738" customFormat="1" x14ac:dyDescent="0.25">
      <c r="A97" s="1074"/>
      <c r="B97" s="1058" t="s">
        <v>1815</v>
      </c>
      <c r="C97" s="1056" t="s">
        <v>2056</v>
      </c>
      <c r="D97" s="1056" t="s">
        <v>1919</v>
      </c>
      <c r="E97" s="1056" t="s">
        <v>1920</v>
      </c>
      <c r="F97" s="1056" t="s">
        <v>1912</v>
      </c>
      <c r="G97" s="1056" t="s">
        <v>1916</v>
      </c>
      <c r="H97" s="1057">
        <v>6700000</v>
      </c>
      <c r="I97" s="1054"/>
      <c r="J97" s="1065"/>
    </row>
    <row r="98" spans="1:10" s="738" customFormat="1" ht="31.5" x14ac:dyDescent="0.25">
      <c r="A98" s="1074"/>
      <c r="B98" s="1056" t="s">
        <v>2237</v>
      </c>
      <c r="C98" s="4568" t="s">
        <v>1580</v>
      </c>
      <c r="D98" s="4568"/>
      <c r="E98" s="4568"/>
      <c r="F98" s="4568"/>
      <c r="G98" s="4568"/>
      <c r="H98" s="1057">
        <v>443908727</v>
      </c>
      <c r="I98" s="1054"/>
      <c r="J98" s="1065"/>
    </row>
    <row r="99" spans="1:10" s="738" customFormat="1" x14ac:dyDescent="0.25">
      <c r="A99" s="1074"/>
      <c r="B99" s="1058" t="s">
        <v>1815</v>
      </c>
      <c r="C99" s="1056" t="s">
        <v>2056</v>
      </c>
      <c r="D99" s="1056" t="s">
        <v>2038</v>
      </c>
      <c r="E99" s="1056" t="s">
        <v>2039</v>
      </c>
      <c r="F99" s="1056" t="s">
        <v>1874</v>
      </c>
      <c r="G99" s="1056" t="s">
        <v>1877</v>
      </c>
      <c r="H99" s="1057">
        <v>30000000</v>
      </c>
      <c r="I99" s="1054"/>
      <c r="J99" s="1065"/>
    </row>
    <row r="100" spans="1:10" s="738" customFormat="1" x14ac:dyDescent="0.25">
      <c r="A100" s="1074"/>
      <c r="B100" s="1058" t="s">
        <v>1815</v>
      </c>
      <c r="C100" s="1056" t="s">
        <v>2056</v>
      </c>
      <c r="D100" s="1056" t="s">
        <v>2038</v>
      </c>
      <c r="E100" s="1056" t="s">
        <v>2039</v>
      </c>
      <c r="F100" s="1056" t="s">
        <v>1874</v>
      </c>
      <c r="G100" s="1056" t="s">
        <v>1876</v>
      </c>
      <c r="H100" s="1057">
        <v>267674727</v>
      </c>
      <c r="I100" s="1054"/>
      <c r="J100" s="1065"/>
    </row>
    <row r="101" spans="1:10" s="738" customFormat="1" x14ac:dyDescent="0.25">
      <c r="A101" s="1074"/>
      <c r="B101" s="1058" t="s">
        <v>1815</v>
      </c>
      <c r="C101" s="1056" t="s">
        <v>2056</v>
      </c>
      <c r="D101" s="1056" t="s">
        <v>2038</v>
      </c>
      <c r="E101" s="1056" t="s">
        <v>2039</v>
      </c>
      <c r="F101" s="1056" t="s">
        <v>1878</v>
      </c>
      <c r="G101" s="1056" t="s">
        <v>1882</v>
      </c>
      <c r="H101" s="1057">
        <v>23000000</v>
      </c>
      <c r="I101" s="1054"/>
      <c r="J101" s="1065"/>
    </row>
    <row r="102" spans="1:10" s="738" customFormat="1" x14ac:dyDescent="0.25">
      <c r="A102" s="1074"/>
      <c r="B102" s="1058" t="s">
        <v>1815</v>
      </c>
      <c r="C102" s="1056" t="s">
        <v>2056</v>
      </c>
      <c r="D102" s="1056" t="s">
        <v>2038</v>
      </c>
      <c r="E102" s="1056" t="s">
        <v>2039</v>
      </c>
      <c r="F102" s="1056" t="s">
        <v>1903</v>
      </c>
      <c r="G102" s="1056" t="s">
        <v>1905</v>
      </c>
      <c r="H102" s="1057">
        <v>33300000</v>
      </c>
      <c r="I102" s="1054"/>
      <c r="J102" s="1065"/>
    </row>
    <row r="103" spans="1:10" s="738" customFormat="1" x14ac:dyDescent="0.25">
      <c r="A103" s="1074"/>
      <c r="B103" s="1058" t="s">
        <v>1815</v>
      </c>
      <c r="C103" s="1056" t="s">
        <v>2056</v>
      </c>
      <c r="D103" s="1056" t="s">
        <v>2038</v>
      </c>
      <c r="E103" s="1056" t="s">
        <v>2039</v>
      </c>
      <c r="F103" s="1056" t="s">
        <v>1923</v>
      </c>
      <c r="G103" s="1056" t="s">
        <v>2007</v>
      </c>
      <c r="H103" s="1057">
        <v>30000000</v>
      </c>
      <c r="I103" s="1054"/>
      <c r="J103" s="1065"/>
    </row>
    <row r="104" spans="1:10" s="738" customFormat="1" x14ac:dyDescent="0.25">
      <c r="A104" s="1074"/>
      <c r="B104" s="1058" t="s">
        <v>1815</v>
      </c>
      <c r="C104" s="1056" t="s">
        <v>2056</v>
      </c>
      <c r="D104" s="1056" t="s">
        <v>2038</v>
      </c>
      <c r="E104" s="1056" t="s">
        <v>2039</v>
      </c>
      <c r="F104" s="1056" t="s">
        <v>1912</v>
      </c>
      <c r="G104" s="1056" t="s">
        <v>1916</v>
      </c>
      <c r="H104" s="1057">
        <v>59934000</v>
      </c>
      <c r="I104" s="1054"/>
      <c r="J104" s="1065"/>
    </row>
    <row r="105" spans="1:10" s="738" customFormat="1" ht="31.5" x14ac:dyDescent="0.25">
      <c r="A105" s="1074"/>
      <c r="B105" s="1056" t="s">
        <v>2148</v>
      </c>
      <c r="C105" s="4568" t="s">
        <v>1580</v>
      </c>
      <c r="D105" s="4568"/>
      <c r="E105" s="4568"/>
      <c r="F105" s="4568"/>
      <c r="G105" s="4568"/>
      <c r="H105" s="1057">
        <v>87067102</v>
      </c>
      <c r="I105" s="1054"/>
      <c r="J105" s="1065"/>
    </row>
    <row r="106" spans="1:10" s="738" customFormat="1" x14ac:dyDescent="0.25">
      <c r="A106" s="1074"/>
      <c r="B106" s="1058" t="s">
        <v>1815</v>
      </c>
      <c r="C106" s="1056" t="s">
        <v>1154</v>
      </c>
      <c r="D106" s="1056" t="s">
        <v>1846</v>
      </c>
      <c r="E106" s="1056" t="s">
        <v>1847</v>
      </c>
      <c r="F106" s="1056" t="s">
        <v>1853</v>
      </c>
      <c r="G106" s="1056" t="s">
        <v>1856</v>
      </c>
      <c r="H106" s="1057">
        <v>7483602</v>
      </c>
      <c r="I106" s="1054"/>
      <c r="J106" s="1065"/>
    </row>
    <row r="107" spans="1:10" s="738" customFormat="1" x14ac:dyDescent="0.25">
      <c r="A107" s="1074"/>
      <c r="B107" s="1058" t="s">
        <v>1815</v>
      </c>
      <c r="C107" s="1056" t="s">
        <v>1154</v>
      </c>
      <c r="D107" s="1056" t="s">
        <v>1846</v>
      </c>
      <c r="E107" s="1056" t="s">
        <v>1847</v>
      </c>
      <c r="F107" s="1056" t="s">
        <v>1869</v>
      </c>
      <c r="G107" s="1056" t="s">
        <v>1872</v>
      </c>
      <c r="H107" s="1057">
        <v>1433500</v>
      </c>
      <c r="I107" s="1054"/>
      <c r="J107" s="1065"/>
    </row>
    <row r="108" spans="1:10" s="738" customFormat="1" x14ac:dyDescent="0.25">
      <c r="A108" s="1074"/>
      <c r="B108" s="1058" t="s">
        <v>1815</v>
      </c>
      <c r="C108" s="1056" t="s">
        <v>1154</v>
      </c>
      <c r="D108" s="1056" t="s">
        <v>1846</v>
      </c>
      <c r="E108" s="1056" t="s">
        <v>1847</v>
      </c>
      <c r="F108" s="1056" t="s">
        <v>1874</v>
      </c>
      <c r="G108" s="1056" t="s">
        <v>1875</v>
      </c>
      <c r="H108" s="1057">
        <v>2280000</v>
      </c>
      <c r="I108" s="1054"/>
      <c r="J108" s="1065"/>
    </row>
    <row r="109" spans="1:10" s="738" customFormat="1" x14ac:dyDescent="0.25">
      <c r="A109" s="1074"/>
      <c r="B109" s="1058" t="s">
        <v>1815</v>
      </c>
      <c r="C109" s="1056" t="s">
        <v>1154</v>
      </c>
      <c r="D109" s="1056" t="s">
        <v>1846</v>
      </c>
      <c r="E109" s="1056" t="s">
        <v>1847</v>
      </c>
      <c r="F109" s="1056" t="s">
        <v>1885</v>
      </c>
      <c r="G109" s="1056" t="s">
        <v>1887</v>
      </c>
      <c r="H109" s="1057">
        <v>33900000</v>
      </c>
      <c r="I109" s="1054"/>
      <c r="J109" s="1065"/>
    </row>
    <row r="110" spans="1:10" s="738" customFormat="1" x14ac:dyDescent="0.25">
      <c r="A110" s="1074"/>
      <c r="B110" s="1058" t="s">
        <v>1815</v>
      </c>
      <c r="C110" s="1056" t="s">
        <v>1154</v>
      </c>
      <c r="D110" s="1056" t="s">
        <v>1846</v>
      </c>
      <c r="E110" s="1056" t="s">
        <v>1847</v>
      </c>
      <c r="F110" s="1056" t="s">
        <v>1885</v>
      </c>
      <c r="G110" s="1056" t="s">
        <v>1888</v>
      </c>
      <c r="H110" s="1057">
        <v>17910000</v>
      </c>
      <c r="I110" s="1054"/>
      <c r="J110" s="1065"/>
    </row>
    <row r="111" spans="1:10" s="738" customFormat="1" x14ac:dyDescent="0.25">
      <c r="A111" s="1074"/>
      <c r="B111" s="1058" t="s">
        <v>1815</v>
      </c>
      <c r="C111" s="1056" t="s">
        <v>1154</v>
      </c>
      <c r="D111" s="1056" t="s">
        <v>1846</v>
      </c>
      <c r="E111" s="1056" t="s">
        <v>1847</v>
      </c>
      <c r="F111" s="1056" t="s">
        <v>1885</v>
      </c>
      <c r="G111" s="1056" t="s">
        <v>1925</v>
      </c>
      <c r="H111" s="1057">
        <v>11160000</v>
      </c>
      <c r="I111" s="1054"/>
      <c r="J111" s="1065"/>
    </row>
    <row r="112" spans="1:10" s="738" customFormat="1" x14ac:dyDescent="0.25">
      <c r="A112" s="1074"/>
      <c r="B112" s="1058" t="s">
        <v>1815</v>
      </c>
      <c r="C112" s="1056" t="s">
        <v>1154</v>
      </c>
      <c r="D112" s="1056" t="s">
        <v>1846</v>
      </c>
      <c r="E112" s="1056" t="s">
        <v>1847</v>
      </c>
      <c r="F112" s="1056" t="s">
        <v>1885</v>
      </c>
      <c r="G112" s="1056" t="s">
        <v>1886</v>
      </c>
      <c r="H112" s="1057">
        <v>1200000</v>
      </c>
      <c r="I112" s="1054"/>
      <c r="J112" s="1065"/>
    </row>
    <row r="113" spans="1:10" s="738" customFormat="1" x14ac:dyDescent="0.25">
      <c r="A113" s="1074"/>
      <c r="B113" s="1058" t="s">
        <v>1815</v>
      </c>
      <c r="C113" s="1056" t="s">
        <v>1154</v>
      </c>
      <c r="D113" s="1056" t="s">
        <v>1846</v>
      </c>
      <c r="E113" s="1056" t="s">
        <v>1847</v>
      </c>
      <c r="F113" s="1056" t="s">
        <v>1889</v>
      </c>
      <c r="G113" s="1056" t="s">
        <v>1890</v>
      </c>
      <c r="H113" s="1057">
        <v>6700000</v>
      </c>
      <c r="I113" s="1054"/>
      <c r="J113" s="1065"/>
    </row>
    <row r="114" spans="1:10" s="738" customFormat="1" x14ac:dyDescent="0.25">
      <c r="A114" s="1074"/>
      <c r="B114" s="1058" t="s">
        <v>1815</v>
      </c>
      <c r="C114" s="1056" t="s">
        <v>1154</v>
      </c>
      <c r="D114" s="1056" t="s">
        <v>1846</v>
      </c>
      <c r="E114" s="1056" t="s">
        <v>1847</v>
      </c>
      <c r="F114" s="1056" t="s">
        <v>1893</v>
      </c>
      <c r="G114" s="1056" t="s">
        <v>1894</v>
      </c>
      <c r="H114" s="1057">
        <v>5000000</v>
      </c>
      <c r="I114" s="1054"/>
      <c r="J114" s="1065"/>
    </row>
    <row r="115" spans="1:10" s="738" customFormat="1" ht="47.25" x14ac:dyDescent="0.25">
      <c r="A115" s="1074"/>
      <c r="B115" s="1056" t="s">
        <v>2149</v>
      </c>
      <c r="C115" s="4568" t="s">
        <v>1580</v>
      </c>
      <c r="D115" s="4568"/>
      <c r="E115" s="4568"/>
      <c r="F115" s="4568"/>
      <c r="G115" s="4568"/>
      <c r="H115" s="1057">
        <v>403518214</v>
      </c>
      <c r="I115" s="1054"/>
      <c r="J115" s="1065"/>
    </row>
    <row r="116" spans="1:10" s="738" customFormat="1" x14ac:dyDescent="0.25">
      <c r="A116" s="1074"/>
      <c r="B116" s="1058" t="s">
        <v>1815</v>
      </c>
      <c r="C116" s="1056" t="s">
        <v>1825</v>
      </c>
      <c r="D116" s="1056" t="s">
        <v>1846</v>
      </c>
      <c r="E116" s="1056" t="s">
        <v>1847</v>
      </c>
      <c r="F116" s="1056" t="s">
        <v>1853</v>
      </c>
      <c r="G116" s="1056" t="s">
        <v>1856</v>
      </c>
      <c r="H116" s="1057">
        <v>24338814</v>
      </c>
      <c r="I116" s="1054"/>
      <c r="J116" s="1065"/>
    </row>
    <row r="117" spans="1:10" s="738" customFormat="1" x14ac:dyDescent="0.25">
      <c r="A117" s="1074"/>
      <c r="B117" s="1058" t="s">
        <v>1815</v>
      </c>
      <c r="C117" s="1056" t="s">
        <v>1825</v>
      </c>
      <c r="D117" s="1056" t="s">
        <v>1846</v>
      </c>
      <c r="E117" s="1056" t="s">
        <v>1847</v>
      </c>
      <c r="F117" s="1056" t="s">
        <v>1874</v>
      </c>
      <c r="G117" s="1056" t="s">
        <v>1875</v>
      </c>
      <c r="H117" s="1057">
        <v>3221000</v>
      </c>
      <c r="I117" s="1054"/>
      <c r="J117" s="1065"/>
    </row>
    <row r="118" spans="1:10" s="738" customFormat="1" x14ac:dyDescent="0.25">
      <c r="A118" s="1074"/>
      <c r="B118" s="1058" t="s">
        <v>1815</v>
      </c>
      <c r="C118" s="1056" t="s">
        <v>1825</v>
      </c>
      <c r="D118" s="1056" t="s">
        <v>1846</v>
      </c>
      <c r="E118" s="1056" t="s">
        <v>1847</v>
      </c>
      <c r="F118" s="1056" t="s">
        <v>1874</v>
      </c>
      <c r="G118" s="1056" t="s">
        <v>1876</v>
      </c>
      <c r="H118" s="1057">
        <v>5600000</v>
      </c>
      <c r="I118" s="1054"/>
      <c r="J118" s="1065"/>
    </row>
    <row r="119" spans="1:10" s="738" customFormat="1" x14ac:dyDescent="0.25">
      <c r="A119" s="1074"/>
      <c r="B119" s="1058" t="s">
        <v>1815</v>
      </c>
      <c r="C119" s="1056" t="s">
        <v>1825</v>
      </c>
      <c r="D119" s="1056" t="s">
        <v>1846</v>
      </c>
      <c r="E119" s="1056" t="s">
        <v>1847</v>
      </c>
      <c r="F119" s="1056" t="s">
        <v>1878</v>
      </c>
      <c r="G119" s="1056" t="s">
        <v>1880</v>
      </c>
      <c r="H119" s="1057">
        <v>2000000</v>
      </c>
      <c r="I119" s="1054"/>
      <c r="J119" s="1065"/>
    </row>
    <row r="120" spans="1:10" s="738" customFormat="1" x14ac:dyDescent="0.25">
      <c r="A120" s="1074"/>
      <c r="B120" s="1058" t="s">
        <v>1815</v>
      </c>
      <c r="C120" s="1056" t="s">
        <v>1825</v>
      </c>
      <c r="D120" s="1056" t="s">
        <v>1846</v>
      </c>
      <c r="E120" s="1056" t="s">
        <v>1847</v>
      </c>
      <c r="F120" s="1056" t="s">
        <v>1885</v>
      </c>
      <c r="G120" s="1056" t="s">
        <v>1888</v>
      </c>
      <c r="H120" s="1057">
        <v>3840000</v>
      </c>
      <c r="I120" s="1054"/>
      <c r="J120" s="1065"/>
    </row>
    <row r="121" spans="1:10" s="738" customFormat="1" x14ac:dyDescent="0.25">
      <c r="A121" s="1074"/>
      <c r="B121" s="1058" t="s">
        <v>1815</v>
      </c>
      <c r="C121" s="1056" t="s">
        <v>1825</v>
      </c>
      <c r="D121" s="1056" t="s">
        <v>1846</v>
      </c>
      <c r="E121" s="1056" t="s">
        <v>1847</v>
      </c>
      <c r="F121" s="1056" t="s">
        <v>1885</v>
      </c>
      <c r="G121" s="1056" t="s">
        <v>1887</v>
      </c>
      <c r="H121" s="1057">
        <v>5330000</v>
      </c>
      <c r="I121" s="1054"/>
      <c r="J121" s="1065"/>
    </row>
    <row r="122" spans="1:10" s="738" customFormat="1" x14ac:dyDescent="0.25">
      <c r="A122" s="1074"/>
      <c r="B122" s="1058" t="s">
        <v>1815</v>
      </c>
      <c r="C122" s="1056" t="s">
        <v>1825</v>
      </c>
      <c r="D122" s="1056" t="s">
        <v>1846</v>
      </c>
      <c r="E122" s="1056" t="s">
        <v>1847</v>
      </c>
      <c r="F122" s="1056" t="s">
        <v>1889</v>
      </c>
      <c r="G122" s="1056" t="s">
        <v>1922</v>
      </c>
      <c r="H122" s="1057">
        <v>4393400</v>
      </c>
      <c r="I122" s="1054"/>
      <c r="J122" s="1065"/>
    </row>
    <row r="123" spans="1:10" s="738" customFormat="1" x14ac:dyDescent="0.25">
      <c r="A123" s="1074"/>
      <c r="B123" s="1058" t="s">
        <v>1815</v>
      </c>
      <c r="C123" s="1056" t="s">
        <v>1825</v>
      </c>
      <c r="D123" s="1056" t="s">
        <v>1846</v>
      </c>
      <c r="E123" s="1056" t="s">
        <v>1847</v>
      </c>
      <c r="F123" s="1056" t="s">
        <v>1889</v>
      </c>
      <c r="G123" s="1056" t="s">
        <v>1890</v>
      </c>
      <c r="H123" s="1057">
        <v>62400000</v>
      </c>
      <c r="I123" s="1054"/>
      <c r="J123" s="1065"/>
    </row>
    <row r="124" spans="1:10" s="738" customFormat="1" x14ac:dyDescent="0.25">
      <c r="A124" s="1074"/>
      <c r="B124" s="1058" t="s">
        <v>1815</v>
      </c>
      <c r="C124" s="1056" t="s">
        <v>1825</v>
      </c>
      <c r="D124" s="1056" t="s">
        <v>1846</v>
      </c>
      <c r="E124" s="1056" t="s">
        <v>1847</v>
      </c>
      <c r="F124" s="1056" t="s">
        <v>1889</v>
      </c>
      <c r="G124" s="1056" t="s">
        <v>1891</v>
      </c>
      <c r="H124" s="1057">
        <v>28900000</v>
      </c>
      <c r="I124" s="1054"/>
      <c r="J124" s="1065"/>
    </row>
    <row r="125" spans="1:10" s="738" customFormat="1" x14ac:dyDescent="0.25">
      <c r="A125" s="1074"/>
      <c r="B125" s="1058" t="s">
        <v>1815</v>
      </c>
      <c r="C125" s="1056" t="s">
        <v>1825</v>
      </c>
      <c r="D125" s="1056" t="s">
        <v>1846</v>
      </c>
      <c r="E125" s="1056" t="s">
        <v>1847</v>
      </c>
      <c r="F125" s="1056" t="s">
        <v>1893</v>
      </c>
      <c r="G125" s="1056" t="s">
        <v>1894</v>
      </c>
      <c r="H125" s="1057">
        <v>38800000</v>
      </c>
      <c r="I125" s="1054"/>
      <c r="J125" s="1065"/>
    </row>
    <row r="126" spans="1:10" s="738" customFormat="1" x14ac:dyDescent="0.25">
      <c r="A126" s="1074"/>
      <c r="B126" s="1058" t="s">
        <v>1815</v>
      </c>
      <c r="C126" s="1056" t="s">
        <v>1825</v>
      </c>
      <c r="D126" s="1056" t="s">
        <v>1846</v>
      </c>
      <c r="E126" s="1056" t="s">
        <v>1847</v>
      </c>
      <c r="F126" s="1056" t="s">
        <v>1896</v>
      </c>
      <c r="G126" s="1056" t="s">
        <v>1900</v>
      </c>
      <c r="H126" s="1057">
        <v>1850000</v>
      </c>
      <c r="I126" s="1054"/>
      <c r="J126" s="1065"/>
    </row>
    <row r="127" spans="1:10" s="738" customFormat="1" x14ac:dyDescent="0.25">
      <c r="A127" s="1074"/>
      <c r="B127" s="1058" t="s">
        <v>1815</v>
      </c>
      <c r="C127" s="1056" t="s">
        <v>1825</v>
      </c>
      <c r="D127" s="1056" t="s">
        <v>1846</v>
      </c>
      <c r="E127" s="1056" t="s">
        <v>1847</v>
      </c>
      <c r="F127" s="1056" t="s">
        <v>1912</v>
      </c>
      <c r="G127" s="1056" t="s">
        <v>1915</v>
      </c>
      <c r="H127" s="1057">
        <v>11615000</v>
      </c>
      <c r="I127" s="1054"/>
      <c r="J127" s="1065"/>
    </row>
    <row r="128" spans="1:10" s="738" customFormat="1" x14ac:dyDescent="0.25">
      <c r="A128" s="1074"/>
      <c r="B128" s="1058" t="s">
        <v>1815</v>
      </c>
      <c r="C128" s="1056" t="s">
        <v>1825</v>
      </c>
      <c r="D128" s="1056" t="s">
        <v>1846</v>
      </c>
      <c r="E128" s="1056" t="s">
        <v>1847</v>
      </c>
      <c r="F128" s="1056" t="s">
        <v>1912</v>
      </c>
      <c r="G128" s="1056" t="s">
        <v>1916</v>
      </c>
      <c r="H128" s="1057">
        <v>83360000</v>
      </c>
      <c r="I128" s="1054"/>
      <c r="J128" s="1065"/>
    </row>
    <row r="129" spans="1:10" s="738" customFormat="1" x14ac:dyDescent="0.25">
      <c r="A129" s="1074"/>
      <c r="B129" s="1058" t="s">
        <v>1815</v>
      </c>
      <c r="C129" s="1056" t="s">
        <v>1154</v>
      </c>
      <c r="D129" s="1056" t="s">
        <v>1846</v>
      </c>
      <c r="E129" s="1056" t="s">
        <v>1847</v>
      </c>
      <c r="F129" s="1056" t="s">
        <v>1889</v>
      </c>
      <c r="G129" s="1056" t="s">
        <v>1890</v>
      </c>
      <c r="H129" s="1057">
        <v>2000000</v>
      </c>
      <c r="I129" s="1054"/>
      <c r="J129" s="1065"/>
    </row>
    <row r="130" spans="1:10" s="738" customFormat="1" x14ac:dyDescent="0.25">
      <c r="A130" s="1074"/>
      <c r="B130" s="1058" t="s">
        <v>1815</v>
      </c>
      <c r="C130" s="1056" t="s">
        <v>1154</v>
      </c>
      <c r="D130" s="1056" t="s">
        <v>1846</v>
      </c>
      <c r="E130" s="1056" t="s">
        <v>1847</v>
      </c>
      <c r="F130" s="1056" t="s">
        <v>1893</v>
      </c>
      <c r="G130" s="1056" t="s">
        <v>1894</v>
      </c>
      <c r="H130" s="1057">
        <v>6000000</v>
      </c>
      <c r="I130" s="1054"/>
      <c r="J130" s="1065"/>
    </row>
    <row r="131" spans="1:10" s="738" customFormat="1" x14ac:dyDescent="0.25">
      <c r="A131" s="1074"/>
      <c r="B131" s="1058" t="s">
        <v>1815</v>
      </c>
      <c r="C131" s="1056" t="s">
        <v>2056</v>
      </c>
      <c r="D131" s="1056" t="s">
        <v>2038</v>
      </c>
      <c r="E131" s="1056" t="s">
        <v>2039</v>
      </c>
      <c r="F131" s="1056" t="s">
        <v>1878</v>
      </c>
      <c r="G131" s="1056" t="s">
        <v>1882</v>
      </c>
      <c r="H131" s="1057">
        <v>56000000</v>
      </c>
      <c r="I131" s="1054"/>
      <c r="J131" s="1065"/>
    </row>
    <row r="132" spans="1:10" s="738" customFormat="1" x14ac:dyDescent="0.25">
      <c r="A132" s="1074"/>
      <c r="B132" s="1058" t="s">
        <v>1815</v>
      </c>
      <c r="C132" s="1056" t="s">
        <v>2056</v>
      </c>
      <c r="D132" s="1056" t="s">
        <v>2038</v>
      </c>
      <c r="E132" s="1056" t="s">
        <v>2039</v>
      </c>
      <c r="F132" s="1056" t="s">
        <v>1885</v>
      </c>
      <c r="G132" s="1056" t="s">
        <v>1887</v>
      </c>
      <c r="H132" s="1057">
        <v>18000000</v>
      </c>
      <c r="I132" s="1054"/>
      <c r="J132" s="1065"/>
    </row>
    <row r="133" spans="1:10" s="738" customFormat="1" x14ac:dyDescent="0.25">
      <c r="A133" s="1074"/>
      <c r="B133" s="1058" t="s">
        <v>1815</v>
      </c>
      <c r="C133" s="1056" t="s">
        <v>2056</v>
      </c>
      <c r="D133" s="1056" t="s">
        <v>2038</v>
      </c>
      <c r="E133" s="1056" t="s">
        <v>2039</v>
      </c>
      <c r="F133" s="1056" t="s">
        <v>1885</v>
      </c>
      <c r="G133" s="1056" t="s">
        <v>1888</v>
      </c>
      <c r="H133" s="1057">
        <v>3600000</v>
      </c>
      <c r="I133" s="1054"/>
      <c r="J133" s="1065"/>
    </row>
    <row r="134" spans="1:10" s="738" customFormat="1" x14ac:dyDescent="0.25">
      <c r="A134" s="1074"/>
      <c r="B134" s="1058" t="s">
        <v>1815</v>
      </c>
      <c r="C134" s="1056" t="s">
        <v>2056</v>
      </c>
      <c r="D134" s="1056" t="s">
        <v>2038</v>
      </c>
      <c r="E134" s="1056" t="s">
        <v>2039</v>
      </c>
      <c r="F134" s="1056" t="s">
        <v>1912</v>
      </c>
      <c r="G134" s="1056" t="s">
        <v>1916</v>
      </c>
      <c r="H134" s="1057">
        <v>18250000</v>
      </c>
      <c r="I134" s="1054"/>
      <c r="J134" s="1065"/>
    </row>
    <row r="135" spans="1:10" s="738" customFormat="1" x14ac:dyDescent="0.25">
      <c r="A135" s="1074"/>
      <c r="B135" s="1058" t="s">
        <v>1815</v>
      </c>
      <c r="C135" s="1056" t="s">
        <v>2056</v>
      </c>
      <c r="D135" s="1056" t="s">
        <v>1970</v>
      </c>
      <c r="E135" s="1056" t="s">
        <v>1971</v>
      </c>
      <c r="F135" s="1056" t="s">
        <v>1885</v>
      </c>
      <c r="G135" s="1056" t="s">
        <v>1887</v>
      </c>
      <c r="H135" s="1057">
        <v>7300000</v>
      </c>
      <c r="I135" s="1054"/>
      <c r="J135" s="1065"/>
    </row>
    <row r="136" spans="1:10" s="738" customFormat="1" x14ac:dyDescent="0.25">
      <c r="A136" s="1074"/>
      <c r="B136" s="1058" t="s">
        <v>1815</v>
      </c>
      <c r="C136" s="1056" t="s">
        <v>2056</v>
      </c>
      <c r="D136" s="1056" t="s">
        <v>1970</v>
      </c>
      <c r="E136" s="1056" t="s">
        <v>1971</v>
      </c>
      <c r="F136" s="1056" t="s">
        <v>1912</v>
      </c>
      <c r="G136" s="1056" t="s">
        <v>1916</v>
      </c>
      <c r="H136" s="1057">
        <v>2920000</v>
      </c>
      <c r="I136" s="1054"/>
      <c r="J136" s="1065"/>
    </row>
    <row r="137" spans="1:10" s="738" customFormat="1" x14ac:dyDescent="0.25">
      <c r="A137" s="1074"/>
      <c r="B137" s="1058" t="s">
        <v>1815</v>
      </c>
      <c r="C137" s="1056" t="s">
        <v>2056</v>
      </c>
      <c r="D137" s="1056" t="s">
        <v>1846</v>
      </c>
      <c r="E137" s="1056" t="s">
        <v>1847</v>
      </c>
      <c r="F137" s="1056" t="s">
        <v>1885</v>
      </c>
      <c r="G137" s="1056" t="s">
        <v>1888</v>
      </c>
      <c r="H137" s="1057">
        <v>2360000</v>
      </c>
      <c r="I137" s="1054"/>
      <c r="J137" s="1065"/>
    </row>
    <row r="138" spans="1:10" s="738" customFormat="1" x14ac:dyDescent="0.25">
      <c r="A138" s="1074"/>
      <c r="B138" s="1058" t="s">
        <v>1815</v>
      </c>
      <c r="C138" s="1056" t="s">
        <v>2056</v>
      </c>
      <c r="D138" s="1056" t="s">
        <v>1846</v>
      </c>
      <c r="E138" s="1056" t="s">
        <v>1847</v>
      </c>
      <c r="F138" s="1056" t="s">
        <v>1885</v>
      </c>
      <c r="G138" s="1056" t="s">
        <v>1887</v>
      </c>
      <c r="H138" s="1057">
        <v>9000000</v>
      </c>
      <c r="I138" s="1054"/>
      <c r="J138" s="1065"/>
    </row>
    <row r="139" spans="1:10" s="738" customFormat="1" x14ac:dyDescent="0.25">
      <c r="A139" s="1074"/>
      <c r="B139" s="1058" t="s">
        <v>1815</v>
      </c>
      <c r="C139" s="1056" t="s">
        <v>2056</v>
      </c>
      <c r="D139" s="1056" t="s">
        <v>1846</v>
      </c>
      <c r="E139" s="1056" t="s">
        <v>1847</v>
      </c>
      <c r="F139" s="1056" t="s">
        <v>1912</v>
      </c>
      <c r="G139" s="1056" t="s">
        <v>1916</v>
      </c>
      <c r="H139" s="1057">
        <v>2440000</v>
      </c>
      <c r="I139" s="1054"/>
      <c r="J139" s="1065"/>
    </row>
    <row r="140" spans="1:10" s="738" customFormat="1" x14ac:dyDescent="0.25">
      <c r="A140" s="1074"/>
      <c r="B140" s="1056" t="s">
        <v>2150</v>
      </c>
      <c r="C140" s="4568" t="s">
        <v>1580</v>
      </c>
      <c r="D140" s="4568"/>
      <c r="E140" s="4568"/>
      <c r="F140" s="4568"/>
      <c r="G140" s="4568"/>
      <c r="H140" s="1057">
        <v>115000000</v>
      </c>
      <c r="I140" s="1054"/>
      <c r="J140" s="1065"/>
    </row>
    <row r="141" spans="1:10" s="738" customFormat="1" x14ac:dyDescent="0.25">
      <c r="A141" s="1074"/>
      <c r="B141" s="1058" t="s">
        <v>1815</v>
      </c>
      <c r="C141" s="1056" t="s">
        <v>1153</v>
      </c>
      <c r="D141" s="1056" t="s">
        <v>1933</v>
      </c>
      <c r="E141" s="1056" t="s">
        <v>1952</v>
      </c>
      <c r="F141" s="1056" t="s">
        <v>1874</v>
      </c>
      <c r="G141" s="1056" t="s">
        <v>1875</v>
      </c>
      <c r="H141" s="1057">
        <v>5011000</v>
      </c>
      <c r="I141" s="1054"/>
      <c r="J141" s="1065"/>
    </row>
    <row r="142" spans="1:10" s="738" customFormat="1" x14ac:dyDescent="0.25">
      <c r="A142" s="1074"/>
      <c r="B142" s="1058" t="s">
        <v>1815</v>
      </c>
      <c r="C142" s="1056" t="s">
        <v>1153</v>
      </c>
      <c r="D142" s="1056" t="s">
        <v>1933</v>
      </c>
      <c r="E142" s="1056" t="s">
        <v>1952</v>
      </c>
      <c r="F142" s="1056" t="s">
        <v>1885</v>
      </c>
      <c r="G142" s="1056" t="s">
        <v>1888</v>
      </c>
      <c r="H142" s="1057">
        <v>12848000</v>
      </c>
      <c r="I142" s="1054"/>
      <c r="J142" s="1065"/>
    </row>
    <row r="143" spans="1:10" s="738" customFormat="1" x14ac:dyDescent="0.25">
      <c r="A143" s="1074"/>
      <c r="B143" s="1058" t="s">
        <v>1815</v>
      </c>
      <c r="C143" s="1056" t="s">
        <v>1153</v>
      </c>
      <c r="D143" s="1056" t="s">
        <v>1933</v>
      </c>
      <c r="E143" s="1056" t="s">
        <v>1952</v>
      </c>
      <c r="F143" s="1056" t="s">
        <v>1885</v>
      </c>
      <c r="G143" s="1056" t="s">
        <v>1927</v>
      </c>
      <c r="H143" s="1057">
        <v>300000</v>
      </c>
      <c r="I143" s="1054"/>
      <c r="J143" s="1065"/>
    </row>
    <row r="144" spans="1:10" s="738" customFormat="1" x14ac:dyDescent="0.25">
      <c r="A144" s="1074"/>
      <c r="B144" s="1058" t="s">
        <v>1815</v>
      </c>
      <c r="C144" s="1056" t="s">
        <v>1153</v>
      </c>
      <c r="D144" s="1056" t="s">
        <v>1933</v>
      </c>
      <c r="E144" s="1056" t="s">
        <v>1952</v>
      </c>
      <c r="F144" s="1056" t="s">
        <v>1885</v>
      </c>
      <c r="G144" s="1056" t="s">
        <v>1886</v>
      </c>
      <c r="H144" s="1057">
        <v>1200000</v>
      </c>
      <c r="I144" s="1054"/>
      <c r="J144" s="1065"/>
    </row>
    <row r="145" spans="1:10" s="738" customFormat="1" x14ac:dyDescent="0.25">
      <c r="A145" s="1074"/>
      <c r="B145" s="1058" t="s">
        <v>1815</v>
      </c>
      <c r="C145" s="1056" t="s">
        <v>1153</v>
      </c>
      <c r="D145" s="1056" t="s">
        <v>1933</v>
      </c>
      <c r="E145" s="1056" t="s">
        <v>1952</v>
      </c>
      <c r="F145" s="1056" t="s">
        <v>1889</v>
      </c>
      <c r="G145" s="1056" t="s">
        <v>1922</v>
      </c>
      <c r="H145" s="1057">
        <v>999000</v>
      </c>
      <c r="I145" s="1054"/>
      <c r="J145" s="1065"/>
    </row>
    <row r="146" spans="1:10" s="738" customFormat="1" x14ac:dyDescent="0.25">
      <c r="A146" s="1074"/>
      <c r="B146" s="1058" t="s">
        <v>1815</v>
      </c>
      <c r="C146" s="1056" t="s">
        <v>1153</v>
      </c>
      <c r="D146" s="1056" t="s">
        <v>1933</v>
      </c>
      <c r="E146" s="1056" t="s">
        <v>1952</v>
      </c>
      <c r="F146" s="1056" t="s">
        <v>1889</v>
      </c>
      <c r="G146" s="1056" t="s">
        <v>1890</v>
      </c>
      <c r="H146" s="1057">
        <v>800000</v>
      </c>
      <c r="I146" s="1054"/>
      <c r="J146" s="1065"/>
    </row>
    <row r="147" spans="1:10" s="738" customFormat="1" x14ac:dyDescent="0.25">
      <c r="A147" s="1074"/>
      <c r="B147" s="1058" t="s">
        <v>1815</v>
      </c>
      <c r="C147" s="1056" t="s">
        <v>1153</v>
      </c>
      <c r="D147" s="1056" t="s">
        <v>1933</v>
      </c>
      <c r="E147" s="1056" t="s">
        <v>1952</v>
      </c>
      <c r="F147" s="1056" t="s">
        <v>1906</v>
      </c>
      <c r="G147" s="1056" t="s">
        <v>1909</v>
      </c>
      <c r="H147" s="1057">
        <v>66030000</v>
      </c>
      <c r="I147" s="1054"/>
      <c r="J147" s="1065"/>
    </row>
    <row r="148" spans="1:10" s="738" customFormat="1" x14ac:dyDescent="0.25">
      <c r="A148" s="1074"/>
      <c r="B148" s="1058" t="s">
        <v>1815</v>
      </c>
      <c r="C148" s="1056" t="s">
        <v>1153</v>
      </c>
      <c r="D148" s="1056" t="s">
        <v>1933</v>
      </c>
      <c r="E148" s="1056" t="s">
        <v>1954</v>
      </c>
      <c r="F148" s="1056" t="s">
        <v>1874</v>
      </c>
      <c r="G148" s="1056" t="s">
        <v>1875</v>
      </c>
      <c r="H148" s="1057">
        <v>1400000</v>
      </c>
      <c r="I148" s="1054"/>
      <c r="J148" s="1065"/>
    </row>
    <row r="149" spans="1:10" s="738" customFormat="1" x14ac:dyDescent="0.25">
      <c r="A149" s="1074"/>
      <c r="B149" s="1058" t="s">
        <v>1815</v>
      </c>
      <c r="C149" s="1056" t="s">
        <v>1153</v>
      </c>
      <c r="D149" s="1056" t="s">
        <v>1933</v>
      </c>
      <c r="E149" s="1056" t="s">
        <v>1954</v>
      </c>
      <c r="F149" s="1056" t="s">
        <v>1906</v>
      </c>
      <c r="G149" s="1056" t="s">
        <v>1909</v>
      </c>
      <c r="H149" s="1057">
        <v>26412000</v>
      </c>
      <c r="I149" s="1054"/>
      <c r="J149" s="1065"/>
    </row>
    <row r="150" spans="1:10" s="738" customFormat="1" x14ac:dyDescent="0.25">
      <c r="A150" s="1074"/>
      <c r="B150" s="1056" t="s">
        <v>2151</v>
      </c>
      <c r="C150" s="4568" t="s">
        <v>1580</v>
      </c>
      <c r="D150" s="4568"/>
      <c r="E150" s="4568"/>
      <c r="F150" s="4568"/>
      <c r="G150" s="4568"/>
      <c r="H150" s="1057">
        <v>65321307673</v>
      </c>
      <c r="I150" s="1054"/>
      <c r="J150" s="1065"/>
    </row>
    <row r="151" spans="1:10" s="738" customFormat="1" x14ac:dyDescent="0.25">
      <c r="A151" s="1074"/>
      <c r="B151" s="1058" t="s">
        <v>1815</v>
      </c>
      <c r="C151" s="1056" t="s">
        <v>1189</v>
      </c>
      <c r="D151" s="1056" t="s">
        <v>1933</v>
      </c>
      <c r="E151" s="1056" t="s">
        <v>1934</v>
      </c>
      <c r="F151" s="1056" t="s">
        <v>2024</v>
      </c>
      <c r="G151" s="1056" t="s">
        <v>2025</v>
      </c>
      <c r="H151" s="1057">
        <v>3848800000</v>
      </c>
      <c r="I151" s="1054"/>
      <c r="J151" s="1065"/>
    </row>
    <row r="152" spans="1:10" s="738" customFormat="1" x14ac:dyDescent="0.25">
      <c r="A152" s="1074"/>
      <c r="B152" s="1058" t="s">
        <v>1815</v>
      </c>
      <c r="C152" s="1056" t="s">
        <v>1189</v>
      </c>
      <c r="D152" s="1056" t="s">
        <v>1933</v>
      </c>
      <c r="E152" s="1056" t="s">
        <v>1934</v>
      </c>
      <c r="F152" s="1056" t="s">
        <v>2026</v>
      </c>
      <c r="G152" s="1056" t="s">
        <v>2029</v>
      </c>
      <c r="H152" s="1057">
        <v>6827000</v>
      </c>
      <c r="I152" s="1054"/>
      <c r="J152" s="1065"/>
    </row>
    <row r="153" spans="1:10" s="738" customFormat="1" x14ac:dyDescent="0.25">
      <c r="A153" s="1074"/>
      <c r="B153" s="1058" t="s">
        <v>1815</v>
      </c>
      <c r="C153" s="1056" t="s">
        <v>1189</v>
      </c>
      <c r="D153" s="1056" t="s">
        <v>1933</v>
      </c>
      <c r="E153" s="1056" t="s">
        <v>1934</v>
      </c>
      <c r="F153" s="1056" t="s">
        <v>2026</v>
      </c>
      <c r="G153" s="1056" t="s">
        <v>2027</v>
      </c>
      <c r="H153" s="1057">
        <v>25000000</v>
      </c>
      <c r="I153" s="1054"/>
      <c r="J153" s="1065"/>
    </row>
    <row r="154" spans="1:10" s="738" customFormat="1" x14ac:dyDescent="0.25">
      <c r="A154" s="1074"/>
      <c r="B154" s="1058" t="s">
        <v>1815</v>
      </c>
      <c r="C154" s="1056" t="s">
        <v>1189</v>
      </c>
      <c r="D154" s="1056" t="s">
        <v>1933</v>
      </c>
      <c r="E154" s="1056" t="s">
        <v>1934</v>
      </c>
      <c r="F154" s="1056" t="s">
        <v>2026</v>
      </c>
      <c r="G154" s="1056" t="s">
        <v>2028</v>
      </c>
      <c r="H154" s="1057">
        <v>383000000</v>
      </c>
      <c r="I154" s="1054"/>
      <c r="J154" s="1065"/>
    </row>
    <row r="155" spans="1:10" s="738" customFormat="1" x14ac:dyDescent="0.25">
      <c r="A155" s="1074"/>
      <c r="B155" s="1058" t="s">
        <v>1815</v>
      </c>
      <c r="C155" s="1056" t="s">
        <v>1189</v>
      </c>
      <c r="D155" s="1056" t="s">
        <v>1933</v>
      </c>
      <c r="E155" s="1056" t="s">
        <v>1954</v>
      </c>
      <c r="F155" s="1056" t="s">
        <v>2030</v>
      </c>
      <c r="G155" s="1056" t="s">
        <v>2031</v>
      </c>
      <c r="H155" s="1057">
        <v>1484000</v>
      </c>
      <c r="I155" s="1054"/>
      <c r="J155" s="1065"/>
    </row>
    <row r="156" spans="1:10" s="738" customFormat="1" x14ac:dyDescent="0.25">
      <c r="A156" s="1074"/>
      <c r="B156" s="1058" t="s">
        <v>1815</v>
      </c>
      <c r="C156" s="1056" t="s">
        <v>1189</v>
      </c>
      <c r="D156" s="1056" t="s">
        <v>1933</v>
      </c>
      <c r="E156" s="1056" t="s">
        <v>1954</v>
      </c>
      <c r="F156" s="1056" t="s">
        <v>2024</v>
      </c>
      <c r="G156" s="1056" t="s">
        <v>2025</v>
      </c>
      <c r="H156" s="1057">
        <v>10602006000</v>
      </c>
      <c r="I156" s="1054"/>
      <c r="J156" s="1065"/>
    </row>
    <row r="157" spans="1:10" s="738" customFormat="1" x14ac:dyDescent="0.25">
      <c r="A157" s="1074"/>
      <c r="B157" s="1058" t="s">
        <v>1815</v>
      </c>
      <c r="C157" s="1056" t="s">
        <v>1189</v>
      </c>
      <c r="D157" s="1056" t="s">
        <v>1933</v>
      </c>
      <c r="E157" s="1056" t="s">
        <v>1954</v>
      </c>
      <c r="F157" s="1056" t="s">
        <v>2026</v>
      </c>
      <c r="G157" s="1056" t="s">
        <v>2028</v>
      </c>
      <c r="H157" s="1057">
        <v>550800000</v>
      </c>
      <c r="I157" s="1054"/>
      <c r="J157" s="1065"/>
    </row>
    <row r="158" spans="1:10" s="738" customFormat="1" x14ac:dyDescent="0.25">
      <c r="A158" s="1074"/>
      <c r="B158" s="1058" t="s">
        <v>1815</v>
      </c>
      <c r="C158" s="1056" t="s">
        <v>1189</v>
      </c>
      <c r="D158" s="1056" t="s">
        <v>1933</v>
      </c>
      <c r="E158" s="1056" t="s">
        <v>1954</v>
      </c>
      <c r="F158" s="1056" t="s">
        <v>2026</v>
      </c>
      <c r="G158" s="1056" t="s">
        <v>2029</v>
      </c>
      <c r="H158" s="1057">
        <v>8800000</v>
      </c>
      <c r="I158" s="1054"/>
      <c r="J158" s="1065"/>
    </row>
    <row r="159" spans="1:10" s="738" customFormat="1" x14ac:dyDescent="0.25">
      <c r="A159" s="1074"/>
      <c r="B159" s="1058" t="s">
        <v>1815</v>
      </c>
      <c r="C159" s="1056" t="s">
        <v>1189</v>
      </c>
      <c r="D159" s="1056" t="s">
        <v>1933</v>
      </c>
      <c r="E159" s="1056" t="s">
        <v>1954</v>
      </c>
      <c r="F159" s="1056" t="s">
        <v>2026</v>
      </c>
      <c r="G159" s="1056" t="s">
        <v>2027</v>
      </c>
      <c r="H159" s="1057">
        <v>293000000</v>
      </c>
      <c r="I159" s="1054"/>
      <c r="J159" s="1065"/>
    </row>
    <row r="160" spans="1:10" s="738" customFormat="1" x14ac:dyDescent="0.25">
      <c r="A160" s="1074"/>
      <c r="B160" s="1058" t="s">
        <v>1815</v>
      </c>
      <c r="C160" s="1056" t="s">
        <v>1189</v>
      </c>
      <c r="D160" s="1056" t="s">
        <v>2036</v>
      </c>
      <c r="E160" s="1056" t="s">
        <v>2037</v>
      </c>
      <c r="F160" s="1056" t="s">
        <v>2030</v>
      </c>
      <c r="G160" s="1056" t="s">
        <v>2031</v>
      </c>
      <c r="H160" s="1057">
        <v>829000</v>
      </c>
      <c r="I160" s="1054"/>
      <c r="J160" s="1065"/>
    </row>
    <row r="161" spans="1:10" s="738" customFormat="1" x14ac:dyDescent="0.25">
      <c r="A161" s="1074"/>
      <c r="B161" s="1058" t="s">
        <v>1815</v>
      </c>
      <c r="C161" s="1056" t="s">
        <v>1189</v>
      </c>
      <c r="D161" s="1056" t="s">
        <v>2036</v>
      </c>
      <c r="E161" s="1056" t="s">
        <v>2037</v>
      </c>
      <c r="F161" s="1056" t="s">
        <v>2024</v>
      </c>
      <c r="G161" s="1056" t="s">
        <v>2025</v>
      </c>
      <c r="H161" s="1057">
        <v>2863000000</v>
      </c>
      <c r="I161" s="1054"/>
      <c r="J161" s="1065"/>
    </row>
    <row r="162" spans="1:10" s="738" customFormat="1" x14ac:dyDescent="0.25">
      <c r="A162" s="1074"/>
      <c r="B162" s="1058" t="s">
        <v>1815</v>
      </c>
      <c r="C162" s="1056" t="s">
        <v>1189</v>
      </c>
      <c r="D162" s="1056" t="s">
        <v>2036</v>
      </c>
      <c r="E162" s="1056" t="s">
        <v>2037</v>
      </c>
      <c r="F162" s="1056" t="s">
        <v>2046</v>
      </c>
      <c r="G162" s="1056" t="s">
        <v>2047</v>
      </c>
      <c r="H162" s="1057">
        <v>403100000</v>
      </c>
      <c r="I162" s="1054"/>
      <c r="J162" s="1065"/>
    </row>
    <row r="163" spans="1:10" s="738" customFormat="1" x14ac:dyDescent="0.25">
      <c r="A163" s="1074"/>
      <c r="B163" s="1058" t="s">
        <v>1815</v>
      </c>
      <c r="C163" s="1056" t="s">
        <v>1189</v>
      </c>
      <c r="D163" s="1056" t="s">
        <v>2036</v>
      </c>
      <c r="E163" s="1056" t="s">
        <v>2037</v>
      </c>
      <c r="F163" s="1056" t="s">
        <v>2026</v>
      </c>
      <c r="G163" s="1056" t="s">
        <v>2029</v>
      </c>
      <c r="H163" s="1057">
        <v>2800000</v>
      </c>
      <c r="I163" s="1054"/>
      <c r="J163" s="1065"/>
    </row>
    <row r="164" spans="1:10" s="738" customFormat="1" x14ac:dyDescent="0.25">
      <c r="A164" s="1074"/>
      <c r="B164" s="1058" t="s">
        <v>1815</v>
      </c>
      <c r="C164" s="1056" t="s">
        <v>1189</v>
      </c>
      <c r="D164" s="1056" t="s">
        <v>2036</v>
      </c>
      <c r="E164" s="1056" t="s">
        <v>2037</v>
      </c>
      <c r="F164" s="1056" t="s">
        <v>2026</v>
      </c>
      <c r="G164" s="1056" t="s">
        <v>2028</v>
      </c>
      <c r="H164" s="1057">
        <v>107700000</v>
      </c>
      <c r="I164" s="1054"/>
      <c r="J164" s="1065"/>
    </row>
    <row r="165" spans="1:10" s="738" customFormat="1" x14ac:dyDescent="0.25">
      <c r="A165" s="1074"/>
      <c r="B165" s="1058" t="s">
        <v>1815</v>
      </c>
      <c r="C165" s="1056" t="s">
        <v>1189</v>
      </c>
      <c r="D165" s="1056" t="s">
        <v>2036</v>
      </c>
      <c r="E165" s="1056" t="s">
        <v>2037</v>
      </c>
      <c r="F165" s="1056" t="s">
        <v>2026</v>
      </c>
      <c r="G165" s="1056" t="s">
        <v>2027</v>
      </c>
      <c r="H165" s="1057">
        <v>95000000</v>
      </c>
      <c r="I165" s="1054"/>
      <c r="J165" s="1065"/>
    </row>
    <row r="166" spans="1:10" s="738" customFormat="1" x14ac:dyDescent="0.25">
      <c r="A166" s="1074"/>
      <c r="B166" s="1058" t="s">
        <v>1815</v>
      </c>
      <c r="C166" s="1056" t="s">
        <v>2056</v>
      </c>
      <c r="D166" s="1056" t="s">
        <v>1933</v>
      </c>
      <c r="E166" s="1056" t="s">
        <v>1934</v>
      </c>
      <c r="F166" s="1056" t="s">
        <v>2030</v>
      </c>
      <c r="G166" s="1056" t="s">
        <v>2031</v>
      </c>
      <c r="H166" s="1057">
        <v>239121</v>
      </c>
      <c r="I166" s="1054"/>
      <c r="J166" s="1065"/>
    </row>
    <row r="167" spans="1:10" s="738" customFormat="1" x14ac:dyDescent="0.25">
      <c r="A167" s="1074"/>
      <c r="B167" s="1058" t="s">
        <v>1815</v>
      </c>
      <c r="C167" s="1056" t="s">
        <v>2056</v>
      </c>
      <c r="D167" s="1056" t="s">
        <v>1933</v>
      </c>
      <c r="E167" s="1056" t="s">
        <v>1934</v>
      </c>
      <c r="F167" s="1056" t="s">
        <v>2024</v>
      </c>
      <c r="G167" s="1056" t="s">
        <v>2025</v>
      </c>
      <c r="H167" s="1057">
        <v>509405186</v>
      </c>
      <c r="I167" s="1054"/>
      <c r="J167" s="1065"/>
    </row>
    <row r="168" spans="1:10" s="738" customFormat="1" x14ac:dyDescent="0.25">
      <c r="A168" s="1074"/>
      <c r="B168" s="1058" t="s">
        <v>1815</v>
      </c>
      <c r="C168" s="1056" t="s">
        <v>2056</v>
      </c>
      <c r="D168" s="1056" t="s">
        <v>1933</v>
      </c>
      <c r="E168" s="1056" t="s">
        <v>1934</v>
      </c>
      <c r="F168" s="1056" t="s">
        <v>2026</v>
      </c>
      <c r="G168" s="1056" t="s">
        <v>2027</v>
      </c>
      <c r="H168" s="1057">
        <v>43243845</v>
      </c>
      <c r="I168" s="1054"/>
      <c r="J168" s="1065"/>
    </row>
    <row r="169" spans="1:10" s="738" customFormat="1" x14ac:dyDescent="0.25">
      <c r="A169" s="1074"/>
      <c r="B169" s="1058" t="s">
        <v>1815</v>
      </c>
      <c r="C169" s="1056" t="s">
        <v>2056</v>
      </c>
      <c r="D169" s="1056" t="s">
        <v>1933</v>
      </c>
      <c r="E169" s="1056" t="s">
        <v>1934</v>
      </c>
      <c r="F169" s="1056" t="s">
        <v>2026</v>
      </c>
      <c r="G169" s="1056" t="s">
        <v>2028</v>
      </c>
      <c r="H169" s="1057">
        <v>67357715</v>
      </c>
      <c r="I169" s="1054"/>
      <c r="J169" s="1065"/>
    </row>
    <row r="170" spans="1:10" s="738" customFormat="1" x14ac:dyDescent="0.25">
      <c r="A170" s="1074"/>
      <c r="B170" s="1058" t="s">
        <v>1815</v>
      </c>
      <c r="C170" s="1056" t="s">
        <v>2056</v>
      </c>
      <c r="D170" s="1056" t="s">
        <v>1933</v>
      </c>
      <c r="E170" s="1056" t="s">
        <v>1934</v>
      </c>
      <c r="F170" s="1056" t="s">
        <v>2026</v>
      </c>
      <c r="G170" s="1056" t="s">
        <v>2029</v>
      </c>
      <c r="H170" s="1057">
        <v>9338787</v>
      </c>
      <c r="I170" s="1054"/>
      <c r="J170" s="1065"/>
    </row>
    <row r="171" spans="1:10" s="738" customFormat="1" x14ac:dyDescent="0.25">
      <c r="A171" s="1074"/>
      <c r="B171" s="1058" t="s">
        <v>1815</v>
      </c>
      <c r="C171" s="1056" t="s">
        <v>2056</v>
      </c>
      <c r="D171" s="1056" t="s">
        <v>2038</v>
      </c>
      <c r="E171" s="1056" t="s">
        <v>2039</v>
      </c>
      <c r="F171" s="1056" t="s">
        <v>1874</v>
      </c>
      <c r="G171" s="1056" t="s">
        <v>1877</v>
      </c>
      <c r="H171" s="1057">
        <v>23850000</v>
      </c>
      <c r="I171" s="1054"/>
      <c r="J171" s="1065"/>
    </row>
    <row r="172" spans="1:10" s="738" customFormat="1" x14ac:dyDescent="0.25">
      <c r="A172" s="1074"/>
      <c r="B172" s="1058" t="s">
        <v>1815</v>
      </c>
      <c r="C172" s="1056" t="s">
        <v>2056</v>
      </c>
      <c r="D172" s="1056" t="s">
        <v>2038</v>
      </c>
      <c r="E172" s="1056" t="s">
        <v>2039</v>
      </c>
      <c r="F172" s="1056" t="s">
        <v>1896</v>
      </c>
      <c r="G172" s="1056" t="s">
        <v>2055</v>
      </c>
      <c r="H172" s="1057">
        <v>28147504</v>
      </c>
      <c r="I172" s="1054"/>
      <c r="J172" s="1065"/>
    </row>
    <row r="173" spans="1:10" s="738" customFormat="1" x14ac:dyDescent="0.25">
      <c r="A173" s="1074"/>
      <c r="B173" s="1058" t="s">
        <v>1815</v>
      </c>
      <c r="C173" s="1056" t="s">
        <v>2056</v>
      </c>
      <c r="D173" s="1056" t="s">
        <v>2038</v>
      </c>
      <c r="E173" s="1056" t="s">
        <v>2039</v>
      </c>
      <c r="F173" s="1056" t="s">
        <v>1896</v>
      </c>
      <c r="G173" s="1056" t="s">
        <v>1902</v>
      </c>
      <c r="H173" s="1057">
        <v>155992942</v>
      </c>
      <c r="I173" s="1054"/>
      <c r="J173" s="1065"/>
    </row>
    <row r="174" spans="1:10" s="738" customFormat="1" x14ac:dyDescent="0.25">
      <c r="A174" s="1074"/>
      <c r="B174" s="1058" t="s">
        <v>1815</v>
      </c>
      <c r="C174" s="1056" t="s">
        <v>2056</v>
      </c>
      <c r="D174" s="1056" t="s">
        <v>2038</v>
      </c>
      <c r="E174" s="1056" t="s">
        <v>2039</v>
      </c>
      <c r="F174" s="1056" t="s">
        <v>1896</v>
      </c>
      <c r="G174" s="1056" t="s">
        <v>1899</v>
      </c>
      <c r="H174" s="1057">
        <v>258368635</v>
      </c>
      <c r="I174" s="1054"/>
      <c r="J174" s="1065"/>
    </row>
    <row r="175" spans="1:10" s="738" customFormat="1" x14ac:dyDescent="0.25">
      <c r="A175" s="1074"/>
      <c r="B175" s="1058" t="s">
        <v>1815</v>
      </c>
      <c r="C175" s="1056" t="s">
        <v>2056</v>
      </c>
      <c r="D175" s="1056" t="s">
        <v>2038</v>
      </c>
      <c r="E175" s="1056" t="s">
        <v>2039</v>
      </c>
      <c r="F175" s="1056" t="s">
        <v>1896</v>
      </c>
      <c r="G175" s="1056" t="s">
        <v>1932</v>
      </c>
      <c r="H175" s="1057">
        <v>142988133</v>
      </c>
      <c r="I175" s="1054"/>
      <c r="J175" s="1065"/>
    </row>
    <row r="176" spans="1:10" s="738" customFormat="1" x14ac:dyDescent="0.25">
      <c r="A176" s="1074"/>
      <c r="B176" s="1058" t="s">
        <v>1815</v>
      </c>
      <c r="C176" s="1056" t="s">
        <v>2056</v>
      </c>
      <c r="D176" s="1056" t="s">
        <v>2038</v>
      </c>
      <c r="E176" s="1056" t="s">
        <v>2039</v>
      </c>
      <c r="F176" s="1056" t="s">
        <v>1903</v>
      </c>
      <c r="G176" s="1056" t="s">
        <v>1904</v>
      </c>
      <c r="H176" s="1057">
        <v>40000000</v>
      </c>
      <c r="I176" s="1054"/>
      <c r="J176" s="1065"/>
    </row>
    <row r="177" spans="1:10" s="738" customFormat="1" x14ac:dyDescent="0.25">
      <c r="A177" s="1074"/>
      <c r="B177" s="1058" t="s">
        <v>1815</v>
      </c>
      <c r="C177" s="1056" t="s">
        <v>2056</v>
      </c>
      <c r="D177" s="1056" t="s">
        <v>2038</v>
      </c>
      <c r="E177" s="1056" t="s">
        <v>2039</v>
      </c>
      <c r="F177" s="1056" t="s">
        <v>1903</v>
      </c>
      <c r="G177" s="1056" t="s">
        <v>1950</v>
      </c>
      <c r="H177" s="1057">
        <v>246150000</v>
      </c>
      <c r="I177" s="1054"/>
      <c r="J177" s="1065"/>
    </row>
    <row r="178" spans="1:10" s="738" customFormat="1" x14ac:dyDescent="0.25">
      <c r="A178" s="1074"/>
      <c r="B178" s="1058" t="s">
        <v>1815</v>
      </c>
      <c r="C178" s="1056" t="s">
        <v>2056</v>
      </c>
      <c r="D178" s="1056" t="s">
        <v>2038</v>
      </c>
      <c r="E178" s="1056" t="s">
        <v>2039</v>
      </c>
      <c r="F178" s="1056" t="s">
        <v>2024</v>
      </c>
      <c r="G178" s="1056" t="s">
        <v>2025</v>
      </c>
      <c r="H178" s="1057">
        <v>5087106999</v>
      </c>
      <c r="I178" s="1054"/>
      <c r="J178" s="1065"/>
    </row>
    <row r="179" spans="1:10" s="738" customFormat="1" x14ac:dyDescent="0.25">
      <c r="A179" s="1074"/>
      <c r="B179" s="1058" t="s">
        <v>1815</v>
      </c>
      <c r="C179" s="1056" t="s">
        <v>2056</v>
      </c>
      <c r="D179" s="1056" t="s">
        <v>2038</v>
      </c>
      <c r="E179" s="1056" t="s">
        <v>2039</v>
      </c>
      <c r="F179" s="1056" t="s">
        <v>2046</v>
      </c>
      <c r="G179" s="1056" t="s">
        <v>2047</v>
      </c>
      <c r="H179" s="1057">
        <v>943140900</v>
      </c>
      <c r="I179" s="1054"/>
      <c r="J179" s="1065"/>
    </row>
    <row r="180" spans="1:10" s="738" customFormat="1" x14ac:dyDescent="0.25">
      <c r="A180" s="1074"/>
      <c r="B180" s="1058" t="s">
        <v>1815</v>
      </c>
      <c r="C180" s="1056" t="s">
        <v>2056</v>
      </c>
      <c r="D180" s="1056" t="s">
        <v>2038</v>
      </c>
      <c r="E180" s="1056" t="s">
        <v>2039</v>
      </c>
      <c r="F180" s="1056" t="s">
        <v>2026</v>
      </c>
      <c r="G180" s="1056" t="s">
        <v>2029</v>
      </c>
      <c r="H180" s="1057">
        <v>31772674</v>
      </c>
      <c r="I180" s="1054"/>
      <c r="J180" s="1065"/>
    </row>
    <row r="181" spans="1:10" s="738" customFormat="1" x14ac:dyDescent="0.25">
      <c r="A181" s="1074"/>
      <c r="B181" s="1058" t="s">
        <v>1815</v>
      </c>
      <c r="C181" s="1056" t="s">
        <v>2056</v>
      </c>
      <c r="D181" s="1056" t="s">
        <v>2038</v>
      </c>
      <c r="E181" s="1056" t="s">
        <v>2039</v>
      </c>
      <c r="F181" s="1056" t="s">
        <v>2026</v>
      </c>
      <c r="G181" s="1056" t="s">
        <v>2027</v>
      </c>
      <c r="H181" s="1057">
        <v>146737983</v>
      </c>
      <c r="I181" s="1054"/>
      <c r="J181" s="1065"/>
    </row>
    <row r="182" spans="1:10" s="738" customFormat="1" x14ac:dyDescent="0.25">
      <c r="A182" s="1074"/>
      <c r="B182" s="1058" t="s">
        <v>1815</v>
      </c>
      <c r="C182" s="1056" t="s">
        <v>2056</v>
      </c>
      <c r="D182" s="1056" t="s">
        <v>2044</v>
      </c>
      <c r="E182" s="1056" t="s">
        <v>2045</v>
      </c>
      <c r="F182" s="1056" t="s">
        <v>1903</v>
      </c>
      <c r="G182" s="1056" t="s">
        <v>1905</v>
      </c>
      <c r="H182" s="1057">
        <v>489499462</v>
      </c>
      <c r="I182" s="1054"/>
      <c r="J182" s="1065"/>
    </row>
    <row r="183" spans="1:10" s="738" customFormat="1" x14ac:dyDescent="0.25">
      <c r="A183" s="1074"/>
      <c r="B183" s="1058" t="s">
        <v>1815</v>
      </c>
      <c r="C183" s="1056" t="s">
        <v>2056</v>
      </c>
      <c r="D183" s="1056" t="s">
        <v>1919</v>
      </c>
      <c r="E183" s="1056" t="s">
        <v>1920</v>
      </c>
      <c r="F183" s="1056" t="s">
        <v>1923</v>
      </c>
      <c r="G183" s="1056" t="s">
        <v>2007</v>
      </c>
      <c r="H183" s="1057">
        <v>133350000</v>
      </c>
      <c r="I183" s="1054"/>
      <c r="J183" s="1065"/>
    </row>
    <row r="184" spans="1:10" s="738" customFormat="1" x14ac:dyDescent="0.25">
      <c r="A184" s="1074"/>
      <c r="B184" s="1058" t="s">
        <v>1815</v>
      </c>
      <c r="C184" s="1056" t="s">
        <v>2056</v>
      </c>
      <c r="D184" s="1056" t="s">
        <v>1919</v>
      </c>
      <c r="E184" s="1056" t="s">
        <v>1920</v>
      </c>
      <c r="F184" s="1056" t="s">
        <v>1912</v>
      </c>
      <c r="G184" s="1056" t="s">
        <v>1916</v>
      </c>
      <c r="H184" s="1057">
        <v>6150000</v>
      </c>
      <c r="I184" s="1054"/>
      <c r="J184" s="1065"/>
    </row>
    <row r="185" spans="1:10" s="738" customFormat="1" x14ac:dyDescent="0.25">
      <c r="A185" s="1074"/>
      <c r="B185" s="1058" t="s">
        <v>1815</v>
      </c>
      <c r="C185" s="1056" t="s">
        <v>2056</v>
      </c>
      <c r="D185" s="1056" t="s">
        <v>1919</v>
      </c>
      <c r="E185" s="1056" t="s">
        <v>2005</v>
      </c>
      <c r="F185" s="1056" t="s">
        <v>1896</v>
      </c>
      <c r="G185" s="1056" t="s">
        <v>2006</v>
      </c>
      <c r="H185" s="1057">
        <v>10000000</v>
      </c>
      <c r="I185" s="1054"/>
      <c r="J185" s="1065"/>
    </row>
    <row r="186" spans="1:10" s="738" customFormat="1" x14ac:dyDescent="0.25">
      <c r="A186" s="1074"/>
      <c r="B186" s="1058" t="s">
        <v>1815</v>
      </c>
      <c r="C186" s="1056" t="s">
        <v>2056</v>
      </c>
      <c r="D186" s="1056" t="s">
        <v>1919</v>
      </c>
      <c r="E186" s="1056" t="s">
        <v>2005</v>
      </c>
      <c r="F186" s="1056" t="s">
        <v>2024</v>
      </c>
      <c r="G186" s="1056" t="s">
        <v>2025</v>
      </c>
      <c r="H186" s="1057">
        <v>6292818246</v>
      </c>
      <c r="I186" s="1054"/>
      <c r="J186" s="1065"/>
    </row>
    <row r="187" spans="1:10" s="738" customFormat="1" x14ac:dyDescent="0.25">
      <c r="A187" s="1074"/>
      <c r="B187" s="1058" t="s">
        <v>1815</v>
      </c>
      <c r="C187" s="1056" t="s">
        <v>2056</v>
      </c>
      <c r="D187" s="1056" t="s">
        <v>1919</v>
      </c>
      <c r="E187" s="1056" t="s">
        <v>2005</v>
      </c>
      <c r="F187" s="1056" t="s">
        <v>2026</v>
      </c>
      <c r="G187" s="1056" t="s">
        <v>2028</v>
      </c>
      <c r="H187" s="1057">
        <v>38633505</v>
      </c>
      <c r="I187" s="1054"/>
      <c r="J187" s="1065"/>
    </row>
    <row r="188" spans="1:10" s="738" customFormat="1" x14ac:dyDescent="0.25">
      <c r="A188" s="1074"/>
      <c r="B188" s="1058" t="s">
        <v>1815</v>
      </c>
      <c r="C188" s="1056" t="s">
        <v>2056</v>
      </c>
      <c r="D188" s="1056" t="s">
        <v>1919</v>
      </c>
      <c r="E188" s="1056" t="s">
        <v>2005</v>
      </c>
      <c r="F188" s="1056" t="s">
        <v>2026</v>
      </c>
      <c r="G188" s="1056" t="s">
        <v>2029</v>
      </c>
      <c r="H188" s="1057">
        <v>29523186</v>
      </c>
      <c r="I188" s="1054"/>
      <c r="J188" s="1065"/>
    </row>
    <row r="189" spans="1:10" s="738" customFormat="1" x14ac:dyDescent="0.25">
      <c r="A189" s="1074"/>
      <c r="B189" s="1058" t="s">
        <v>1815</v>
      </c>
      <c r="C189" s="1056" t="s">
        <v>2056</v>
      </c>
      <c r="D189" s="1056" t="s">
        <v>1919</v>
      </c>
      <c r="E189" s="1056" t="s">
        <v>2005</v>
      </c>
      <c r="F189" s="1056" t="s">
        <v>2026</v>
      </c>
      <c r="G189" s="1056" t="s">
        <v>2027</v>
      </c>
      <c r="H189" s="1057">
        <v>121936987</v>
      </c>
      <c r="I189" s="1054"/>
      <c r="J189" s="1065"/>
    </row>
    <row r="190" spans="1:10" s="738" customFormat="1" x14ac:dyDescent="0.25">
      <c r="A190" s="1074"/>
      <c r="B190" s="1058" t="s">
        <v>1815</v>
      </c>
      <c r="C190" s="1056" t="s">
        <v>2056</v>
      </c>
      <c r="D190" s="1056" t="s">
        <v>1919</v>
      </c>
      <c r="E190" s="1056" t="s">
        <v>1931</v>
      </c>
      <c r="F190" s="1056" t="s">
        <v>1896</v>
      </c>
      <c r="G190" s="1056" t="s">
        <v>1932</v>
      </c>
      <c r="H190" s="1057">
        <v>1332469196</v>
      </c>
      <c r="I190" s="1054"/>
      <c r="J190" s="1065"/>
    </row>
    <row r="191" spans="1:10" s="738" customFormat="1" x14ac:dyDescent="0.25">
      <c r="A191" s="1074"/>
      <c r="B191" s="1058" t="s">
        <v>1815</v>
      </c>
      <c r="C191" s="1056" t="s">
        <v>2056</v>
      </c>
      <c r="D191" s="1056" t="s">
        <v>1919</v>
      </c>
      <c r="E191" s="1056" t="s">
        <v>1931</v>
      </c>
      <c r="F191" s="1056" t="s">
        <v>2030</v>
      </c>
      <c r="G191" s="1056" t="s">
        <v>2031</v>
      </c>
      <c r="H191" s="1057">
        <v>629357</v>
      </c>
      <c r="I191" s="1054"/>
      <c r="J191" s="1065"/>
    </row>
    <row r="192" spans="1:10" s="738" customFormat="1" x14ac:dyDescent="0.25">
      <c r="A192" s="1074"/>
      <c r="B192" s="1058" t="s">
        <v>1815</v>
      </c>
      <c r="C192" s="1056" t="s">
        <v>2056</v>
      </c>
      <c r="D192" s="1056" t="s">
        <v>1919</v>
      </c>
      <c r="E192" s="1056" t="s">
        <v>1931</v>
      </c>
      <c r="F192" s="1056" t="s">
        <v>2024</v>
      </c>
      <c r="G192" s="1056" t="s">
        <v>2025</v>
      </c>
      <c r="H192" s="1057">
        <v>28345017228</v>
      </c>
      <c r="I192" s="1054"/>
      <c r="J192" s="1065"/>
    </row>
    <row r="193" spans="1:10" s="738" customFormat="1" x14ac:dyDescent="0.25">
      <c r="A193" s="1074"/>
      <c r="B193" s="1058" t="s">
        <v>1815</v>
      </c>
      <c r="C193" s="1056" t="s">
        <v>2056</v>
      </c>
      <c r="D193" s="1056" t="s">
        <v>1919</v>
      </c>
      <c r="E193" s="1056" t="s">
        <v>1931</v>
      </c>
      <c r="F193" s="1056" t="s">
        <v>2026</v>
      </c>
      <c r="G193" s="1056" t="s">
        <v>2027</v>
      </c>
      <c r="H193" s="1057">
        <v>610892344</v>
      </c>
      <c r="I193" s="1054"/>
      <c r="J193" s="1065"/>
    </row>
    <row r="194" spans="1:10" s="738" customFormat="1" x14ac:dyDescent="0.25">
      <c r="A194" s="1074"/>
      <c r="B194" s="1058" t="s">
        <v>1815</v>
      </c>
      <c r="C194" s="1056" t="s">
        <v>2056</v>
      </c>
      <c r="D194" s="1056" t="s">
        <v>1919</v>
      </c>
      <c r="E194" s="1056" t="s">
        <v>1931</v>
      </c>
      <c r="F194" s="1056" t="s">
        <v>2026</v>
      </c>
      <c r="G194" s="1056" t="s">
        <v>2029</v>
      </c>
      <c r="H194" s="1057">
        <v>160462848</v>
      </c>
      <c r="I194" s="1054"/>
      <c r="J194" s="1065"/>
    </row>
    <row r="195" spans="1:10" s="738" customFormat="1" x14ac:dyDescent="0.25">
      <c r="A195" s="1074"/>
      <c r="B195" s="1058" t="s">
        <v>1815</v>
      </c>
      <c r="C195" s="1056" t="s">
        <v>2056</v>
      </c>
      <c r="D195" s="1056" t="s">
        <v>1919</v>
      </c>
      <c r="E195" s="1056" t="s">
        <v>1931</v>
      </c>
      <c r="F195" s="1056" t="s">
        <v>2026</v>
      </c>
      <c r="G195" s="1056" t="s">
        <v>2028</v>
      </c>
      <c r="H195" s="1057">
        <v>159372132</v>
      </c>
      <c r="I195" s="1054"/>
      <c r="J195" s="1065"/>
    </row>
    <row r="196" spans="1:10" s="738" customFormat="1" x14ac:dyDescent="0.25">
      <c r="A196" s="1074"/>
      <c r="B196" s="1058" t="s">
        <v>1815</v>
      </c>
      <c r="C196" s="1056" t="s">
        <v>2056</v>
      </c>
      <c r="D196" s="1056" t="s">
        <v>1972</v>
      </c>
      <c r="E196" s="1056" t="s">
        <v>2053</v>
      </c>
      <c r="F196" s="1056" t="s">
        <v>2024</v>
      </c>
      <c r="G196" s="1056" t="s">
        <v>2025</v>
      </c>
      <c r="H196" s="1057">
        <v>396580940</v>
      </c>
      <c r="I196" s="1054"/>
      <c r="J196" s="1065"/>
    </row>
    <row r="197" spans="1:10" s="738" customFormat="1" x14ac:dyDescent="0.25">
      <c r="A197" s="1074"/>
      <c r="B197" s="1058" t="s">
        <v>1815</v>
      </c>
      <c r="C197" s="1056" t="s">
        <v>2056</v>
      </c>
      <c r="D197" s="1056" t="s">
        <v>1972</v>
      </c>
      <c r="E197" s="1056" t="s">
        <v>2053</v>
      </c>
      <c r="F197" s="1056" t="s">
        <v>2026</v>
      </c>
      <c r="G197" s="1056" t="s">
        <v>2027</v>
      </c>
      <c r="H197" s="1057">
        <v>62201313</v>
      </c>
      <c r="I197" s="1054"/>
      <c r="J197" s="1065"/>
    </row>
    <row r="198" spans="1:10" s="738" customFormat="1" x14ac:dyDescent="0.25">
      <c r="A198" s="1074"/>
      <c r="B198" s="1058" t="s">
        <v>1815</v>
      </c>
      <c r="C198" s="1056" t="s">
        <v>2056</v>
      </c>
      <c r="D198" s="1056" t="s">
        <v>1972</v>
      </c>
      <c r="E198" s="1056" t="s">
        <v>2053</v>
      </c>
      <c r="F198" s="1056" t="s">
        <v>2026</v>
      </c>
      <c r="G198" s="1056" t="s">
        <v>2028</v>
      </c>
      <c r="H198" s="1057">
        <v>5000000</v>
      </c>
      <c r="I198" s="1054"/>
      <c r="J198" s="1065"/>
    </row>
    <row r="199" spans="1:10" s="738" customFormat="1" x14ac:dyDescent="0.25">
      <c r="A199" s="1074"/>
      <c r="B199" s="1058" t="s">
        <v>1815</v>
      </c>
      <c r="C199" s="1056" t="s">
        <v>2056</v>
      </c>
      <c r="D199" s="1056" t="s">
        <v>1972</v>
      </c>
      <c r="E199" s="1056" t="s">
        <v>2053</v>
      </c>
      <c r="F199" s="1056" t="s">
        <v>2026</v>
      </c>
      <c r="G199" s="1056" t="s">
        <v>2029</v>
      </c>
      <c r="H199" s="1057">
        <v>2104505</v>
      </c>
      <c r="I199" s="1054"/>
      <c r="J199" s="1065"/>
    </row>
    <row r="200" spans="1:10" s="738" customFormat="1" x14ac:dyDescent="0.25">
      <c r="A200" s="1074"/>
      <c r="B200" s="1058" t="s">
        <v>1815</v>
      </c>
      <c r="C200" s="1056" t="s">
        <v>2056</v>
      </c>
      <c r="D200" s="1056" t="s">
        <v>1972</v>
      </c>
      <c r="E200" s="1056" t="s">
        <v>2235</v>
      </c>
      <c r="F200" s="1056" t="s">
        <v>1874</v>
      </c>
      <c r="G200" s="1056" t="s">
        <v>1876</v>
      </c>
      <c r="H200" s="1057">
        <v>30000000</v>
      </c>
      <c r="I200" s="1054"/>
      <c r="J200" s="1065"/>
    </row>
    <row r="201" spans="1:10" s="738" customFormat="1" x14ac:dyDescent="0.25">
      <c r="A201" s="1074"/>
      <c r="B201" s="1058" t="s">
        <v>1815</v>
      </c>
      <c r="C201" s="1056" t="s">
        <v>2056</v>
      </c>
      <c r="D201" s="1056" t="s">
        <v>1972</v>
      </c>
      <c r="E201" s="1056" t="s">
        <v>2235</v>
      </c>
      <c r="F201" s="1056" t="s">
        <v>1878</v>
      </c>
      <c r="G201" s="1056" t="s">
        <v>1882</v>
      </c>
      <c r="H201" s="1057">
        <v>15000000</v>
      </c>
      <c r="I201" s="1054"/>
      <c r="J201" s="1065"/>
    </row>
    <row r="202" spans="1:10" s="738" customFormat="1" x14ac:dyDescent="0.25">
      <c r="A202" s="1074"/>
      <c r="B202" s="1058" t="s">
        <v>1815</v>
      </c>
      <c r="C202" s="1056" t="s">
        <v>2056</v>
      </c>
      <c r="D202" s="1056" t="s">
        <v>1972</v>
      </c>
      <c r="E202" s="1056" t="s">
        <v>2235</v>
      </c>
      <c r="F202" s="1056" t="s">
        <v>1923</v>
      </c>
      <c r="G202" s="1056" t="s">
        <v>2007</v>
      </c>
      <c r="H202" s="1057">
        <v>153680000</v>
      </c>
      <c r="I202" s="1054"/>
      <c r="J202" s="1065"/>
    </row>
    <row r="203" spans="1:10" s="738" customFormat="1" x14ac:dyDescent="0.25">
      <c r="A203" s="1074"/>
      <c r="B203" s="1056" t="s">
        <v>1599</v>
      </c>
      <c r="C203" s="4568" t="s">
        <v>1580</v>
      </c>
      <c r="D203" s="4568"/>
      <c r="E203" s="4568"/>
      <c r="F203" s="4568"/>
      <c r="G203" s="4568"/>
      <c r="H203" s="1057">
        <v>30177000</v>
      </c>
      <c r="I203" s="1054"/>
      <c r="J203" s="1065"/>
    </row>
    <row r="204" spans="1:10" s="738" customFormat="1" x14ac:dyDescent="0.25">
      <c r="A204" s="1074"/>
      <c r="B204" s="1058" t="s">
        <v>1815</v>
      </c>
      <c r="C204" s="1056" t="s">
        <v>1154</v>
      </c>
      <c r="D204" s="1056" t="s">
        <v>1846</v>
      </c>
      <c r="E204" s="1056" t="s">
        <v>1847</v>
      </c>
      <c r="F204" s="1056" t="s">
        <v>1869</v>
      </c>
      <c r="G204" s="1056" t="s">
        <v>1872</v>
      </c>
      <c r="H204" s="1057">
        <v>2247000</v>
      </c>
      <c r="I204" s="1054"/>
      <c r="J204" s="1065"/>
    </row>
    <row r="205" spans="1:10" s="738" customFormat="1" x14ac:dyDescent="0.25">
      <c r="A205" s="1074"/>
      <c r="B205" s="1058" t="s">
        <v>1815</v>
      </c>
      <c r="C205" s="1056" t="s">
        <v>1154</v>
      </c>
      <c r="D205" s="1056" t="s">
        <v>1846</v>
      </c>
      <c r="E205" s="1056" t="s">
        <v>1847</v>
      </c>
      <c r="F205" s="1056" t="s">
        <v>1889</v>
      </c>
      <c r="G205" s="1056" t="s">
        <v>1890</v>
      </c>
      <c r="H205" s="1057">
        <v>3100000</v>
      </c>
      <c r="I205" s="1054"/>
      <c r="J205" s="1065"/>
    </row>
    <row r="206" spans="1:10" s="738" customFormat="1" x14ac:dyDescent="0.25">
      <c r="A206" s="1074"/>
      <c r="B206" s="1058" t="s">
        <v>1815</v>
      </c>
      <c r="C206" s="1056" t="s">
        <v>1154</v>
      </c>
      <c r="D206" s="1056" t="s">
        <v>1846</v>
      </c>
      <c r="E206" s="1056" t="s">
        <v>1847</v>
      </c>
      <c r="F206" s="1056" t="s">
        <v>1906</v>
      </c>
      <c r="G206" s="1056" t="s">
        <v>1909</v>
      </c>
      <c r="H206" s="1057">
        <v>24830000</v>
      </c>
      <c r="I206" s="1054"/>
      <c r="J206" s="1065"/>
    </row>
    <row r="207" spans="1:10" s="738" customFormat="1" ht="31.5" x14ac:dyDescent="0.25">
      <c r="A207" s="1074"/>
      <c r="B207" s="1056" t="s">
        <v>2152</v>
      </c>
      <c r="C207" s="4568" t="s">
        <v>1580</v>
      </c>
      <c r="D207" s="4568"/>
      <c r="E207" s="4568"/>
      <c r="F207" s="4568"/>
      <c r="G207" s="4568"/>
      <c r="H207" s="1057">
        <v>423114876</v>
      </c>
      <c r="I207" s="1054"/>
      <c r="J207" s="1065"/>
    </row>
    <row r="208" spans="1:10" s="738" customFormat="1" x14ac:dyDescent="0.25">
      <c r="A208" s="1074"/>
      <c r="B208" s="1058" t="s">
        <v>1815</v>
      </c>
      <c r="C208" s="1056" t="s">
        <v>2056</v>
      </c>
      <c r="D208" s="1056" t="s">
        <v>1970</v>
      </c>
      <c r="E208" s="1056" t="s">
        <v>1971</v>
      </c>
      <c r="F208" s="1056" t="s">
        <v>1923</v>
      </c>
      <c r="G208" s="1056" t="s">
        <v>2007</v>
      </c>
      <c r="H208" s="1057">
        <v>262514876</v>
      </c>
      <c r="I208" s="1054"/>
      <c r="J208" s="1065"/>
    </row>
    <row r="209" spans="1:10" s="738" customFormat="1" x14ac:dyDescent="0.25">
      <c r="A209" s="1074"/>
      <c r="B209" s="1058" t="s">
        <v>1815</v>
      </c>
      <c r="C209" s="1056" t="s">
        <v>2056</v>
      </c>
      <c r="D209" s="1056" t="s">
        <v>1970</v>
      </c>
      <c r="E209" s="1056" t="s">
        <v>1971</v>
      </c>
      <c r="F209" s="1056" t="s">
        <v>1912</v>
      </c>
      <c r="G209" s="1056" t="s">
        <v>1916</v>
      </c>
      <c r="H209" s="1057">
        <v>134600000</v>
      </c>
      <c r="I209" s="1054"/>
      <c r="J209" s="1065"/>
    </row>
    <row r="210" spans="1:10" s="738" customFormat="1" x14ac:dyDescent="0.25">
      <c r="A210" s="1074"/>
      <c r="B210" s="1058" t="s">
        <v>1815</v>
      </c>
      <c r="C210" s="1056" t="s">
        <v>2056</v>
      </c>
      <c r="D210" s="1056" t="s">
        <v>1919</v>
      </c>
      <c r="E210" s="1056" t="s">
        <v>1920</v>
      </c>
      <c r="F210" s="1056" t="s">
        <v>1912</v>
      </c>
      <c r="G210" s="1056" t="s">
        <v>1916</v>
      </c>
      <c r="H210" s="1057">
        <v>26000000</v>
      </c>
      <c r="I210" s="1054"/>
      <c r="J210" s="1065"/>
    </row>
    <row r="211" spans="1:10" s="738" customFormat="1" x14ac:dyDescent="0.25">
      <c r="A211" s="1074"/>
      <c r="B211" s="4573" t="s">
        <v>2153</v>
      </c>
      <c r="C211" s="4573"/>
      <c r="D211" s="4573"/>
      <c r="E211" s="4573"/>
      <c r="F211" s="4573"/>
      <c r="G211" s="4573"/>
      <c r="H211" s="1055">
        <v>73195762058</v>
      </c>
      <c r="I211" s="1054"/>
      <c r="J211" s="693">
        <v>73195.762058000008</v>
      </c>
    </row>
    <row r="212" spans="1:10" s="738" customFormat="1" ht="78" customHeight="1" x14ac:dyDescent="0.25">
      <c r="A212" s="1074"/>
      <c r="B212" s="1056" t="s">
        <v>2154</v>
      </c>
      <c r="C212" s="4568" t="s">
        <v>1580</v>
      </c>
      <c r="D212" s="4568"/>
      <c r="E212" s="4568"/>
      <c r="F212" s="4568"/>
      <c r="G212" s="4568"/>
      <c r="H212" s="1057">
        <v>200000000</v>
      </c>
      <c r="I212" s="1054"/>
      <c r="J212" s="1065"/>
    </row>
    <row r="213" spans="1:10" s="738" customFormat="1" x14ac:dyDescent="0.25">
      <c r="A213" s="1074"/>
      <c r="B213" s="1058" t="s">
        <v>1815</v>
      </c>
      <c r="C213" s="1056" t="s">
        <v>2056</v>
      </c>
      <c r="D213" s="1056" t="s">
        <v>1972</v>
      </c>
      <c r="E213" s="1056" t="s">
        <v>2235</v>
      </c>
      <c r="F213" s="1056" t="s">
        <v>1923</v>
      </c>
      <c r="G213" s="1056" t="s">
        <v>2007</v>
      </c>
      <c r="H213" s="1057">
        <v>200000000</v>
      </c>
      <c r="I213" s="1054"/>
      <c r="J213" s="1065"/>
    </row>
    <row r="214" spans="1:10" s="738" customFormat="1" ht="66.75" customHeight="1" x14ac:dyDescent="0.25">
      <c r="A214" s="1074"/>
      <c r="B214" s="1056" t="s">
        <v>2146</v>
      </c>
      <c r="C214" s="4568" t="s">
        <v>1580</v>
      </c>
      <c r="D214" s="4568"/>
      <c r="E214" s="4568"/>
      <c r="F214" s="4568"/>
      <c r="G214" s="4568"/>
      <c r="H214" s="1057">
        <v>6280951419</v>
      </c>
      <c r="I214" s="1054"/>
      <c r="J214" s="1065"/>
    </row>
    <row r="215" spans="1:10" s="738" customFormat="1" x14ac:dyDescent="0.25">
      <c r="A215" s="1074"/>
      <c r="B215" s="1058" t="s">
        <v>1815</v>
      </c>
      <c r="C215" s="1056" t="s">
        <v>1825</v>
      </c>
      <c r="D215" s="1056" t="s">
        <v>1919</v>
      </c>
      <c r="E215" s="1056" t="s">
        <v>1920</v>
      </c>
      <c r="F215" s="1056" t="s">
        <v>1874</v>
      </c>
      <c r="G215" s="1056" t="s">
        <v>1875</v>
      </c>
      <c r="H215" s="1057">
        <v>330000</v>
      </c>
      <c r="I215" s="1054"/>
      <c r="J215" s="1065"/>
    </row>
    <row r="216" spans="1:10" s="738" customFormat="1" x14ac:dyDescent="0.25">
      <c r="A216" s="1074"/>
      <c r="B216" s="1058" t="s">
        <v>1815</v>
      </c>
      <c r="C216" s="1056" t="s">
        <v>1825</v>
      </c>
      <c r="D216" s="1056" t="s">
        <v>1919</v>
      </c>
      <c r="E216" s="1056" t="s">
        <v>1920</v>
      </c>
      <c r="F216" s="1056" t="s">
        <v>1885</v>
      </c>
      <c r="G216" s="1056" t="s">
        <v>1925</v>
      </c>
      <c r="H216" s="1057">
        <v>1360000</v>
      </c>
      <c r="I216" s="1054"/>
      <c r="J216" s="1065"/>
    </row>
    <row r="217" spans="1:10" s="738" customFormat="1" x14ac:dyDescent="0.25">
      <c r="A217" s="1074"/>
      <c r="B217" s="1058" t="s">
        <v>1815</v>
      </c>
      <c r="C217" s="1056" t="s">
        <v>1825</v>
      </c>
      <c r="D217" s="1056" t="s">
        <v>1919</v>
      </c>
      <c r="E217" s="1056" t="s">
        <v>1920</v>
      </c>
      <c r="F217" s="1056" t="s">
        <v>1885</v>
      </c>
      <c r="G217" s="1056" t="s">
        <v>1888</v>
      </c>
      <c r="H217" s="1057">
        <v>1540000</v>
      </c>
      <c r="I217" s="1054"/>
      <c r="J217" s="1065"/>
    </row>
    <row r="218" spans="1:10" s="738" customFormat="1" x14ac:dyDescent="0.25">
      <c r="A218" s="1074"/>
      <c r="B218" s="1058" t="s">
        <v>1815</v>
      </c>
      <c r="C218" s="1056" t="s">
        <v>1825</v>
      </c>
      <c r="D218" s="1056" t="s">
        <v>1919</v>
      </c>
      <c r="E218" s="1056" t="s">
        <v>1920</v>
      </c>
      <c r="F218" s="1056" t="s">
        <v>1885</v>
      </c>
      <c r="G218" s="1056" t="s">
        <v>1887</v>
      </c>
      <c r="H218" s="1057">
        <v>7700000</v>
      </c>
      <c r="I218" s="1054"/>
      <c r="J218" s="1065"/>
    </row>
    <row r="219" spans="1:10" s="738" customFormat="1" x14ac:dyDescent="0.25">
      <c r="A219" s="1074"/>
      <c r="B219" s="1058" t="s">
        <v>1815</v>
      </c>
      <c r="C219" s="1056" t="s">
        <v>1825</v>
      </c>
      <c r="D219" s="1056" t="s">
        <v>1919</v>
      </c>
      <c r="E219" s="1056" t="s">
        <v>1920</v>
      </c>
      <c r="F219" s="1056" t="s">
        <v>1885</v>
      </c>
      <c r="G219" s="1056" t="s">
        <v>1886</v>
      </c>
      <c r="H219" s="1057">
        <v>2400000</v>
      </c>
      <c r="I219" s="1054"/>
      <c r="J219" s="1065"/>
    </row>
    <row r="220" spans="1:10" s="738" customFormat="1" x14ac:dyDescent="0.25">
      <c r="A220" s="1074"/>
      <c r="B220" s="1058" t="s">
        <v>1815</v>
      </c>
      <c r="C220" s="1056" t="s">
        <v>1825</v>
      </c>
      <c r="D220" s="1056" t="s">
        <v>1919</v>
      </c>
      <c r="E220" s="1056" t="s">
        <v>1920</v>
      </c>
      <c r="F220" s="1056" t="s">
        <v>1912</v>
      </c>
      <c r="G220" s="1056" t="s">
        <v>1916</v>
      </c>
      <c r="H220" s="1057">
        <v>678269720</v>
      </c>
      <c r="I220" s="1054"/>
      <c r="J220" s="1065"/>
    </row>
    <row r="221" spans="1:10" s="738" customFormat="1" x14ac:dyDescent="0.25">
      <c r="A221" s="1074"/>
      <c r="B221" s="1058" t="s">
        <v>1815</v>
      </c>
      <c r="C221" s="1056" t="s">
        <v>1171</v>
      </c>
      <c r="D221" s="1056" t="s">
        <v>1919</v>
      </c>
      <c r="E221" s="1056" t="s">
        <v>1920</v>
      </c>
      <c r="F221" s="1056" t="s">
        <v>1923</v>
      </c>
      <c r="G221" s="1056" t="s">
        <v>2063</v>
      </c>
      <c r="H221" s="1057">
        <v>1642187000</v>
      </c>
      <c r="I221" s="1054"/>
      <c r="J221" s="1065"/>
    </row>
    <row r="222" spans="1:10" s="738" customFormat="1" x14ac:dyDescent="0.25">
      <c r="A222" s="1074"/>
      <c r="B222" s="1058" t="s">
        <v>1815</v>
      </c>
      <c r="C222" s="1056" t="s">
        <v>1171</v>
      </c>
      <c r="D222" s="1056" t="s">
        <v>2000</v>
      </c>
      <c r="E222" s="1056" t="s">
        <v>2001</v>
      </c>
      <c r="F222" s="1056" t="s">
        <v>1906</v>
      </c>
      <c r="G222" s="1056" t="s">
        <v>1978</v>
      </c>
      <c r="H222" s="1057">
        <v>0</v>
      </c>
      <c r="I222" s="1054"/>
      <c r="J222" s="1065"/>
    </row>
    <row r="223" spans="1:10" s="738" customFormat="1" x14ac:dyDescent="0.25">
      <c r="A223" s="1074"/>
      <c r="B223" s="1058" t="s">
        <v>1815</v>
      </c>
      <c r="C223" s="1056" t="s">
        <v>1171</v>
      </c>
      <c r="D223" s="1056" t="s">
        <v>2000</v>
      </c>
      <c r="E223" s="1056" t="s">
        <v>2001</v>
      </c>
      <c r="F223" s="1056" t="s">
        <v>1923</v>
      </c>
      <c r="G223" s="1056" t="s">
        <v>2063</v>
      </c>
      <c r="H223" s="1057">
        <v>0</v>
      </c>
      <c r="I223" s="1054"/>
      <c r="J223" s="1065"/>
    </row>
    <row r="224" spans="1:10" s="738" customFormat="1" x14ac:dyDescent="0.25">
      <c r="A224" s="1074"/>
      <c r="B224" s="1058" t="s">
        <v>1815</v>
      </c>
      <c r="C224" s="1056" t="s">
        <v>2056</v>
      </c>
      <c r="D224" s="1056" t="s">
        <v>1919</v>
      </c>
      <c r="E224" s="1056" t="s">
        <v>1920</v>
      </c>
      <c r="F224" s="1056" t="s">
        <v>1851</v>
      </c>
      <c r="G224" s="1056" t="s">
        <v>2065</v>
      </c>
      <c r="H224" s="1057">
        <v>8195000</v>
      </c>
      <c r="I224" s="1054"/>
      <c r="J224" s="1065"/>
    </row>
    <row r="225" spans="1:10" s="738" customFormat="1" x14ac:dyDescent="0.25">
      <c r="A225" s="1074"/>
      <c r="B225" s="1058" t="s">
        <v>1815</v>
      </c>
      <c r="C225" s="1056" t="s">
        <v>2056</v>
      </c>
      <c r="D225" s="1056" t="s">
        <v>1919</v>
      </c>
      <c r="E225" s="1056" t="s">
        <v>1920</v>
      </c>
      <c r="F225" s="1056" t="s">
        <v>1874</v>
      </c>
      <c r="G225" s="1056" t="s">
        <v>1876</v>
      </c>
      <c r="H225" s="1057">
        <v>600000</v>
      </c>
      <c r="I225" s="1054"/>
      <c r="J225" s="1065"/>
    </row>
    <row r="226" spans="1:10" s="738" customFormat="1" x14ac:dyDescent="0.25">
      <c r="A226" s="1074"/>
      <c r="B226" s="1058" t="s">
        <v>1815</v>
      </c>
      <c r="C226" s="1056" t="s">
        <v>2056</v>
      </c>
      <c r="D226" s="1056" t="s">
        <v>1919</v>
      </c>
      <c r="E226" s="1056" t="s">
        <v>1920</v>
      </c>
      <c r="F226" s="1056" t="s">
        <v>1874</v>
      </c>
      <c r="G226" s="1056" t="s">
        <v>1875</v>
      </c>
      <c r="H226" s="1057">
        <v>7348000</v>
      </c>
      <c r="I226" s="1054"/>
      <c r="J226" s="1065"/>
    </row>
    <row r="227" spans="1:10" s="738" customFormat="1" x14ac:dyDescent="0.25">
      <c r="A227" s="1074"/>
      <c r="B227" s="1058" t="s">
        <v>1815</v>
      </c>
      <c r="C227" s="1056" t="s">
        <v>2056</v>
      </c>
      <c r="D227" s="1056" t="s">
        <v>1919</v>
      </c>
      <c r="E227" s="1056" t="s">
        <v>1920</v>
      </c>
      <c r="F227" s="1056" t="s">
        <v>1885</v>
      </c>
      <c r="G227" s="1056" t="s">
        <v>1886</v>
      </c>
      <c r="H227" s="1057">
        <v>28400000</v>
      </c>
      <c r="I227" s="1054"/>
      <c r="J227" s="1065"/>
    </row>
    <row r="228" spans="1:10" s="738" customFormat="1" x14ac:dyDescent="0.25">
      <c r="A228" s="1074"/>
      <c r="B228" s="1058" t="s">
        <v>1815</v>
      </c>
      <c r="C228" s="1056" t="s">
        <v>2056</v>
      </c>
      <c r="D228" s="1056" t="s">
        <v>1919</v>
      </c>
      <c r="E228" s="1056" t="s">
        <v>1920</v>
      </c>
      <c r="F228" s="1056" t="s">
        <v>1885</v>
      </c>
      <c r="G228" s="1056" t="s">
        <v>1887</v>
      </c>
      <c r="H228" s="1057">
        <v>82600000</v>
      </c>
      <c r="I228" s="1054"/>
      <c r="J228" s="1065"/>
    </row>
    <row r="229" spans="1:10" s="738" customFormat="1" x14ac:dyDescent="0.25">
      <c r="A229" s="1074"/>
      <c r="B229" s="1058" t="s">
        <v>1815</v>
      </c>
      <c r="C229" s="1056" t="s">
        <v>2056</v>
      </c>
      <c r="D229" s="1056" t="s">
        <v>1919</v>
      </c>
      <c r="E229" s="1056" t="s">
        <v>1920</v>
      </c>
      <c r="F229" s="1056" t="s">
        <v>1885</v>
      </c>
      <c r="G229" s="1056" t="s">
        <v>1925</v>
      </c>
      <c r="H229" s="1057">
        <v>5895000</v>
      </c>
      <c r="I229" s="1054"/>
      <c r="J229" s="1065"/>
    </row>
    <row r="230" spans="1:10" s="738" customFormat="1" x14ac:dyDescent="0.25">
      <c r="A230" s="1074"/>
      <c r="B230" s="1058" t="s">
        <v>1815</v>
      </c>
      <c r="C230" s="1056" t="s">
        <v>2056</v>
      </c>
      <c r="D230" s="1056" t="s">
        <v>1919</v>
      </c>
      <c r="E230" s="1056" t="s">
        <v>1920</v>
      </c>
      <c r="F230" s="1056" t="s">
        <v>1885</v>
      </c>
      <c r="G230" s="1056" t="s">
        <v>1888</v>
      </c>
      <c r="H230" s="1057">
        <v>19853500</v>
      </c>
      <c r="I230" s="1054"/>
      <c r="J230" s="1065"/>
    </row>
    <row r="231" spans="1:10" s="738" customFormat="1" x14ac:dyDescent="0.25">
      <c r="A231" s="1074"/>
      <c r="B231" s="1058" t="s">
        <v>1815</v>
      </c>
      <c r="C231" s="1056" t="s">
        <v>2056</v>
      </c>
      <c r="D231" s="1056" t="s">
        <v>1919</v>
      </c>
      <c r="E231" s="1056" t="s">
        <v>1920</v>
      </c>
      <c r="F231" s="1056" t="s">
        <v>1893</v>
      </c>
      <c r="G231" s="1056" t="s">
        <v>2051</v>
      </c>
      <c r="H231" s="1057">
        <v>2458500</v>
      </c>
      <c r="I231" s="1054"/>
      <c r="J231" s="1065"/>
    </row>
    <row r="232" spans="1:10" s="738" customFormat="1" x14ac:dyDescent="0.25">
      <c r="A232" s="1074"/>
      <c r="B232" s="1058" t="s">
        <v>1815</v>
      </c>
      <c r="C232" s="1056" t="s">
        <v>2056</v>
      </c>
      <c r="D232" s="1056" t="s">
        <v>1919</v>
      </c>
      <c r="E232" s="1056" t="s">
        <v>1920</v>
      </c>
      <c r="F232" s="1056" t="s">
        <v>1906</v>
      </c>
      <c r="G232" s="1056" t="s">
        <v>1978</v>
      </c>
      <c r="H232" s="1057">
        <v>72500000</v>
      </c>
      <c r="I232" s="1054"/>
      <c r="J232" s="1065"/>
    </row>
    <row r="233" spans="1:10" s="738" customFormat="1" x14ac:dyDescent="0.25">
      <c r="A233" s="1074"/>
      <c r="B233" s="1058" t="s">
        <v>1815</v>
      </c>
      <c r="C233" s="1056" t="s">
        <v>2056</v>
      </c>
      <c r="D233" s="1056" t="s">
        <v>1919</v>
      </c>
      <c r="E233" s="1056" t="s">
        <v>1920</v>
      </c>
      <c r="F233" s="1056" t="s">
        <v>1923</v>
      </c>
      <c r="G233" s="1056" t="s">
        <v>2063</v>
      </c>
      <c r="H233" s="1057">
        <v>132417460</v>
      </c>
      <c r="I233" s="1054"/>
      <c r="J233" s="1065"/>
    </row>
    <row r="234" spans="1:10" s="738" customFormat="1" x14ac:dyDescent="0.25">
      <c r="A234" s="1074"/>
      <c r="B234" s="1058" t="s">
        <v>1815</v>
      </c>
      <c r="C234" s="1056" t="s">
        <v>2056</v>
      </c>
      <c r="D234" s="1056" t="s">
        <v>1919</v>
      </c>
      <c r="E234" s="1056" t="s">
        <v>1920</v>
      </c>
      <c r="F234" s="1056" t="s">
        <v>1923</v>
      </c>
      <c r="G234" s="1056" t="s">
        <v>2007</v>
      </c>
      <c r="H234" s="1057">
        <v>2825766376</v>
      </c>
      <c r="I234" s="1054"/>
      <c r="J234" s="1065"/>
    </row>
    <row r="235" spans="1:10" s="738" customFormat="1" x14ac:dyDescent="0.25">
      <c r="A235" s="1074"/>
      <c r="B235" s="1058" t="s">
        <v>1815</v>
      </c>
      <c r="C235" s="1056" t="s">
        <v>2056</v>
      </c>
      <c r="D235" s="1056" t="s">
        <v>1919</v>
      </c>
      <c r="E235" s="1056" t="s">
        <v>1920</v>
      </c>
      <c r="F235" s="1056" t="s">
        <v>1912</v>
      </c>
      <c r="G235" s="1056" t="s">
        <v>1916</v>
      </c>
      <c r="H235" s="1057">
        <v>761130863</v>
      </c>
      <c r="I235" s="1054"/>
      <c r="J235" s="1065"/>
    </row>
    <row r="236" spans="1:10" s="738" customFormat="1" x14ac:dyDescent="0.25">
      <c r="A236" s="1074"/>
      <c r="B236" s="1056" t="s">
        <v>2236</v>
      </c>
      <c r="C236" s="4568" t="s">
        <v>1580</v>
      </c>
      <c r="D236" s="4568"/>
      <c r="E236" s="4568"/>
      <c r="F236" s="4568"/>
      <c r="G236" s="4568"/>
      <c r="H236" s="1057">
        <v>7961149</v>
      </c>
      <c r="I236" s="1054"/>
      <c r="J236" s="1065"/>
    </row>
    <row r="237" spans="1:10" s="738" customFormat="1" x14ac:dyDescent="0.25">
      <c r="A237" s="1074"/>
      <c r="B237" s="1058" t="s">
        <v>1815</v>
      </c>
      <c r="C237" s="1056" t="s">
        <v>2056</v>
      </c>
      <c r="D237" s="1056" t="s">
        <v>1919</v>
      </c>
      <c r="E237" s="1056" t="s">
        <v>1920</v>
      </c>
      <c r="F237" s="1056" t="s">
        <v>1923</v>
      </c>
      <c r="G237" s="1056" t="s">
        <v>2007</v>
      </c>
      <c r="H237" s="1057">
        <v>7961149</v>
      </c>
      <c r="I237" s="1054"/>
      <c r="J237" s="1065"/>
    </row>
    <row r="238" spans="1:10" s="738" customFormat="1" ht="31.5" x14ac:dyDescent="0.25">
      <c r="A238" s="1074"/>
      <c r="B238" s="1056" t="s">
        <v>2237</v>
      </c>
      <c r="C238" s="4568" t="s">
        <v>1580</v>
      </c>
      <c r="D238" s="4568"/>
      <c r="E238" s="4568"/>
      <c r="F238" s="4568"/>
      <c r="G238" s="4568"/>
      <c r="H238" s="1057">
        <v>443908727</v>
      </c>
      <c r="I238" s="1054"/>
      <c r="J238" s="1065"/>
    </row>
    <row r="239" spans="1:10" s="738" customFormat="1" x14ac:dyDescent="0.25">
      <c r="A239" s="1074"/>
      <c r="B239" s="1058" t="s">
        <v>1815</v>
      </c>
      <c r="C239" s="1056" t="s">
        <v>2056</v>
      </c>
      <c r="D239" s="1056" t="s">
        <v>2038</v>
      </c>
      <c r="E239" s="1056" t="s">
        <v>2039</v>
      </c>
      <c r="F239" s="1056" t="s">
        <v>1874</v>
      </c>
      <c r="G239" s="1056" t="s">
        <v>1877</v>
      </c>
      <c r="H239" s="1057">
        <v>30000000</v>
      </c>
      <c r="I239" s="1054"/>
      <c r="J239" s="1065"/>
    </row>
    <row r="240" spans="1:10" s="738" customFormat="1" x14ac:dyDescent="0.25">
      <c r="A240" s="1074"/>
      <c r="B240" s="1058" t="s">
        <v>1815</v>
      </c>
      <c r="C240" s="1056" t="s">
        <v>2056</v>
      </c>
      <c r="D240" s="1056" t="s">
        <v>2038</v>
      </c>
      <c r="E240" s="1056" t="s">
        <v>2039</v>
      </c>
      <c r="F240" s="1056" t="s">
        <v>1874</v>
      </c>
      <c r="G240" s="1056" t="s">
        <v>1876</v>
      </c>
      <c r="H240" s="1057">
        <v>267674727</v>
      </c>
      <c r="I240" s="1054"/>
      <c r="J240" s="1065"/>
    </row>
    <row r="241" spans="1:10" s="738" customFormat="1" x14ac:dyDescent="0.25">
      <c r="A241" s="1074"/>
      <c r="B241" s="1058" t="s">
        <v>1815</v>
      </c>
      <c r="C241" s="1056" t="s">
        <v>2056</v>
      </c>
      <c r="D241" s="1056" t="s">
        <v>2038</v>
      </c>
      <c r="E241" s="1056" t="s">
        <v>2039</v>
      </c>
      <c r="F241" s="1056" t="s">
        <v>1878</v>
      </c>
      <c r="G241" s="1056" t="s">
        <v>1882</v>
      </c>
      <c r="H241" s="1057">
        <v>23000000</v>
      </c>
      <c r="I241" s="1054"/>
      <c r="J241" s="1065"/>
    </row>
    <row r="242" spans="1:10" s="738" customFormat="1" x14ac:dyDescent="0.25">
      <c r="A242" s="1074"/>
      <c r="B242" s="1058" t="s">
        <v>1815</v>
      </c>
      <c r="C242" s="1056" t="s">
        <v>2056</v>
      </c>
      <c r="D242" s="1056" t="s">
        <v>2038</v>
      </c>
      <c r="E242" s="1056" t="s">
        <v>2039</v>
      </c>
      <c r="F242" s="1056" t="s">
        <v>1903</v>
      </c>
      <c r="G242" s="1056" t="s">
        <v>1905</v>
      </c>
      <c r="H242" s="1057">
        <v>33300000</v>
      </c>
      <c r="I242" s="1054"/>
      <c r="J242" s="1065"/>
    </row>
    <row r="243" spans="1:10" s="738" customFormat="1" x14ac:dyDescent="0.25">
      <c r="A243" s="1074"/>
      <c r="B243" s="1058" t="s">
        <v>1815</v>
      </c>
      <c r="C243" s="1056" t="s">
        <v>2056</v>
      </c>
      <c r="D243" s="1056" t="s">
        <v>2038</v>
      </c>
      <c r="E243" s="1056" t="s">
        <v>2039</v>
      </c>
      <c r="F243" s="1056" t="s">
        <v>1923</v>
      </c>
      <c r="G243" s="1056" t="s">
        <v>2007</v>
      </c>
      <c r="H243" s="1057">
        <v>30000000</v>
      </c>
      <c r="I243" s="1054"/>
      <c r="J243" s="1065"/>
    </row>
    <row r="244" spans="1:10" s="738" customFormat="1" x14ac:dyDescent="0.25">
      <c r="A244" s="1074"/>
      <c r="B244" s="1058" t="s">
        <v>1815</v>
      </c>
      <c r="C244" s="1056" t="s">
        <v>2056</v>
      </c>
      <c r="D244" s="1056" t="s">
        <v>2038</v>
      </c>
      <c r="E244" s="1056" t="s">
        <v>2039</v>
      </c>
      <c r="F244" s="1056" t="s">
        <v>1912</v>
      </c>
      <c r="G244" s="1056" t="s">
        <v>1916</v>
      </c>
      <c r="H244" s="1057">
        <v>59934000</v>
      </c>
      <c r="I244" s="1054"/>
      <c r="J244" s="1065"/>
    </row>
    <row r="245" spans="1:10" s="738" customFormat="1" ht="59.25" customHeight="1" x14ac:dyDescent="0.25">
      <c r="A245" s="1074"/>
      <c r="B245" s="1056" t="s">
        <v>2149</v>
      </c>
      <c r="C245" s="4568" t="s">
        <v>1580</v>
      </c>
      <c r="D245" s="4568"/>
      <c r="E245" s="4568"/>
      <c r="F245" s="4568"/>
      <c r="G245" s="4568"/>
      <c r="H245" s="1057">
        <v>403518214</v>
      </c>
      <c r="I245" s="1054"/>
      <c r="J245" s="1065"/>
    </row>
    <row r="246" spans="1:10" s="738" customFormat="1" x14ac:dyDescent="0.25">
      <c r="A246" s="1074"/>
      <c r="B246" s="1058" t="s">
        <v>1815</v>
      </c>
      <c r="C246" s="1056" t="s">
        <v>1825</v>
      </c>
      <c r="D246" s="1056" t="s">
        <v>1846</v>
      </c>
      <c r="E246" s="1056" t="s">
        <v>1847</v>
      </c>
      <c r="F246" s="1056" t="s">
        <v>1853</v>
      </c>
      <c r="G246" s="1056" t="s">
        <v>1856</v>
      </c>
      <c r="H246" s="1057">
        <v>24338814</v>
      </c>
      <c r="I246" s="1054"/>
      <c r="J246" s="1065"/>
    </row>
    <row r="247" spans="1:10" s="738" customFormat="1" x14ac:dyDescent="0.25">
      <c r="A247" s="1074"/>
      <c r="B247" s="1058" t="s">
        <v>1815</v>
      </c>
      <c r="C247" s="1056" t="s">
        <v>1825</v>
      </c>
      <c r="D247" s="1056" t="s">
        <v>1846</v>
      </c>
      <c r="E247" s="1056" t="s">
        <v>1847</v>
      </c>
      <c r="F247" s="1056" t="s">
        <v>1869</v>
      </c>
      <c r="G247" s="1056" t="s">
        <v>1872</v>
      </c>
      <c r="H247" s="1057">
        <v>0</v>
      </c>
      <c r="I247" s="1054"/>
      <c r="J247" s="1065"/>
    </row>
    <row r="248" spans="1:10" s="738" customFormat="1" x14ac:dyDescent="0.25">
      <c r="A248" s="1074"/>
      <c r="B248" s="1058" t="s">
        <v>1815</v>
      </c>
      <c r="C248" s="1056" t="s">
        <v>1825</v>
      </c>
      <c r="D248" s="1056" t="s">
        <v>1846</v>
      </c>
      <c r="E248" s="1056" t="s">
        <v>1847</v>
      </c>
      <c r="F248" s="1056" t="s">
        <v>1874</v>
      </c>
      <c r="G248" s="1056" t="s">
        <v>1875</v>
      </c>
      <c r="H248" s="1057">
        <v>3221000</v>
      </c>
      <c r="I248" s="1054"/>
      <c r="J248" s="1065"/>
    </row>
    <row r="249" spans="1:10" s="738" customFormat="1" x14ac:dyDescent="0.25">
      <c r="A249" s="1074"/>
      <c r="B249" s="1058" t="s">
        <v>1815</v>
      </c>
      <c r="C249" s="1056" t="s">
        <v>1825</v>
      </c>
      <c r="D249" s="1056" t="s">
        <v>1846</v>
      </c>
      <c r="E249" s="1056" t="s">
        <v>1847</v>
      </c>
      <c r="F249" s="1056" t="s">
        <v>1874</v>
      </c>
      <c r="G249" s="1056" t="s">
        <v>1876</v>
      </c>
      <c r="H249" s="1057">
        <v>5600000</v>
      </c>
      <c r="I249" s="1054"/>
      <c r="J249" s="1065"/>
    </row>
    <row r="250" spans="1:10" s="738" customFormat="1" x14ac:dyDescent="0.25">
      <c r="A250" s="1074"/>
      <c r="B250" s="1058" t="s">
        <v>1815</v>
      </c>
      <c r="C250" s="1056" t="s">
        <v>1825</v>
      </c>
      <c r="D250" s="1056" t="s">
        <v>1846</v>
      </c>
      <c r="E250" s="1056" t="s">
        <v>1847</v>
      </c>
      <c r="F250" s="1056" t="s">
        <v>1878</v>
      </c>
      <c r="G250" s="1056" t="s">
        <v>1880</v>
      </c>
      <c r="H250" s="1057">
        <v>2000000</v>
      </c>
      <c r="I250" s="1054"/>
      <c r="J250" s="1065"/>
    </row>
    <row r="251" spans="1:10" s="738" customFormat="1" x14ac:dyDescent="0.25">
      <c r="A251" s="1074"/>
      <c r="B251" s="1058" t="s">
        <v>1815</v>
      </c>
      <c r="C251" s="1056" t="s">
        <v>1825</v>
      </c>
      <c r="D251" s="1056" t="s">
        <v>1846</v>
      </c>
      <c r="E251" s="1056" t="s">
        <v>1847</v>
      </c>
      <c r="F251" s="1056" t="s">
        <v>1885</v>
      </c>
      <c r="G251" s="1056" t="s">
        <v>1887</v>
      </c>
      <c r="H251" s="1057">
        <v>5330000</v>
      </c>
      <c r="I251" s="1054"/>
      <c r="J251" s="1065"/>
    </row>
    <row r="252" spans="1:10" s="738" customFormat="1" x14ac:dyDescent="0.25">
      <c r="A252" s="1074"/>
      <c r="B252" s="1058" t="s">
        <v>1815</v>
      </c>
      <c r="C252" s="1056" t="s">
        <v>1825</v>
      </c>
      <c r="D252" s="1056" t="s">
        <v>1846</v>
      </c>
      <c r="E252" s="1056" t="s">
        <v>1847</v>
      </c>
      <c r="F252" s="1056" t="s">
        <v>1885</v>
      </c>
      <c r="G252" s="1056" t="s">
        <v>1888</v>
      </c>
      <c r="H252" s="1057">
        <v>3840000</v>
      </c>
      <c r="I252" s="1054"/>
      <c r="J252" s="1065"/>
    </row>
    <row r="253" spans="1:10" s="738" customFormat="1" x14ac:dyDescent="0.25">
      <c r="A253" s="1074"/>
      <c r="B253" s="1058" t="s">
        <v>1815</v>
      </c>
      <c r="C253" s="1056" t="s">
        <v>1825</v>
      </c>
      <c r="D253" s="1056" t="s">
        <v>1846</v>
      </c>
      <c r="E253" s="1056" t="s">
        <v>1847</v>
      </c>
      <c r="F253" s="1056" t="s">
        <v>1889</v>
      </c>
      <c r="G253" s="1056" t="s">
        <v>1891</v>
      </c>
      <c r="H253" s="1057">
        <v>28900000</v>
      </c>
      <c r="I253" s="1054"/>
      <c r="J253" s="1065"/>
    </row>
    <row r="254" spans="1:10" s="738" customFormat="1" x14ac:dyDescent="0.25">
      <c r="A254" s="1074"/>
      <c r="B254" s="1058" t="s">
        <v>1815</v>
      </c>
      <c r="C254" s="1056" t="s">
        <v>1825</v>
      </c>
      <c r="D254" s="1056" t="s">
        <v>1846</v>
      </c>
      <c r="E254" s="1056" t="s">
        <v>1847</v>
      </c>
      <c r="F254" s="1056" t="s">
        <v>1889</v>
      </c>
      <c r="G254" s="1056" t="s">
        <v>1922</v>
      </c>
      <c r="H254" s="1057">
        <v>4393400</v>
      </c>
      <c r="I254" s="1054"/>
      <c r="J254" s="1065"/>
    </row>
    <row r="255" spans="1:10" s="738" customFormat="1" x14ac:dyDescent="0.25">
      <c r="A255" s="1074"/>
      <c r="B255" s="1058" t="s">
        <v>1815</v>
      </c>
      <c r="C255" s="1056" t="s">
        <v>1825</v>
      </c>
      <c r="D255" s="1056" t="s">
        <v>1846</v>
      </c>
      <c r="E255" s="1056" t="s">
        <v>1847</v>
      </c>
      <c r="F255" s="1056" t="s">
        <v>1889</v>
      </c>
      <c r="G255" s="1056" t="s">
        <v>1890</v>
      </c>
      <c r="H255" s="1057">
        <v>62400000</v>
      </c>
      <c r="I255" s="1054"/>
      <c r="J255" s="1065"/>
    </row>
    <row r="256" spans="1:10" s="738" customFormat="1" x14ac:dyDescent="0.25">
      <c r="A256" s="1074"/>
      <c r="B256" s="1058" t="s">
        <v>1815</v>
      </c>
      <c r="C256" s="1056" t="s">
        <v>1825</v>
      </c>
      <c r="D256" s="1056" t="s">
        <v>1846</v>
      </c>
      <c r="E256" s="1056" t="s">
        <v>1847</v>
      </c>
      <c r="F256" s="1056" t="s">
        <v>1893</v>
      </c>
      <c r="G256" s="1056" t="s">
        <v>1894</v>
      </c>
      <c r="H256" s="1057">
        <v>38800000</v>
      </c>
      <c r="I256" s="1054"/>
      <c r="J256" s="1065"/>
    </row>
    <row r="257" spans="1:10" s="738" customFormat="1" x14ac:dyDescent="0.25">
      <c r="A257" s="1074"/>
      <c r="B257" s="1058" t="s">
        <v>1815</v>
      </c>
      <c r="C257" s="1056" t="s">
        <v>1825</v>
      </c>
      <c r="D257" s="1056" t="s">
        <v>1846</v>
      </c>
      <c r="E257" s="1056" t="s">
        <v>1847</v>
      </c>
      <c r="F257" s="1056" t="s">
        <v>1893</v>
      </c>
      <c r="G257" s="1056" t="s">
        <v>1895</v>
      </c>
      <c r="H257" s="1057">
        <v>0</v>
      </c>
      <c r="I257" s="1054"/>
      <c r="J257" s="1065"/>
    </row>
    <row r="258" spans="1:10" s="738" customFormat="1" x14ac:dyDescent="0.25">
      <c r="A258" s="1074"/>
      <c r="B258" s="1058" t="s">
        <v>1815</v>
      </c>
      <c r="C258" s="1056" t="s">
        <v>1825</v>
      </c>
      <c r="D258" s="1056" t="s">
        <v>1846</v>
      </c>
      <c r="E258" s="1056" t="s">
        <v>1847</v>
      </c>
      <c r="F258" s="1056" t="s">
        <v>1896</v>
      </c>
      <c r="G258" s="1056" t="s">
        <v>1900</v>
      </c>
      <c r="H258" s="1057">
        <v>1850000</v>
      </c>
      <c r="I258" s="1054"/>
      <c r="J258" s="1065"/>
    </row>
    <row r="259" spans="1:10" s="738" customFormat="1" x14ac:dyDescent="0.25">
      <c r="A259" s="1074"/>
      <c r="B259" s="1058" t="s">
        <v>1815</v>
      </c>
      <c r="C259" s="1056" t="s">
        <v>1825</v>
      </c>
      <c r="D259" s="1056" t="s">
        <v>1846</v>
      </c>
      <c r="E259" s="1056" t="s">
        <v>1847</v>
      </c>
      <c r="F259" s="1056" t="s">
        <v>1912</v>
      </c>
      <c r="G259" s="1056" t="s">
        <v>1916</v>
      </c>
      <c r="H259" s="1057">
        <v>83360000</v>
      </c>
      <c r="I259" s="1054"/>
      <c r="J259" s="1065"/>
    </row>
    <row r="260" spans="1:10" s="738" customFormat="1" x14ac:dyDescent="0.25">
      <c r="A260" s="1074"/>
      <c r="B260" s="1058" t="s">
        <v>1815</v>
      </c>
      <c r="C260" s="1056" t="s">
        <v>1825</v>
      </c>
      <c r="D260" s="1056" t="s">
        <v>1846</v>
      </c>
      <c r="E260" s="1056" t="s">
        <v>1847</v>
      </c>
      <c r="F260" s="1056" t="s">
        <v>1912</v>
      </c>
      <c r="G260" s="1056" t="s">
        <v>1915</v>
      </c>
      <c r="H260" s="1057">
        <v>11615000</v>
      </c>
      <c r="I260" s="1054"/>
      <c r="J260" s="1065"/>
    </row>
    <row r="261" spans="1:10" s="738" customFormat="1" x14ac:dyDescent="0.25">
      <c r="A261" s="1074"/>
      <c r="B261" s="1058" t="s">
        <v>1815</v>
      </c>
      <c r="C261" s="1056" t="s">
        <v>1154</v>
      </c>
      <c r="D261" s="1056" t="s">
        <v>1846</v>
      </c>
      <c r="E261" s="1056" t="s">
        <v>1847</v>
      </c>
      <c r="F261" s="1056" t="s">
        <v>1889</v>
      </c>
      <c r="G261" s="1056" t="s">
        <v>1890</v>
      </c>
      <c r="H261" s="1057">
        <v>2000000</v>
      </c>
      <c r="I261" s="1054"/>
      <c r="J261" s="1065"/>
    </row>
    <row r="262" spans="1:10" s="738" customFormat="1" x14ac:dyDescent="0.25">
      <c r="A262" s="1074"/>
      <c r="B262" s="1058" t="s">
        <v>1815</v>
      </c>
      <c r="C262" s="1056" t="s">
        <v>1154</v>
      </c>
      <c r="D262" s="1056" t="s">
        <v>1846</v>
      </c>
      <c r="E262" s="1056" t="s">
        <v>1847</v>
      </c>
      <c r="F262" s="1056" t="s">
        <v>1893</v>
      </c>
      <c r="G262" s="1056" t="s">
        <v>1894</v>
      </c>
      <c r="H262" s="1057">
        <v>6000000</v>
      </c>
      <c r="I262" s="1054"/>
      <c r="J262" s="1065"/>
    </row>
    <row r="263" spans="1:10" s="738" customFormat="1" x14ac:dyDescent="0.25">
      <c r="A263" s="1074"/>
      <c r="B263" s="1058" t="s">
        <v>1815</v>
      </c>
      <c r="C263" s="1056" t="s">
        <v>2056</v>
      </c>
      <c r="D263" s="1056" t="s">
        <v>2038</v>
      </c>
      <c r="E263" s="1056" t="s">
        <v>2039</v>
      </c>
      <c r="F263" s="1056" t="s">
        <v>1878</v>
      </c>
      <c r="G263" s="1056" t="s">
        <v>1882</v>
      </c>
      <c r="H263" s="1057">
        <v>56000000</v>
      </c>
      <c r="I263" s="1054"/>
      <c r="J263" s="1065"/>
    </row>
    <row r="264" spans="1:10" s="738" customFormat="1" x14ac:dyDescent="0.25">
      <c r="A264" s="1074"/>
      <c r="B264" s="1058" t="s">
        <v>1815</v>
      </c>
      <c r="C264" s="1056" t="s">
        <v>2056</v>
      </c>
      <c r="D264" s="1056" t="s">
        <v>2038</v>
      </c>
      <c r="E264" s="1056" t="s">
        <v>2039</v>
      </c>
      <c r="F264" s="1056" t="s">
        <v>1885</v>
      </c>
      <c r="G264" s="1056" t="s">
        <v>1887</v>
      </c>
      <c r="H264" s="1057">
        <v>18000000</v>
      </c>
      <c r="I264" s="1054"/>
      <c r="J264" s="1065"/>
    </row>
    <row r="265" spans="1:10" s="738" customFormat="1" x14ac:dyDescent="0.25">
      <c r="A265" s="1074"/>
      <c r="B265" s="1058" t="s">
        <v>1815</v>
      </c>
      <c r="C265" s="1056" t="s">
        <v>2056</v>
      </c>
      <c r="D265" s="1056" t="s">
        <v>2038</v>
      </c>
      <c r="E265" s="1056" t="s">
        <v>2039</v>
      </c>
      <c r="F265" s="1056" t="s">
        <v>1885</v>
      </c>
      <c r="G265" s="1056" t="s">
        <v>1888</v>
      </c>
      <c r="H265" s="1057">
        <v>3600000</v>
      </c>
      <c r="I265" s="1054"/>
      <c r="J265" s="1065"/>
    </row>
    <row r="266" spans="1:10" s="738" customFormat="1" x14ac:dyDescent="0.25">
      <c r="A266" s="1074"/>
      <c r="B266" s="1058" t="s">
        <v>1815</v>
      </c>
      <c r="C266" s="1056" t="s">
        <v>2056</v>
      </c>
      <c r="D266" s="1056" t="s">
        <v>2038</v>
      </c>
      <c r="E266" s="1056" t="s">
        <v>2039</v>
      </c>
      <c r="F266" s="1056" t="s">
        <v>1912</v>
      </c>
      <c r="G266" s="1056" t="s">
        <v>1916</v>
      </c>
      <c r="H266" s="1057">
        <v>18250000</v>
      </c>
      <c r="I266" s="1054"/>
      <c r="J266" s="1065"/>
    </row>
    <row r="267" spans="1:10" s="738" customFormat="1" x14ac:dyDescent="0.25">
      <c r="A267" s="1074"/>
      <c r="B267" s="1058" t="s">
        <v>1815</v>
      </c>
      <c r="C267" s="1056" t="s">
        <v>2056</v>
      </c>
      <c r="D267" s="1056" t="s">
        <v>1970</v>
      </c>
      <c r="E267" s="1056" t="s">
        <v>1971</v>
      </c>
      <c r="F267" s="1056" t="s">
        <v>1885</v>
      </c>
      <c r="G267" s="1056" t="s">
        <v>1887</v>
      </c>
      <c r="H267" s="1057">
        <v>7300000</v>
      </c>
      <c r="I267" s="1054"/>
      <c r="J267" s="1065"/>
    </row>
    <row r="268" spans="1:10" s="738" customFormat="1" x14ac:dyDescent="0.25">
      <c r="A268" s="1074"/>
      <c r="B268" s="1058" t="s">
        <v>1815</v>
      </c>
      <c r="C268" s="1056" t="s">
        <v>2056</v>
      </c>
      <c r="D268" s="1056" t="s">
        <v>1970</v>
      </c>
      <c r="E268" s="1056" t="s">
        <v>1971</v>
      </c>
      <c r="F268" s="1056" t="s">
        <v>1912</v>
      </c>
      <c r="G268" s="1056" t="s">
        <v>1916</v>
      </c>
      <c r="H268" s="1057">
        <v>2920000</v>
      </c>
      <c r="I268" s="1054"/>
      <c r="J268" s="1065"/>
    </row>
    <row r="269" spans="1:10" s="738" customFormat="1" x14ac:dyDescent="0.25">
      <c r="A269" s="1074"/>
      <c r="B269" s="1058" t="s">
        <v>1815</v>
      </c>
      <c r="C269" s="1056" t="s">
        <v>2056</v>
      </c>
      <c r="D269" s="1056" t="s">
        <v>1846</v>
      </c>
      <c r="E269" s="1056" t="s">
        <v>1847</v>
      </c>
      <c r="F269" s="1056" t="s">
        <v>1885</v>
      </c>
      <c r="G269" s="1056" t="s">
        <v>1888</v>
      </c>
      <c r="H269" s="1057">
        <v>2360000</v>
      </c>
      <c r="I269" s="1054"/>
      <c r="J269" s="1065"/>
    </row>
    <row r="270" spans="1:10" s="738" customFormat="1" x14ac:dyDescent="0.25">
      <c r="A270" s="1074"/>
      <c r="B270" s="1058" t="s">
        <v>1815</v>
      </c>
      <c r="C270" s="1056" t="s">
        <v>2056</v>
      </c>
      <c r="D270" s="1056" t="s">
        <v>1846</v>
      </c>
      <c r="E270" s="1056" t="s">
        <v>1847</v>
      </c>
      <c r="F270" s="1056" t="s">
        <v>1885</v>
      </c>
      <c r="G270" s="1056" t="s">
        <v>1887</v>
      </c>
      <c r="H270" s="1057">
        <v>9000000</v>
      </c>
      <c r="I270" s="1054"/>
      <c r="J270" s="1065"/>
    </row>
    <row r="271" spans="1:10" s="738" customFormat="1" x14ac:dyDescent="0.25">
      <c r="A271" s="1074"/>
      <c r="B271" s="1058" t="s">
        <v>1815</v>
      </c>
      <c r="C271" s="1056" t="s">
        <v>2056</v>
      </c>
      <c r="D271" s="1056" t="s">
        <v>1846</v>
      </c>
      <c r="E271" s="1056" t="s">
        <v>1847</v>
      </c>
      <c r="F271" s="1056" t="s">
        <v>1912</v>
      </c>
      <c r="G271" s="1056" t="s">
        <v>1916</v>
      </c>
      <c r="H271" s="1057">
        <v>2440000</v>
      </c>
      <c r="I271" s="1054"/>
      <c r="J271" s="1065"/>
    </row>
    <row r="272" spans="1:10" s="738" customFormat="1" x14ac:dyDescent="0.25">
      <c r="A272" s="1074"/>
      <c r="B272" s="1056" t="s">
        <v>2150</v>
      </c>
      <c r="C272" s="4568" t="s">
        <v>1580</v>
      </c>
      <c r="D272" s="4568"/>
      <c r="E272" s="4568"/>
      <c r="F272" s="4568"/>
      <c r="G272" s="4568"/>
      <c r="H272" s="1057">
        <v>115000000</v>
      </c>
      <c r="I272" s="1054"/>
      <c r="J272" s="1065"/>
    </row>
    <row r="273" spans="1:10" s="738" customFormat="1" x14ac:dyDescent="0.25">
      <c r="A273" s="1074"/>
      <c r="B273" s="1058" t="s">
        <v>1815</v>
      </c>
      <c r="C273" s="1056" t="s">
        <v>1153</v>
      </c>
      <c r="D273" s="1056" t="s">
        <v>1933</v>
      </c>
      <c r="E273" s="1056" t="s">
        <v>1952</v>
      </c>
      <c r="F273" s="1056" t="s">
        <v>1874</v>
      </c>
      <c r="G273" s="1056" t="s">
        <v>1875</v>
      </c>
      <c r="H273" s="1057">
        <v>5011000</v>
      </c>
      <c r="I273" s="1054"/>
      <c r="J273" s="1065"/>
    </row>
    <row r="274" spans="1:10" s="738" customFormat="1" x14ac:dyDescent="0.25">
      <c r="A274" s="1074"/>
      <c r="B274" s="1058" t="s">
        <v>1815</v>
      </c>
      <c r="C274" s="1056" t="s">
        <v>1153</v>
      </c>
      <c r="D274" s="1056" t="s">
        <v>1933</v>
      </c>
      <c r="E274" s="1056" t="s">
        <v>1952</v>
      </c>
      <c r="F274" s="1056" t="s">
        <v>1885</v>
      </c>
      <c r="G274" s="1056" t="s">
        <v>1888</v>
      </c>
      <c r="H274" s="1057">
        <v>12848000</v>
      </c>
      <c r="I274" s="1054"/>
      <c r="J274" s="1065"/>
    </row>
    <row r="275" spans="1:10" s="738" customFormat="1" x14ac:dyDescent="0.25">
      <c r="A275" s="1074"/>
      <c r="B275" s="1058" t="s">
        <v>1815</v>
      </c>
      <c r="C275" s="1056" t="s">
        <v>1153</v>
      </c>
      <c r="D275" s="1056" t="s">
        <v>1933</v>
      </c>
      <c r="E275" s="1056" t="s">
        <v>1952</v>
      </c>
      <c r="F275" s="1056" t="s">
        <v>1885</v>
      </c>
      <c r="G275" s="1056" t="s">
        <v>1927</v>
      </c>
      <c r="H275" s="1057">
        <v>300000</v>
      </c>
      <c r="I275" s="1054"/>
      <c r="J275" s="1065"/>
    </row>
    <row r="276" spans="1:10" s="738" customFormat="1" x14ac:dyDescent="0.25">
      <c r="A276" s="1074"/>
      <c r="B276" s="1058" t="s">
        <v>1815</v>
      </c>
      <c r="C276" s="1056" t="s">
        <v>1153</v>
      </c>
      <c r="D276" s="1056" t="s">
        <v>1933</v>
      </c>
      <c r="E276" s="1056" t="s">
        <v>1952</v>
      </c>
      <c r="F276" s="1056" t="s">
        <v>1885</v>
      </c>
      <c r="G276" s="1056" t="s">
        <v>1886</v>
      </c>
      <c r="H276" s="1057">
        <v>1200000</v>
      </c>
      <c r="I276" s="1054"/>
      <c r="J276" s="1065"/>
    </row>
    <row r="277" spans="1:10" s="738" customFormat="1" x14ac:dyDescent="0.25">
      <c r="A277" s="1074"/>
      <c r="B277" s="1058" t="s">
        <v>1815</v>
      </c>
      <c r="C277" s="1056" t="s">
        <v>1153</v>
      </c>
      <c r="D277" s="1056" t="s">
        <v>1933</v>
      </c>
      <c r="E277" s="1056" t="s">
        <v>1952</v>
      </c>
      <c r="F277" s="1056" t="s">
        <v>1889</v>
      </c>
      <c r="G277" s="1056" t="s">
        <v>1922</v>
      </c>
      <c r="H277" s="1057">
        <v>999000</v>
      </c>
      <c r="I277" s="1054"/>
      <c r="J277" s="1065"/>
    </row>
    <row r="278" spans="1:10" s="738" customFormat="1" x14ac:dyDescent="0.25">
      <c r="A278" s="1074"/>
      <c r="B278" s="1058" t="s">
        <v>1815</v>
      </c>
      <c r="C278" s="1056" t="s">
        <v>1153</v>
      </c>
      <c r="D278" s="1056" t="s">
        <v>1933</v>
      </c>
      <c r="E278" s="1056" t="s">
        <v>1952</v>
      </c>
      <c r="F278" s="1056" t="s">
        <v>1889</v>
      </c>
      <c r="G278" s="1056" t="s">
        <v>1890</v>
      </c>
      <c r="H278" s="1057">
        <v>800000</v>
      </c>
      <c r="I278" s="1054"/>
      <c r="J278" s="1065"/>
    </row>
    <row r="279" spans="1:10" s="738" customFormat="1" x14ac:dyDescent="0.25">
      <c r="A279" s="1074"/>
      <c r="B279" s="1058" t="s">
        <v>1815</v>
      </c>
      <c r="C279" s="1056" t="s">
        <v>1153</v>
      </c>
      <c r="D279" s="1056" t="s">
        <v>1933</v>
      </c>
      <c r="E279" s="1056" t="s">
        <v>1952</v>
      </c>
      <c r="F279" s="1056" t="s">
        <v>1906</v>
      </c>
      <c r="G279" s="1056" t="s">
        <v>1909</v>
      </c>
      <c r="H279" s="1057">
        <v>66030000</v>
      </c>
      <c r="I279" s="1054"/>
      <c r="J279" s="1065"/>
    </row>
    <row r="280" spans="1:10" s="738" customFormat="1" x14ac:dyDescent="0.25">
      <c r="A280" s="1074"/>
      <c r="B280" s="1058" t="s">
        <v>1815</v>
      </c>
      <c r="C280" s="1056" t="s">
        <v>1153</v>
      </c>
      <c r="D280" s="1056" t="s">
        <v>1933</v>
      </c>
      <c r="E280" s="1056" t="s">
        <v>1954</v>
      </c>
      <c r="F280" s="1056" t="s">
        <v>1874</v>
      </c>
      <c r="G280" s="1056" t="s">
        <v>1875</v>
      </c>
      <c r="H280" s="1057">
        <v>1400000</v>
      </c>
      <c r="I280" s="1054"/>
      <c r="J280" s="1065"/>
    </row>
    <row r="281" spans="1:10" s="738" customFormat="1" x14ac:dyDescent="0.25">
      <c r="A281" s="1074"/>
      <c r="B281" s="1058" t="s">
        <v>1815</v>
      </c>
      <c r="C281" s="1056" t="s">
        <v>1153</v>
      </c>
      <c r="D281" s="1056" t="s">
        <v>1933</v>
      </c>
      <c r="E281" s="1056" t="s">
        <v>1954</v>
      </c>
      <c r="F281" s="1056" t="s">
        <v>1906</v>
      </c>
      <c r="G281" s="1056" t="s">
        <v>1909</v>
      </c>
      <c r="H281" s="1057">
        <v>26412000</v>
      </c>
      <c r="I281" s="1054"/>
      <c r="J281" s="1065"/>
    </row>
    <row r="282" spans="1:10" x14ac:dyDescent="0.25">
      <c r="A282" s="1076"/>
      <c r="B282" s="1056" t="s">
        <v>2151</v>
      </c>
      <c r="C282" s="4568" t="s">
        <v>1580</v>
      </c>
      <c r="D282" s="4568"/>
      <c r="E282" s="4568"/>
      <c r="F282" s="4568"/>
      <c r="G282" s="4568"/>
      <c r="H282" s="1057">
        <v>65321307673</v>
      </c>
      <c r="I282" s="1054"/>
    </row>
    <row r="283" spans="1:10" ht="15.75" customHeight="1" x14ac:dyDescent="0.25">
      <c r="A283" s="1076"/>
      <c r="B283" s="1058" t="s">
        <v>1815</v>
      </c>
      <c r="C283" s="1056" t="s">
        <v>1189</v>
      </c>
      <c r="D283" s="1056" t="s">
        <v>1933</v>
      </c>
      <c r="E283" s="1056" t="s">
        <v>1934</v>
      </c>
      <c r="F283" s="1056" t="s">
        <v>2024</v>
      </c>
      <c r="G283" s="1056" t="s">
        <v>2025</v>
      </c>
      <c r="H283" s="1057">
        <v>3848800000</v>
      </c>
      <c r="I283" s="1054"/>
    </row>
    <row r="284" spans="1:10" ht="15.75" customHeight="1" x14ac:dyDescent="0.25">
      <c r="A284" s="1076"/>
      <c r="B284" s="1058" t="s">
        <v>1815</v>
      </c>
      <c r="C284" s="1056" t="s">
        <v>1189</v>
      </c>
      <c r="D284" s="1056" t="s">
        <v>1933</v>
      </c>
      <c r="E284" s="1056" t="s">
        <v>1934</v>
      </c>
      <c r="F284" s="1056" t="s">
        <v>2026</v>
      </c>
      <c r="G284" s="1056" t="s">
        <v>2029</v>
      </c>
      <c r="H284" s="1057">
        <v>6827000</v>
      </c>
      <c r="I284" s="1054"/>
    </row>
    <row r="285" spans="1:10" ht="15.75" customHeight="1" x14ac:dyDescent="0.25">
      <c r="A285" s="1076"/>
      <c r="B285" s="1058" t="s">
        <v>1815</v>
      </c>
      <c r="C285" s="1056" t="s">
        <v>1189</v>
      </c>
      <c r="D285" s="1056" t="s">
        <v>1933</v>
      </c>
      <c r="E285" s="1056" t="s">
        <v>1934</v>
      </c>
      <c r="F285" s="1056" t="s">
        <v>2026</v>
      </c>
      <c r="G285" s="1056" t="s">
        <v>2027</v>
      </c>
      <c r="H285" s="1057">
        <v>25000000</v>
      </c>
      <c r="I285" s="1054"/>
    </row>
    <row r="286" spans="1:10" x14ac:dyDescent="0.25">
      <c r="A286" s="1076"/>
      <c r="B286" s="1058" t="s">
        <v>1815</v>
      </c>
      <c r="C286" s="1056" t="s">
        <v>1189</v>
      </c>
      <c r="D286" s="1056" t="s">
        <v>1933</v>
      </c>
      <c r="E286" s="1056" t="s">
        <v>1934</v>
      </c>
      <c r="F286" s="1056" t="s">
        <v>2026</v>
      </c>
      <c r="G286" s="1056" t="s">
        <v>2028</v>
      </c>
      <c r="H286" s="1057">
        <v>383000000</v>
      </c>
      <c r="I286" s="1054"/>
    </row>
    <row r="287" spans="1:10" x14ac:dyDescent="0.25">
      <c r="A287" s="1076"/>
      <c r="B287" s="1058" t="s">
        <v>1815</v>
      </c>
      <c r="C287" s="1056" t="s">
        <v>1189</v>
      </c>
      <c r="D287" s="1056" t="s">
        <v>1933</v>
      </c>
      <c r="E287" s="1056" t="s">
        <v>1954</v>
      </c>
      <c r="F287" s="1056" t="s">
        <v>2030</v>
      </c>
      <c r="G287" s="1056" t="s">
        <v>2031</v>
      </c>
      <c r="H287" s="1057">
        <v>1484000</v>
      </c>
      <c r="I287" s="1054"/>
    </row>
    <row r="288" spans="1:10" x14ac:dyDescent="0.25">
      <c r="A288" s="1076"/>
      <c r="B288" s="1058" t="s">
        <v>1815</v>
      </c>
      <c r="C288" s="1056" t="s">
        <v>1189</v>
      </c>
      <c r="D288" s="1056" t="s">
        <v>1933</v>
      </c>
      <c r="E288" s="1056" t="s">
        <v>1954</v>
      </c>
      <c r="F288" s="1056" t="s">
        <v>2024</v>
      </c>
      <c r="G288" s="1056" t="s">
        <v>2025</v>
      </c>
      <c r="H288" s="1057">
        <v>10602006000</v>
      </c>
      <c r="I288" s="1054"/>
    </row>
    <row r="289" spans="1:9" s="7" customFormat="1" x14ac:dyDescent="0.25">
      <c r="A289" s="1076"/>
      <c r="B289" s="1058" t="s">
        <v>1815</v>
      </c>
      <c r="C289" s="1056" t="s">
        <v>1189</v>
      </c>
      <c r="D289" s="1056" t="s">
        <v>1933</v>
      </c>
      <c r="E289" s="1056" t="s">
        <v>1954</v>
      </c>
      <c r="F289" s="1056" t="s">
        <v>2026</v>
      </c>
      <c r="G289" s="1056" t="s">
        <v>2029</v>
      </c>
      <c r="H289" s="1057">
        <v>8800000</v>
      </c>
      <c r="I289" s="1054"/>
    </row>
    <row r="290" spans="1:9" s="7" customFormat="1" x14ac:dyDescent="0.25">
      <c r="A290" s="1076"/>
      <c r="B290" s="1058" t="s">
        <v>1815</v>
      </c>
      <c r="C290" s="1056" t="s">
        <v>1189</v>
      </c>
      <c r="D290" s="1056" t="s">
        <v>1933</v>
      </c>
      <c r="E290" s="1056" t="s">
        <v>1954</v>
      </c>
      <c r="F290" s="1056" t="s">
        <v>2026</v>
      </c>
      <c r="G290" s="1056" t="s">
        <v>2028</v>
      </c>
      <c r="H290" s="1057">
        <v>550800000</v>
      </c>
      <c r="I290" s="1054"/>
    </row>
    <row r="291" spans="1:9" s="7" customFormat="1" x14ac:dyDescent="0.25">
      <c r="A291" s="1076"/>
      <c r="B291" s="1058" t="s">
        <v>1815</v>
      </c>
      <c r="C291" s="1056" t="s">
        <v>1189</v>
      </c>
      <c r="D291" s="1056" t="s">
        <v>1933</v>
      </c>
      <c r="E291" s="1056" t="s">
        <v>1954</v>
      </c>
      <c r="F291" s="1056" t="s">
        <v>2026</v>
      </c>
      <c r="G291" s="1056" t="s">
        <v>2027</v>
      </c>
      <c r="H291" s="1057">
        <v>293000000</v>
      </c>
      <c r="I291" s="1054"/>
    </row>
    <row r="292" spans="1:9" s="7" customFormat="1" x14ac:dyDescent="0.25">
      <c r="A292" s="1076"/>
      <c r="B292" s="1058" t="s">
        <v>1815</v>
      </c>
      <c r="C292" s="1056" t="s">
        <v>1189</v>
      </c>
      <c r="D292" s="1056" t="s">
        <v>2036</v>
      </c>
      <c r="E292" s="1056" t="s">
        <v>2037</v>
      </c>
      <c r="F292" s="1056" t="s">
        <v>2030</v>
      </c>
      <c r="G292" s="1056" t="s">
        <v>2031</v>
      </c>
      <c r="H292" s="1057">
        <v>829000</v>
      </c>
      <c r="I292" s="1054"/>
    </row>
    <row r="293" spans="1:9" s="7" customFormat="1" x14ac:dyDescent="0.25">
      <c r="A293" s="1076"/>
      <c r="B293" s="1058" t="s">
        <v>1815</v>
      </c>
      <c r="C293" s="1056" t="s">
        <v>1189</v>
      </c>
      <c r="D293" s="1056" t="s">
        <v>2036</v>
      </c>
      <c r="E293" s="1056" t="s">
        <v>2037</v>
      </c>
      <c r="F293" s="1056" t="s">
        <v>2024</v>
      </c>
      <c r="G293" s="1056" t="s">
        <v>2025</v>
      </c>
      <c r="H293" s="1057">
        <v>2863000000</v>
      </c>
      <c r="I293" s="1054"/>
    </row>
    <row r="294" spans="1:9" s="7" customFormat="1" x14ac:dyDescent="0.25">
      <c r="A294" s="1076"/>
      <c r="B294" s="1058" t="s">
        <v>1815</v>
      </c>
      <c r="C294" s="1056" t="s">
        <v>1189</v>
      </c>
      <c r="D294" s="1056" t="s">
        <v>2036</v>
      </c>
      <c r="E294" s="1056" t="s">
        <v>2037</v>
      </c>
      <c r="F294" s="1056" t="s">
        <v>2046</v>
      </c>
      <c r="G294" s="1056" t="s">
        <v>2047</v>
      </c>
      <c r="H294" s="1057">
        <v>403100000</v>
      </c>
      <c r="I294" s="1054"/>
    </row>
    <row r="295" spans="1:9" s="7" customFormat="1" x14ac:dyDescent="0.25">
      <c r="A295" s="1076"/>
      <c r="B295" s="1058" t="s">
        <v>1815</v>
      </c>
      <c r="C295" s="1056" t="s">
        <v>1189</v>
      </c>
      <c r="D295" s="1056" t="s">
        <v>2036</v>
      </c>
      <c r="E295" s="1056" t="s">
        <v>2037</v>
      </c>
      <c r="F295" s="1056" t="s">
        <v>2026</v>
      </c>
      <c r="G295" s="1056" t="s">
        <v>2029</v>
      </c>
      <c r="H295" s="1057">
        <v>2800000</v>
      </c>
      <c r="I295" s="1054"/>
    </row>
    <row r="296" spans="1:9" s="7" customFormat="1" x14ac:dyDescent="0.25">
      <c r="A296" s="1076"/>
      <c r="B296" s="1058" t="s">
        <v>1815</v>
      </c>
      <c r="C296" s="1056" t="s">
        <v>1189</v>
      </c>
      <c r="D296" s="1056" t="s">
        <v>2036</v>
      </c>
      <c r="E296" s="1056" t="s">
        <v>2037</v>
      </c>
      <c r="F296" s="1056" t="s">
        <v>2026</v>
      </c>
      <c r="G296" s="1056" t="s">
        <v>2028</v>
      </c>
      <c r="H296" s="1057">
        <v>107700000</v>
      </c>
      <c r="I296" s="1054"/>
    </row>
    <row r="297" spans="1:9" s="7" customFormat="1" x14ac:dyDescent="0.25">
      <c r="A297" s="1076"/>
      <c r="B297" s="1058" t="s">
        <v>1815</v>
      </c>
      <c r="C297" s="1056" t="s">
        <v>1189</v>
      </c>
      <c r="D297" s="1056" t="s">
        <v>2036</v>
      </c>
      <c r="E297" s="1056" t="s">
        <v>2037</v>
      </c>
      <c r="F297" s="1056" t="s">
        <v>2026</v>
      </c>
      <c r="G297" s="1056" t="s">
        <v>2027</v>
      </c>
      <c r="H297" s="1057">
        <v>95000000</v>
      </c>
      <c r="I297" s="1054"/>
    </row>
    <row r="298" spans="1:9" s="7" customFormat="1" x14ac:dyDescent="0.25">
      <c r="A298" s="1076"/>
      <c r="B298" s="1058" t="s">
        <v>1815</v>
      </c>
      <c r="C298" s="1056" t="s">
        <v>2056</v>
      </c>
      <c r="D298" s="1056" t="s">
        <v>1933</v>
      </c>
      <c r="E298" s="1056" t="s">
        <v>1934</v>
      </c>
      <c r="F298" s="1056" t="s">
        <v>2030</v>
      </c>
      <c r="G298" s="1056" t="s">
        <v>2031</v>
      </c>
      <c r="H298" s="1057">
        <v>239121</v>
      </c>
      <c r="I298" s="1054"/>
    </row>
    <row r="299" spans="1:9" s="7" customFormat="1" x14ac:dyDescent="0.25">
      <c r="A299" s="1076"/>
      <c r="B299" s="1058" t="s">
        <v>1815</v>
      </c>
      <c r="C299" s="1056" t="s">
        <v>2056</v>
      </c>
      <c r="D299" s="1056" t="s">
        <v>1933</v>
      </c>
      <c r="E299" s="1056" t="s">
        <v>1934</v>
      </c>
      <c r="F299" s="1056" t="s">
        <v>2024</v>
      </c>
      <c r="G299" s="1056" t="s">
        <v>2025</v>
      </c>
      <c r="H299" s="1057">
        <v>509405186</v>
      </c>
      <c r="I299" s="1054"/>
    </row>
    <row r="300" spans="1:9" s="7" customFormat="1" x14ac:dyDescent="0.25">
      <c r="A300" s="1076"/>
      <c r="B300" s="1058" t="s">
        <v>1815</v>
      </c>
      <c r="C300" s="1056" t="s">
        <v>2056</v>
      </c>
      <c r="D300" s="1056" t="s">
        <v>1933</v>
      </c>
      <c r="E300" s="1056" t="s">
        <v>1934</v>
      </c>
      <c r="F300" s="1056" t="s">
        <v>2026</v>
      </c>
      <c r="G300" s="1056" t="s">
        <v>2028</v>
      </c>
      <c r="H300" s="1057">
        <v>67357715</v>
      </c>
      <c r="I300" s="1054"/>
    </row>
    <row r="301" spans="1:9" s="7" customFormat="1" x14ac:dyDescent="0.25">
      <c r="A301" s="1076"/>
      <c r="B301" s="1058" t="s">
        <v>1815</v>
      </c>
      <c r="C301" s="1056" t="s">
        <v>2056</v>
      </c>
      <c r="D301" s="1056" t="s">
        <v>1933</v>
      </c>
      <c r="E301" s="1056" t="s">
        <v>1934</v>
      </c>
      <c r="F301" s="1056" t="s">
        <v>2026</v>
      </c>
      <c r="G301" s="1056" t="s">
        <v>2029</v>
      </c>
      <c r="H301" s="1057">
        <v>9338787</v>
      </c>
      <c r="I301" s="1054"/>
    </row>
    <row r="302" spans="1:9" s="7" customFormat="1" x14ac:dyDescent="0.25">
      <c r="A302" s="1076"/>
      <c r="B302" s="1058" t="s">
        <v>1815</v>
      </c>
      <c r="C302" s="1056" t="s">
        <v>2056</v>
      </c>
      <c r="D302" s="1056" t="s">
        <v>1933</v>
      </c>
      <c r="E302" s="1056" t="s">
        <v>1934</v>
      </c>
      <c r="F302" s="1056" t="s">
        <v>2026</v>
      </c>
      <c r="G302" s="1056" t="s">
        <v>2027</v>
      </c>
      <c r="H302" s="1057">
        <v>43243845</v>
      </c>
      <c r="I302" s="1054"/>
    </row>
    <row r="303" spans="1:9" s="7" customFormat="1" x14ac:dyDescent="0.25">
      <c r="A303" s="1076"/>
      <c r="B303" s="1058" t="s">
        <v>1815</v>
      </c>
      <c r="C303" s="1056" t="s">
        <v>2056</v>
      </c>
      <c r="D303" s="1056" t="s">
        <v>2038</v>
      </c>
      <c r="E303" s="1056" t="s">
        <v>2039</v>
      </c>
      <c r="F303" s="1056" t="s">
        <v>1874</v>
      </c>
      <c r="G303" s="1056" t="s">
        <v>1877</v>
      </c>
      <c r="H303" s="1057">
        <v>23850000</v>
      </c>
      <c r="I303" s="1054"/>
    </row>
    <row r="304" spans="1:9" s="7" customFormat="1" x14ac:dyDescent="0.25">
      <c r="A304" s="1076"/>
      <c r="B304" s="1058" t="s">
        <v>1815</v>
      </c>
      <c r="C304" s="1056" t="s">
        <v>2056</v>
      </c>
      <c r="D304" s="1056" t="s">
        <v>2038</v>
      </c>
      <c r="E304" s="1056" t="s">
        <v>2039</v>
      </c>
      <c r="F304" s="1056" t="s">
        <v>1896</v>
      </c>
      <c r="G304" s="1056" t="s">
        <v>1932</v>
      </c>
      <c r="H304" s="1057">
        <v>142988133</v>
      </c>
      <c r="I304" s="1054"/>
    </row>
    <row r="305" spans="1:9" s="7" customFormat="1" x14ac:dyDescent="0.25">
      <c r="A305" s="1076"/>
      <c r="B305" s="1058" t="s">
        <v>1815</v>
      </c>
      <c r="C305" s="1056" t="s">
        <v>2056</v>
      </c>
      <c r="D305" s="1056" t="s">
        <v>2038</v>
      </c>
      <c r="E305" s="1056" t="s">
        <v>2039</v>
      </c>
      <c r="F305" s="1056" t="s">
        <v>1896</v>
      </c>
      <c r="G305" s="1056" t="s">
        <v>2055</v>
      </c>
      <c r="H305" s="1057">
        <v>28147504</v>
      </c>
      <c r="I305" s="1054"/>
    </row>
    <row r="306" spans="1:9" s="7" customFormat="1" x14ac:dyDescent="0.25">
      <c r="A306" s="1076"/>
      <c r="B306" s="1058" t="s">
        <v>1815</v>
      </c>
      <c r="C306" s="1056" t="s">
        <v>2056</v>
      </c>
      <c r="D306" s="1056" t="s">
        <v>2038</v>
      </c>
      <c r="E306" s="1056" t="s">
        <v>2039</v>
      </c>
      <c r="F306" s="1056" t="s">
        <v>1896</v>
      </c>
      <c r="G306" s="1056" t="s">
        <v>1899</v>
      </c>
      <c r="H306" s="1057">
        <v>258368635</v>
      </c>
      <c r="I306" s="1054"/>
    </row>
    <row r="307" spans="1:9" s="7" customFormat="1" x14ac:dyDescent="0.25">
      <c r="A307" s="1076"/>
      <c r="B307" s="1058" t="s">
        <v>1815</v>
      </c>
      <c r="C307" s="1056" t="s">
        <v>2056</v>
      </c>
      <c r="D307" s="1056" t="s">
        <v>2038</v>
      </c>
      <c r="E307" s="1056" t="s">
        <v>2039</v>
      </c>
      <c r="F307" s="1056" t="s">
        <v>1896</v>
      </c>
      <c r="G307" s="1056" t="s">
        <v>1902</v>
      </c>
      <c r="H307" s="1057">
        <v>155992942</v>
      </c>
      <c r="I307" s="1054"/>
    </row>
    <row r="308" spans="1:9" s="7" customFormat="1" x14ac:dyDescent="0.25">
      <c r="A308" s="1076"/>
      <c r="B308" s="1058" t="s">
        <v>1815</v>
      </c>
      <c r="C308" s="1056" t="s">
        <v>2056</v>
      </c>
      <c r="D308" s="1056" t="s">
        <v>2038</v>
      </c>
      <c r="E308" s="1056" t="s">
        <v>2039</v>
      </c>
      <c r="F308" s="1056" t="s">
        <v>1903</v>
      </c>
      <c r="G308" s="1056" t="s">
        <v>1904</v>
      </c>
      <c r="H308" s="1057">
        <v>40000000</v>
      </c>
      <c r="I308" s="1054"/>
    </row>
    <row r="309" spans="1:9" s="7" customFormat="1" x14ac:dyDescent="0.25">
      <c r="A309" s="1076"/>
      <c r="B309" s="1058" t="s">
        <v>1815</v>
      </c>
      <c r="C309" s="1056" t="s">
        <v>2056</v>
      </c>
      <c r="D309" s="1056" t="s">
        <v>2038</v>
      </c>
      <c r="E309" s="1056" t="s">
        <v>2039</v>
      </c>
      <c r="F309" s="1056" t="s">
        <v>1903</v>
      </c>
      <c r="G309" s="1056" t="s">
        <v>1950</v>
      </c>
      <c r="H309" s="1057">
        <v>246150000</v>
      </c>
      <c r="I309" s="1054"/>
    </row>
    <row r="310" spans="1:9" s="7" customFormat="1" x14ac:dyDescent="0.25">
      <c r="A310" s="1076"/>
      <c r="B310" s="1058" t="s">
        <v>1815</v>
      </c>
      <c r="C310" s="1056" t="s">
        <v>2056</v>
      </c>
      <c r="D310" s="1056" t="s">
        <v>2038</v>
      </c>
      <c r="E310" s="1056" t="s">
        <v>2039</v>
      </c>
      <c r="F310" s="1056" t="s">
        <v>2024</v>
      </c>
      <c r="G310" s="1056" t="s">
        <v>2025</v>
      </c>
      <c r="H310" s="1057">
        <v>5087106999</v>
      </c>
      <c r="I310" s="1054"/>
    </row>
    <row r="311" spans="1:9" s="7" customFormat="1" x14ac:dyDescent="0.25">
      <c r="A311" s="1076"/>
      <c r="B311" s="1058" t="s">
        <v>1815</v>
      </c>
      <c r="C311" s="1056" t="s">
        <v>2056</v>
      </c>
      <c r="D311" s="1056" t="s">
        <v>2038</v>
      </c>
      <c r="E311" s="1056" t="s">
        <v>2039</v>
      </c>
      <c r="F311" s="1056" t="s">
        <v>2046</v>
      </c>
      <c r="G311" s="1056" t="s">
        <v>2047</v>
      </c>
      <c r="H311" s="1057">
        <v>943140900</v>
      </c>
      <c r="I311" s="1054"/>
    </row>
    <row r="312" spans="1:9" s="7" customFormat="1" x14ac:dyDescent="0.25">
      <c r="A312" s="1076"/>
      <c r="B312" s="1058" t="s">
        <v>1815</v>
      </c>
      <c r="C312" s="1056" t="s">
        <v>2056</v>
      </c>
      <c r="D312" s="1056" t="s">
        <v>2038</v>
      </c>
      <c r="E312" s="1056" t="s">
        <v>2039</v>
      </c>
      <c r="F312" s="1056" t="s">
        <v>2026</v>
      </c>
      <c r="G312" s="1056" t="s">
        <v>2029</v>
      </c>
      <c r="H312" s="1057">
        <v>31772674</v>
      </c>
      <c r="I312" s="1054"/>
    </row>
    <row r="313" spans="1:9" s="7" customFormat="1" x14ac:dyDescent="0.25">
      <c r="A313" s="1076"/>
      <c r="B313" s="1058" t="s">
        <v>1815</v>
      </c>
      <c r="C313" s="1056" t="s">
        <v>2056</v>
      </c>
      <c r="D313" s="1056" t="s">
        <v>2038</v>
      </c>
      <c r="E313" s="1056" t="s">
        <v>2039</v>
      </c>
      <c r="F313" s="1056" t="s">
        <v>2026</v>
      </c>
      <c r="G313" s="1056" t="s">
        <v>2027</v>
      </c>
      <c r="H313" s="1057">
        <v>146737983</v>
      </c>
      <c r="I313" s="1054"/>
    </row>
    <row r="314" spans="1:9" s="7" customFormat="1" x14ac:dyDescent="0.25">
      <c r="A314" s="1076"/>
      <c r="B314" s="1058" t="s">
        <v>1815</v>
      </c>
      <c r="C314" s="1056" t="s">
        <v>2056</v>
      </c>
      <c r="D314" s="1056" t="s">
        <v>2038</v>
      </c>
      <c r="E314" s="1056" t="s">
        <v>2238</v>
      </c>
      <c r="F314" s="1056" t="s">
        <v>1896</v>
      </c>
      <c r="G314" s="1056" t="s">
        <v>1899</v>
      </c>
      <c r="H314" s="1057">
        <v>0</v>
      </c>
      <c r="I314" s="1054"/>
    </row>
    <row r="315" spans="1:9" s="7" customFormat="1" x14ac:dyDescent="0.25">
      <c r="A315" s="1076"/>
      <c r="B315" s="1058" t="s">
        <v>1815</v>
      </c>
      <c r="C315" s="1056" t="s">
        <v>2056</v>
      </c>
      <c r="D315" s="1056" t="s">
        <v>2044</v>
      </c>
      <c r="E315" s="1056" t="s">
        <v>2045</v>
      </c>
      <c r="F315" s="1056" t="s">
        <v>1903</v>
      </c>
      <c r="G315" s="1056" t="s">
        <v>1905</v>
      </c>
      <c r="H315" s="1057">
        <v>489499462</v>
      </c>
      <c r="I315" s="1054"/>
    </row>
    <row r="316" spans="1:9" s="7" customFormat="1" x14ac:dyDescent="0.25">
      <c r="A316" s="1076"/>
      <c r="B316" s="1058" t="s">
        <v>1815</v>
      </c>
      <c r="C316" s="1056" t="s">
        <v>2056</v>
      </c>
      <c r="D316" s="1056" t="s">
        <v>1919</v>
      </c>
      <c r="E316" s="1056" t="s">
        <v>1920</v>
      </c>
      <c r="F316" s="1056" t="s">
        <v>1923</v>
      </c>
      <c r="G316" s="1056" t="s">
        <v>2007</v>
      </c>
      <c r="H316" s="1057">
        <v>133350000</v>
      </c>
      <c r="I316" s="1054"/>
    </row>
    <row r="317" spans="1:9" s="7" customFormat="1" x14ac:dyDescent="0.25">
      <c r="A317" s="1076"/>
      <c r="B317" s="1058" t="s">
        <v>1815</v>
      </c>
      <c r="C317" s="1056" t="s">
        <v>2056</v>
      </c>
      <c r="D317" s="1056" t="s">
        <v>1919</v>
      </c>
      <c r="E317" s="1056" t="s">
        <v>1920</v>
      </c>
      <c r="F317" s="1056" t="s">
        <v>1912</v>
      </c>
      <c r="G317" s="1056" t="s">
        <v>1916</v>
      </c>
      <c r="H317" s="1057">
        <v>6150000</v>
      </c>
      <c r="I317" s="1054"/>
    </row>
    <row r="318" spans="1:9" s="7" customFormat="1" x14ac:dyDescent="0.25">
      <c r="A318" s="1076"/>
      <c r="B318" s="1058" t="s">
        <v>1815</v>
      </c>
      <c r="C318" s="1056" t="s">
        <v>2056</v>
      </c>
      <c r="D318" s="1056" t="s">
        <v>1919</v>
      </c>
      <c r="E318" s="1056" t="s">
        <v>2005</v>
      </c>
      <c r="F318" s="1056" t="s">
        <v>1896</v>
      </c>
      <c r="G318" s="1056" t="s">
        <v>2006</v>
      </c>
      <c r="H318" s="1057">
        <v>10000000</v>
      </c>
      <c r="I318" s="1054"/>
    </row>
    <row r="319" spans="1:9" s="7" customFormat="1" x14ac:dyDescent="0.25">
      <c r="A319" s="1076"/>
      <c r="B319" s="1058" t="s">
        <v>1815</v>
      </c>
      <c r="C319" s="1056" t="s">
        <v>2056</v>
      </c>
      <c r="D319" s="1056" t="s">
        <v>1919</v>
      </c>
      <c r="E319" s="1056" t="s">
        <v>2005</v>
      </c>
      <c r="F319" s="1056" t="s">
        <v>2024</v>
      </c>
      <c r="G319" s="1056" t="s">
        <v>2025</v>
      </c>
      <c r="H319" s="1057">
        <v>6292818246</v>
      </c>
      <c r="I319" s="1054"/>
    </row>
    <row r="320" spans="1:9" s="7" customFormat="1" x14ac:dyDescent="0.25">
      <c r="A320" s="1076"/>
      <c r="B320" s="1058" t="s">
        <v>1815</v>
      </c>
      <c r="C320" s="1056" t="s">
        <v>2056</v>
      </c>
      <c r="D320" s="1056" t="s">
        <v>1919</v>
      </c>
      <c r="E320" s="1056" t="s">
        <v>2005</v>
      </c>
      <c r="F320" s="1056" t="s">
        <v>2026</v>
      </c>
      <c r="G320" s="1056" t="s">
        <v>2027</v>
      </c>
      <c r="H320" s="1057">
        <v>121936987</v>
      </c>
      <c r="I320" s="1054"/>
    </row>
    <row r="321" spans="1:9" s="7" customFormat="1" x14ac:dyDescent="0.25">
      <c r="A321" s="1076"/>
      <c r="B321" s="1058" t="s">
        <v>1815</v>
      </c>
      <c r="C321" s="1056" t="s">
        <v>2056</v>
      </c>
      <c r="D321" s="1056" t="s">
        <v>1919</v>
      </c>
      <c r="E321" s="1056" t="s">
        <v>2005</v>
      </c>
      <c r="F321" s="1056" t="s">
        <v>2026</v>
      </c>
      <c r="G321" s="1056" t="s">
        <v>2028</v>
      </c>
      <c r="H321" s="1057">
        <v>38633505</v>
      </c>
      <c r="I321" s="1054"/>
    </row>
    <row r="322" spans="1:9" s="7" customFormat="1" x14ac:dyDescent="0.25">
      <c r="A322" s="1076"/>
      <c r="B322" s="1058" t="s">
        <v>1815</v>
      </c>
      <c r="C322" s="1056" t="s">
        <v>2056</v>
      </c>
      <c r="D322" s="1056" t="s">
        <v>1919</v>
      </c>
      <c r="E322" s="1056" t="s">
        <v>2005</v>
      </c>
      <c r="F322" s="1056" t="s">
        <v>2026</v>
      </c>
      <c r="G322" s="1056" t="s">
        <v>2029</v>
      </c>
      <c r="H322" s="1057">
        <v>29523186</v>
      </c>
      <c r="I322" s="1054"/>
    </row>
    <row r="323" spans="1:9" s="7" customFormat="1" x14ac:dyDescent="0.25">
      <c r="A323" s="1076"/>
      <c r="B323" s="1058" t="s">
        <v>1815</v>
      </c>
      <c r="C323" s="1056" t="s">
        <v>2056</v>
      </c>
      <c r="D323" s="1056" t="s">
        <v>1919</v>
      </c>
      <c r="E323" s="1056" t="s">
        <v>1931</v>
      </c>
      <c r="F323" s="1056" t="s">
        <v>1896</v>
      </c>
      <c r="G323" s="1056" t="s">
        <v>1932</v>
      </c>
      <c r="H323" s="1057">
        <v>1332469196</v>
      </c>
      <c r="I323" s="1054"/>
    </row>
    <row r="324" spans="1:9" s="7" customFormat="1" x14ac:dyDescent="0.25">
      <c r="A324" s="1076"/>
      <c r="B324" s="1058" t="s">
        <v>1815</v>
      </c>
      <c r="C324" s="1056" t="s">
        <v>2056</v>
      </c>
      <c r="D324" s="1056" t="s">
        <v>1919</v>
      </c>
      <c r="E324" s="1056" t="s">
        <v>1931</v>
      </c>
      <c r="F324" s="1056" t="s">
        <v>2030</v>
      </c>
      <c r="G324" s="1056" t="s">
        <v>2031</v>
      </c>
      <c r="H324" s="1057">
        <v>629357</v>
      </c>
      <c r="I324" s="1054"/>
    </row>
    <row r="325" spans="1:9" s="7" customFormat="1" x14ac:dyDescent="0.25">
      <c r="A325" s="1076"/>
      <c r="B325" s="1058" t="s">
        <v>1815</v>
      </c>
      <c r="C325" s="1056" t="s">
        <v>2056</v>
      </c>
      <c r="D325" s="1056" t="s">
        <v>1919</v>
      </c>
      <c r="E325" s="1056" t="s">
        <v>1931</v>
      </c>
      <c r="F325" s="1056" t="s">
        <v>2024</v>
      </c>
      <c r="G325" s="1056" t="s">
        <v>2025</v>
      </c>
      <c r="H325" s="1057">
        <v>28345017228</v>
      </c>
      <c r="I325" s="1054"/>
    </row>
    <row r="326" spans="1:9" s="7" customFormat="1" x14ac:dyDescent="0.25">
      <c r="A326" s="1076"/>
      <c r="B326" s="1058" t="s">
        <v>1815</v>
      </c>
      <c r="C326" s="1056" t="s">
        <v>2056</v>
      </c>
      <c r="D326" s="1056" t="s">
        <v>1919</v>
      </c>
      <c r="E326" s="1056" t="s">
        <v>1931</v>
      </c>
      <c r="F326" s="1056" t="s">
        <v>2026</v>
      </c>
      <c r="G326" s="1056" t="s">
        <v>2028</v>
      </c>
      <c r="H326" s="1057">
        <v>159372132</v>
      </c>
      <c r="I326" s="1054"/>
    </row>
    <row r="327" spans="1:9" s="7" customFormat="1" x14ac:dyDescent="0.25">
      <c r="A327" s="1076"/>
      <c r="B327" s="1058" t="s">
        <v>1815</v>
      </c>
      <c r="C327" s="1056" t="s">
        <v>2056</v>
      </c>
      <c r="D327" s="1056" t="s">
        <v>1919</v>
      </c>
      <c r="E327" s="1056" t="s">
        <v>1931</v>
      </c>
      <c r="F327" s="1056" t="s">
        <v>2026</v>
      </c>
      <c r="G327" s="1056" t="s">
        <v>2027</v>
      </c>
      <c r="H327" s="1057">
        <v>610892344</v>
      </c>
      <c r="I327" s="1054"/>
    </row>
    <row r="328" spans="1:9" s="7" customFormat="1" x14ac:dyDescent="0.25">
      <c r="A328" s="1076"/>
      <c r="B328" s="1058" t="s">
        <v>1815</v>
      </c>
      <c r="C328" s="1056" t="s">
        <v>2056</v>
      </c>
      <c r="D328" s="1056" t="s">
        <v>1919</v>
      </c>
      <c r="E328" s="1056" t="s">
        <v>1931</v>
      </c>
      <c r="F328" s="1056" t="s">
        <v>2026</v>
      </c>
      <c r="G328" s="1056" t="s">
        <v>2029</v>
      </c>
      <c r="H328" s="1057">
        <v>160462848</v>
      </c>
      <c r="I328" s="1054"/>
    </row>
    <row r="329" spans="1:9" s="7" customFormat="1" x14ac:dyDescent="0.25">
      <c r="A329" s="1076"/>
      <c r="B329" s="1058" t="s">
        <v>1815</v>
      </c>
      <c r="C329" s="1056" t="s">
        <v>2056</v>
      </c>
      <c r="D329" s="1056" t="s">
        <v>1972</v>
      </c>
      <c r="E329" s="1056" t="s">
        <v>2053</v>
      </c>
      <c r="F329" s="1056" t="s">
        <v>2024</v>
      </c>
      <c r="G329" s="1056" t="s">
        <v>2025</v>
      </c>
      <c r="H329" s="1057">
        <v>396580940</v>
      </c>
      <c r="I329" s="1054"/>
    </row>
    <row r="330" spans="1:9" s="7" customFormat="1" x14ac:dyDescent="0.25">
      <c r="A330" s="1076"/>
      <c r="B330" s="1058" t="s">
        <v>1815</v>
      </c>
      <c r="C330" s="1056" t="s">
        <v>2056</v>
      </c>
      <c r="D330" s="1056" t="s">
        <v>1972</v>
      </c>
      <c r="E330" s="1056" t="s">
        <v>2053</v>
      </c>
      <c r="F330" s="1056" t="s">
        <v>2026</v>
      </c>
      <c r="G330" s="1056" t="s">
        <v>2027</v>
      </c>
      <c r="H330" s="1057">
        <v>62201313</v>
      </c>
      <c r="I330" s="1054"/>
    </row>
    <row r="331" spans="1:9" s="7" customFormat="1" x14ac:dyDescent="0.25">
      <c r="A331" s="1076"/>
      <c r="B331" s="1058" t="s">
        <v>1815</v>
      </c>
      <c r="C331" s="1056" t="s">
        <v>2056</v>
      </c>
      <c r="D331" s="1056" t="s">
        <v>1972</v>
      </c>
      <c r="E331" s="1056" t="s">
        <v>2053</v>
      </c>
      <c r="F331" s="1056" t="s">
        <v>2026</v>
      </c>
      <c r="G331" s="1056" t="s">
        <v>2029</v>
      </c>
      <c r="H331" s="1057">
        <v>2104505</v>
      </c>
      <c r="I331" s="1054"/>
    </row>
    <row r="332" spans="1:9" s="7" customFormat="1" x14ac:dyDescent="0.25">
      <c r="A332" s="1076"/>
      <c r="B332" s="1058" t="s">
        <v>1815</v>
      </c>
      <c r="C332" s="1056" t="s">
        <v>2056</v>
      </c>
      <c r="D332" s="1056" t="s">
        <v>1972</v>
      </c>
      <c r="E332" s="1056" t="s">
        <v>2053</v>
      </c>
      <c r="F332" s="1056" t="s">
        <v>2026</v>
      </c>
      <c r="G332" s="1056" t="s">
        <v>2028</v>
      </c>
      <c r="H332" s="1057">
        <v>5000000</v>
      </c>
      <c r="I332" s="1054"/>
    </row>
    <row r="333" spans="1:9" s="7" customFormat="1" x14ac:dyDescent="0.25">
      <c r="A333" s="1076"/>
      <c r="B333" s="1058" t="s">
        <v>1815</v>
      </c>
      <c r="C333" s="1056" t="s">
        <v>2056</v>
      </c>
      <c r="D333" s="1056" t="s">
        <v>1972</v>
      </c>
      <c r="E333" s="1056" t="s">
        <v>2235</v>
      </c>
      <c r="F333" s="1056" t="s">
        <v>1874</v>
      </c>
      <c r="G333" s="1056" t="s">
        <v>1876</v>
      </c>
      <c r="H333" s="1057">
        <v>30000000</v>
      </c>
      <c r="I333" s="1054"/>
    </row>
    <row r="334" spans="1:9" s="7" customFormat="1" x14ac:dyDescent="0.25">
      <c r="A334" s="1076"/>
      <c r="B334" s="1058" t="s">
        <v>1815</v>
      </c>
      <c r="C334" s="1056" t="s">
        <v>2056</v>
      </c>
      <c r="D334" s="1056" t="s">
        <v>1972</v>
      </c>
      <c r="E334" s="1056" t="s">
        <v>2235</v>
      </c>
      <c r="F334" s="1056" t="s">
        <v>1878</v>
      </c>
      <c r="G334" s="1056" t="s">
        <v>1882</v>
      </c>
      <c r="H334" s="1057">
        <v>15000000</v>
      </c>
      <c r="I334" s="1054"/>
    </row>
    <row r="335" spans="1:9" s="7" customFormat="1" x14ac:dyDescent="0.25">
      <c r="A335" s="1076"/>
      <c r="B335" s="1058" t="s">
        <v>1815</v>
      </c>
      <c r="C335" s="1056" t="s">
        <v>2056</v>
      </c>
      <c r="D335" s="1056" t="s">
        <v>1972</v>
      </c>
      <c r="E335" s="1056" t="s">
        <v>2235</v>
      </c>
      <c r="F335" s="1056" t="s">
        <v>1923</v>
      </c>
      <c r="G335" s="1056" t="s">
        <v>2007</v>
      </c>
      <c r="H335" s="1057">
        <v>153680000</v>
      </c>
      <c r="I335" s="1054"/>
    </row>
    <row r="336" spans="1:9" s="7" customFormat="1" ht="31.5" x14ac:dyDescent="0.25">
      <c r="A336" s="1076"/>
      <c r="B336" s="1056" t="s">
        <v>2152</v>
      </c>
      <c r="C336" s="4568" t="s">
        <v>1580</v>
      </c>
      <c r="D336" s="4568"/>
      <c r="E336" s="4568"/>
      <c r="F336" s="4568"/>
      <c r="G336" s="4568"/>
      <c r="H336" s="1057">
        <v>423114876</v>
      </c>
      <c r="I336" s="1054"/>
    </row>
    <row r="337" spans="1:10" x14ac:dyDescent="0.25">
      <c r="A337" s="1076"/>
      <c r="B337" s="1058" t="s">
        <v>1815</v>
      </c>
      <c r="C337" s="1056" t="s">
        <v>2056</v>
      </c>
      <c r="D337" s="1056" t="s">
        <v>1970</v>
      </c>
      <c r="E337" s="1056" t="s">
        <v>1971</v>
      </c>
      <c r="F337" s="1056" t="s">
        <v>1923</v>
      </c>
      <c r="G337" s="1056" t="s">
        <v>2007</v>
      </c>
      <c r="H337" s="1057">
        <v>262514876</v>
      </c>
      <c r="I337" s="1054"/>
    </row>
    <row r="338" spans="1:10" x14ac:dyDescent="0.25">
      <c r="A338" s="1076"/>
      <c r="B338" s="1058" t="s">
        <v>1815</v>
      </c>
      <c r="C338" s="1056" t="s">
        <v>2056</v>
      </c>
      <c r="D338" s="1056" t="s">
        <v>1970</v>
      </c>
      <c r="E338" s="1056" t="s">
        <v>1971</v>
      </c>
      <c r="F338" s="1056" t="s">
        <v>1912</v>
      </c>
      <c r="G338" s="1056" t="s">
        <v>1916</v>
      </c>
      <c r="H338" s="1057">
        <v>134600000</v>
      </c>
      <c r="I338" s="1054"/>
    </row>
    <row r="339" spans="1:10" x14ac:dyDescent="0.25">
      <c r="A339" s="1077"/>
      <c r="B339" s="1059" t="s">
        <v>1815</v>
      </c>
      <c r="C339" s="1060" t="s">
        <v>2056</v>
      </c>
      <c r="D339" s="1060" t="s">
        <v>1919</v>
      </c>
      <c r="E339" s="1060" t="s">
        <v>1920</v>
      </c>
      <c r="F339" s="1060" t="s">
        <v>1912</v>
      </c>
      <c r="G339" s="1060" t="s">
        <v>1916</v>
      </c>
      <c r="H339" s="1061">
        <v>26000000</v>
      </c>
      <c r="I339" s="1054"/>
    </row>
    <row r="340" spans="1:10" s="1063" customFormat="1" x14ac:dyDescent="0.25">
      <c r="B340" s="1062"/>
      <c r="C340" s="737"/>
      <c r="D340" s="737"/>
      <c r="E340" s="737"/>
      <c r="F340" s="737"/>
      <c r="G340" s="737"/>
      <c r="H340" s="737"/>
      <c r="I340" s="737"/>
      <c r="J340" s="1066"/>
    </row>
    <row r="341" spans="1:10" s="1345" customFormat="1" ht="30.75" customHeight="1" x14ac:dyDescent="0.25">
      <c r="B341" s="4570" t="s">
        <v>2230</v>
      </c>
      <c r="C341" s="4570"/>
      <c r="D341" s="4570"/>
      <c r="E341" s="1359"/>
      <c r="F341" s="1359"/>
      <c r="G341" s="4570" t="s">
        <v>2230</v>
      </c>
      <c r="H341" s="4570"/>
      <c r="I341" s="4570"/>
      <c r="J341" s="1354"/>
    </row>
    <row r="342" spans="1:10" s="1345" customFormat="1" x14ac:dyDescent="0.25">
      <c r="B342" s="4382" t="s">
        <v>2174</v>
      </c>
      <c r="C342" s="4382"/>
      <c r="G342" s="4571" t="s">
        <v>1440</v>
      </c>
      <c r="H342" s="4571"/>
      <c r="I342" s="4571"/>
      <c r="J342" s="1354"/>
    </row>
    <row r="343" spans="1:10" s="1345" customFormat="1" x14ac:dyDescent="0.25">
      <c r="B343" s="4572" t="s">
        <v>1812</v>
      </c>
      <c r="C343" s="4572"/>
      <c r="G343" s="4571" t="s">
        <v>807</v>
      </c>
      <c r="H343" s="4571"/>
      <c r="I343" s="4571"/>
      <c r="J343" s="1354"/>
    </row>
    <row r="344" spans="1:10" s="1345" customFormat="1" x14ac:dyDescent="0.25">
      <c r="B344" s="1348"/>
      <c r="C344" s="1349"/>
      <c r="G344" s="1353"/>
      <c r="H344" s="1350"/>
      <c r="I344" s="1350"/>
      <c r="J344" s="1354"/>
    </row>
    <row r="345" spans="1:10" s="1345" customFormat="1" x14ac:dyDescent="0.25">
      <c r="B345" s="1348"/>
      <c r="C345" s="1349"/>
      <c r="G345" s="1353"/>
      <c r="H345" s="1350"/>
      <c r="I345" s="1350"/>
      <c r="J345" s="1354"/>
    </row>
    <row r="346" spans="1:10" s="1345" customFormat="1" x14ac:dyDescent="0.25">
      <c r="B346" s="1348"/>
      <c r="C346" s="1349"/>
      <c r="G346" s="1353"/>
      <c r="H346" s="1350"/>
      <c r="I346" s="1350"/>
      <c r="J346" s="1354"/>
    </row>
    <row r="347" spans="1:10" s="1345" customFormat="1" x14ac:dyDescent="0.25">
      <c r="B347" s="1348"/>
      <c r="C347" s="1349"/>
      <c r="G347" s="1353"/>
      <c r="H347" s="1350"/>
      <c r="I347" s="1350"/>
      <c r="J347" s="1354"/>
    </row>
    <row r="348" spans="1:10" s="1345" customFormat="1" x14ac:dyDescent="0.25">
      <c r="B348" s="1348"/>
      <c r="C348" s="1351"/>
      <c r="G348" s="1354"/>
      <c r="H348" s="1349"/>
      <c r="I348" s="1350"/>
      <c r="J348" s="1354"/>
    </row>
    <row r="349" spans="1:10" s="1345" customFormat="1" x14ac:dyDescent="0.25">
      <c r="B349" s="1352"/>
      <c r="C349" s="1351"/>
      <c r="G349" s="1354"/>
      <c r="H349" s="1350"/>
      <c r="I349" s="1350"/>
      <c r="J349" s="1354"/>
    </row>
    <row r="350" spans="1:10" s="1345" customFormat="1" x14ac:dyDescent="0.25">
      <c r="B350" s="1355"/>
      <c r="C350" s="1356"/>
      <c r="D350" s="1357"/>
      <c r="E350" s="1357"/>
      <c r="F350" s="1357"/>
      <c r="G350" s="1353"/>
      <c r="H350" s="1354"/>
      <c r="I350" s="1354"/>
      <c r="J350" s="1354"/>
    </row>
    <row r="351" spans="1:10" s="1345" customFormat="1" x14ac:dyDescent="0.25">
      <c r="B351" s="1358"/>
      <c r="C351" s="1346"/>
      <c r="D351" s="1357"/>
      <c r="E351" s="1357"/>
      <c r="F351" s="1357"/>
      <c r="G351" s="4569" t="s">
        <v>808</v>
      </c>
      <c r="H351" s="4569"/>
      <c r="I351" s="4569"/>
      <c r="J351" s="1354"/>
    </row>
    <row r="352" spans="1:10" s="1345" customFormat="1" x14ac:dyDescent="0.25">
      <c r="C352" s="1357"/>
      <c r="D352" s="1357"/>
      <c r="E352" s="1357"/>
      <c r="F352" s="1357"/>
      <c r="G352" s="1357"/>
      <c r="J352" s="1354"/>
    </row>
    <row r="353" spans="3:10" s="1345" customFormat="1" x14ac:dyDescent="0.25">
      <c r="C353" s="1357"/>
      <c r="D353" s="1357"/>
      <c r="E353" s="1357"/>
      <c r="F353" s="1357"/>
      <c r="G353" s="1357"/>
      <c r="J353" s="1354"/>
    </row>
  </sheetData>
  <mergeCells count="34">
    <mergeCell ref="C9:G9"/>
    <mergeCell ref="C203:G203"/>
    <mergeCell ref="C207:G207"/>
    <mergeCell ref="B211:G211"/>
    <mergeCell ref="C212:G212"/>
    <mergeCell ref="C27:G27"/>
    <mergeCell ref="C29:G29"/>
    <mergeCell ref="C49:G49"/>
    <mergeCell ref="C91:G91"/>
    <mergeCell ref="C93:G93"/>
    <mergeCell ref="C98:G98"/>
    <mergeCell ref="C105:G105"/>
    <mergeCell ref="C115:G115"/>
    <mergeCell ref="C140:G140"/>
    <mergeCell ref="C150:G150"/>
    <mergeCell ref="G1:H1"/>
    <mergeCell ref="B3:H3"/>
    <mergeCell ref="B7:G7"/>
    <mergeCell ref="B8:G8"/>
    <mergeCell ref="A4:H4"/>
    <mergeCell ref="C214:G214"/>
    <mergeCell ref="C236:G236"/>
    <mergeCell ref="C238:G238"/>
    <mergeCell ref="G351:I351"/>
    <mergeCell ref="G341:I341"/>
    <mergeCell ref="B341:D341"/>
    <mergeCell ref="B342:C342"/>
    <mergeCell ref="G342:I342"/>
    <mergeCell ref="B343:C343"/>
    <mergeCell ref="G343:I343"/>
    <mergeCell ref="C245:G245"/>
    <mergeCell ref="C272:G272"/>
    <mergeCell ref="C282:G282"/>
    <mergeCell ref="C336:G336"/>
  </mergeCells>
  <phoneticPr fontId="70" type="noConversion"/>
  <pageMargins left="0.5" right="0.5" top="0.5" bottom="0.5" header="0.5" footer="0.5"/>
  <pageSetup paperSize="9" scale="9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K172"/>
  <sheetViews>
    <sheetView view="pageBreakPreview" zoomScale="90" zoomScaleNormal="85" zoomScaleSheetLayoutView="90" zoomScalePageLayoutView="85" workbookViewId="0">
      <pane ySplit="8" topLeftCell="A75" activePane="bottomLeft" state="frozen"/>
      <selection pane="bottomLeft" activeCell="B76" sqref="B76"/>
    </sheetView>
  </sheetViews>
  <sheetFormatPr defaultRowHeight="15" x14ac:dyDescent="0.25"/>
  <cols>
    <col min="1" max="1" width="5" style="2294" customWidth="1"/>
    <col min="2" max="2" width="58.7109375" style="2294" customWidth="1"/>
    <col min="3" max="3" width="14.28515625" style="2294" customWidth="1"/>
    <col min="4" max="4" width="17.5703125" style="2294" customWidth="1"/>
    <col min="5" max="5" width="17.7109375" style="2294" customWidth="1"/>
    <col min="6" max="6" width="16.5703125" style="2294" customWidth="1"/>
    <col min="7" max="7" width="14.5703125" style="2294" customWidth="1"/>
    <col min="8" max="8" width="11" style="2634" customWidth="1"/>
    <col min="9" max="9" width="9.5703125" style="2294" customWidth="1"/>
    <col min="10" max="10" width="20.28515625" style="2294" customWidth="1"/>
    <col min="11" max="11" width="16.7109375" style="2294" customWidth="1"/>
    <col min="12" max="16384" width="9.140625" style="2294"/>
  </cols>
  <sheetData>
    <row r="1" spans="1:11" ht="21.75" customHeight="1" x14ac:dyDescent="0.25">
      <c r="A1" s="2422" t="e">
        <f>#REF!</f>
        <v>#REF!</v>
      </c>
      <c r="B1" s="2409"/>
      <c r="C1" s="2409"/>
      <c r="D1" s="2409"/>
      <c r="E1" s="4584"/>
      <c r="F1" s="4584"/>
      <c r="G1" s="4584"/>
      <c r="H1" s="4585"/>
      <c r="I1" s="4585"/>
    </row>
    <row r="2" spans="1:11" ht="18.75" customHeight="1" x14ac:dyDescent="0.25">
      <c r="A2" s="4586" t="s">
        <v>3493</v>
      </c>
      <c r="B2" s="4586"/>
      <c r="C2" s="4586"/>
      <c r="D2" s="4586"/>
      <c r="E2" s="4586"/>
      <c r="F2" s="4586"/>
      <c r="G2" s="4586"/>
      <c r="H2" s="4586"/>
      <c r="I2" s="4586"/>
    </row>
    <row r="3" spans="1:11" ht="21.75" customHeight="1" x14ac:dyDescent="0.25">
      <c r="A3" s="4587" t="e">
        <f>#REF!</f>
        <v>#REF!</v>
      </c>
      <c r="B3" s="4587"/>
      <c r="C3" s="4587"/>
      <c r="D3" s="4587"/>
      <c r="E3" s="4587"/>
      <c r="F3" s="4587"/>
      <c r="G3" s="4587"/>
      <c r="H3" s="4587"/>
      <c r="I3" s="4587"/>
    </row>
    <row r="4" spans="1:11" ht="21.75" customHeight="1" x14ac:dyDescent="0.25">
      <c r="A4" s="2872"/>
      <c r="B4" s="2872"/>
      <c r="C4" s="2872"/>
      <c r="D4" s="2872"/>
      <c r="E4" s="2872"/>
      <c r="F4" s="2872"/>
      <c r="G4" s="2872"/>
      <c r="H4" s="4582" t="s">
        <v>2720</v>
      </c>
      <c r="I4" s="4582"/>
    </row>
    <row r="5" spans="1:11" ht="59.25" customHeight="1" x14ac:dyDescent="0.25">
      <c r="A5" s="4588" t="s">
        <v>844</v>
      </c>
      <c r="B5" s="4588" t="s">
        <v>845</v>
      </c>
      <c r="C5" s="4590" t="s">
        <v>148</v>
      </c>
      <c r="D5" s="4592" t="s">
        <v>149</v>
      </c>
      <c r="E5" s="4593"/>
      <c r="F5" s="4594"/>
      <c r="G5" s="4595" t="s">
        <v>150</v>
      </c>
      <c r="H5" s="4596"/>
      <c r="I5" s="4588" t="s">
        <v>151</v>
      </c>
    </row>
    <row r="6" spans="1:11" ht="31.5" x14ac:dyDescent="0.25">
      <c r="A6" s="4589"/>
      <c r="B6" s="4589"/>
      <c r="C6" s="4591"/>
      <c r="D6" s="2874" t="s">
        <v>868</v>
      </c>
      <c r="E6" s="2874" t="s">
        <v>704</v>
      </c>
      <c r="F6" s="2874" t="s">
        <v>705</v>
      </c>
      <c r="G6" s="2875" t="s">
        <v>152</v>
      </c>
      <c r="H6" s="2629" t="s">
        <v>3480</v>
      </c>
      <c r="I6" s="4589"/>
    </row>
    <row r="7" spans="1:11" ht="15.75" x14ac:dyDescent="0.25">
      <c r="A7" s="2873" t="s">
        <v>847</v>
      </c>
      <c r="B7" s="2873" t="s">
        <v>848</v>
      </c>
      <c r="C7" s="2875">
        <v>1</v>
      </c>
      <c r="D7" s="2875">
        <v>2</v>
      </c>
      <c r="E7" s="2875">
        <v>3</v>
      </c>
      <c r="F7" s="2875">
        <v>4</v>
      </c>
      <c r="G7" s="2410" t="s">
        <v>3478</v>
      </c>
      <c r="H7" s="2630" t="s">
        <v>3479</v>
      </c>
      <c r="I7" s="2873">
        <v>5</v>
      </c>
    </row>
    <row r="8" spans="1:11" ht="27" customHeight="1" x14ac:dyDescent="0.25">
      <c r="A8" s="2873"/>
      <c r="B8" s="2873" t="s">
        <v>1516</v>
      </c>
      <c r="C8" s="2683">
        <f>C9+C150</f>
        <v>32286.661982000001</v>
      </c>
      <c r="D8" s="2781">
        <f>D9+D150</f>
        <v>115209.197621</v>
      </c>
      <c r="E8" s="2782">
        <f>E9+E150</f>
        <v>106536.345886</v>
      </c>
      <c r="F8" s="2782">
        <f>F9+F150</f>
        <v>8672.8517350000002</v>
      </c>
      <c r="G8" s="2683">
        <f>D8-C8</f>
        <v>82922.535638999994</v>
      </c>
      <c r="H8" s="2716">
        <f>D8/C8*100</f>
        <v>356.83217325231635</v>
      </c>
      <c r="I8" s="2873"/>
      <c r="J8" s="2744" t="e">
        <f>J9+K9</f>
        <v>#REF!</v>
      </c>
    </row>
    <row r="9" spans="1:11" ht="50.25" customHeight="1" x14ac:dyDescent="0.25">
      <c r="A9" s="2873" t="s">
        <v>847</v>
      </c>
      <c r="B9" s="2873" t="s">
        <v>728</v>
      </c>
      <c r="C9" s="2874">
        <f>C11+C59+C99+C73+C108+C110</f>
        <v>23636.294172000002</v>
      </c>
      <c r="D9" s="2411">
        <f>D11+D59+D99+D73+D108+D110</f>
        <v>81790.498969000007</v>
      </c>
      <c r="E9" s="2411">
        <f>E11+E59+E99+E73+E108+E110</f>
        <v>73565.947233999992</v>
      </c>
      <c r="F9" s="2411">
        <f>F11+F59+F99+F73+F108+F110</f>
        <v>8224.5517350000009</v>
      </c>
      <c r="G9" s="2874">
        <f t="shared" ref="G9:G72" si="0">D9-C9</f>
        <v>58154.204797000006</v>
      </c>
      <c r="H9" s="2716">
        <f>D9/C9*100</f>
        <v>346.03774336964619</v>
      </c>
      <c r="I9" s="2873"/>
      <c r="J9" s="2744" t="e">
        <f>'B60-342'!#REF!</f>
        <v>#REF!</v>
      </c>
      <c r="K9" s="2294" t="str">
        <f>'B60-342'!F17</f>
        <v>7. Chi bổ sung cho ngân sách cấp dưới</v>
      </c>
    </row>
    <row r="10" spans="1:11" ht="85.5" customHeight="1" x14ac:dyDescent="0.25">
      <c r="A10" s="2412"/>
      <c r="B10" s="2659" t="s">
        <v>3362</v>
      </c>
      <c r="C10" s="2623">
        <v>0</v>
      </c>
      <c r="D10" s="2623">
        <v>39762.821832000001</v>
      </c>
      <c r="E10" s="2623">
        <v>27634.332060000001</v>
      </c>
      <c r="F10" s="2623">
        <v>12128.489772000001</v>
      </c>
      <c r="G10" s="2660">
        <f t="shared" si="0"/>
        <v>39762.821832000001</v>
      </c>
      <c r="H10" s="2717" t="e">
        <f>D10/C10*100</f>
        <v>#DIV/0!</v>
      </c>
      <c r="I10" s="2661">
        <v>0</v>
      </c>
    </row>
    <row r="11" spans="1:11" ht="98.25" customHeight="1" x14ac:dyDescent="0.25">
      <c r="A11" s="2412" t="s">
        <v>849</v>
      </c>
      <c r="B11" s="2663" t="s">
        <v>3474</v>
      </c>
      <c r="C11" s="2879">
        <f>1588.603761+1376.133732</f>
        <v>2964.7374930000001</v>
      </c>
      <c r="D11" s="2664">
        <f>D12+D13+D16+D19+D24+D31+D46</f>
        <v>22414.084750000002</v>
      </c>
      <c r="E11" s="2664">
        <f>E12+E13+E16+E19+E24+E31+E46</f>
        <v>14189.533014999999</v>
      </c>
      <c r="F11" s="2664">
        <f>F12+F13+F16+F19+F24+F31+F46</f>
        <v>8224.5517350000009</v>
      </c>
      <c r="G11" s="2879">
        <f t="shared" si="0"/>
        <v>19449.347257000001</v>
      </c>
      <c r="H11" s="2718">
        <f>D11/C11*100</f>
        <v>756.02257545302348</v>
      </c>
      <c r="I11" s="2879"/>
      <c r="J11" s="2745" t="e">
        <f>J9-D9</f>
        <v>#REF!</v>
      </c>
    </row>
    <row r="12" spans="1:11" s="185" customFormat="1" ht="50.25" customHeight="1" x14ac:dyDescent="0.25">
      <c r="A12" s="2665">
        <v>1</v>
      </c>
      <c r="B12" s="2666" t="s">
        <v>3420</v>
      </c>
      <c r="C12" s="2667"/>
      <c r="D12" s="2668">
        <f>E12</f>
        <v>155.6412</v>
      </c>
      <c r="E12" s="2668">
        <v>155.6412</v>
      </c>
      <c r="F12" s="2669"/>
      <c r="G12" s="2712">
        <f t="shared" si="0"/>
        <v>155.6412</v>
      </c>
      <c r="H12" s="2719"/>
      <c r="I12" s="2662"/>
      <c r="J12" s="2746"/>
      <c r="K12" s="2746"/>
    </row>
    <row r="13" spans="1:11" ht="50.25" customHeight="1" x14ac:dyDescent="0.25">
      <c r="A13" s="2413">
        <v>2</v>
      </c>
      <c r="B13" s="2638" t="s">
        <v>3363</v>
      </c>
      <c r="C13" s="2639"/>
      <c r="D13" s="2640">
        <f>D14+D15</f>
        <v>626</v>
      </c>
      <c r="E13" s="2640">
        <f>E14+E15</f>
        <v>626</v>
      </c>
      <c r="F13" s="2640"/>
      <c r="G13" s="2415">
        <f t="shared" si="0"/>
        <v>626</v>
      </c>
      <c r="H13" s="2720"/>
      <c r="I13" s="2413"/>
    </row>
    <row r="14" spans="1:11" ht="27" customHeight="1" x14ac:dyDescent="0.25">
      <c r="A14" s="2876" t="s">
        <v>711</v>
      </c>
      <c r="B14" s="2636" t="s">
        <v>3364</v>
      </c>
      <c r="C14" s="2637"/>
      <c r="D14" s="2626">
        <v>596</v>
      </c>
      <c r="E14" s="2626">
        <v>596</v>
      </c>
      <c r="F14" s="2626"/>
      <c r="G14" s="2414">
        <f t="shared" si="0"/>
        <v>596</v>
      </c>
      <c r="H14" s="2721"/>
      <c r="I14" s="2876"/>
    </row>
    <row r="15" spans="1:11" ht="27" customHeight="1" x14ac:dyDescent="0.25">
      <c r="A15" s="2876" t="s">
        <v>711</v>
      </c>
      <c r="B15" s="2636" t="s">
        <v>3365</v>
      </c>
      <c r="C15" s="2637"/>
      <c r="D15" s="2626">
        <v>30</v>
      </c>
      <c r="E15" s="2626">
        <v>30</v>
      </c>
      <c r="F15" s="2626"/>
      <c r="G15" s="2414">
        <f t="shared" si="0"/>
        <v>30</v>
      </c>
      <c r="H15" s="2722"/>
      <c r="I15" s="2876"/>
    </row>
    <row r="16" spans="1:11" ht="35.25" customHeight="1" x14ac:dyDescent="0.25">
      <c r="A16" s="2413">
        <v>3</v>
      </c>
      <c r="B16" s="2638" t="s">
        <v>3366</v>
      </c>
      <c r="C16" s="2639"/>
      <c r="D16" s="2640">
        <f>D17+D18</f>
        <v>89</v>
      </c>
      <c r="E16" s="2640">
        <f>E17+E18</f>
        <v>89</v>
      </c>
      <c r="F16" s="2640"/>
      <c r="G16" s="2415">
        <f t="shared" si="0"/>
        <v>89</v>
      </c>
      <c r="H16" s="2723"/>
      <c r="I16" s="2413"/>
    </row>
    <row r="17" spans="1:11" ht="27" customHeight="1" x14ac:dyDescent="0.25">
      <c r="A17" s="2876" t="s">
        <v>711</v>
      </c>
      <c r="B17" s="2636" t="s">
        <v>3367</v>
      </c>
      <c r="C17" s="2637"/>
      <c r="D17" s="2626">
        <v>86</v>
      </c>
      <c r="E17" s="2626">
        <v>86</v>
      </c>
      <c r="F17" s="2626"/>
      <c r="G17" s="2414">
        <f t="shared" si="0"/>
        <v>86</v>
      </c>
      <c r="H17" s="2722"/>
      <c r="I17" s="2876"/>
    </row>
    <row r="18" spans="1:11" ht="27" customHeight="1" x14ac:dyDescent="0.25">
      <c r="A18" s="2876" t="s">
        <v>711</v>
      </c>
      <c r="B18" s="2636" t="s">
        <v>3368</v>
      </c>
      <c r="C18" s="2637"/>
      <c r="D18" s="2626">
        <v>3</v>
      </c>
      <c r="E18" s="2626">
        <v>3</v>
      </c>
      <c r="F18" s="2626"/>
      <c r="G18" s="2414">
        <f t="shared" si="0"/>
        <v>3</v>
      </c>
      <c r="H18" s="2722"/>
      <c r="I18" s="2876"/>
    </row>
    <row r="19" spans="1:11" ht="27" customHeight="1" x14ac:dyDescent="0.25">
      <c r="A19" s="2413">
        <v>4</v>
      </c>
      <c r="B19" s="2624" t="s">
        <v>3475</v>
      </c>
      <c r="C19" s="2415">
        <f>C20+C23</f>
        <v>4910.3115900000003</v>
      </c>
      <c r="D19" s="2640">
        <f>D20+D23</f>
        <v>777.58467799999994</v>
      </c>
      <c r="E19" s="2640">
        <f>E20+E23</f>
        <v>0</v>
      </c>
      <c r="F19" s="2640">
        <f>F20+F23</f>
        <v>777.58467799999994</v>
      </c>
      <c r="G19" s="2415">
        <f t="shared" si="0"/>
        <v>-4132.7269120000001</v>
      </c>
      <c r="H19" s="2723">
        <f>D19/C19*100</f>
        <v>15.835750211525781</v>
      </c>
      <c r="I19" s="2413"/>
    </row>
    <row r="20" spans="1:11" ht="27" customHeight="1" x14ac:dyDescent="0.25">
      <c r="A20" s="2876" t="s">
        <v>2478</v>
      </c>
      <c r="B20" s="2627" t="s">
        <v>1798</v>
      </c>
      <c r="C20" s="2637"/>
      <c r="D20" s="2626">
        <f>D21+D22</f>
        <v>777.58467799999994</v>
      </c>
      <c r="E20" s="2626">
        <f>E21+E22</f>
        <v>0</v>
      </c>
      <c r="F20" s="2626">
        <f>F21+F22</f>
        <v>777.58467799999994</v>
      </c>
      <c r="G20" s="2414">
        <f t="shared" si="0"/>
        <v>777.58467799999994</v>
      </c>
      <c r="H20" s="2722"/>
      <c r="I20" s="2414">
        <v>0</v>
      </c>
    </row>
    <row r="21" spans="1:11" ht="68.25" customHeight="1" x14ac:dyDescent="0.25">
      <c r="A21" s="2876" t="s">
        <v>711</v>
      </c>
      <c r="B21" s="2625" t="s">
        <v>3373</v>
      </c>
      <c r="C21" s="2637"/>
      <c r="D21" s="2626">
        <v>500</v>
      </c>
      <c r="E21" s="2626"/>
      <c r="F21" s="2626">
        <v>500</v>
      </c>
      <c r="G21" s="2414">
        <f t="shared" si="0"/>
        <v>500</v>
      </c>
      <c r="H21" s="2722"/>
      <c r="I21" s="2876"/>
    </row>
    <row r="22" spans="1:11" ht="60.75" customHeight="1" x14ac:dyDescent="0.25">
      <c r="A22" s="2876" t="s">
        <v>711</v>
      </c>
      <c r="B22" s="2625" t="s">
        <v>3314</v>
      </c>
      <c r="C22" s="2637"/>
      <c r="D22" s="2626">
        <v>277.584678</v>
      </c>
      <c r="E22" s="2626"/>
      <c r="F22" s="2626">
        <v>277.584678</v>
      </c>
      <c r="G22" s="2414">
        <f t="shared" si="0"/>
        <v>277.584678</v>
      </c>
      <c r="H22" s="2722"/>
      <c r="I22" s="2876"/>
    </row>
    <row r="23" spans="1:11" ht="50.25" customHeight="1" x14ac:dyDescent="0.25">
      <c r="A23" s="2876">
        <v>2</v>
      </c>
      <c r="B23" s="2625" t="s">
        <v>3374</v>
      </c>
      <c r="C23" s="2637">
        <v>4910.3115900000003</v>
      </c>
      <c r="D23" s="2626"/>
      <c r="E23" s="2626"/>
      <c r="F23" s="2626"/>
      <c r="G23" s="2414">
        <f t="shared" si="0"/>
        <v>-4910.3115900000003</v>
      </c>
      <c r="H23" s="2722">
        <f>D23/C23*100</f>
        <v>0</v>
      </c>
      <c r="I23" s="2876"/>
    </row>
    <row r="24" spans="1:11" ht="50.25" customHeight="1" x14ac:dyDescent="0.25">
      <c r="A24" s="2413">
        <v>5</v>
      </c>
      <c r="B24" s="2624" t="s">
        <v>3375</v>
      </c>
      <c r="C24" s="2639">
        <f>C25+C29</f>
        <v>0</v>
      </c>
      <c r="D24" s="2640">
        <f>D25+D29</f>
        <v>2779.9867210000002</v>
      </c>
      <c r="E24" s="2640">
        <f>E25+E29</f>
        <v>2373.9867210000002</v>
      </c>
      <c r="F24" s="2640">
        <f>F25+F29</f>
        <v>406</v>
      </c>
      <c r="G24" s="2415">
        <f t="shared" si="0"/>
        <v>2779.9867210000002</v>
      </c>
      <c r="H24" s="2723"/>
      <c r="I24" s="2413"/>
    </row>
    <row r="25" spans="1:11" ht="34.5" customHeight="1" x14ac:dyDescent="0.25">
      <c r="A25" s="2413" t="s">
        <v>2429</v>
      </c>
      <c r="B25" s="2642" t="s">
        <v>3330</v>
      </c>
      <c r="C25" s="2639">
        <f>C26+C27+C28</f>
        <v>0</v>
      </c>
      <c r="D25" s="2640">
        <f>D26+D27+D28</f>
        <v>1302.5100809999999</v>
      </c>
      <c r="E25" s="2640">
        <f>E26+E27+E28</f>
        <v>1152.5100809999999</v>
      </c>
      <c r="F25" s="2640">
        <f>F26+F27+F28</f>
        <v>150</v>
      </c>
      <c r="G25" s="2415">
        <f t="shared" si="0"/>
        <v>1302.5100809999999</v>
      </c>
      <c r="H25" s="2723"/>
      <c r="I25" s="2413"/>
    </row>
    <row r="26" spans="1:11" ht="32.25" customHeight="1" x14ac:dyDescent="0.25">
      <c r="A26" s="2876" t="s">
        <v>711</v>
      </c>
      <c r="B26" s="2643" t="s">
        <v>3316</v>
      </c>
      <c r="C26" s="2637"/>
      <c r="D26" s="2626">
        <v>1082.5100809999999</v>
      </c>
      <c r="E26" s="2626">
        <v>1082.5100809999999</v>
      </c>
      <c r="F26" s="2626"/>
      <c r="G26" s="2414">
        <f t="shared" si="0"/>
        <v>1082.5100809999999</v>
      </c>
      <c r="H26" s="2722"/>
      <c r="I26" s="2876"/>
    </row>
    <row r="27" spans="1:11" ht="32.25" customHeight="1" x14ac:dyDescent="0.25">
      <c r="A27" s="2876" t="s">
        <v>711</v>
      </c>
      <c r="B27" s="2643" t="s">
        <v>3320</v>
      </c>
      <c r="C27" s="2637"/>
      <c r="D27" s="2626">
        <v>70</v>
      </c>
      <c r="E27" s="2626">
        <v>70</v>
      </c>
      <c r="F27" s="2626"/>
      <c r="G27" s="2414">
        <f t="shared" si="0"/>
        <v>70</v>
      </c>
      <c r="H27" s="2722"/>
      <c r="I27" s="2876"/>
    </row>
    <row r="28" spans="1:11" ht="32.25" customHeight="1" x14ac:dyDescent="0.25">
      <c r="A28" s="2876" t="s">
        <v>711</v>
      </c>
      <c r="B28" s="2644" t="s">
        <v>3317</v>
      </c>
      <c r="C28" s="2637"/>
      <c r="D28" s="2626">
        <v>150</v>
      </c>
      <c r="E28" s="2626"/>
      <c r="F28" s="2626">
        <v>150</v>
      </c>
      <c r="G28" s="2414">
        <f t="shared" si="0"/>
        <v>150</v>
      </c>
      <c r="H28" s="2722"/>
      <c r="I28" s="2876"/>
    </row>
    <row r="29" spans="1:11" ht="32.25" customHeight="1" x14ac:dyDescent="0.25">
      <c r="A29" s="2413" t="s">
        <v>2430</v>
      </c>
      <c r="B29" s="2624" t="s">
        <v>3376</v>
      </c>
      <c r="C29" s="2639">
        <f>C30</f>
        <v>0</v>
      </c>
      <c r="D29" s="2640">
        <f>D30</f>
        <v>1477.4766400000001</v>
      </c>
      <c r="E29" s="2640">
        <f>E30</f>
        <v>1221.4766400000001</v>
      </c>
      <c r="F29" s="2640">
        <f>F30</f>
        <v>256</v>
      </c>
      <c r="G29" s="2415">
        <f t="shared" si="0"/>
        <v>1477.4766400000001</v>
      </c>
      <c r="H29" s="2723"/>
      <c r="I29" s="2413"/>
    </row>
    <row r="30" spans="1:11" ht="32.25" customHeight="1" x14ac:dyDescent="0.25">
      <c r="A30" s="2876" t="s">
        <v>711</v>
      </c>
      <c r="B30" s="2645" t="s">
        <v>3313</v>
      </c>
      <c r="C30" s="2637"/>
      <c r="D30" s="2626">
        <v>1477.4766400000001</v>
      </c>
      <c r="E30" s="2626">
        <v>1221.4766400000001</v>
      </c>
      <c r="F30" s="2626">
        <v>256</v>
      </c>
      <c r="G30" s="2414">
        <f t="shared" si="0"/>
        <v>1477.4766400000001</v>
      </c>
      <c r="H30" s="2722"/>
      <c r="I30" s="2876"/>
      <c r="J30" s="2294">
        <f>1872925335*12.5%</f>
        <v>234115666.875</v>
      </c>
    </row>
    <row r="31" spans="1:11" ht="32.25" customHeight="1" x14ac:dyDescent="0.25">
      <c r="A31" s="2413">
        <v>6</v>
      </c>
      <c r="B31" s="2624" t="s">
        <v>3377</v>
      </c>
      <c r="C31" s="2639"/>
      <c r="D31" s="2640">
        <v>4378.3481510000001</v>
      </c>
      <c r="E31" s="2640">
        <f>E32</f>
        <v>510.38109400000002</v>
      </c>
      <c r="F31" s="2640">
        <f>F32</f>
        <v>3867.9670570000003</v>
      </c>
      <c r="G31" s="2415">
        <f t="shared" si="0"/>
        <v>4378.3481510000001</v>
      </c>
      <c r="H31" s="2723"/>
      <c r="I31" s="2413"/>
      <c r="J31" s="2294">
        <f>J30*4</f>
        <v>936462667.5</v>
      </c>
      <c r="K31" s="2640">
        <v>510.38109400000002</v>
      </c>
    </row>
    <row r="32" spans="1:11" ht="32.25" customHeight="1" x14ac:dyDescent="0.25">
      <c r="A32" s="2876" t="s">
        <v>1345</v>
      </c>
      <c r="B32" s="2625" t="s">
        <v>3330</v>
      </c>
      <c r="C32" s="2637">
        <f>C33+C34+C35+C36+C37+C38+C39+C41+C40+C42+C43+C44+C45</f>
        <v>0</v>
      </c>
      <c r="D32" s="2626">
        <f>D33+D34+D35+D36+D37+D38+D39+D41+D40+D42+D43+D44+D45</f>
        <v>4378.3481510000001</v>
      </c>
      <c r="E32" s="2626">
        <f>E33+E34+E35+E36+E37+E38+E39+E41+E40+E42+E43+E44+E45</f>
        <v>510.38109400000002</v>
      </c>
      <c r="F32" s="2626">
        <f>F33+F34+F35+F36+F37+F38+F39+F41+F40+F42+F43+F44+F45</f>
        <v>3867.9670570000003</v>
      </c>
      <c r="G32" s="2414">
        <f t="shared" si="0"/>
        <v>4378.3481510000001</v>
      </c>
      <c r="H32" s="2722"/>
      <c r="I32" s="2876"/>
      <c r="J32" s="2294">
        <f>1872925335-J31</f>
        <v>936462667.5</v>
      </c>
    </row>
    <row r="33" spans="1:10" ht="32.25" customHeight="1" x14ac:dyDescent="0.25">
      <c r="A33" s="2876" t="s">
        <v>711</v>
      </c>
      <c r="B33" s="2627" t="s">
        <v>3378</v>
      </c>
      <c r="C33" s="2637"/>
      <c r="D33" s="2626">
        <v>6.0119999999999996</v>
      </c>
      <c r="E33" s="2626"/>
      <c r="F33" s="2626">
        <v>6.0119999999999996</v>
      </c>
      <c r="G33" s="2414">
        <f t="shared" si="0"/>
        <v>6.0119999999999996</v>
      </c>
      <c r="H33" s="2722"/>
      <c r="I33" s="2876"/>
    </row>
    <row r="34" spans="1:10" ht="32.25" customHeight="1" x14ac:dyDescent="0.25">
      <c r="A34" s="2876" t="s">
        <v>711</v>
      </c>
      <c r="B34" s="2627" t="s">
        <v>3304</v>
      </c>
      <c r="C34" s="2637"/>
      <c r="D34" s="2626">
        <v>190</v>
      </c>
      <c r="E34" s="2626"/>
      <c r="F34" s="2626">
        <v>190</v>
      </c>
      <c r="G34" s="2414">
        <f t="shared" si="0"/>
        <v>190</v>
      </c>
      <c r="H34" s="2722"/>
      <c r="I34" s="2876"/>
    </row>
    <row r="35" spans="1:10" ht="32.25" customHeight="1" x14ac:dyDescent="0.25">
      <c r="A35" s="2876" t="s">
        <v>711</v>
      </c>
      <c r="B35" s="2627" t="s">
        <v>3307</v>
      </c>
      <c r="C35" s="2637"/>
      <c r="D35" s="2626">
        <v>767.5231</v>
      </c>
      <c r="E35" s="2626">
        <v>122.12309999999999</v>
      </c>
      <c r="F35" s="2626">
        <v>645.4</v>
      </c>
      <c r="G35" s="2414">
        <f t="shared" si="0"/>
        <v>767.5231</v>
      </c>
      <c r="H35" s="2722"/>
      <c r="I35" s="2876"/>
      <c r="J35" s="2626">
        <v>122.12309999999999</v>
      </c>
    </row>
    <row r="36" spans="1:10" ht="32.25" customHeight="1" x14ac:dyDescent="0.25">
      <c r="A36" s="2876" t="s">
        <v>711</v>
      </c>
      <c r="B36" s="2627" t="s">
        <v>3306</v>
      </c>
      <c r="C36" s="2637"/>
      <c r="D36" s="2626">
        <v>290.67175700000001</v>
      </c>
      <c r="E36" s="2626"/>
      <c r="F36" s="2626">
        <v>290.67175700000001</v>
      </c>
      <c r="G36" s="2414">
        <f t="shared" si="0"/>
        <v>290.67175700000001</v>
      </c>
      <c r="H36" s="2722"/>
      <c r="I36" s="2876"/>
    </row>
    <row r="37" spans="1:10" ht="32.25" customHeight="1" x14ac:dyDescent="0.25">
      <c r="A37" s="2876" t="s">
        <v>711</v>
      </c>
      <c r="B37" s="2627" t="s">
        <v>3301</v>
      </c>
      <c r="C37" s="2637"/>
      <c r="D37" s="2626">
        <v>1336</v>
      </c>
      <c r="E37" s="2626"/>
      <c r="F37" s="2626">
        <v>1336</v>
      </c>
      <c r="G37" s="2414">
        <f t="shared" si="0"/>
        <v>1336</v>
      </c>
      <c r="H37" s="2722"/>
      <c r="I37" s="2876"/>
    </row>
    <row r="38" spans="1:10" ht="32.25" customHeight="1" x14ac:dyDescent="0.25">
      <c r="A38" s="2876" t="s">
        <v>711</v>
      </c>
      <c r="B38" s="2627" t="s">
        <v>3301</v>
      </c>
      <c r="C38" s="2637"/>
      <c r="D38" s="2626">
        <v>4.8662939999999999</v>
      </c>
      <c r="E38" s="2626">
        <v>4.8662939999999999</v>
      </c>
      <c r="F38" s="2626"/>
      <c r="G38" s="2414">
        <f t="shared" si="0"/>
        <v>4.8662939999999999</v>
      </c>
      <c r="H38" s="2722"/>
      <c r="I38" s="2876"/>
    </row>
    <row r="39" spans="1:10" ht="32.25" customHeight="1" x14ac:dyDescent="0.25">
      <c r="A39" s="2876" t="s">
        <v>711</v>
      </c>
      <c r="B39" s="2627" t="s">
        <v>3305</v>
      </c>
      <c r="C39" s="2637"/>
      <c r="D39" s="2626">
        <v>108</v>
      </c>
      <c r="E39" s="2626"/>
      <c r="F39" s="2626">
        <v>108</v>
      </c>
      <c r="G39" s="2414">
        <f t="shared" si="0"/>
        <v>108</v>
      </c>
      <c r="H39" s="2722"/>
      <c r="I39" s="2876"/>
    </row>
    <row r="40" spans="1:10" ht="32.25" customHeight="1" x14ac:dyDescent="0.25">
      <c r="A40" s="2876" t="s">
        <v>711</v>
      </c>
      <c r="B40" s="2627" t="s">
        <v>3302</v>
      </c>
      <c r="C40" s="2637"/>
      <c r="D40" s="2626">
        <v>261.69029999999998</v>
      </c>
      <c r="E40" s="2626"/>
      <c r="F40" s="2626">
        <v>261.69029999999998</v>
      </c>
      <c r="G40" s="2414">
        <f t="shared" si="0"/>
        <v>261.69029999999998</v>
      </c>
      <c r="H40" s="2722"/>
      <c r="I40" s="2876"/>
    </row>
    <row r="41" spans="1:10" ht="32.25" customHeight="1" x14ac:dyDescent="0.25">
      <c r="A41" s="2876" t="s">
        <v>711</v>
      </c>
      <c r="B41" s="2627" t="s">
        <v>3303</v>
      </c>
      <c r="C41" s="2637"/>
      <c r="D41" s="2626">
        <v>188.5034</v>
      </c>
      <c r="E41" s="2626">
        <v>188.5034</v>
      </c>
      <c r="F41" s="2626"/>
      <c r="G41" s="2414">
        <f t="shared" si="0"/>
        <v>188.5034</v>
      </c>
      <c r="H41" s="2722"/>
      <c r="I41" s="2876"/>
    </row>
    <row r="42" spans="1:10" ht="32.25" customHeight="1" x14ac:dyDescent="0.25">
      <c r="A42" s="2876" t="s">
        <v>711</v>
      </c>
      <c r="B42" s="2627" t="s">
        <v>3308</v>
      </c>
      <c r="C42" s="2637"/>
      <c r="D42" s="2626">
        <v>143.2073</v>
      </c>
      <c r="E42" s="2626">
        <v>143.2073</v>
      </c>
      <c r="F42" s="2626"/>
      <c r="G42" s="2414">
        <f t="shared" si="0"/>
        <v>143.2073</v>
      </c>
      <c r="H42" s="2722"/>
      <c r="I42" s="2876"/>
    </row>
    <row r="43" spans="1:10" ht="32.25" customHeight="1" x14ac:dyDescent="0.25">
      <c r="A43" s="2876" t="s">
        <v>711</v>
      </c>
      <c r="B43" s="2627" t="s">
        <v>3309</v>
      </c>
      <c r="C43" s="2637"/>
      <c r="D43" s="2626">
        <v>51.680999999999997</v>
      </c>
      <c r="E43" s="2626">
        <v>51.680999999999997</v>
      </c>
      <c r="F43" s="2626"/>
      <c r="G43" s="2414">
        <f t="shared" si="0"/>
        <v>51.680999999999997</v>
      </c>
      <c r="H43" s="2722"/>
      <c r="I43" s="2876"/>
    </row>
    <row r="44" spans="1:10" ht="32.25" customHeight="1" x14ac:dyDescent="0.25">
      <c r="A44" s="2876" t="s">
        <v>711</v>
      </c>
      <c r="B44" s="2627" t="s">
        <v>3318</v>
      </c>
      <c r="C44" s="2637"/>
      <c r="D44" s="2626">
        <v>954.1</v>
      </c>
      <c r="E44" s="2626"/>
      <c r="F44" s="2626">
        <v>954.1</v>
      </c>
      <c r="G44" s="2414">
        <f t="shared" si="0"/>
        <v>954.1</v>
      </c>
      <c r="H44" s="2722"/>
      <c r="I44" s="2876"/>
    </row>
    <row r="45" spans="1:10" ht="32.25" customHeight="1" x14ac:dyDescent="0.25">
      <c r="A45" s="2876" t="s">
        <v>711</v>
      </c>
      <c r="B45" s="2627" t="s">
        <v>3379</v>
      </c>
      <c r="C45" s="2637"/>
      <c r="D45" s="2626">
        <v>76.093000000000004</v>
      </c>
      <c r="E45" s="2626"/>
      <c r="F45" s="2626">
        <v>76.093000000000004</v>
      </c>
      <c r="G45" s="2414">
        <f t="shared" si="0"/>
        <v>76.093000000000004</v>
      </c>
      <c r="H45" s="2722"/>
      <c r="I45" s="2876"/>
    </row>
    <row r="46" spans="1:10" ht="32.25" customHeight="1" x14ac:dyDescent="0.25">
      <c r="A46" s="2646">
        <v>7</v>
      </c>
      <c r="B46" s="2413" t="s">
        <v>3380</v>
      </c>
      <c r="C46" s="2639">
        <f>C47</f>
        <v>0</v>
      </c>
      <c r="D46" s="2640">
        <f>D47</f>
        <v>13607.523999999999</v>
      </c>
      <c r="E46" s="2640">
        <f>E47</f>
        <v>10434.523999999999</v>
      </c>
      <c r="F46" s="2640">
        <f>F47</f>
        <v>3173</v>
      </c>
      <c r="G46" s="2415">
        <f t="shared" si="0"/>
        <v>13607.523999999999</v>
      </c>
      <c r="H46" s="2723"/>
      <c r="I46" s="2415">
        <v>0</v>
      </c>
    </row>
    <row r="47" spans="1:10" ht="32.25" customHeight="1" x14ac:dyDescent="0.25">
      <c r="A47" s="2876" t="s">
        <v>1574</v>
      </c>
      <c r="B47" s="2625" t="s">
        <v>3330</v>
      </c>
      <c r="C47" s="2637">
        <f>SUM(C48:C58)</f>
        <v>0</v>
      </c>
      <c r="D47" s="2626">
        <f>SUM(D48:D58)</f>
        <v>13607.523999999999</v>
      </c>
      <c r="E47" s="2626">
        <f>SUM(E48:E58)</f>
        <v>10434.523999999999</v>
      </c>
      <c r="F47" s="2626">
        <f>SUM(F48:F58)</f>
        <v>3173</v>
      </c>
      <c r="G47" s="2414">
        <f t="shared" si="0"/>
        <v>13607.523999999999</v>
      </c>
      <c r="H47" s="2722"/>
      <c r="I47" s="2414">
        <v>0</v>
      </c>
      <c r="J47" s="2813">
        <f>F47+86.6</f>
        <v>3259.6</v>
      </c>
    </row>
    <row r="48" spans="1:10" ht="32.25" customHeight="1" x14ac:dyDescent="0.25">
      <c r="A48" s="2876" t="s">
        <v>711</v>
      </c>
      <c r="B48" s="2625" t="s">
        <v>3310</v>
      </c>
      <c r="C48" s="2637"/>
      <c r="D48" s="2626">
        <v>1319.5</v>
      </c>
      <c r="E48" s="2626">
        <v>1319.5</v>
      </c>
      <c r="F48" s="2626"/>
      <c r="G48" s="2414">
        <f t="shared" si="0"/>
        <v>1319.5</v>
      </c>
      <c r="H48" s="2722"/>
      <c r="I48" s="2876"/>
    </row>
    <row r="49" spans="1:11" ht="32.25" customHeight="1" x14ac:dyDescent="0.25">
      <c r="A49" s="2876" t="s">
        <v>711</v>
      </c>
      <c r="B49" s="2625" t="s">
        <v>3311</v>
      </c>
      <c r="C49" s="2637"/>
      <c r="D49" s="2626">
        <v>525</v>
      </c>
      <c r="E49" s="2626">
        <v>525</v>
      </c>
      <c r="F49" s="2626"/>
      <c r="G49" s="2414">
        <f t="shared" si="0"/>
        <v>525</v>
      </c>
      <c r="H49" s="2722"/>
      <c r="I49" s="2876"/>
    </row>
    <row r="50" spans="1:11" ht="32.25" customHeight="1" x14ac:dyDescent="0.25">
      <c r="A50" s="2876" t="s">
        <v>711</v>
      </c>
      <c r="B50" s="2625" t="s">
        <v>3312</v>
      </c>
      <c r="C50" s="2637"/>
      <c r="D50" s="2626">
        <v>860.5</v>
      </c>
      <c r="E50" s="2626">
        <v>860.5</v>
      </c>
      <c r="F50" s="2626"/>
      <c r="G50" s="2414">
        <f t="shared" si="0"/>
        <v>860.5</v>
      </c>
      <c r="H50" s="2722"/>
      <c r="I50" s="2876"/>
    </row>
    <row r="51" spans="1:11" ht="32.25" customHeight="1" x14ac:dyDescent="0.25">
      <c r="A51" s="2876" t="s">
        <v>711</v>
      </c>
      <c r="B51" s="2625" t="s">
        <v>3321</v>
      </c>
      <c r="C51" s="2637"/>
      <c r="D51" s="2626">
        <v>55.5</v>
      </c>
      <c r="E51" s="2626">
        <v>55.5</v>
      </c>
      <c r="F51" s="2626"/>
      <c r="G51" s="2414">
        <f t="shared" si="0"/>
        <v>55.5</v>
      </c>
      <c r="H51" s="2722"/>
      <c r="I51" s="2876"/>
    </row>
    <row r="52" spans="1:11" ht="32.25" customHeight="1" x14ac:dyDescent="0.25">
      <c r="A52" s="2876" t="s">
        <v>711</v>
      </c>
      <c r="B52" s="2625" t="s">
        <v>3322</v>
      </c>
      <c r="C52" s="2637"/>
      <c r="D52" s="2626">
        <v>113</v>
      </c>
      <c r="E52" s="2626">
        <v>113</v>
      </c>
      <c r="F52" s="2626"/>
      <c r="G52" s="2414">
        <f t="shared" si="0"/>
        <v>113</v>
      </c>
      <c r="H52" s="2722"/>
      <c r="I52" s="2876"/>
    </row>
    <row r="53" spans="1:11" ht="32.25" customHeight="1" x14ac:dyDescent="0.25">
      <c r="A53" s="2876" t="s">
        <v>711</v>
      </c>
      <c r="B53" s="2625" t="s">
        <v>3492</v>
      </c>
      <c r="C53" s="2637"/>
      <c r="D53" s="2626">
        <v>3853.3409999999999</v>
      </c>
      <c r="E53" s="2626">
        <v>2588.3409999999999</v>
      </c>
      <c r="F53" s="2626">
        <v>1265</v>
      </c>
      <c r="G53" s="2414">
        <f t="shared" si="0"/>
        <v>3853.3409999999999</v>
      </c>
      <c r="H53" s="2722"/>
      <c r="I53" s="2876"/>
      <c r="J53" s="2626">
        <v>2588.3409999999999</v>
      </c>
      <c r="K53" s="2745">
        <f>E53+E48</f>
        <v>3907.8409999999999</v>
      </c>
    </row>
    <row r="54" spans="1:11" ht="32.25" customHeight="1" x14ac:dyDescent="0.25">
      <c r="A54" s="2876" t="s">
        <v>711</v>
      </c>
      <c r="B54" s="2625" t="s">
        <v>3311</v>
      </c>
      <c r="C54" s="2637"/>
      <c r="D54" s="2626">
        <v>1373.8434</v>
      </c>
      <c r="E54" s="2626">
        <v>899.84339999999997</v>
      </c>
      <c r="F54" s="2626">
        <v>474</v>
      </c>
      <c r="G54" s="2414">
        <f t="shared" si="0"/>
        <v>1373.8434</v>
      </c>
      <c r="H54" s="2722"/>
      <c r="I54" s="2876"/>
      <c r="J54" s="2626">
        <v>899.84339999999997</v>
      </c>
      <c r="K54" s="2745">
        <f>E54+E49</f>
        <v>1424.8434</v>
      </c>
    </row>
    <row r="55" spans="1:11" ht="32.25" customHeight="1" x14ac:dyDescent="0.25">
      <c r="A55" s="2876" t="s">
        <v>711</v>
      </c>
      <c r="B55" s="2625" t="s">
        <v>3312</v>
      </c>
      <c r="C55" s="2637"/>
      <c r="D55" s="2626">
        <v>2686.9670999999998</v>
      </c>
      <c r="E55" s="2626">
        <v>1252.9671000000001</v>
      </c>
      <c r="F55" s="2626">
        <v>1434</v>
      </c>
      <c r="G55" s="2414">
        <f t="shared" si="0"/>
        <v>2686.9670999999998</v>
      </c>
      <c r="H55" s="2722"/>
      <c r="I55" s="2876"/>
      <c r="J55" s="2626">
        <v>1252.9671000000001</v>
      </c>
      <c r="K55" s="2745">
        <f>E55+E50</f>
        <v>2113.4670999999998</v>
      </c>
    </row>
    <row r="56" spans="1:11" ht="32.25" customHeight="1" x14ac:dyDescent="0.25">
      <c r="A56" s="2876" t="s">
        <v>711</v>
      </c>
      <c r="B56" s="2625" t="s">
        <v>3319</v>
      </c>
      <c r="C56" s="2637"/>
      <c r="D56" s="2626">
        <v>103.81950000000001</v>
      </c>
      <c r="E56" s="2626">
        <v>103.81950000000001</v>
      </c>
      <c r="F56" s="2626"/>
      <c r="G56" s="2414">
        <f t="shared" si="0"/>
        <v>103.81950000000001</v>
      </c>
      <c r="H56" s="2722"/>
      <c r="I56" s="2876"/>
    </row>
    <row r="57" spans="1:11" ht="32.25" customHeight="1" x14ac:dyDescent="0.25">
      <c r="A57" s="2876" t="s">
        <v>711</v>
      </c>
      <c r="B57" s="2625" t="s">
        <v>3321</v>
      </c>
      <c r="C57" s="2637"/>
      <c r="D57" s="2626">
        <v>900.70299999999997</v>
      </c>
      <c r="E57" s="2812">
        <v>900.70299999999997</v>
      </c>
      <c r="F57" s="2626"/>
      <c r="G57" s="2414">
        <f t="shared" si="0"/>
        <v>900.70299999999997</v>
      </c>
      <c r="H57" s="2722"/>
      <c r="I57" s="2876"/>
      <c r="J57" s="2745">
        <f>E57+E51</f>
        <v>956.20299999999997</v>
      </c>
    </row>
    <row r="58" spans="1:11" ht="32.25" customHeight="1" x14ac:dyDescent="0.25">
      <c r="A58" s="2876" t="s">
        <v>711</v>
      </c>
      <c r="B58" s="2625" t="s">
        <v>3322</v>
      </c>
      <c r="C58" s="2637"/>
      <c r="D58" s="2626">
        <v>1815.35</v>
      </c>
      <c r="E58" s="2812">
        <v>1815.35</v>
      </c>
      <c r="F58" s="2626"/>
      <c r="G58" s="2414">
        <f t="shared" si="0"/>
        <v>1815.35</v>
      </c>
      <c r="H58" s="2722"/>
      <c r="I58" s="2876"/>
      <c r="J58" s="2745">
        <f>E58+E52</f>
        <v>1928.35</v>
      </c>
    </row>
    <row r="59" spans="1:11" ht="50.25" customHeight="1" x14ac:dyDescent="0.25">
      <c r="A59" s="2413" t="s">
        <v>866</v>
      </c>
      <c r="B59" s="2624" t="s">
        <v>3115</v>
      </c>
      <c r="C59" s="2415">
        <v>1102.672718</v>
      </c>
      <c r="D59" s="2640">
        <f>D60+D61</f>
        <v>12790.687687</v>
      </c>
      <c r="E59" s="2640">
        <f>E60+E61</f>
        <v>12790.687687</v>
      </c>
      <c r="F59" s="2640">
        <f>F60+F61</f>
        <v>0</v>
      </c>
      <c r="G59" s="2415">
        <f t="shared" si="0"/>
        <v>11688.014969</v>
      </c>
      <c r="H59" s="2723">
        <f>D59/C59*100</f>
        <v>1159.9713567049546</v>
      </c>
      <c r="I59" s="2413"/>
    </row>
    <row r="60" spans="1:11" s="1118" customFormat="1" ht="18.75" customHeight="1" x14ac:dyDescent="0.2">
      <c r="A60" s="2622">
        <v>1</v>
      </c>
      <c r="B60" s="2647" t="s">
        <v>3369</v>
      </c>
      <c r="C60" s="2648"/>
      <c r="D60" s="2649">
        <f>E60</f>
        <v>12763.616776999999</v>
      </c>
      <c r="E60" s="2649">
        <f>11328.032755+1435.584022</f>
        <v>12763.616776999999</v>
      </c>
      <c r="F60" s="2649"/>
      <c r="G60" s="2650">
        <f t="shared" si="0"/>
        <v>12763.616776999999</v>
      </c>
      <c r="H60" s="2723"/>
      <c r="I60" s="2622"/>
      <c r="J60" s="2611"/>
      <c r="K60" s="2611"/>
    </row>
    <row r="61" spans="1:11" ht="18.75" customHeight="1" x14ac:dyDescent="0.25">
      <c r="A61" s="2413">
        <v>2</v>
      </c>
      <c r="B61" s="2624" t="s">
        <v>2935</v>
      </c>
      <c r="C61" s="2651"/>
      <c r="D61" s="2640">
        <f>SUM(D62:D72)</f>
        <v>27.070909999999998</v>
      </c>
      <c r="E61" s="2640">
        <f>SUM(E62:E72)</f>
        <v>27.070909999999998</v>
      </c>
      <c r="F61" s="2640">
        <v>0</v>
      </c>
      <c r="G61" s="2415">
        <f t="shared" si="0"/>
        <v>27.070909999999998</v>
      </c>
      <c r="H61" s="2723"/>
      <c r="I61" s="2416"/>
    </row>
    <row r="62" spans="1:11" ht="18.75" customHeight="1" x14ac:dyDescent="0.25">
      <c r="A62" s="2876">
        <v>1</v>
      </c>
      <c r="B62" s="2625" t="s">
        <v>2937</v>
      </c>
      <c r="C62" s="2637"/>
      <c r="D62" s="2626">
        <v>0.3</v>
      </c>
      <c r="E62" s="2417">
        <v>0.3</v>
      </c>
      <c r="F62" s="2626"/>
      <c r="G62" s="2414">
        <f t="shared" si="0"/>
        <v>0.3</v>
      </c>
      <c r="H62" s="2722"/>
      <c r="I62" s="2418"/>
    </row>
    <row r="63" spans="1:11" ht="18.75" customHeight="1" x14ac:dyDescent="0.25">
      <c r="A63" s="2876">
        <v>2</v>
      </c>
      <c r="B63" s="2652" t="s">
        <v>2938</v>
      </c>
      <c r="C63" s="2637"/>
      <c r="D63" s="2626">
        <v>1.6205149999999999</v>
      </c>
      <c r="E63" s="2417">
        <v>1.6205149999999999</v>
      </c>
      <c r="F63" s="2626"/>
      <c r="G63" s="2414">
        <f t="shared" si="0"/>
        <v>1.6205149999999999</v>
      </c>
      <c r="H63" s="2722"/>
      <c r="I63" s="2418"/>
    </row>
    <row r="64" spans="1:11" ht="18.75" customHeight="1" x14ac:dyDescent="0.25">
      <c r="A64" s="2876">
        <v>3</v>
      </c>
      <c r="B64" s="2877" t="s">
        <v>2939</v>
      </c>
      <c r="C64" s="2637"/>
      <c r="D64" s="2626">
        <v>0.60389400000000004</v>
      </c>
      <c r="E64" s="2417">
        <v>0.60389400000000004</v>
      </c>
      <c r="F64" s="2626"/>
      <c r="G64" s="2414">
        <f t="shared" si="0"/>
        <v>0.60389400000000004</v>
      </c>
      <c r="H64" s="2722"/>
      <c r="I64" s="2418"/>
    </row>
    <row r="65" spans="1:9" ht="18.75" customHeight="1" x14ac:dyDescent="0.25">
      <c r="A65" s="2876">
        <v>4</v>
      </c>
      <c r="B65" s="2877" t="s">
        <v>2940</v>
      </c>
      <c r="C65" s="2637"/>
      <c r="D65" s="2626">
        <v>0.29799999999999999</v>
      </c>
      <c r="E65" s="2417">
        <v>0.29799999999999999</v>
      </c>
      <c r="F65" s="2626"/>
      <c r="G65" s="2414">
        <f t="shared" si="0"/>
        <v>0.29799999999999999</v>
      </c>
      <c r="H65" s="2722"/>
      <c r="I65" s="2418"/>
    </row>
    <row r="66" spans="1:9" ht="18.75" customHeight="1" x14ac:dyDescent="0.25">
      <c r="A66" s="2876">
        <v>5</v>
      </c>
      <c r="B66" s="2877" t="s">
        <v>2941</v>
      </c>
      <c r="C66" s="2637"/>
      <c r="D66" s="2626">
        <v>0.01</v>
      </c>
      <c r="E66" s="2417">
        <v>0.01</v>
      </c>
      <c r="F66" s="2626"/>
      <c r="G66" s="2414">
        <f t="shared" si="0"/>
        <v>0.01</v>
      </c>
      <c r="H66" s="2722"/>
      <c r="I66" s="2418"/>
    </row>
    <row r="67" spans="1:9" ht="18.75" customHeight="1" x14ac:dyDescent="0.25">
      <c r="A67" s="2876">
        <v>6</v>
      </c>
      <c r="B67" s="2877" t="s">
        <v>2942</v>
      </c>
      <c r="C67" s="2637"/>
      <c r="D67" s="2626">
        <v>1.252707</v>
      </c>
      <c r="E67" s="2417">
        <v>1.252707</v>
      </c>
      <c r="F67" s="2626"/>
      <c r="G67" s="2414">
        <f t="shared" si="0"/>
        <v>1.252707</v>
      </c>
      <c r="H67" s="2722"/>
      <c r="I67" s="2418"/>
    </row>
    <row r="68" spans="1:9" ht="18.75" customHeight="1" x14ac:dyDescent="0.25">
      <c r="A68" s="2876">
        <v>7</v>
      </c>
      <c r="B68" s="2877" t="s">
        <v>2943</v>
      </c>
      <c r="C68" s="2637"/>
      <c r="D68" s="2626">
        <v>0.19089200000000001</v>
      </c>
      <c r="E68" s="2417">
        <v>0.19089200000000001</v>
      </c>
      <c r="F68" s="2626"/>
      <c r="G68" s="2414">
        <f t="shared" si="0"/>
        <v>0.19089200000000001</v>
      </c>
      <c r="H68" s="2722"/>
      <c r="I68" s="2418"/>
    </row>
    <row r="69" spans="1:9" ht="18.75" customHeight="1" x14ac:dyDescent="0.25">
      <c r="A69" s="4597">
        <v>8</v>
      </c>
      <c r="B69" s="4599" t="s">
        <v>2944</v>
      </c>
      <c r="C69" s="2637"/>
      <c r="D69" s="2626">
        <v>14.9</v>
      </c>
      <c r="E69" s="2417">
        <v>14.9</v>
      </c>
      <c r="F69" s="2626"/>
      <c r="G69" s="2414">
        <f t="shared" si="0"/>
        <v>14.9</v>
      </c>
      <c r="H69" s="2722"/>
      <c r="I69" s="2418"/>
    </row>
    <row r="70" spans="1:9" ht="18.75" customHeight="1" x14ac:dyDescent="0.25">
      <c r="A70" s="4598"/>
      <c r="B70" s="4600"/>
      <c r="C70" s="2637"/>
      <c r="D70" s="2626">
        <v>1.5983970000000001</v>
      </c>
      <c r="E70" s="2417">
        <v>1.5983970000000001</v>
      </c>
      <c r="F70" s="2626"/>
      <c r="G70" s="2414">
        <f t="shared" si="0"/>
        <v>1.5983970000000001</v>
      </c>
      <c r="H70" s="2722"/>
      <c r="I70" s="2418"/>
    </row>
    <row r="71" spans="1:9" ht="18.75" customHeight="1" x14ac:dyDescent="0.25">
      <c r="A71" s="4597">
        <v>9</v>
      </c>
      <c r="B71" s="4599" t="s">
        <v>2945</v>
      </c>
      <c r="C71" s="2637"/>
      <c r="D71" s="2626">
        <v>1.0815049999999999</v>
      </c>
      <c r="E71" s="2417">
        <v>1.0815049999999999</v>
      </c>
      <c r="F71" s="2626"/>
      <c r="G71" s="2414">
        <f t="shared" si="0"/>
        <v>1.0815049999999999</v>
      </c>
      <c r="H71" s="2722"/>
      <c r="I71" s="2418"/>
    </row>
    <row r="72" spans="1:9" ht="18.75" customHeight="1" x14ac:dyDescent="0.25">
      <c r="A72" s="4598"/>
      <c r="B72" s="4600"/>
      <c r="C72" s="2637"/>
      <c r="D72" s="2626">
        <v>5.2149999999999999</v>
      </c>
      <c r="E72" s="2417">
        <v>5.2149999999999999</v>
      </c>
      <c r="F72" s="2626"/>
      <c r="G72" s="2414">
        <f t="shared" si="0"/>
        <v>5.2149999999999999</v>
      </c>
      <c r="H72" s="2722"/>
      <c r="I72" s="2418"/>
    </row>
    <row r="73" spans="1:9" ht="50.25" customHeight="1" x14ac:dyDescent="0.25">
      <c r="A73" s="2413" t="s">
        <v>872</v>
      </c>
      <c r="B73" s="2638" t="s">
        <v>156</v>
      </c>
      <c r="C73" s="2641">
        <f>200+85.646271</f>
        <v>285.64627100000001</v>
      </c>
      <c r="D73" s="2640">
        <f>SUM(D81:D98)</f>
        <v>723.25393199999996</v>
      </c>
      <c r="E73" s="2640">
        <f>SUM(E81:E98)</f>
        <v>723.25393199999996</v>
      </c>
      <c r="F73" s="2640">
        <v>0</v>
      </c>
      <c r="G73" s="2415">
        <f t="shared" ref="G73:G152" si="1">D73-C73</f>
        <v>437.60766099999995</v>
      </c>
      <c r="H73" s="2723">
        <f>D73/C73*100</f>
        <v>253.19915063760797</v>
      </c>
      <c r="I73" s="2416"/>
    </row>
    <row r="74" spans="1:9" s="2818" customFormat="1" ht="27" customHeight="1" x14ac:dyDescent="0.25">
      <c r="A74" s="2837">
        <v>1</v>
      </c>
      <c r="B74" s="2851" t="s">
        <v>2940</v>
      </c>
      <c r="C74" s="2838"/>
      <c r="D74" s="2839">
        <v>1.265112</v>
      </c>
      <c r="E74" s="2840">
        <v>1.265112</v>
      </c>
      <c r="F74" s="2839"/>
      <c r="G74" s="2852">
        <f t="shared" si="1"/>
        <v>1.265112</v>
      </c>
      <c r="H74" s="2841"/>
      <c r="I74" s="2842"/>
    </row>
    <row r="75" spans="1:9" s="2818" customFormat="1" ht="27" customHeight="1" x14ac:dyDescent="0.25">
      <c r="A75" s="2837">
        <v>2</v>
      </c>
      <c r="B75" s="2851" t="s">
        <v>3500</v>
      </c>
      <c r="C75" s="2838"/>
      <c r="D75" s="2839">
        <v>13.922560000000001</v>
      </c>
      <c r="E75" s="2840">
        <v>13.922560000000001</v>
      </c>
      <c r="F75" s="2839"/>
      <c r="G75" s="2852">
        <f t="shared" si="1"/>
        <v>13.922560000000001</v>
      </c>
      <c r="H75" s="2841"/>
      <c r="I75" s="2842"/>
    </row>
    <row r="76" spans="1:9" s="2818" customFormat="1" ht="27" customHeight="1" x14ac:dyDescent="0.25">
      <c r="A76" s="2837">
        <v>3</v>
      </c>
      <c r="B76" s="2851" t="s">
        <v>2943</v>
      </c>
      <c r="C76" s="2838"/>
      <c r="D76" s="2839">
        <v>58.938521000000001</v>
      </c>
      <c r="E76" s="2840">
        <v>58.938521000000001</v>
      </c>
      <c r="F76" s="2839"/>
      <c r="G76" s="2852">
        <f t="shared" si="1"/>
        <v>58.938521000000001</v>
      </c>
      <c r="H76" s="2841"/>
      <c r="I76" s="2842"/>
    </row>
    <row r="77" spans="1:9" s="2818" customFormat="1" ht="27" customHeight="1" x14ac:dyDescent="0.25">
      <c r="A77" s="2837">
        <v>4</v>
      </c>
      <c r="B77" s="2851" t="s">
        <v>3501</v>
      </c>
      <c r="C77" s="2838"/>
      <c r="D77" s="2839">
        <v>18.4909</v>
      </c>
      <c r="E77" s="2840">
        <v>18.4909</v>
      </c>
      <c r="F77" s="2839"/>
      <c r="G77" s="2852">
        <f t="shared" si="1"/>
        <v>18.4909</v>
      </c>
      <c r="H77" s="2841"/>
      <c r="I77" s="2842"/>
    </row>
    <row r="78" spans="1:9" s="2818" customFormat="1" ht="27" customHeight="1" x14ac:dyDescent="0.25">
      <c r="A78" s="2837">
        <v>5</v>
      </c>
      <c r="B78" s="2851" t="s">
        <v>2952</v>
      </c>
      <c r="C78" s="2838"/>
      <c r="D78" s="2839">
        <v>22</v>
      </c>
      <c r="E78" s="2840">
        <v>22</v>
      </c>
      <c r="F78" s="2839"/>
      <c r="G78" s="2852">
        <f t="shared" si="1"/>
        <v>22</v>
      </c>
      <c r="H78" s="2841"/>
      <c r="I78" s="2842"/>
    </row>
    <row r="79" spans="1:9" s="2818" customFormat="1" ht="27" customHeight="1" x14ac:dyDescent="0.25">
      <c r="A79" s="2837">
        <v>6</v>
      </c>
      <c r="B79" s="2851" t="s">
        <v>3502</v>
      </c>
      <c r="C79" s="2838"/>
      <c r="D79" s="2839">
        <v>46.679234000000001</v>
      </c>
      <c r="E79" s="2840">
        <v>46.679234000000001</v>
      </c>
      <c r="F79" s="2839"/>
      <c r="G79" s="2852">
        <f t="shared" si="1"/>
        <v>46.679234000000001</v>
      </c>
      <c r="H79" s="2841"/>
      <c r="I79" s="2842"/>
    </row>
    <row r="80" spans="1:9" s="2818" customFormat="1" ht="27" customHeight="1" x14ac:dyDescent="0.25">
      <c r="A80" s="2837">
        <v>7</v>
      </c>
      <c r="B80" s="2851" t="s">
        <v>2934</v>
      </c>
      <c r="C80" s="2838"/>
      <c r="D80" s="2839">
        <v>175.69810000000001</v>
      </c>
      <c r="E80" s="2840">
        <v>175.69810000000001</v>
      </c>
      <c r="F80" s="2839"/>
      <c r="G80" s="2852">
        <f t="shared" si="1"/>
        <v>175.69810000000001</v>
      </c>
      <c r="H80" s="2841"/>
      <c r="I80" s="2842"/>
    </row>
    <row r="81" spans="1:9" ht="27" customHeight="1" x14ac:dyDescent="0.25">
      <c r="A81" s="2876">
        <v>1</v>
      </c>
      <c r="B81" s="2625" t="s">
        <v>2937</v>
      </c>
      <c r="C81" s="2637"/>
      <c r="D81" s="2626">
        <v>11.125</v>
      </c>
      <c r="E81" s="2653">
        <v>11.125</v>
      </c>
      <c r="F81" s="2626"/>
      <c r="G81" s="2414">
        <f t="shared" si="1"/>
        <v>11.125</v>
      </c>
      <c r="H81" s="2722"/>
      <c r="I81" s="2418"/>
    </row>
    <row r="82" spans="1:9" ht="27" customHeight="1" x14ac:dyDescent="0.25">
      <c r="A82" s="2876">
        <v>2</v>
      </c>
      <c r="B82" s="2625" t="s">
        <v>3387</v>
      </c>
      <c r="C82" s="2637"/>
      <c r="D82" s="2626">
        <v>0.69081800000000004</v>
      </c>
      <c r="E82" s="2653">
        <v>0.69081800000000004</v>
      </c>
      <c r="F82" s="2626"/>
      <c r="G82" s="2414">
        <f t="shared" si="1"/>
        <v>0.69081800000000004</v>
      </c>
      <c r="H82" s="2722"/>
      <c r="I82" s="2418"/>
    </row>
    <row r="83" spans="1:9" ht="27" customHeight="1" x14ac:dyDescent="0.25">
      <c r="A83" s="2876">
        <v>3</v>
      </c>
      <c r="B83" s="2625" t="s">
        <v>3388</v>
      </c>
      <c r="C83" s="2637"/>
      <c r="D83" s="2626">
        <v>1.2275</v>
      </c>
      <c r="E83" s="2653">
        <v>1.2275</v>
      </c>
      <c r="F83" s="2626"/>
      <c r="G83" s="2414">
        <f t="shared" si="1"/>
        <v>1.2275</v>
      </c>
      <c r="H83" s="2722"/>
      <c r="I83" s="2418"/>
    </row>
    <row r="84" spans="1:9" ht="27" customHeight="1" x14ac:dyDescent="0.25">
      <c r="A84" s="2876">
        <v>4</v>
      </c>
      <c r="B84" s="2625" t="s">
        <v>3389</v>
      </c>
      <c r="C84" s="2637"/>
      <c r="D84" s="2626">
        <v>0.45</v>
      </c>
      <c r="E84" s="2653">
        <v>0.45</v>
      </c>
      <c r="F84" s="2626"/>
      <c r="G84" s="2414">
        <f t="shared" si="1"/>
        <v>0.45</v>
      </c>
      <c r="H84" s="2722"/>
      <c r="I84" s="2418"/>
    </row>
    <row r="85" spans="1:9" ht="27" customHeight="1" x14ac:dyDescent="0.25">
      <c r="A85" s="2876">
        <v>5</v>
      </c>
      <c r="B85" s="2877" t="s">
        <v>2948</v>
      </c>
      <c r="C85" s="2637"/>
      <c r="D85" s="2626">
        <v>13.7182</v>
      </c>
      <c r="E85" s="2653">
        <v>13.7182</v>
      </c>
      <c r="F85" s="2626"/>
      <c r="G85" s="2414">
        <f t="shared" si="1"/>
        <v>13.7182</v>
      </c>
      <c r="H85" s="2722"/>
      <c r="I85" s="2418"/>
    </row>
    <row r="86" spans="1:9" ht="27" customHeight="1" x14ac:dyDescent="0.25">
      <c r="A86" s="2876">
        <v>6</v>
      </c>
      <c r="B86" s="2877" t="s">
        <v>3390</v>
      </c>
      <c r="C86" s="2637"/>
      <c r="D86" s="2626">
        <v>75.557580999999999</v>
      </c>
      <c r="E86" s="2653">
        <v>75.557580999999999</v>
      </c>
      <c r="F86" s="2626"/>
      <c r="G86" s="2414">
        <f t="shared" si="1"/>
        <v>75.557580999999999</v>
      </c>
      <c r="H86" s="2722"/>
      <c r="I86" s="2418"/>
    </row>
    <row r="87" spans="1:9" ht="27" customHeight="1" x14ac:dyDescent="0.25">
      <c r="A87" s="2876">
        <v>7</v>
      </c>
      <c r="B87" s="2877" t="s">
        <v>3391</v>
      </c>
      <c r="C87" s="2637"/>
      <c r="D87" s="2626">
        <v>3.3525</v>
      </c>
      <c r="E87" s="2653">
        <v>3.3525</v>
      </c>
      <c r="F87" s="2626"/>
      <c r="G87" s="2414">
        <f t="shared" si="1"/>
        <v>3.3525</v>
      </c>
      <c r="H87" s="2722"/>
      <c r="I87" s="2418"/>
    </row>
    <row r="88" spans="1:9" ht="27" customHeight="1" x14ac:dyDescent="0.25">
      <c r="A88" s="2876">
        <v>8</v>
      </c>
      <c r="B88" s="2877" t="s">
        <v>3392</v>
      </c>
      <c r="C88" s="2637"/>
      <c r="D88" s="2626">
        <v>13.6782</v>
      </c>
      <c r="E88" s="2653">
        <v>13.6782</v>
      </c>
      <c r="F88" s="2626"/>
      <c r="G88" s="2414">
        <f t="shared" si="1"/>
        <v>13.6782</v>
      </c>
      <c r="H88" s="2722"/>
      <c r="I88" s="2418"/>
    </row>
    <row r="89" spans="1:9" ht="27" customHeight="1" x14ac:dyDescent="0.25">
      <c r="A89" s="2876">
        <v>9</v>
      </c>
      <c r="B89" s="2877" t="s">
        <v>2943</v>
      </c>
      <c r="C89" s="2637"/>
      <c r="D89" s="2626">
        <v>88.200098999999994</v>
      </c>
      <c r="E89" s="2653">
        <v>88.200098999999994</v>
      </c>
      <c r="F89" s="2626"/>
      <c r="G89" s="2414">
        <f t="shared" si="1"/>
        <v>88.200098999999994</v>
      </c>
      <c r="H89" s="2722"/>
      <c r="I89" s="2418"/>
    </row>
    <row r="90" spans="1:9" ht="27" customHeight="1" x14ac:dyDescent="0.25">
      <c r="A90" s="2876">
        <v>10</v>
      </c>
      <c r="B90" s="2877" t="s">
        <v>2951</v>
      </c>
      <c r="C90" s="2637"/>
      <c r="D90" s="2626">
        <v>12</v>
      </c>
      <c r="E90" s="2653">
        <v>12</v>
      </c>
      <c r="F90" s="2626"/>
      <c r="G90" s="2414">
        <f t="shared" si="1"/>
        <v>12</v>
      </c>
      <c r="H90" s="2722"/>
      <c r="I90" s="2418"/>
    </row>
    <row r="91" spans="1:9" ht="27" customHeight="1" x14ac:dyDescent="0.25">
      <c r="A91" s="2876">
        <v>11</v>
      </c>
      <c r="B91" s="2877" t="s">
        <v>2932</v>
      </c>
      <c r="C91" s="2637"/>
      <c r="D91" s="2626">
        <v>26.983381999999999</v>
      </c>
      <c r="E91" s="2653">
        <v>26.983381999999999</v>
      </c>
      <c r="F91" s="2626"/>
      <c r="G91" s="2414">
        <f t="shared" si="1"/>
        <v>26.983381999999999</v>
      </c>
      <c r="H91" s="2722"/>
      <c r="I91" s="2418"/>
    </row>
    <row r="92" spans="1:9" ht="27" customHeight="1" x14ac:dyDescent="0.25">
      <c r="A92" s="2876">
        <v>12</v>
      </c>
      <c r="B92" s="2877" t="s">
        <v>2945</v>
      </c>
      <c r="C92" s="2637"/>
      <c r="D92" s="2626">
        <v>22.189297</v>
      </c>
      <c r="E92" s="2653">
        <v>22.189297</v>
      </c>
      <c r="F92" s="2626"/>
      <c r="G92" s="2414">
        <f t="shared" si="1"/>
        <v>22.189297</v>
      </c>
      <c r="H92" s="2722"/>
      <c r="I92" s="2418"/>
    </row>
    <row r="93" spans="1:9" ht="27" customHeight="1" x14ac:dyDescent="0.25">
      <c r="A93" s="2876">
        <v>13</v>
      </c>
      <c r="B93" s="2627" t="s">
        <v>3393</v>
      </c>
      <c r="C93" s="2637"/>
      <c r="D93" s="2626">
        <v>70.540839000000005</v>
      </c>
      <c r="E93" s="2653">
        <v>70.540839000000005</v>
      </c>
      <c r="F93" s="2626"/>
      <c r="G93" s="2414">
        <f t="shared" si="1"/>
        <v>70.540839000000005</v>
      </c>
      <c r="H93" s="2722"/>
      <c r="I93" s="2418"/>
    </row>
    <row r="94" spans="1:9" ht="27" customHeight="1" x14ac:dyDescent="0.25">
      <c r="A94" s="2876">
        <v>14</v>
      </c>
      <c r="B94" s="2627" t="s">
        <v>2952</v>
      </c>
      <c r="C94" s="2637"/>
      <c r="D94" s="2626">
        <v>13.3802</v>
      </c>
      <c r="E94" s="2653">
        <v>13.3802</v>
      </c>
      <c r="F94" s="2626"/>
      <c r="G94" s="2414">
        <f t="shared" si="1"/>
        <v>13.3802</v>
      </c>
      <c r="H94" s="2722"/>
      <c r="I94" s="2418"/>
    </row>
    <row r="95" spans="1:9" ht="27" customHeight="1" x14ac:dyDescent="0.25">
      <c r="A95" s="2876">
        <v>15</v>
      </c>
      <c r="B95" s="2877" t="s">
        <v>3394</v>
      </c>
      <c r="C95" s="2637"/>
      <c r="D95" s="2626">
        <v>94</v>
      </c>
      <c r="E95" s="2653">
        <v>94</v>
      </c>
      <c r="F95" s="2626"/>
      <c r="G95" s="2414">
        <f t="shared" si="1"/>
        <v>94</v>
      </c>
      <c r="H95" s="2722"/>
      <c r="I95" s="2418"/>
    </row>
    <row r="96" spans="1:9" ht="27" customHeight="1" x14ac:dyDescent="0.25">
      <c r="A96" s="2876">
        <v>16</v>
      </c>
      <c r="B96" s="2627" t="s">
        <v>2934</v>
      </c>
      <c r="C96" s="2637"/>
      <c r="D96" s="2626">
        <v>25.490316</v>
      </c>
      <c r="E96" s="2653">
        <v>25.490316</v>
      </c>
      <c r="F96" s="2626"/>
      <c r="G96" s="2414">
        <f t="shared" si="1"/>
        <v>25.490316</v>
      </c>
      <c r="H96" s="2722"/>
      <c r="I96" s="2418"/>
    </row>
    <row r="97" spans="1:10" ht="50.25" customHeight="1" x14ac:dyDescent="0.25">
      <c r="A97" s="2876">
        <v>17</v>
      </c>
      <c r="B97" s="2627" t="s">
        <v>3370</v>
      </c>
      <c r="C97" s="2637"/>
      <c r="D97" s="2626">
        <v>50.67</v>
      </c>
      <c r="E97" s="2653">
        <v>50.67</v>
      </c>
      <c r="F97" s="2626"/>
      <c r="G97" s="2414">
        <f t="shared" si="1"/>
        <v>50.67</v>
      </c>
      <c r="H97" s="2722"/>
      <c r="I97" s="2418"/>
    </row>
    <row r="98" spans="1:10" ht="50.25" customHeight="1" x14ac:dyDescent="0.25">
      <c r="A98" s="2876">
        <v>18</v>
      </c>
      <c r="B98" s="2627" t="s">
        <v>2454</v>
      </c>
      <c r="C98" s="2637"/>
      <c r="D98" s="2626">
        <v>200</v>
      </c>
      <c r="E98" s="2653">
        <v>200</v>
      </c>
      <c r="F98" s="2626"/>
      <c r="G98" s="2414">
        <f t="shared" si="1"/>
        <v>200</v>
      </c>
      <c r="H98" s="2722"/>
      <c r="I98" s="2418"/>
    </row>
    <row r="99" spans="1:10" ht="68.25" customHeight="1" x14ac:dyDescent="0.25">
      <c r="A99" s="2413" t="s">
        <v>873</v>
      </c>
      <c r="B99" s="2638" t="s">
        <v>2456</v>
      </c>
      <c r="C99" s="2415">
        <f>223.6291+2033</f>
        <v>2256.6291000000001</v>
      </c>
      <c r="D99" s="2640">
        <f>SUM(D100:D105)</f>
        <v>27819.465400000001</v>
      </c>
      <c r="E99" s="2640">
        <f>SUM(E100:E105)</f>
        <v>27819.465400000001</v>
      </c>
      <c r="F99" s="2640">
        <v>0</v>
      </c>
      <c r="G99" s="2415">
        <f t="shared" si="1"/>
        <v>25562.836300000003</v>
      </c>
      <c r="H99" s="2723">
        <f>D99/C99*100</f>
        <v>1232.7885606012967</v>
      </c>
      <c r="I99" s="2416"/>
    </row>
    <row r="100" spans="1:10" ht="36" customHeight="1" x14ac:dyDescent="0.25">
      <c r="A100" s="2876">
        <v>1</v>
      </c>
      <c r="B100" s="2627" t="s">
        <v>2931</v>
      </c>
      <c r="C100" s="2637"/>
      <c r="D100" s="2626">
        <v>316.9504</v>
      </c>
      <c r="E100" s="2626">
        <v>316.9504</v>
      </c>
      <c r="F100" s="2626"/>
      <c r="G100" s="2414">
        <f t="shared" si="1"/>
        <v>316.9504</v>
      </c>
      <c r="H100" s="2722"/>
      <c r="I100" s="2418"/>
    </row>
    <row r="101" spans="1:10" ht="36" customHeight="1" x14ac:dyDescent="0.25">
      <c r="A101" s="2876">
        <v>2</v>
      </c>
      <c r="B101" s="2636" t="s">
        <v>3381</v>
      </c>
      <c r="C101" s="2637"/>
      <c r="D101" s="2626">
        <v>19944.103999999999</v>
      </c>
      <c r="E101" s="2654">
        <v>19944.103999999999</v>
      </c>
      <c r="F101" s="2626"/>
      <c r="G101" s="2414">
        <f t="shared" si="1"/>
        <v>19944.103999999999</v>
      </c>
      <c r="H101" s="2722"/>
      <c r="I101" s="2418"/>
    </row>
    <row r="102" spans="1:10" ht="36" customHeight="1" x14ac:dyDescent="0.25">
      <c r="A102" s="2876">
        <v>3</v>
      </c>
      <c r="B102" s="2636" t="s">
        <v>3382</v>
      </c>
      <c r="C102" s="2637"/>
      <c r="D102" s="2626">
        <v>2381</v>
      </c>
      <c r="E102" s="2654">
        <v>2381</v>
      </c>
      <c r="F102" s="2626"/>
      <c r="G102" s="2414">
        <f t="shared" si="1"/>
        <v>2381</v>
      </c>
      <c r="H102" s="2722"/>
      <c r="I102" s="2418"/>
    </row>
    <row r="103" spans="1:10" ht="36" customHeight="1" x14ac:dyDescent="0.25">
      <c r="A103" s="2876">
        <v>4</v>
      </c>
      <c r="B103" s="2636" t="s">
        <v>3383</v>
      </c>
      <c r="C103" s="2637"/>
      <c r="D103" s="2626">
        <v>48.177999999999997</v>
      </c>
      <c r="E103" s="2654">
        <v>48.177999999999997</v>
      </c>
      <c r="F103" s="2626"/>
      <c r="G103" s="2414">
        <f t="shared" si="1"/>
        <v>48.177999999999997</v>
      </c>
      <c r="H103" s="2722"/>
      <c r="I103" s="2418"/>
    </row>
    <row r="104" spans="1:10" ht="36" customHeight="1" x14ac:dyDescent="0.25">
      <c r="A104" s="2876">
        <v>5</v>
      </c>
      <c r="B104" s="2636" t="s">
        <v>3476</v>
      </c>
      <c r="C104" s="2637"/>
      <c r="D104" s="2626">
        <v>1410</v>
      </c>
      <c r="E104" s="2626">
        <v>1410</v>
      </c>
      <c r="F104" s="2626"/>
      <c r="G104" s="2414">
        <f t="shared" si="1"/>
        <v>1410</v>
      </c>
      <c r="H104" s="2722"/>
      <c r="I104" s="2876"/>
    </row>
    <row r="105" spans="1:10" ht="36" customHeight="1" x14ac:dyDescent="0.25">
      <c r="A105" s="2876">
        <v>6</v>
      </c>
      <c r="B105" s="2636" t="s">
        <v>3384</v>
      </c>
      <c r="C105" s="2637"/>
      <c r="D105" s="2654">
        <f>D106+D107</f>
        <v>3719.2330000000002</v>
      </c>
      <c r="E105" s="2654">
        <f>E106+E107</f>
        <v>3719.2330000000002</v>
      </c>
      <c r="F105" s="2626"/>
      <c r="G105" s="2713">
        <f t="shared" si="1"/>
        <v>3719.2330000000002</v>
      </c>
      <c r="H105" s="2722"/>
      <c r="I105" s="2418"/>
    </row>
    <row r="106" spans="1:10" ht="36" customHeight="1" x14ac:dyDescent="0.25">
      <c r="A106" s="2876" t="s">
        <v>711</v>
      </c>
      <c r="B106" s="2636" t="s">
        <v>3385</v>
      </c>
      <c r="C106" s="2637"/>
      <c r="D106" s="2626">
        <v>2942.643</v>
      </c>
      <c r="E106" s="2654">
        <v>2942.643</v>
      </c>
      <c r="F106" s="2626"/>
      <c r="G106" s="2414">
        <f t="shared" si="1"/>
        <v>2942.643</v>
      </c>
      <c r="H106" s="2722"/>
      <c r="I106" s="2418"/>
    </row>
    <row r="107" spans="1:10" ht="36" customHeight="1" x14ac:dyDescent="0.25">
      <c r="A107" s="2876" t="s">
        <v>711</v>
      </c>
      <c r="B107" s="2636" t="s">
        <v>3386</v>
      </c>
      <c r="C107" s="2637"/>
      <c r="D107" s="2626">
        <v>776.59</v>
      </c>
      <c r="E107" s="2654">
        <v>776.59</v>
      </c>
      <c r="F107" s="2626"/>
      <c r="G107" s="2414">
        <f t="shared" si="1"/>
        <v>776.59</v>
      </c>
      <c r="H107" s="2722"/>
      <c r="I107" s="2418"/>
      <c r="J107" s="2745" t="e">
        <f>E107+#REF!</f>
        <v>#REF!</v>
      </c>
    </row>
    <row r="108" spans="1:10" ht="71.25" customHeight="1" x14ac:dyDescent="0.25">
      <c r="A108" s="2413" t="s">
        <v>877</v>
      </c>
      <c r="B108" s="2624" t="s">
        <v>2457</v>
      </c>
      <c r="C108" s="2639">
        <f>12116.297+4910.31159</f>
        <v>17026.60859</v>
      </c>
      <c r="D108" s="2640">
        <f>D109</f>
        <v>17641.400000000001</v>
      </c>
      <c r="E108" s="2640">
        <f>E109</f>
        <v>17641.400000000001</v>
      </c>
      <c r="F108" s="2640">
        <f>F109</f>
        <v>0</v>
      </c>
      <c r="G108" s="2415">
        <f t="shared" si="1"/>
        <v>614.79141000000163</v>
      </c>
      <c r="H108" s="2723">
        <f>D108/C108*100</f>
        <v>103.61076844369981</v>
      </c>
      <c r="I108" s="2413"/>
    </row>
    <row r="109" spans="1:10" ht="50.25" customHeight="1" x14ac:dyDescent="0.25">
      <c r="A109" s="2876"/>
      <c r="B109" s="2636" t="s">
        <v>3371</v>
      </c>
      <c r="C109" s="2637"/>
      <c r="D109" s="2626">
        <f>E109</f>
        <v>17641.400000000001</v>
      </c>
      <c r="E109" s="2626">
        <f>4156+13485.4</f>
        <v>17641.400000000001</v>
      </c>
      <c r="F109" s="2626"/>
      <c r="G109" s="2414">
        <f t="shared" si="1"/>
        <v>17641.400000000001</v>
      </c>
      <c r="H109" s="2722"/>
      <c r="I109" s="2876"/>
    </row>
    <row r="110" spans="1:10" ht="50.25" customHeight="1" x14ac:dyDescent="0.25">
      <c r="A110" s="2413" t="s">
        <v>909</v>
      </c>
      <c r="B110" s="2624" t="s">
        <v>2789</v>
      </c>
      <c r="C110" s="2639"/>
      <c r="D110" s="2640">
        <f>D111+D119</f>
        <v>401.60720000000003</v>
      </c>
      <c r="E110" s="2640">
        <f>E111+E119</f>
        <v>401.60720000000003</v>
      </c>
      <c r="F110" s="2640">
        <f>F111+F119</f>
        <v>0</v>
      </c>
      <c r="G110" s="2640">
        <f>G111+G119</f>
        <v>401.60720000000003</v>
      </c>
      <c r="H110" s="2640">
        <f>H111+H119</f>
        <v>0</v>
      </c>
      <c r="I110" s="2413"/>
    </row>
    <row r="111" spans="1:10" s="2843" customFormat="1" ht="24.75" customHeight="1" x14ac:dyDescent="0.2">
      <c r="A111" s="2844">
        <v>1</v>
      </c>
      <c r="B111" s="2845" t="s">
        <v>3477</v>
      </c>
      <c r="C111" s="2846"/>
      <c r="D111" s="2847">
        <f>D112+D113</f>
        <v>6.9969999999999999</v>
      </c>
      <c r="E111" s="2847">
        <f>E112+E113</f>
        <v>6.9969999999999999</v>
      </c>
      <c r="F111" s="2847">
        <f>F112+F113</f>
        <v>0</v>
      </c>
      <c r="G111" s="2847">
        <f>G112+G113</f>
        <v>6.9969999999999999</v>
      </c>
      <c r="H111" s="2848"/>
      <c r="I111" s="2844"/>
    </row>
    <row r="112" spans="1:10" s="2818" customFormat="1" ht="37.5" customHeight="1" x14ac:dyDescent="0.25">
      <c r="A112" s="2828" t="s">
        <v>711</v>
      </c>
      <c r="B112" s="2849" t="s">
        <v>3372</v>
      </c>
      <c r="C112" s="2830"/>
      <c r="D112" s="2832">
        <f>E112</f>
        <v>2.3969999999999998</v>
      </c>
      <c r="E112" s="2832">
        <v>2.3969999999999998</v>
      </c>
      <c r="F112" s="2832"/>
      <c r="G112" s="2836">
        <f>D112-C112</f>
        <v>2.3969999999999998</v>
      </c>
      <c r="H112" s="2833"/>
      <c r="I112" s="2828"/>
    </row>
    <row r="113" spans="1:10" s="2818" customFormat="1" ht="49.5" customHeight="1" x14ac:dyDescent="0.25">
      <c r="A113" s="2850" t="s">
        <v>882</v>
      </c>
      <c r="B113" s="2849" t="s">
        <v>3494</v>
      </c>
      <c r="C113" s="2838"/>
      <c r="D113" s="2839">
        <f>E113</f>
        <v>4.5999999999999996</v>
      </c>
      <c r="E113" s="2839">
        <v>4.5999999999999996</v>
      </c>
      <c r="F113" s="2839"/>
      <c r="G113" s="2836">
        <f t="shared" si="1"/>
        <v>4.5999999999999996</v>
      </c>
      <c r="H113" s="2841"/>
      <c r="I113" s="2837"/>
    </row>
    <row r="114" spans="1:10" s="2402" customFormat="1" ht="49.5" customHeight="1" x14ac:dyDescent="0.25">
      <c r="A114" s="2876" t="s">
        <v>902</v>
      </c>
      <c r="B114" s="2625" t="s">
        <v>3395</v>
      </c>
      <c r="C114" s="2637"/>
      <c r="D114" s="2626">
        <v>22</v>
      </c>
      <c r="E114" s="2626">
        <v>22</v>
      </c>
      <c r="F114" s="2626"/>
      <c r="G114" s="2414">
        <f t="shared" si="1"/>
        <v>22</v>
      </c>
      <c r="H114" s="2722"/>
      <c r="I114" s="2418"/>
      <c r="J114" s="2748" t="e">
        <f>#REF!+E107+#REF!</f>
        <v>#REF!</v>
      </c>
    </row>
    <row r="115" spans="1:10" s="2402" customFormat="1" ht="49.5" customHeight="1" x14ac:dyDescent="0.25">
      <c r="A115" s="2876" t="s">
        <v>903</v>
      </c>
      <c r="B115" s="2625" t="s">
        <v>3396</v>
      </c>
      <c r="C115" s="2637"/>
      <c r="D115" s="2626">
        <v>125.648</v>
      </c>
      <c r="E115" s="2626">
        <v>125.648</v>
      </c>
      <c r="F115" s="2626"/>
      <c r="G115" s="2414">
        <f t="shared" si="1"/>
        <v>125.648</v>
      </c>
      <c r="H115" s="2722"/>
      <c r="I115" s="2418"/>
    </row>
    <row r="116" spans="1:10" s="2402" customFormat="1" ht="49.5" customHeight="1" x14ac:dyDescent="0.25">
      <c r="A116" s="2876" t="s">
        <v>910</v>
      </c>
      <c r="B116" s="2625" t="s">
        <v>3397</v>
      </c>
      <c r="C116" s="2637"/>
      <c r="D116" s="2626">
        <v>4.3</v>
      </c>
      <c r="E116" s="2626">
        <v>4.3</v>
      </c>
      <c r="F116" s="2626"/>
      <c r="G116" s="2414">
        <f t="shared" si="1"/>
        <v>4.3</v>
      </c>
      <c r="H116" s="2722"/>
      <c r="I116" s="2418"/>
    </row>
    <row r="117" spans="1:10" s="2402" customFormat="1" ht="49.5" customHeight="1" x14ac:dyDescent="0.25">
      <c r="A117" s="2876" t="s">
        <v>480</v>
      </c>
      <c r="B117" s="2625" t="s">
        <v>3398</v>
      </c>
      <c r="C117" s="2637"/>
      <c r="D117" s="2626">
        <v>65.333927000000003</v>
      </c>
      <c r="E117" s="2626">
        <v>65.333927000000003</v>
      </c>
      <c r="F117" s="2626"/>
      <c r="G117" s="2414">
        <f t="shared" si="1"/>
        <v>65.333927000000003</v>
      </c>
      <c r="H117" s="2722"/>
      <c r="I117" s="2418"/>
    </row>
    <row r="118" spans="1:10" s="2402" customFormat="1" ht="49.5" customHeight="1" x14ac:dyDescent="0.25">
      <c r="A118" s="2876" t="s">
        <v>481</v>
      </c>
      <c r="B118" s="2625" t="s">
        <v>3399</v>
      </c>
      <c r="C118" s="2637"/>
      <c r="D118" s="2626">
        <v>42.769047</v>
      </c>
      <c r="E118" s="2626">
        <v>42.769047</v>
      </c>
      <c r="F118" s="2626"/>
      <c r="G118" s="2414">
        <f t="shared" si="1"/>
        <v>42.769047</v>
      </c>
      <c r="H118" s="2722"/>
      <c r="I118" s="2418"/>
    </row>
    <row r="119" spans="1:10" s="2827" customFormat="1" ht="49.5" customHeight="1" x14ac:dyDescent="0.25">
      <c r="A119" s="2821">
        <v>3</v>
      </c>
      <c r="B119" s="2822" t="s">
        <v>3400</v>
      </c>
      <c r="C119" s="2823">
        <v>0</v>
      </c>
      <c r="D119" s="2824">
        <f>D120</f>
        <v>394.61020000000002</v>
      </c>
      <c r="E119" s="2824">
        <f>E120</f>
        <v>394.61020000000002</v>
      </c>
      <c r="F119" s="2824">
        <f>F120</f>
        <v>0</v>
      </c>
      <c r="G119" s="2824">
        <f>G120</f>
        <v>394.61020000000002</v>
      </c>
      <c r="H119" s="2825"/>
      <c r="I119" s="2826"/>
    </row>
    <row r="120" spans="1:10" s="2827" customFormat="1" ht="30" customHeight="1" x14ac:dyDescent="0.25">
      <c r="A120" s="2828" t="s">
        <v>174</v>
      </c>
      <c r="B120" s="2829" t="s">
        <v>3401</v>
      </c>
      <c r="C120" s="2830"/>
      <c r="D120" s="2831">
        <f>D121+D122+D123+D124</f>
        <v>394.61020000000002</v>
      </c>
      <c r="E120" s="2831">
        <f>E121+E122+E123+E124</f>
        <v>394.61020000000002</v>
      </c>
      <c r="F120" s="2831">
        <f>F121+F122+F123+F124</f>
        <v>0</v>
      </c>
      <c r="G120" s="2831">
        <f>G121+G122+G123+G124</f>
        <v>394.61020000000002</v>
      </c>
      <c r="H120" s="2833"/>
      <c r="I120" s="2834"/>
    </row>
    <row r="121" spans="1:10" s="2827" customFormat="1" ht="37.5" customHeight="1" x14ac:dyDescent="0.25">
      <c r="A121" s="2828"/>
      <c r="B121" s="2835" t="s">
        <v>3497</v>
      </c>
      <c r="C121" s="2830"/>
      <c r="D121" s="2832">
        <f>E121</f>
        <v>210</v>
      </c>
      <c r="E121" s="2831">
        <v>210</v>
      </c>
      <c r="F121" s="2832"/>
      <c r="G121" s="2836">
        <f t="shared" si="1"/>
        <v>210</v>
      </c>
      <c r="H121" s="2833"/>
      <c r="I121" s="2834"/>
    </row>
    <row r="122" spans="1:10" s="2827" customFormat="1" ht="37.5" customHeight="1" x14ac:dyDescent="0.25">
      <c r="A122" s="2828"/>
      <c r="B122" s="2835" t="s">
        <v>3495</v>
      </c>
      <c r="C122" s="2830"/>
      <c r="D122" s="2832">
        <f>E122</f>
        <v>146.02199999999999</v>
      </c>
      <c r="E122" s="2831">
        <v>146.02199999999999</v>
      </c>
      <c r="F122" s="2832"/>
      <c r="G122" s="2836">
        <f t="shared" si="1"/>
        <v>146.02199999999999</v>
      </c>
      <c r="H122" s="2833"/>
      <c r="I122" s="2834"/>
    </row>
    <row r="123" spans="1:10" s="2827" customFormat="1" ht="37.5" customHeight="1" x14ac:dyDescent="0.25">
      <c r="A123" s="2837"/>
      <c r="B123" s="2835" t="s">
        <v>3496</v>
      </c>
      <c r="C123" s="2838"/>
      <c r="D123" s="2839">
        <f>E123</f>
        <v>7.2949999999999999</v>
      </c>
      <c r="E123" s="2840">
        <v>7.2949999999999999</v>
      </c>
      <c r="F123" s="2839"/>
      <c r="G123" s="2836">
        <f t="shared" si="1"/>
        <v>7.2949999999999999</v>
      </c>
      <c r="H123" s="2841"/>
      <c r="I123" s="2842"/>
    </row>
    <row r="124" spans="1:10" s="2827" customFormat="1" ht="73.5" customHeight="1" x14ac:dyDescent="0.25">
      <c r="A124" s="2828"/>
      <c r="B124" s="2835" t="s">
        <v>3498</v>
      </c>
      <c r="C124" s="2830"/>
      <c r="D124" s="2832">
        <f>E124</f>
        <v>31.293199999999999</v>
      </c>
      <c r="E124" s="2831">
        <v>31.293199999999999</v>
      </c>
      <c r="F124" s="2832"/>
      <c r="G124" s="2836">
        <f t="shared" si="1"/>
        <v>31.293199999999999</v>
      </c>
      <c r="H124" s="2833"/>
      <c r="I124" s="2834"/>
    </row>
    <row r="125" spans="1:10" s="2402" customFormat="1" ht="73.5" customHeight="1" x14ac:dyDescent="0.25">
      <c r="A125" s="2413">
        <v>4</v>
      </c>
      <c r="B125" s="2624" t="s">
        <v>3402</v>
      </c>
      <c r="C125" s="2639"/>
      <c r="D125" s="2655">
        <f>D126+D127+D128+D129+D130+D131+D134+D135</f>
        <v>1692.559569</v>
      </c>
      <c r="E125" s="2655">
        <f>E126+E127+E128+E129+E130+E131+E134+E135</f>
        <v>1692.559569</v>
      </c>
      <c r="F125" s="2655">
        <v>0</v>
      </c>
      <c r="G125" s="2419">
        <f t="shared" si="1"/>
        <v>1692.559569</v>
      </c>
      <c r="H125" s="2724"/>
      <c r="I125" s="2416"/>
    </row>
    <row r="126" spans="1:10" s="2402" customFormat="1" ht="73.5" customHeight="1" x14ac:dyDescent="0.25">
      <c r="A126" s="2876" t="s">
        <v>2478</v>
      </c>
      <c r="B126" s="2627" t="s">
        <v>3403</v>
      </c>
      <c r="C126" s="2637"/>
      <c r="D126" s="2626">
        <v>88.802374999999998</v>
      </c>
      <c r="E126" s="2653">
        <v>88.802374999999998</v>
      </c>
      <c r="F126" s="2626"/>
      <c r="G126" s="2414">
        <f t="shared" si="1"/>
        <v>88.802374999999998</v>
      </c>
      <c r="H126" s="2722"/>
      <c r="I126" s="2418"/>
    </row>
    <row r="127" spans="1:10" s="2402" customFormat="1" ht="73.5" customHeight="1" x14ac:dyDescent="0.25">
      <c r="A127" s="2876" t="s">
        <v>2479</v>
      </c>
      <c r="B127" s="2625" t="s">
        <v>3404</v>
      </c>
      <c r="C127" s="2637"/>
      <c r="D127" s="2626">
        <v>124.119507</v>
      </c>
      <c r="E127" s="2653">
        <v>124.119507</v>
      </c>
      <c r="F127" s="2626"/>
      <c r="G127" s="2414">
        <f t="shared" si="1"/>
        <v>124.119507</v>
      </c>
      <c r="H127" s="2722"/>
      <c r="I127" s="2418"/>
    </row>
    <row r="128" spans="1:10" s="2402" customFormat="1" ht="73.5" customHeight="1" x14ac:dyDescent="0.25">
      <c r="A128" s="2876" t="s">
        <v>2536</v>
      </c>
      <c r="B128" s="2625" t="s">
        <v>3405</v>
      </c>
      <c r="C128" s="2637"/>
      <c r="D128" s="2626">
        <v>42.819119999999998</v>
      </c>
      <c r="E128" s="2653">
        <v>42.819119999999998</v>
      </c>
      <c r="F128" s="2626"/>
      <c r="G128" s="2414">
        <f t="shared" si="1"/>
        <v>42.819119999999998</v>
      </c>
      <c r="H128" s="2722"/>
      <c r="I128" s="2418"/>
    </row>
    <row r="129" spans="1:10" s="2402" customFormat="1" ht="73.5" customHeight="1" x14ac:dyDescent="0.25">
      <c r="A129" s="2876" t="s">
        <v>2537</v>
      </c>
      <c r="B129" s="2625" t="s">
        <v>3406</v>
      </c>
      <c r="C129" s="2637"/>
      <c r="D129" s="2626">
        <v>197</v>
      </c>
      <c r="E129" s="2653">
        <v>197</v>
      </c>
      <c r="F129" s="2626"/>
      <c r="G129" s="2414">
        <f t="shared" si="1"/>
        <v>197</v>
      </c>
      <c r="H129" s="2722"/>
      <c r="I129" s="2418"/>
    </row>
    <row r="130" spans="1:10" s="2402" customFormat="1" ht="73.5" customHeight="1" x14ac:dyDescent="0.25">
      <c r="A130" s="2876" t="s">
        <v>2538</v>
      </c>
      <c r="B130" s="2625" t="s">
        <v>3407</v>
      </c>
      <c r="C130" s="2637"/>
      <c r="D130" s="2626">
        <v>22</v>
      </c>
      <c r="E130" s="2653">
        <v>22</v>
      </c>
      <c r="F130" s="2626"/>
      <c r="G130" s="2414">
        <f t="shared" si="1"/>
        <v>22</v>
      </c>
      <c r="H130" s="2722"/>
      <c r="I130" s="2418"/>
    </row>
    <row r="131" spans="1:10" s="2402" customFormat="1" ht="73.5" customHeight="1" x14ac:dyDescent="0.25">
      <c r="A131" s="2876" t="s">
        <v>2539</v>
      </c>
      <c r="B131" s="2625" t="s">
        <v>3408</v>
      </c>
      <c r="C131" s="2637"/>
      <c r="D131" s="2626">
        <f>D132+D133</f>
        <v>1032.2765999999999</v>
      </c>
      <c r="E131" s="2626">
        <f>E132+E133</f>
        <v>1032.2765999999999</v>
      </c>
      <c r="F131" s="2626"/>
      <c r="G131" s="2414">
        <f t="shared" si="1"/>
        <v>1032.2765999999999</v>
      </c>
      <c r="H131" s="2722"/>
      <c r="I131" s="2418"/>
    </row>
    <row r="132" spans="1:10" s="2402" customFormat="1" ht="73.5" customHeight="1" x14ac:dyDescent="0.25">
      <c r="A132" s="2876" t="s">
        <v>711</v>
      </c>
      <c r="B132" s="2625" t="s">
        <v>3409</v>
      </c>
      <c r="C132" s="2637"/>
      <c r="D132" s="2626">
        <v>760</v>
      </c>
      <c r="E132" s="2653">
        <v>760</v>
      </c>
      <c r="F132" s="2626"/>
      <c r="G132" s="2414">
        <f t="shared" si="1"/>
        <v>760</v>
      </c>
      <c r="H132" s="2722"/>
      <c r="I132" s="2418"/>
    </row>
    <row r="133" spans="1:10" s="2402" customFormat="1" ht="73.5" customHeight="1" x14ac:dyDescent="0.25">
      <c r="A133" s="2876" t="s">
        <v>711</v>
      </c>
      <c r="B133" s="2625" t="s">
        <v>3409</v>
      </c>
      <c r="C133" s="2637"/>
      <c r="D133" s="2626">
        <v>272.27659999999997</v>
      </c>
      <c r="E133" s="2653">
        <v>272.27659999999997</v>
      </c>
      <c r="F133" s="2626"/>
      <c r="G133" s="2414">
        <f t="shared" si="1"/>
        <v>272.27659999999997</v>
      </c>
      <c r="H133" s="2722"/>
      <c r="I133" s="2418"/>
    </row>
    <row r="134" spans="1:10" s="2402" customFormat="1" ht="73.5" customHeight="1" x14ac:dyDescent="0.25">
      <c r="A134" s="2876" t="s">
        <v>2540</v>
      </c>
      <c r="B134" s="2625" t="s">
        <v>3410</v>
      </c>
      <c r="C134" s="2637"/>
      <c r="D134" s="2626">
        <v>32</v>
      </c>
      <c r="E134" s="2653">
        <v>32</v>
      </c>
      <c r="F134" s="2626"/>
      <c r="G134" s="2414">
        <f t="shared" si="1"/>
        <v>32</v>
      </c>
      <c r="H134" s="2722"/>
      <c r="I134" s="2418"/>
    </row>
    <row r="135" spans="1:10" s="2402" customFormat="1" ht="73.5" customHeight="1" x14ac:dyDescent="0.25">
      <c r="A135" s="2876" t="s">
        <v>2541</v>
      </c>
      <c r="B135" s="2625" t="s">
        <v>3411</v>
      </c>
      <c r="C135" s="2637"/>
      <c r="D135" s="2653">
        <f>D136+D137+D138</f>
        <v>153.541967</v>
      </c>
      <c r="E135" s="2653">
        <f>E136+E137+E138</f>
        <v>153.541967</v>
      </c>
      <c r="F135" s="2626"/>
      <c r="G135" s="2714">
        <f t="shared" si="1"/>
        <v>153.541967</v>
      </c>
      <c r="H135" s="2722"/>
      <c r="I135" s="2418"/>
    </row>
    <row r="136" spans="1:10" s="2402" customFormat="1" ht="73.5" customHeight="1" x14ac:dyDescent="0.25">
      <c r="A136" s="2876" t="s">
        <v>711</v>
      </c>
      <c r="B136" s="2625" t="s">
        <v>3412</v>
      </c>
      <c r="C136" s="2637"/>
      <c r="D136" s="2626">
        <v>41.475366999999999</v>
      </c>
      <c r="E136" s="2653">
        <v>41.475366999999999</v>
      </c>
      <c r="F136" s="2626"/>
      <c r="G136" s="2414">
        <f t="shared" si="1"/>
        <v>41.475366999999999</v>
      </c>
      <c r="H136" s="2722"/>
      <c r="I136" s="2418"/>
    </row>
    <row r="137" spans="1:10" s="2402" customFormat="1" ht="114" customHeight="1" x14ac:dyDescent="0.25">
      <c r="A137" s="2876" t="s">
        <v>711</v>
      </c>
      <c r="B137" s="2625" t="s">
        <v>3413</v>
      </c>
      <c r="C137" s="2637"/>
      <c r="D137" s="2626">
        <v>46.066600000000001</v>
      </c>
      <c r="E137" s="2653">
        <v>46.066600000000001</v>
      </c>
      <c r="F137" s="2626"/>
      <c r="G137" s="2414">
        <f t="shared" si="1"/>
        <v>46.066600000000001</v>
      </c>
      <c r="H137" s="2722"/>
      <c r="I137" s="2418"/>
    </row>
    <row r="138" spans="1:10" s="2402" customFormat="1" ht="73.5" customHeight="1" x14ac:dyDescent="0.25">
      <c r="A138" s="2635" t="s">
        <v>711</v>
      </c>
      <c r="B138" s="2670" t="s">
        <v>3414</v>
      </c>
      <c r="C138" s="2671"/>
      <c r="D138" s="2672">
        <v>66</v>
      </c>
      <c r="E138" s="2673">
        <v>66</v>
      </c>
      <c r="F138" s="2672"/>
      <c r="G138" s="2674">
        <f t="shared" si="1"/>
        <v>66</v>
      </c>
      <c r="H138" s="2725"/>
      <c r="I138" s="2675"/>
    </row>
    <row r="139" spans="1:10" s="2423" customFormat="1" ht="36.75" customHeight="1" x14ac:dyDescent="0.25">
      <c r="A139" s="2853">
        <v>2</v>
      </c>
      <c r="B139" s="2854" t="s">
        <v>3503</v>
      </c>
      <c r="C139" s="2855">
        <f>SUM(C140:C149)</f>
        <v>0</v>
      </c>
      <c r="D139" s="2856">
        <f>D140</f>
        <v>725.94672200000002</v>
      </c>
      <c r="E139" s="2856">
        <f>E140</f>
        <v>725.94672200000002</v>
      </c>
      <c r="F139" s="2855">
        <f>SUM(F140:F149)</f>
        <v>0</v>
      </c>
      <c r="G139" s="2855">
        <f>SUM(G140:G149)</f>
        <v>0</v>
      </c>
      <c r="H139" s="2857"/>
      <c r="I139" s="2858"/>
      <c r="J139" s="2859">
        <f>E139-'[4]Biểu 5.30'!$E$83</f>
        <v>465.83022099999999</v>
      </c>
    </row>
    <row r="140" spans="1:10" s="2423" customFormat="1" ht="24" customHeight="1" x14ac:dyDescent="0.25">
      <c r="A140" s="2860"/>
      <c r="B140" s="2861" t="s">
        <v>3504</v>
      </c>
      <c r="C140" s="2862"/>
      <c r="D140" s="2863">
        <v>725.94672200000002</v>
      </c>
      <c r="E140" s="2864">
        <f>E141+E146</f>
        <v>725.94672200000002</v>
      </c>
      <c r="F140" s="2863"/>
      <c r="G140" s="2862"/>
      <c r="H140" s="2865"/>
      <c r="I140" s="2866"/>
      <c r="J140" s="2859"/>
    </row>
    <row r="141" spans="1:10" s="2423" customFormat="1" ht="24" customHeight="1" x14ac:dyDescent="0.25">
      <c r="A141" s="2860" t="s">
        <v>887</v>
      </c>
      <c r="B141" s="2861" t="s">
        <v>3505</v>
      </c>
      <c r="C141" s="2862"/>
      <c r="D141" s="2863">
        <v>630.64800000000002</v>
      </c>
      <c r="E141" s="2863">
        <f>SUM(E142:E145)</f>
        <v>630.64800000000002</v>
      </c>
      <c r="F141" s="2863"/>
      <c r="G141" s="2862"/>
      <c r="H141" s="2865"/>
      <c r="I141" s="2866"/>
      <c r="J141" s="2859"/>
    </row>
    <row r="142" spans="1:10" s="2423" customFormat="1" ht="24" customHeight="1" x14ac:dyDescent="0.25">
      <c r="A142" s="2860"/>
      <c r="B142" s="2861" t="s">
        <v>3506</v>
      </c>
      <c r="C142" s="2862"/>
      <c r="D142" s="2863">
        <v>566</v>
      </c>
      <c r="E142" s="2863">
        <v>566</v>
      </c>
      <c r="F142" s="2863"/>
      <c r="G142" s="2862"/>
      <c r="H142" s="2865"/>
      <c r="I142" s="2866"/>
      <c r="J142" s="2859"/>
    </row>
    <row r="143" spans="1:10" s="2423" customFormat="1" ht="24" customHeight="1" x14ac:dyDescent="0.25">
      <c r="A143" s="2860"/>
      <c r="B143" s="2861" t="s">
        <v>3507</v>
      </c>
      <c r="C143" s="2862"/>
      <c r="D143" s="2863">
        <v>17</v>
      </c>
      <c r="E143" s="2863">
        <v>17</v>
      </c>
      <c r="F143" s="2863"/>
      <c r="G143" s="2862"/>
      <c r="H143" s="2865"/>
      <c r="I143" s="2866"/>
      <c r="J143" s="2859"/>
    </row>
    <row r="144" spans="1:10" s="2423" customFormat="1" ht="24" customHeight="1" x14ac:dyDescent="0.25">
      <c r="A144" s="2860"/>
      <c r="B144" s="2861" t="s">
        <v>3508</v>
      </c>
      <c r="C144" s="2862"/>
      <c r="D144" s="2863">
        <v>4</v>
      </c>
      <c r="E144" s="2863">
        <v>4</v>
      </c>
      <c r="F144" s="2863"/>
      <c r="G144" s="2862"/>
      <c r="H144" s="2865"/>
      <c r="I144" s="2866"/>
      <c r="J144" s="2859"/>
    </row>
    <row r="145" spans="1:11" s="2423" customFormat="1" ht="24" customHeight="1" x14ac:dyDescent="0.25">
      <c r="A145" s="2860"/>
      <c r="B145" s="2861" t="s">
        <v>3509</v>
      </c>
      <c r="C145" s="2867"/>
      <c r="D145" s="2868">
        <v>43.648000000000003</v>
      </c>
      <c r="E145" s="2868">
        <v>43.648000000000003</v>
      </c>
      <c r="F145" s="2868"/>
      <c r="G145" s="2869"/>
      <c r="H145" s="2870"/>
      <c r="I145" s="2866"/>
      <c r="J145" s="2871"/>
    </row>
    <row r="146" spans="1:11" s="2423" customFormat="1" ht="33.75" customHeight="1" x14ac:dyDescent="0.25">
      <c r="A146" s="2860" t="s">
        <v>888</v>
      </c>
      <c r="B146" s="2861" t="s">
        <v>3510</v>
      </c>
      <c r="C146" s="2867"/>
      <c r="D146" s="2868">
        <v>95.298721999999998</v>
      </c>
      <c r="E146" s="2868">
        <f>SUM(E147:E149)</f>
        <v>95.298721999999998</v>
      </c>
      <c r="F146" s="2868"/>
      <c r="G146" s="2869"/>
      <c r="H146" s="2870"/>
      <c r="I146" s="2866"/>
    </row>
    <row r="147" spans="1:11" s="2423" customFormat="1" ht="24" customHeight="1" x14ac:dyDescent="0.25">
      <c r="A147" s="2860"/>
      <c r="B147" s="2861" t="s">
        <v>3511</v>
      </c>
      <c r="C147" s="2867"/>
      <c r="D147" s="2868">
        <v>83.998722000000001</v>
      </c>
      <c r="E147" s="2868">
        <v>83.998722000000001</v>
      </c>
      <c r="F147" s="2868"/>
      <c r="G147" s="2869"/>
      <c r="H147" s="2870"/>
      <c r="I147" s="2866"/>
    </row>
    <row r="148" spans="1:11" s="2423" customFormat="1" ht="24" customHeight="1" x14ac:dyDescent="0.25">
      <c r="A148" s="2860"/>
      <c r="B148" s="2861" t="s">
        <v>3512</v>
      </c>
      <c r="C148" s="2867"/>
      <c r="D148" s="2868">
        <v>7</v>
      </c>
      <c r="E148" s="2868">
        <v>7</v>
      </c>
      <c r="F148" s="2868"/>
      <c r="G148" s="2869"/>
      <c r="H148" s="2870"/>
      <c r="I148" s="2866"/>
    </row>
    <row r="149" spans="1:11" s="2423" customFormat="1" ht="24" customHeight="1" x14ac:dyDescent="0.25">
      <c r="A149" s="2860"/>
      <c r="B149" s="2861" t="s">
        <v>3513</v>
      </c>
      <c r="C149" s="2867"/>
      <c r="D149" s="2868">
        <v>4.3</v>
      </c>
      <c r="E149" s="2868">
        <v>4.3</v>
      </c>
      <c r="F149" s="2868"/>
      <c r="G149" s="2869"/>
      <c r="H149" s="2870"/>
      <c r="I149" s="2866"/>
    </row>
    <row r="150" spans="1:11" s="2402" customFormat="1" ht="28.5" customHeight="1" x14ac:dyDescent="0.25">
      <c r="A150" s="2878" t="s">
        <v>866</v>
      </c>
      <c r="B150" s="2878" t="s">
        <v>2455</v>
      </c>
      <c r="C150" s="2682">
        <f>SUM(C151:C156)</f>
        <v>8650.3678099999997</v>
      </c>
      <c r="D150" s="2681">
        <f>SUM(D151:D156)</f>
        <v>33418.698651999999</v>
      </c>
      <c r="E150" s="2681">
        <f>SUM(E151:E156)</f>
        <v>32970.398652000003</v>
      </c>
      <c r="F150" s="2681">
        <f>SUM(F151:F156)</f>
        <v>448.3</v>
      </c>
      <c r="G150" s="2682">
        <f t="shared" si="1"/>
        <v>24768.330841999999</v>
      </c>
      <c r="H150" s="2729">
        <f>D150/C150*100</f>
        <v>386.32690986118894</v>
      </c>
      <c r="I150" s="2682">
        <f>SUM(I151:I156)</f>
        <v>0</v>
      </c>
      <c r="J150" s="2402" t="str">
        <f>K9</f>
        <v>7. Chi bổ sung cho ngân sách cấp dưới</v>
      </c>
    </row>
    <row r="151" spans="1:11" s="2402" customFormat="1" ht="39" customHeight="1" x14ac:dyDescent="0.25">
      <c r="A151" s="2676">
        <v>1</v>
      </c>
      <c r="B151" s="2677" t="s">
        <v>3415</v>
      </c>
      <c r="C151" s="2678"/>
      <c r="D151" s="2679">
        <f t="shared" ref="D151:D156" si="2">E151+F151</f>
        <v>15395.881018</v>
      </c>
      <c r="E151" s="2679">
        <f>15397.392874-448.3-0.3-1.211856</f>
        <v>14947.581018000001</v>
      </c>
      <c r="F151" s="2679">
        <v>448.3</v>
      </c>
      <c r="G151" s="2680">
        <f t="shared" si="1"/>
        <v>15395.881018</v>
      </c>
      <c r="H151" s="2726"/>
      <c r="I151" s="2676"/>
      <c r="J151" s="2748" t="e">
        <f>J150-D150</f>
        <v>#VALUE!</v>
      </c>
      <c r="K151" s="2750">
        <v>16599.208801000001</v>
      </c>
    </row>
    <row r="152" spans="1:11" s="2402" customFormat="1" ht="39" customHeight="1" x14ac:dyDescent="0.25">
      <c r="A152" s="2876">
        <v>2</v>
      </c>
      <c r="B152" s="2625" t="s">
        <v>3115</v>
      </c>
      <c r="C152" s="2414">
        <v>5485.4607139999998</v>
      </c>
      <c r="D152" s="2679">
        <f t="shared" si="2"/>
        <v>5498.64761</v>
      </c>
      <c r="E152" s="2653">
        <v>5498.64761</v>
      </c>
      <c r="F152" s="2626"/>
      <c r="G152" s="2680">
        <f t="shared" si="1"/>
        <v>13.186896000000161</v>
      </c>
      <c r="H152" s="2727">
        <f>D152/C152*100</f>
        <v>100.24039723712438</v>
      </c>
      <c r="I152" s="2420"/>
      <c r="J152" s="2402">
        <f>448.3</f>
        <v>448.3</v>
      </c>
      <c r="K152" s="2747">
        <f>K151-D151</f>
        <v>1203.3277830000006</v>
      </c>
    </row>
    <row r="153" spans="1:11" s="2402" customFormat="1" ht="53.25" customHeight="1" x14ac:dyDescent="0.25">
      <c r="A153" s="2876">
        <v>3</v>
      </c>
      <c r="B153" s="2625" t="s">
        <v>3416</v>
      </c>
      <c r="C153" s="2414">
        <v>44.894795000000002</v>
      </c>
      <c r="D153" s="2679">
        <f t="shared" si="2"/>
        <v>23.730084000000005</v>
      </c>
      <c r="E153" s="2653">
        <f>37.134396-13.404312</f>
        <v>23.730084000000005</v>
      </c>
      <c r="F153" s="2626"/>
      <c r="G153" s="2680">
        <f>D153-C153</f>
        <v>-21.164710999999997</v>
      </c>
      <c r="H153" s="2727">
        <f>D153/C153*100</f>
        <v>52.857094012791471</v>
      </c>
      <c r="I153" s="2876"/>
    </row>
    <row r="154" spans="1:11" s="2402" customFormat="1" ht="69.75" customHeight="1" x14ac:dyDescent="0.25">
      <c r="A154" s="2876">
        <v>4</v>
      </c>
      <c r="B154" s="2625" t="s">
        <v>2456</v>
      </c>
      <c r="C154" s="2414">
        <v>121.974605</v>
      </c>
      <c r="D154" s="2679">
        <f t="shared" si="2"/>
        <v>2836.5089460000004</v>
      </c>
      <c r="E154" s="2653">
        <f>2388.708946+448.3-0.5</f>
        <v>2836.5089460000004</v>
      </c>
      <c r="F154" s="2626"/>
      <c r="G154" s="2680">
        <f>D154-C154</f>
        <v>2714.5343410000005</v>
      </c>
      <c r="H154" s="2727">
        <f>D154/C154*100</f>
        <v>2325.4913971641886</v>
      </c>
      <c r="I154" s="2876"/>
      <c r="J154" s="2402">
        <v>2837.0089459999999</v>
      </c>
      <c r="K154" s="2748">
        <f>J154-E154</f>
        <v>0.49999999999954525</v>
      </c>
    </row>
    <row r="155" spans="1:11" s="2402" customFormat="1" ht="69.75" customHeight="1" x14ac:dyDescent="0.25">
      <c r="A155" s="2876">
        <v>5</v>
      </c>
      <c r="B155" s="2625" t="s">
        <v>2457</v>
      </c>
      <c r="C155" s="2414">
        <v>2971.0050550000001</v>
      </c>
      <c r="D155" s="2679">
        <f t="shared" si="2"/>
        <v>2214.0752030000003</v>
      </c>
      <c r="E155" s="2653">
        <f>2218.947203-4.872</f>
        <v>2214.0752030000003</v>
      </c>
      <c r="F155" s="2626"/>
      <c r="G155" s="2680">
        <f>D155-C155</f>
        <v>-756.92985199999976</v>
      </c>
      <c r="H155" s="2727">
        <f>D155/C155*100</f>
        <v>74.522767952678564</v>
      </c>
      <c r="I155" s="2876"/>
      <c r="J155" s="2748" t="e">
        <f>J151-J152</f>
        <v>#VALUE!</v>
      </c>
    </row>
    <row r="156" spans="1:11" s="2402" customFormat="1" ht="39" customHeight="1" x14ac:dyDescent="0.25">
      <c r="A156" s="2421">
        <v>6</v>
      </c>
      <c r="B156" s="2628" t="s">
        <v>2789</v>
      </c>
      <c r="C156" s="2658">
        <v>27.032641000000002</v>
      </c>
      <c r="D156" s="2656">
        <f t="shared" si="2"/>
        <v>7449.855791</v>
      </c>
      <c r="E156" s="2656">
        <f>7435.239623+13.404312+1.211856</f>
        <v>7449.855791</v>
      </c>
      <c r="F156" s="2657"/>
      <c r="G156" s="2715">
        <f>D156-C156</f>
        <v>7422.8231500000002</v>
      </c>
      <c r="H156" s="2728">
        <f>D156/C156*100</f>
        <v>27558.742007486428</v>
      </c>
      <c r="I156" s="2421"/>
    </row>
    <row r="157" spans="1:11" s="2402" customFormat="1" ht="73.5" customHeight="1" x14ac:dyDescent="0.25">
      <c r="H157" s="2631"/>
    </row>
    <row r="158" spans="1:11" s="1063" customFormat="1" ht="15.75" x14ac:dyDescent="0.25">
      <c r="A158" s="2403"/>
      <c r="B158" s="2404"/>
      <c r="C158" s="2405"/>
      <c r="D158" s="2406"/>
      <c r="E158" s="2407"/>
      <c r="F158" s="2408"/>
      <c r="G158" s="2408"/>
      <c r="H158" s="2632"/>
      <c r="I158" s="2403"/>
    </row>
    <row r="159" spans="1:11" s="2402" customFormat="1" ht="15.75" customHeight="1" x14ac:dyDescent="0.25">
      <c r="A159" s="4576"/>
      <c r="B159" s="4576"/>
      <c r="C159" s="2733"/>
      <c r="D159" s="4583" t="s">
        <v>3514</v>
      </c>
      <c r="E159" s="4583"/>
      <c r="F159" s="4583"/>
      <c r="G159" s="4583"/>
      <c r="H159" s="2734"/>
    </row>
    <row r="160" spans="1:11" s="2402" customFormat="1" ht="15.75" customHeight="1" x14ac:dyDescent="0.25">
      <c r="A160" s="4577"/>
      <c r="B160" s="4577"/>
      <c r="C160" s="2733"/>
      <c r="D160" s="4578" t="s">
        <v>1442</v>
      </c>
      <c r="E160" s="4578"/>
      <c r="F160" s="4578"/>
      <c r="G160" s="4578"/>
      <c r="H160" s="2735"/>
    </row>
    <row r="161" spans="1:11" s="2402" customFormat="1" ht="15.75" customHeight="1" x14ac:dyDescent="0.25">
      <c r="A161" s="4579"/>
      <c r="B161" s="4579"/>
      <c r="C161" s="2733"/>
      <c r="D161" s="4578" t="s">
        <v>807</v>
      </c>
      <c r="E161" s="4578"/>
      <c r="F161" s="4578"/>
      <c r="G161" s="4578"/>
      <c r="H161" s="2736"/>
    </row>
    <row r="162" spans="1:11" s="2402" customFormat="1" ht="15.75" x14ac:dyDescent="0.25">
      <c r="C162" s="2733"/>
      <c r="D162" s="2737"/>
      <c r="E162" s="2738"/>
      <c r="F162" s="2739"/>
      <c r="G162" s="1066"/>
      <c r="H162" s="2740"/>
    </row>
    <row r="163" spans="1:11" s="2402" customFormat="1" ht="15.75" x14ac:dyDescent="0.25">
      <c r="C163" s="2733"/>
      <c r="D163" s="2737"/>
      <c r="E163" s="2738"/>
      <c r="F163" s="2739"/>
      <c r="G163" s="1066"/>
      <c r="H163" s="2740"/>
    </row>
    <row r="164" spans="1:11" s="2402" customFormat="1" ht="15.75" x14ac:dyDescent="0.25">
      <c r="C164" s="2733"/>
      <c r="D164" s="2737"/>
      <c r="E164" s="2738"/>
      <c r="F164" s="2739"/>
      <c r="G164" s="1066"/>
      <c r="H164" s="2740"/>
    </row>
    <row r="165" spans="1:11" s="2402" customFormat="1" ht="15.75" x14ac:dyDescent="0.25">
      <c r="C165" s="2733"/>
      <c r="D165" s="2737"/>
      <c r="E165" s="2738"/>
      <c r="F165" s="2739"/>
      <c r="G165" s="1066"/>
      <c r="H165" s="2741"/>
    </row>
    <row r="166" spans="1:11" s="2402" customFormat="1" ht="15.75" x14ac:dyDescent="0.25">
      <c r="C166" s="2733"/>
      <c r="D166" s="2737"/>
      <c r="E166" s="2738"/>
      <c r="F166" s="2739"/>
      <c r="G166" s="1066"/>
      <c r="H166" s="2741"/>
    </row>
    <row r="167" spans="1:11" s="2402" customFormat="1" ht="15.75" x14ac:dyDescent="0.25">
      <c r="C167" s="2733"/>
      <c r="D167" s="4581" t="s">
        <v>2210</v>
      </c>
      <c r="E167" s="4581"/>
      <c r="F167" s="4581"/>
      <c r="G167" s="4581"/>
      <c r="H167" s="2742"/>
    </row>
    <row r="168" spans="1:11" s="2402" customFormat="1" ht="15.75" x14ac:dyDescent="0.25">
      <c r="A168" s="4580"/>
      <c r="B168" s="4580"/>
      <c r="C168" s="2733"/>
      <c r="D168" s="4581"/>
      <c r="E168" s="4581"/>
      <c r="F168" s="4581"/>
      <c r="G168" s="4581"/>
      <c r="H168" s="2743"/>
    </row>
    <row r="169" spans="1:11" s="2402" customFormat="1" ht="15.75" x14ac:dyDescent="0.25">
      <c r="C169" s="2733"/>
      <c r="D169" s="2737"/>
      <c r="E169" s="2738"/>
      <c r="F169" s="2738"/>
      <c r="G169" s="2738"/>
      <c r="H169" s="2735"/>
    </row>
    <row r="171" spans="1:11" s="1347" customFormat="1" x14ac:dyDescent="0.25">
      <c r="H171" s="2633"/>
      <c r="J171" s="2294"/>
      <c r="K171" s="2294"/>
    </row>
    <row r="172" spans="1:11" s="1347" customFormat="1" x14ac:dyDescent="0.25">
      <c r="H172" s="2633"/>
      <c r="J172" s="2294"/>
      <c r="K172" s="2294"/>
    </row>
  </sheetData>
  <mergeCells count="23">
    <mergeCell ref="H4:I4"/>
    <mergeCell ref="D159:G159"/>
    <mergeCell ref="E1:G1"/>
    <mergeCell ref="H1:I1"/>
    <mergeCell ref="A2:I2"/>
    <mergeCell ref="A3:I3"/>
    <mergeCell ref="A5:A6"/>
    <mergeCell ref="B5:B6"/>
    <mergeCell ref="C5:C6"/>
    <mergeCell ref="D5:F5"/>
    <mergeCell ref="G5:H5"/>
    <mergeCell ref="I5:I6"/>
    <mergeCell ref="A69:A70"/>
    <mergeCell ref="B69:B70"/>
    <mergeCell ref="A71:A72"/>
    <mergeCell ref="B71:B72"/>
    <mergeCell ref="A159:B159"/>
    <mergeCell ref="A160:B160"/>
    <mergeCell ref="D160:G160"/>
    <mergeCell ref="A161:B161"/>
    <mergeCell ref="A168:B168"/>
    <mergeCell ref="D161:G161"/>
    <mergeCell ref="D167:G168"/>
  </mergeCells>
  <pageMargins left="0.61" right="0.19685039370078741" top="0.59055118110236227" bottom="0.47244094488188981" header="0.31496062992125984" footer="0.31496062992125984"/>
  <pageSetup paperSize="9" scale="85" orientation="landscape" r:id="rId1"/>
  <headerFooter>
    <oddHeader xml:space="preserve">&amp;RBiểu số 5.30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75"/>
  <sheetViews>
    <sheetView view="pageBreakPreview" zoomScale="85" zoomScaleNormal="90" zoomScaleSheetLayoutView="85" workbookViewId="0">
      <pane xSplit="2" ySplit="6" topLeftCell="C64" activePane="bottomRight" state="frozen"/>
      <selection pane="topRight" activeCell="C1" sqref="C1"/>
      <selection pane="bottomLeft" activeCell="A7" sqref="A7"/>
      <selection pane="bottomRight" activeCell="A65" sqref="A65:XFD76"/>
    </sheetView>
  </sheetViews>
  <sheetFormatPr defaultColWidth="9.140625" defaultRowHeight="15.75" x14ac:dyDescent="0.25"/>
  <cols>
    <col min="1" max="1" width="7.85546875" style="589" customWidth="1"/>
    <col min="2" max="2" width="43.42578125" style="589" customWidth="1"/>
    <col min="3" max="3" width="12.140625" style="1185" customWidth="1"/>
    <col min="4" max="4" width="18.5703125" style="2027" customWidth="1"/>
    <col min="5" max="5" width="19.140625" style="718" customWidth="1"/>
    <col min="6" max="6" width="13.42578125" style="718" customWidth="1"/>
    <col min="7" max="7" width="9.7109375" style="718" customWidth="1"/>
    <col min="8" max="8" width="7.85546875" style="718" customWidth="1"/>
    <col min="9" max="9" width="7.7109375" style="589" hidden="1" customWidth="1"/>
    <col min="10" max="10" width="20.28515625" style="589" hidden="1" customWidth="1"/>
    <col min="11" max="16" width="15.28515625" style="589" hidden="1" customWidth="1"/>
    <col min="17" max="17" width="40.28515625" style="589" hidden="1" customWidth="1"/>
    <col min="18" max="19" width="0" style="589" hidden="1" customWidth="1"/>
    <col min="20" max="16384" width="9.140625" style="589"/>
  </cols>
  <sheetData>
    <row r="1" spans="1:11" s="1971" customFormat="1" ht="26.25" customHeight="1" x14ac:dyDescent="0.25">
      <c r="A1" s="1984"/>
      <c r="C1" s="1986"/>
      <c r="D1" s="1995"/>
      <c r="E1" s="4616" t="s">
        <v>2160</v>
      </c>
      <c r="F1" s="4616"/>
      <c r="G1" s="4616"/>
      <c r="H1" s="4608"/>
      <c r="I1" s="4608"/>
    </row>
    <row r="2" spans="1:11" s="1971" customFormat="1" ht="28.5" customHeight="1" x14ac:dyDescent="0.25">
      <c r="A2" s="4231" t="s">
        <v>2968</v>
      </c>
      <c r="B2" s="4231"/>
      <c r="C2" s="4231"/>
      <c r="D2" s="4231"/>
      <c r="E2" s="4231"/>
      <c r="F2" s="4231"/>
      <c r="G2" s="4231"/>
      <c r="H2" s="4231"/>
      <c r="I2" s="4231"/>
    </row>
    <row r="3" spans="1:11" s="1971" customFormat="1" ht="30.75" customHeight="1" x14ac:dyDescent="0.25">
      <c r="A3" s="4472" t="e">
        <f>#REF!</f>
        <v>#REF!</v>
      </c>
      <c r="B3" s="4472"/>
      <c r="C3" s="4472"/>
      <c r="D3" s="4472"/>
      <c r="E3" s="4472"/>
      <c r="F3" s="4472"/>
      <c r="G3" s="4472"/>
      <c r="H3" s="4472"/>
      <c r="I3" s="4472"/>
    </row>
    <row r="4" spans="1:11" x14ac:dyDescent="0.25">
      <c r="I4" s="730" t="s">
        <v>147</v>
      </c>
    </row>
    <row r="5" spans="1:11" x14ac:dyDescent="0.25">
      <c r="A5" s="4609" t="s">
        <v>844</v>
      </c>
      <c r="B5" s="4609" t="s">
        <v>845</v>
      </c>
      <c r="C5" s="4610" t="s">
        <v>148</v>
      </c>
      <c r="D5" s="4611" t="s">
        <v>149</v>
      </c>
      <c r="E5" s="4612"/>
      <c r="F5" s="4613"/>
      <c r="G5" s="4002" t="s">
        <v>150</v>
      </c>
      <c r="H5" s="4002"/>
      <c r="I5" s="4001" t="s">
        <v>151</v>
      </c>
    </row>
    <row r="6" spans="1:11" s="1709" customFormat="1" ht="47.25" x14ac:dyDescent="0.25">
      <c r="A6" s="4609"/>
      <c r="B6" s="4609"/>
      <c r="C6" s="4610"/>
      <c r="D6" s="1996" t="s">
        <v>868</v>
      </c>
      <c r="E6" s="1991" t="s">
        <v>704</v>
      </c>
      <c r="F6" s="1991" t="s">
        <v>705</v>
      </c>
      <c r="G6" s="698" t="s">
        <v>152</v>
      </c>
      <c r="H6" s="698" t="s">
        <v>153</v>
      </c>
      <c r="I6" s="4001"/>
    </row>
    <row r="7" spans="1:11" x14ac:dyDescent="0.25">
      <c r="A7" s="1900" t="s">
        <v>847</v>
      </c>
      <c r="B7" s="1900" t="s">
        <v>848</v>
      </c>
      <c r="C7" s="1901">
        <v>1</v>
      </c>
      <c r="D7" s="1901">
        <v>1</v>
      </c>
      <c r="E7" s="1901">
        <v>2</v>
      </c>
      <c r="F7" s="1901">
        <v>3</v>
      </c>
      <c r="G7" s="1901" t="s">
        <v>154</v>
      </c>
      <c r="H7" s="1901" t="s">
        <v>155</v>
      </c>
      <c r="I7" s="1900">
        <v>5</v>
      </c>
    </row>
    <row r="8" spans="1:11" s="583" customFormat="1" ht="30" customHeight="1" x14ac:dyDescent="0.25">
      <c r="A8" s="1907"/>
      <c r="B8" s="1909" t="s">
        <v>1114</v>
      </c>
      <c r="C8" s="2018">
        <v>39585.954912000001</v>
      </c>
      <c r="D8" s="1975">
        <f>D9+D59</f>
        <v>32286.661982000001</v>
      </c>
      <c r="E8" s="2019">
        <f>E9+E59</f>
        <v>30698.058220999999</v>
      </c>
      <c r="F8" s="2019">
        <f>F9+F59</f>
        <v>1588.6037610000001</v>
      </c>
      <c r="G8" s="2019">
        <f>E8-C8</f>
        <v>-8887.8966910000017</v>
      </c>
      <c r="H8" s="2019">
        <f>G8/D8*100</f>
        <v>-27.528075512900823</v>
      </c>
      <c r="I8" s="1909"/>
      <c r="J8" s="916"/>
      <c r="K8" s="916"/>
    </row>
    <row r="9" spans="1:11" ht="25.5" customHeight="1" x14ac:dyDescent="0.25">
      <c r="A9" s="1907" t="s">
        <v>849</v>
      </c>
      <c r="B9" s="1907" t="s">
        <v>728</v>
      </c>
      <c r="C9" s="1918">
        <v>29749.284733</v>
      </c>
      <c r="D9" s="1974">
        <f>D10+D26+D41+D48+D49</f>
        <v>23636.294172000002</v>
      </c>
      <c r="E9" s="1973">
        <f>E10+E26+E41+E48+E49</f>
        <v>22047.690411</v>
      </c>
      <c r="F9" s="1973">
        <f>F10+F26+F41+F48+F49</f>
        <v>1588.6037610000001</v>
      </c>
      <c r="G9" s="1973">
        <f>E9-C9</f>
        <v>-7701.5943220000008</v>
      </c>
      <c r="H9" s="1973">
        <f>G9/D9*100</f>
        <v>-32.583764045056832</v>
      </c>
      <c r="I9" s="1907"/>
      <c r="J9" s="2030"/>
    </row>
    <row r="10" spans="1:11" ht="129.75" customHeight="1" x14ac:dyDescent="0.25">
      <c r="A10" s="1907">
        <v>1</v>
      </c>
      <c r="B10" s="2020" t="s">
        <v>3116</v>
      </c>
      <c r="C10" s="1918">
        <v>18061.174676999999</v>
      </c>
      <c r="D10" s="1974">
        <f>D11+D16</f>
        <v>2964.7374930000001</v>
      </c>
      <c r="E10" s="1973">
        <f>E11+E16</f>
        <v>1376.133732</v>
      </c>
      <c r="F10" s="1973">
        <f>F11+F16</f>
        <v>1588.6037610000001</v>
      </c>
      <c r="G10" s="1973">
        <f>E10-C10</f>
        <v>-16685.040945000001</v>
      </c>
      <c r="H10" s="1973">
        <f>G10/D10*100</f>
        <v>-562.78307891996565</v>
      </c>
      <c r="I10" s="2031"/>
      <c r="J10" s="2032"/>
    </row>
    <row r="11" spans="1:11" s="1916" customFormat="1" ht="25.5" customHeight="1" x14ac:dyDescent="0.25">
      <c r="A11" s="1913"/>
      <c r="B11" s="1904" t="s">
        <v>2930</v>
      </c>
      <c r="C11" s="2033">
        <v>2083.508632</v>
      </c>
      <c r="D11" s="2034">
        <f>D12</f>
        <v>1784.8849</v>
      </c>
      <c r="E11" s="2035">
        <f>E12</f>
        <v>231.5</v>
      </c>
      <c r="F11" s="2035">
        <f>F12</f>
        <v>1553.3849</v>
      </c>
      <c r="G11" s="2035">
        <f>E11-C11</f>
        <v>-1852.008632</v>
      </c>
      <c r="H11" s="2035">
        <f>G11/D11*100</f>
        <v>-103.76067566037452</v>
      </c>
      <c r="I11" s="2035"/>
    </row>
    <row r="12" spans="1:11" ht="25.5" customHeight="1" x14ac:dyDescent="0.25">
      <c r="A12" s="1907" t="s">
        <v>851</v>
      </c>
      <c r="B12" s="1904" t="s">
        <v>2929</v>
      </c>
      <c r="C12" s="1918"/>
      <c r="D12" s="1974">
        <f>SUM(D13:D15)</f>
        <v>1784.8849</v>
      </c>
      <c r="E12" s="1973">
        <f>SUM(E13:E15)</f>
        <v>231.5</v>
      </c>
      <c r="F12" s="1973">
        <f>SUM(F13:F15)</f>
        <v>1553.3849</v>
      </c>
      <c r="G12" s="1973"/>
      <c r="H12" s="1973"/>
      <c r="I12" s="1973"/>
    </row>
    <row r="13" spans="1:11" ht="41.25" customHeight="1" x14ac:dyDescent="0.25">
      <c r="A13" s="1907" t="s">
        <v>711</v>
      </c>
      <c r="B13" s="2021" t="s">
        <v>2920</v>
      </c>
      <c r="C13" s="1918"/>
      <c r="D13" s="1974">
        <f>E13+F13</f>
        <v>96.5</v>
      </c>
      <c r="E13" s="2022">
        <v>96.5</v>
      </c>
      <c r="F13" s="1973"/>
      <c r="G13" s="1973"/>
      <c r="H13" s="1973"/>
      <c r="I13" s="1973"/>
    </row>
    <row r="14" spans="1:11" ht="41.25" customHeight="1" x14ac:dyDescent="0.25">
      <c r="A14" s="1907" t="s">
        <v>711</v>
      </c>
      <c r="B14" s="2021" t="s">
        <v>2918</v>
      </c>
      <c r="C14" s="1918"/>
      <c r="D14" s="1974">
        <f>F14</f>
        <v>1553.3849</v>
      </c>
      <c r="E14" s="2022"/>
      <c r="F14" s="1973">
        <v>1553.3849</v>
      </c>
      <c r="G14" s="1973"/>
      <c r="H14" s="1973"/>
      <c r="I14" s="1973"/>
    </row>
    <row r="15" spans="1:11" ht="41.25" customHeight="1" x14ac:dyDescent="0.25">
      <c r="A15" s="1907" t="s">
        <v>711</v>
      </c>
      <c r="B15" s="2021" t="s">
        <v>2919</v>
      </c>
      <c r="C15" s="1918"/>
      <c r="D15" s="1974">
        <f>E15+F15</f>
        <v>135</v>
      </c>
      <c r="E15" s="2022">
        <v>135</v>
      </c>
      <c r="F15" s="1973"/>
      <c r="G15" s="1973"/>
      <c r="H15" s="1973"/>
      <c r="I15" s="1973"/>
    </row>
    <row r="16" spans="1:11" s="1781" customFormat="1" ht="27.75" customHeight="1" x14ac:dyDescent="0.25">
      <c r="A16" s="2042" t="s">
        <v>897</v>
      </c>
      <c r="B16" s="2044" t="s">
        <v>1259</v>
      </c>
      <c r="C16" s="2208">
        <v>9095.9863100000002</v>
      </c>
      <c r="D16" s="2279">
        <f>D17+D23</f>
        <v>1179.8525930000001</v>
      </c>
      <c r="E16" s="2278">
        <f>E17+E23</f>
        <v>1144.633732</v>
      </c>
      <c r="F16" s="2278">
        <f>F17+F23</f>
        <v>35.218860999999997</v>
      </c>
      <c r="G16" s="2209">
        <f>E16-C16</f>
        <v>-7951.352578</v>
      </c>
      <c r="H16" s="2209">
        <f>G16/D16*100</f>
        <v>-673.92762665225575</v>
      </c>
      <c r="I16" s="2209"/>
    </row>
    <row r="17" spans="1:10" ht="27.75" customHeight="1" x14ac:dyDescent="0.25">
      <c r="A17" s="1907" t="s">
        <v>1260</v>
      </c>
      <c r="B17" s="1904" t="s">
        <v>2929</v>
      </c>
      <c r="C17" s="2280"/>
      <c r="D17" s="2280">
        <f>SUM(D18:D22)</f>
        <v>383.86988700000001</v>
      </c>
      <c r="E17" s="2280">
        <f>SUM(E18:E22)</f>
        <v>348.651026</v>
      </c>
      <c r="F17" s="2280">
        <f>SUM(F18:F22)</f>
        <v>35.218860999999997</v>
      </c>
      <c r="G17" s="1973"/>
      <c r="H17" s="1973"/>
      <c r="I17" s="1973"/>
    </row>
    <row r="18" spans="1:10" ht="69.75" customHeight="1" x14ac:dyDescent="0.25">
      <c r="A18" s="1907" t="s">
        <v>711</v>
      </c>
      <c r="B18" s="1905" t="s">
        <v>2923</v>
      </c>
      <c r="C18" s="2280"/>
      <c r="D18" s="2280">
        <f>E18+F18</f>
        <v>142.85102599999999</v>
      </c>
      <c r="E18" s="2281">
        <v>142.85102599999999</v>
      </c>
      <c r="F18" s="2280"/>
      <c r="G18" s="1973"/>
      <c r="H18" s="1973"/>
      <c r="I18" s="1973"/>
    </row>
    <row r="19" spans="1:10" ht="30" customHeight="1" x14ac:dyDescent="0.25">
      <c r="A19" s="1907" t="s">
        <v>711</v>
      </c>
      <c r="B19" s="1905" t="s">
        <v>2924</v>
      </c>
      <c r="C19" s="2280"/>
      <c r="D19" s="2280">
        <f>F19</f>
        <v>35.218860999999997</v>
      </c>
      <c r="E19" s="2281"/>
      <c r="F19" s="2280">
        <v>35.218860999999997</v>
      </c>
      <c r="G19" s="1973"/>
      <c r="H19" s="1973"/>
      <c r="I19" s="1973"/>
    </row>
    <row r="20" spans="1:10" ht="51.75" customHeight="1" x14ac:dyDescent="0.25">
      <c r="A20" s="1907" t="s">
        <v>711</v>
      </c>
      <c r="B20" s="1905" t="s">
        <v>2921</v>
      </c>
      <c r="C20" s="2280"/>
      <c r="D20" s="2280">
        <f t="shared" ref="D20:D25" si="0">E20+F20</f>
        <v>180</v>
      </c>
      <c r="E20" s="2281">
        <v>180</v>
      </c>
      <c r="F20" s="2280"/>
      <c r="G20" s="1973"/>
      <c r="H20" s="1973"/>
      <c r="I20" s="1973"/>
    </row>
    <row r="21" spans="1:10" ht="57.75" customHeight="1" x14ac:dyDescent="0.25">
      <c r="A21" s="1907" t="s">
        <v>711</v>
      </c>
      <c r="B21" s="1905" t="s">
        <v>2922</v>
      </c>
      <c r="C21" s="2280"/>
      <c r="D21" s="2280">
        <f t="shared" si="0"/>
        <v>14.6</v>
      </c>
      <c r="E21" s="2281">
        <v>14.6</v>
      </c>
      <c r="F21" s="2280"/>
      <c r="G21" s="1973"/>
      <c r="H21" s="1973"/>
      <c r="I21" s="1973"/>
    </row>
    <row r="22" spans="1:10" ht="57.75" customHeight="1" x14ac:dyDescent="0.25">
      <c r="A22" s="1907"/>
      <c r="B22" s="1905" t="s">
        <v>2926</v>
      </c>
      <c r="C22" s="2280"/>
      <c r="D22" s="2280">
        <f t="shared" si="0"/>
        <v>11.2</v>
      </c>
      <c r="E22" s="2281">
        <v>11.2</v>
      </c>
      <c r="F22" s="2280"/>
      <c r="G22" s="1973"/>
      <c r="H22" s="1973"/>
      <c r="I22" s="1973"/>
    </row>
    <row r="23" spans="1:10" ht="27" customHeight="1" x14ac:dyDescent="0.25">
      <c r="A23" s="1907" t="s">
        <v>1261</v>
      </c>
      <c r="B23" s="2023" t="s">
        <v>2927</v>
      </c>
      <c r="C23" s="2280"/>
      <c r="D23" s="2280">
        <f>E23+F23</f>
        <v>795.98270600000001</v>
      </c>
      <c r="E23" s="2281">
        <f>SUM(E24:E25)</f>
        <v>795.98270600000001</v>
      </c>
      <c r="F23" s="2280"/>
      <c r="G23" s="1973"/>
      <c r="H23" s="1973"/>
      <c r="I23" s="1973"/>
    </row>
    <row r="24" spans="1:10" ht="94.5" customHeight="1" x14ac:dyDescent="0.25">
      <c r="A24" s="1907"/>
      <c r="B24" s="1905" t="s">
        <v>2925</v>
      </c>
      <c r="C24" s="2280"/>
      <c r="D24" s="2280">
        <f t="shared" si="0"/>
        <v>400.613</v>
      </c>
      <c r="E24" s="2281">
        <v>400.613</v>
      </c>
      <c r="F24" s="2280"/>
      <c r="G24" s="1973"/>
      <c r="H24" s="1973"/>
      <c r="I24" s="1973"/>
    </row>
    <row r="25" spans="1:10" ht="94.5" customHeight="1" x14ac:dyDescent="0.25">
      <c r="A25" s="1907"/>
      <c r="B25" s="1905" t="s">
        <v>2928</v>
      </c>
      <c r="C25" s="2280"/>
      <c r="D25" s="2280">
        <f t="shared" si="0"/>
        <v>395.36970600000001</v>
      </c>
      <c r="E25" s="2281">
        <v>395.36970600000001</v>
      </c>
      <c r="F25" s="2280"/>
      <c r="G25" s="1973"/>
      <c r="H25" s="1973"/>
      <c r="I25" s="1973"/>
    </row>
    <row r="26" spans="1:10" ht="64.150000000000006" customHeight="1" x14ac:dyDescent="0.25">
      <c r="A26" s="1907">
        <v>2</v>
      </c>
      <c r="B26" s="1887" t="s">
        <v>3115</v>
      </c>
      <c r="C26" s="1918">
        <f>C27+C40</f>
        <v>2725.0047030000001</v>
      </c>
      <c r="D26" s="1974">
        <f>D27+D40</f>
        <v>1102.672718</v>
      </c>
      <c r="E26" s="1973">
        <f>E27+E40</f>
        <v>1102.672718</v>
      </c>
      <c r="F26" s="1973"/>
      <c r="G26" s="1973">
        <f>E26-C26</f>
        <v>-1622.331985</v>
      </c>
      <c r="H26" s="1973">
        <f>G26/D26*100</f>
        <v>-147.12724442321786</v>
      </c>
      <c r="I26" s="1973"/>
      <c r="J26" s="1710"/>
    </row>
    <row r="27" spans="1:10" ht="22.5" customHeight="1" x14ac:dyDescent="0.25">
      <c r="A27" s="1907" t="s">
        <v>902</v>
      </c>
      <c r="B27" s="1905" t="s">
        <v>2935</v>
      </c>
      <c r="C27" s="1918">
        <v>9.5319099999999999</v>
      </c>
      <c r="D27" s="1974">
        <f>SUM(D28:D39)</f>
        <v>29.954909999999998</v>
      </c>
      <c r="E27" s="1973">
        <f>SUM(E28:E39)</f>
        <v>29.954909999999998</v>
      </c>
      <c r="F27" s="1973"/>
      <c r="G27" s="1973"/>
      <c r="H27" s="1973"/>
      <c r="I27" s="1973"/>
      <c r="J27" s="1710"/>
    </row>
    <row r="28" spans="1:10" ht="22.5" customHeight="1" x14ac:dyDescent="0.25">
      <c r="A28" s="1907" t="s">
        <v>1331</v>
      </c>
      <c r="B28" s="1887" t="s">
        <v>2936</v>
      </c>
      <c r="C28" s="1918"/>
      <c r="D28" s="1974">
        <f t="shared" ref="D28:D57" si="1">E28+F28</f>
        <v>2.8839999999999999</v>
      </c>
      <c r="E28" s="1973">
        <v>2.8839999999999999</v>
      </c>
      <c r="F28" s="1973"/>
      <c r="G28" s="1973"/>
      <c r="H28" s="1973"/>
      <c r="I28" s="1973"/>
      <c r="J28" s="1710"/>
    </row>
    <row r="29" spans="1:10" ht="22.5" customHeight="1" x14ac:dyDescent="0.25">
      <c r="A29" s="1907" t="s">
        <v>1332</v>
      </c>
      <c r="B29" s="1887" t="s">
        <v>2937</v>
      </c>
      <c r="C29" s="1918"/>
      <c r="D29" s="1974">
        <f t="shared" si="1"/>
        <v>0.3</v>
      </c>
      <c r="E29" s="1973">
        <v>0.3</v>
      </c>
      <c r="F29" s="1973"/>
      <c r="G29" s="1973"/>
      <c r="H29" s="1973"/>
      <c r="I29" s="1973"/>
      <c r="J29" s="1710"/>
    </row>
    <row r="30" spans="1:10" ht="22.5" customHeight="1" x14ac:dyDescent="0.25">
      <c r="A30" s="1907" t="s">
        <v>3131</v>
      </c>
      <c r="B30" s="2026" t="s">
        <v>2938</v>
      </c>
      <c r="C30" s="1918"/>
      <c r="D30" s="1974">
        <f t="shared" si="1"/>
        <v>1.6205149999999999</v>
      </c>
      <c r="E30" s="1973">
        <v>1.6205149999999999</v>
      </c>
      <c r="F30" s="1973"/>
      <c r="G30" s="1973"/>
      <c r="H30" s="1973"/>
      <c r="I30" s="1973"/>
      <c r="J30" s="1710"/>
    </row>
    <row r="31" spans="1:10" ht="22.5" customHeight="1" x14ac:dyDescent="0.25">
      <c r="A31" s="1907" t="s">
        <v>3132</v>
      </c>
      <c r="B31" s="2024" t="s">
        <v>2939</v>
      </c>
      <c r="C31" s="1918"/>
      <c r="D31" s="1974">
        <f t="shared" si="1"/>
        <v>0.60389400000000004</v>
      </c>
      <c r="E31" s="1973">
        <v>0.60389400000000004</v>
      </c>
      <c r="F31" s="1973"/>
      <c r="G31" s="1973"/>
      <c r="H31" s="1973"/>
      <c r="I31" s="1973"/>
      <c r="J31" s="1710"/>
    </row>
    <row r="32" spans="1:10" ht="22.5" customHeight="1" x14ac:dyDescent="0.25">
      <c r="A32" s="1907" t="s">
        <v>3133</v>
      </c>
      <c r="B32" s="2024" t="s">
        <v>2940</v>
      </c>
      <c r="C32" s="1918"/>
      <c r="D32" s="1974">
        <f t="shared" si="1"/>
        <v>0.29799999999999999</v>
      </c>
      <c r="E32" s="1973">
        <v>0.29799999999999999</v>
      </c>
      <c r="F32" s="1973"/>
      <c r="G32" s="1973"/>
      <c r="H32" s="1973"/>
      <c r="I32" s="1973"/>
      <c r="J32" s="1710"/>
    </row>
    <row r="33" spans="1:10" ht="22.5" customHeight="1" x14ac:dyDescent="0.25">
      <c r="A33" s="1907" t="s">
        <v>3134</v>
      </c>
      <c r="B33" s="2024" t="s">
        <v>2941</v>
      </c>
      <c r="C33" s="1918"/>
      <c r="D33" s="1974">
        <f t="shared" si="1"/>
        <v>0.01</v>
      </c>
      <c r="E33" s="1973">
        <v>0.01</v>
      </c>
      <c r="F33" s="1973"/>
      <c r="G33" s="1973"/>
      <c r="H33" s="1973"/>
      <c r="I33" s="1973"/>
      <c r="J33" s="1710"/>
    </row>
    <row r="34" spans="1:10" ht="22.5" customHeight="1" x14ac:dyDescent="0.25">
      <c r="A34" s="1907" t="s">
        <v>3135</v>
      </c>
      <c r="B34" s="2024" t="s">
        <v>2942</v>
      </c>
      <c r="C34" s="1918"/>
      <c r="D34" s="1974">
        <f t="shared" si="1"/>
        <v>1.252707</v>
      </c>
      <c r="E34" s="1973">
        <v>1.252707</v>
      </c>
      <c r="F34" s="1973"/>
      <c r="G34" s="1973"/>
      <c r="H34" s="1973"/>
      <c r="I34" s="1973"/>
      <c r="J34" s="1710"/>
    </row>
    <row r="35" spans="1:10" ht="22.5" customHeight="1" x14ac:dyDescent="0.25">
      <c r="A35" s="1907" t="s">
        <v>3136</v>
      </c>
      <c r="B35" s="2024" t="s">
        <v>2943</v>
      </c>
      <c r="C35" s="1918"/>
      <c r="D35" s="1974">
        <f t="shared" si="1"/>
        <v>0.19089200000000001</v>
      </c>
      <c r="E35" s="1973">
        <v>0.19089200000000001</v>
      </c>
      <c r="F35" s="1973"/>
      <c r="G35" s="1973"/>
      <c r="H35" s="1973"/>
      <c r="I35" s="1973"/>
      <c r="J35" s="1710"/>
    </row>
    <row r="36" spans="1:10" ht="22.5" customHeight="1" x14ac:dyDescent="0.25">
      <c r="A36" s="4614" t="s">
        <v>3137</v>
      </c>
      <c r="B36" s="4607" t="s">
        <v>2944</v>
      </c>
      <c r="C36" s="1918"/>
      <c r="D36" s="1974">
        <f t="shared" si="1"/>
        <v>14.9</v>
      </c>
      <c r="E36" s="1973">
        <v>14.9</v>
      </c>
      <c r="F36" s="1973"/>
      <c r="G36" s="1973"/>
      <c r="H36" s="1973"/>
      <c r="I36" s="1973"/>
      <c r="J36" s="1710"/>
    </row>
    <row r="37" spans="1:10" ht="22.5" customHeight="1" x14ac:dyDescent="0.25">
      <c r="A37" s="4615"/>
      <c r="B37" s="4607"/>
      <c r="C37" s="1918"/>
      <c r="D37" s="1974">
        <f t="shared" si="1"/>
        <v>1.5983970000000001</v>
      </c>
      <c r="E37" s="1973">
        <v>1.5983970000000001</v>
      </c>
      <c r="F37" s="1973"/>
      <c r="G37" s="1973"/>
      <c r="H37" s="1973"/>
      <c r="I37" s="1973"/>
      <c r="J37" s="1710"/>
    </row>
    <row r="38" spans="1:10" ht="22.5" customHeight="1" x14ac:dyDescent="0.25">
      <c r="A38" s="4614" t="s">
        <v>3138</v>
      </c>
      <c r="B38" s="4607" t="s">
        <v>2945</v>
      </c>
      <c r="C38" s="1918"/>
      <c r="D38" s="1974">
        <f t="shared" si="1"/>
        <v>1.0815049999999999</v>
      </c>
      <c r="E38" s="1973">
        <v>1.0815049999999999</v>
      </c>
      <c r="F38" s="1973"/>
      <c r="G38" s="1973"/>
      <c r="H38" s="1973"/>
      <c r="I38" s="1973"/>
      <c r="J38" s="1710"/>
    </row>
    <row r="39" spans="1:10" ht="22.5" customHeight="1" x14ac:dyDescent="0.25">
      <c r="A39" s="4615"/>
      <c r="B39" s="4607"/>
      <c r="C39" s="1918"/>
      <c r="D39" s="1974">
        <f t="shared" si="1"/>
        <v>5.2149999999999999</v>
      </c>
      <c r="E39" s="1973">
        <v>5.2149999999999999</v>
      </c>
      <c r="F39" s="1973"/>
      <c r="G39" s="1973"/>
      <c r="H39" s="1973"/>
      <c r="I39" s="1973"/>
      <c r="J39" s="1710"/>
    </row>
    <row r="40" spans="1:10" ht="22.5" customHeight="1" x14ac:dyDescent="0.25">
      <c r="A40" s="1907" t="s">
        <v>903</v>
      </c>
      <c r="B40" s="1905" t="s">
        <v>2453</v>
      </c>
      <c r="C40" s="1918">
        <v>2715.4727929999999</v>
      </c>
      <c r="D40" s="1974">
        <f t="shared" si="1"/>
        <v>1072.7178080000001</v>
      </c>
      <c r="E40" s="1973">
        <v>1072.7178080000001</v>
      </c>
      <c r="F40" s="1973"/>
      <c r="G40" s="1973">
        <f>E40-C40</f>
        <v>-1642.7549849999998</v>
      </c>
      <c r="H40" s="1973">
        <f>G40/D40*100</f>
        <v>-153.13952772563647</v>
      </c>
      <c r="I40" s="1973"/>
      <c r="J40" s="1710"/>
    </row>
    <row r="41" spans="1:10" ht="123" customHeight="1" x14ac:dyDescent="0.25">
      <c r="A41" s="1907">
        <v>3</v>
      </c>
      <c r="B41" s="1920" t="s">
        <v>2456</v>
      </c>
      <c r="C41" s="1918"/>
      <c r="D41" s="1974">
        <f t="shared" si="1"/>
        <v>2256.6290999999997</v>
      </c>
      <c r="E41" s="1973">
        <f>SUM(E42:E47)</f>
        <v>2256.6290999999997</v>
      </c>
      <c r="F41" s="1973"/>
      <c r="G41" s="1973"/>
      <c r="H41" s="1973"/>
      <c r="I41" s="1973"/>
      <c r="J41" s="1710"/>
    </row>
    <row r="42" spans="1:10" ht="81.75" customHeight="1" x14ac:dyDescent="0.25">
      <c r="A42" s="1907" t="s">
        <v>174</v>
      </c>
      <c r="B42" s="1920" t="s">
        <v>2946</v>
      </c>
      <c r="C42" s="1918"/>
      <c r="D42" s="1974">
        <f t="shared" si="1"/>
        <v>1000</v>
      </c>
      <c r="E42" s="1973">
        <v>1000</v>
      </c>
      <c r="F42" s="1973"/>
      <c r="G42" s="1973"/>
      <c r="H42" s="1973"/>
      <c r="I42" s="1973"/>
      <c r="J42" s="1710"/>
    </row>
    <row r="43" spans="1:10" ht="116.25" customHeight="1" x14ac:dyDescent="0.25">
      <c r="A43" s="1907" t="s">
        <v>796</v>
      </c>
      <c r="B43" s="1920" t="s">
        <v>2947</v>
      </c>
      <c r="C43" s="1918"/>
      <c r="D43" s="1974">
        <f t="shared" si="1"/>
        <v>1033</v>
      </c>
      <c r="E43" s="1973">
        <v>1033</v>
      </c>
      <c r="F43" s="1973"/>
      <c r="G43" s="1973"/>
      <c r="H43" s="1973"/>
      <c r="I43" s="1973"/>
      <c r="J43" s="1710"/>
    </row>
    <row r="44" spans="1:10" ht="30.75" customHeight="1" x14ac:dyDescent="0.25">
      <c r="A44" s="1907" t="s">
        <v>1493</v>
      </c>
      <c r="B44" s="1905" t="s">
        <v>2931</v>
      </c>
      <c r="C44" s="1918"/>
      <c r="D44" s="1974">
        <f>E44+F44</f>
        <v>214.55410000000001</v>
      </c>
      <c r="E44" s="1973">
        <v>214.55410000000001</v>
      </c>
      <c r="F44" s="1973"/>
      <c r="G44" s="1973"/>
      <c r="H44" s="1973"/>
      <c r="I44" s="1973"/>
      <c r="J44" s="1480">
        <v>15761245089</v>
      </c>
    </row>
    <row r="45" spans="1:10" ht="30.75" customHeight="1" x14ac:dyDescent="0.25">
      <c r="A45" s="1907" t="s">
        <v>1492</v>
      </c>
      <c r="B45" s="2024" t="s">
        <v>2932</v>
      </c>
      <c r="C45" s="1918"/>
      <c r="D45" s="1974">
        <f>E45+F45</f>
        <v>4.8</v>
      </c>
      <c r="E45" s="1973">
        <v>4.8</v>
      </c>
      <c r="F45" s="1973"/>
      <c r="G45" s="1973"/>
      <c r="H45" s="1973"/>
      <c r="I45" s="1973"/>
      <c r="J45" s="2036" t="e">
        <f>J44/1000000-#REF!</f>
        <v>#REF!</v>
      </c>
    </row>
    <row r="46" spans="1:10" ht="30.75" customHeight="1" x14ac:dyDescent="0.25">
      <c r="A46" s="1907" t="s">
        <v>1494</v>
      </c>
      <c r="B46" s="2024" t="s">
        <v>2933</v>
      </c>
      <c r="C46" s="1918"/>
      <c r="D46" s="1974">
        <f>E46+F46</f>
        <v>0.45</v>
      </c>
      <c r="E46" s="1973">
        <v>0.45</v>
      </c>
      <c r="F46" s="1973"/>
      <c r="G46" s="1973"/>
      <c r="H46" s="1973"/>
      <c r="I46" s="1973"/>
      <c r="J46" s="1710"/>
    </row>
    <row r="47" spans="1:10" ht="30.75" customHeight="1" x14ac:dyDescent="0.25">
      <c r="A47" s="1907" t="s">
        <v>1495</v>
      </c>
      <c r="B47" s="1887" t="s">
        <v>2934</v>
      </c>
      <c r="C47" s="1918"/>
      <c r="D47" s="1974">
        <f>E47+F47</f>
        <v>3.8250000000000002</v>
      </c>
      <c r="E47" s="1973">
        <v>3.8250000000000002</v>
      </c>
      <c r="F47" s="1973"/>
      <c r="G47" s="1973"/>
      <c r="H47" s="1973"/>
      <c r="I47" s="1973"/>
      <c r="J47" s="1710"/>
    </row>
    <row r="48" spans="1:10" ht="126" x14ac:dyDescent="0.25">
      <c r="A48" s="1907">
        <v>4</v>
      </c>
      <c r="B48" s="1920" t="s">
        <v>2457</v>
      </c>
      <c r="C48" s="2033">
        <v>4933.8738229999999</v>
      </c>
      <c r="D48" s="1974">
        <f t="shared" si="1"/>
        <v>17026.60859</v>
      </c>
      <c r="E48" s="1973">
        <v>17026.60859</v>
      </c>
      <c r="F48" s="1973"/>
      <c r="G48" s="1973">
        <f>E48-C48</f>
        <v>12092.734767</v>
      </c>
      <c r="H48" s="1973">
        <f>G48/D48*100</f>
        <v>71.022568605366644</v>
      </c>
      <c r="I48" s="1973" t="s">
        <v>3117</v>
      </c>
      <c r="J48" s="1710"/>
    </row>
    <row r="49" spans="1:10" ht="76.5" customHeight="1" x14ac:dyDescent="0.25">
      <c r="A49" s="1907">
        <v>5</v>
      </c>
      <c r="B49" s="1920" t="s">
        <v>156</v>
      </c>
      <c r="C49" s="1918">
        <v>854.23153000000002</v>
      </c>
      <c r="D49" s="1974">
        <f t="shared" si="1"/>
        <v>285.64627100000001</v>
      </c>
      <c r="E49" s="1973">
        <f>SUM(E50:E58)</f>
        <v>285.64627100000001</v>
      </c>
      <c r="F49" s="1973"/>
      <c r="G49" s="1973">
        <f>E49-C49</f>
        <v>-568.58525899999995</v>
      </c>
      <c r="H49" s="1973">
        <f>G49/D49*100</f>
        <v>-199.05222533081832</v>
      </c>
      <c r="I49" s="1973"/>
      <c r="J49" s="1710"/>
    </row>
    <row r="50" spans="1:10" ht="26.25" customHeight="1" x14ac:dyDescent="0.25">
      <c r="A50" s="1907" t="s">
        <v>2429</v>
      </c>
      <c r="B50" s="2024" t="s">
        <v>2948</v>
      </c>
      <c r="C50" s="1918"/>
      <c r="D50" s="1974">
        <f t="shared" si="1"/>
        <v>4.2140009999999997</v>
      </c>
      <c r="E50" s="1973">
        <v>4.2140009999999997</v>
      </c>
      <c r="F50" s="1973"/>
      <c r="G50" s="1973">
        <f t="shared" ref="G50:G63" si="2">E50-C50</f>
        <v>4.2140009999999997</v>
      </c>
      <c r="H50" s="1973">
        <f t="shared" ref="H50:H63" si="3">G50/D50*100</f>
        <v>100</v>
      </c>
      <c r="I50" s="1973"/>
      <c r="J50" s="1710"/>
    </row>
    <row r="51" spans="1:10" ht="26.25" customHeight="1" x14ac:dyDescent="0.25">
      <c r="A51" s="1907" t="s">
        <v>2430</v>
      </c>
      <c r="B51" s="2024" t="s">
        <v>2949</v>
      </c>
      <c r="C51" s="1918"/>
      <c r="D51" s="1974">
        <f t="shared" si="1"/>
        <v>2.658601</v>
      </c>
      <c r="E51" s="1973">
        <v>2.658601</v>
      </c>
      <c r="F51" s="1973"/>
      <c r="G51" s="1973">
        <f t="shared" si="2"/>
        <v>2.658601</v>
      </c>
      <c r="H51" s="1973">
        <f t="shared" si="3"/>
        <v>100</v>
      </c>
      <c r="I51" s="1973"/>
      <c r="J51" s="1710"/>
    </row>
    <row r="52" spans="1:10" ht="26.25" customHeight="1" x14ac:dyDescent="0.25">
      <c r="A52" s="1907" t="s">
        <v>2431</v>
      </c>
      <c r="B52" s="2024" t="s">
        <v>2950</v>
      </c>
      <c r="C52" s="1918"/>
      <c r="D52" s="1974">
        <f t="shared" si="1"/>
        <v>67.022514000000001</v>
      </c>
      <c r="E52" s="1973">
        <v>67.022514000000001</v>
      </c>
      <c r="F52" s="1973"/>
      <c r="G52" s="1973">
        <f t="shared" si="2"/>
        <v>67.022514000000001</v>
      </c>
      <c r="H52" s="1973">
        <f t="shared" si="3"/>
        <v>100</v>
      </c>
      <c r="I52" s="1973"/>
      <c r="J52" s="1710"/>
    </row>
    <row r="53" spans="1:10" ht="26.25" customHeight="1" x14ac:dyDescent="0.25">
      <c r="A53" s="1907" t="s">
        <v>2432</v>
      </c>
      <c r="B53" s="2024" t="s">
        <v>2951</v>
      </c>
      <c r="C53" s="1918"/>
      <c r="D53" s="1974">
        <f t="shared" si="1"/>
        <v>4.21929</v>
      </c>
      <c r="E53" s="1973">
        <v>4.21929</v>
      </c>
      <c r="F53" s="1973"/>
      <c r="G53" s="1973">
        <f t="shared" si="2"/>
        <v>4.21929</v>
      </c>
      <c r="H53" s="1973">
        <f t="shared" si="3"/>
        <v>100</v>
      </c>
      <c r="I53" s="1973"/>
      <c r="J53" s="1710"/>
    </row>
    <row r="54" spans="1:10" ht="26.25" customHeight="1" x14ac:dyDescent="0.25">
      <c r="A54" s="1907" t="s">
        <v>2433</v>
      </c>
      <c r="B54" s="2024" t="s">
        <v>2952</v>
      </c>
      <c r="C54" s="1918"/>
      <c r="D54" s="1974">
        <f t="shared" si="1"/>
        <v>2.9174319999999998</v>
      </c>
      <c r="E54" s="1973">
        <v>2.9174319999999998</v>
      </c>
      <c r="F54" s="1973"/>
      <c r="G54" s="1973">
        <f t="shared" si="2"/>
        <v>2.9174319999999998</v>
      </c>
      <c r="H54" s="1973">
        <f t="shared" si="3"/>
        <v>100</v>
      </c>
      <c r="I54" s="1973"/>
      <c r="J54" s="1710"/>
    </row>
    <row r="55" spans="1:10" ht="26.25" customHeight="1" x14ac:dyDescent="0.25">
      <c r="A55" s="1907" t="s">
        <v>2542</v>
      </c>
      <c r="B55" s="2024" t="s">
        <v>2945</v>
      </c>
      <c r="C55" s="1918"/>
      <c r="D55" s="1974">
        <f t="shared" si="1"/>
        <v>4.5649999999999996E-3</v>
      </c>
      <c r="E55" s="1973">
        <v>4.5649999999999996E-3</v>
      </c>
      <c r="F55" s="1973"/>
      <c r="G55" s="1973">
        <f t="shared" si="2"/>
        <v>4.5649999999999996E-3</v>
      </c>
      <c r="H55" s="1973">
        <f t="shared" si="3"/>
        <v>100</v>
      </c>
      <c r="I55" s="1973"/>
      <c r="J55" s="1710"/>
    </row>
    <row r="56" spans="1:10" ht="26.25" customHeight="1" x14ac:dyDescent="0.25">
      <c r="A56" s="1907" t="s">
        <v>2543</v>
      </c>
      <c r="B56" s="1905" t="s">
        <v>2934</v>
      </c>
      <c r="C56" s="1918"/>
      <c r="D56" s="1974">
        <f t="shared" si="1"/>
        <v>1.8078380000000001</v>
      </c>
      <c r="E56" s="1973">
        <v>1.8078380000000001</v>
      </c>
      <c r="F56" s="1973"/>
      <c r="G56" s="1973">
        <f t="shared" si="2"/>
        <v>1.8078380000000001</v>
      </c>
      <c r="H56" s="1973">
        <f t="shared" si="3"/>
        <v>100</v>
      </c>
      <c r="I56" s="1973"/>
      <c r="J56" s="1710"/>
    </row>
    <row r="57" spans="1:10" ht="26.25" customHeight="1" x14ac:dyDescent="0.25">
      <c r="A57" s="1907" t="s">
        <v>2544</v>
      </c>
      <c r="B57" s="1905" t="s">
        <v>2953</v>
      </c>
      <c r="C57" s="1918"/>
      <c r="D57" s="1974">
        <f t="shared" si="1"/>
        <v>2.8020299999999998</v>
      </c>
      <c r="E57" s="1973">
        <v>2.8020299999999998</v>
      </c>
      <c r="F57" s="1973"/>
      <c r="G57" s="1973">
        <f t="shared" si="2"/>
        <v>2.8020299999999998</v>
      </c>
      <c r="H57" s="1973">
        <f t="shared" si="3"/>
        <v>100</v>
      </c>
      <c r="I57" s="1973"/>
      <c r="J57" s="1710"/>
    </row>
    <row r="58" spans="1:10" ht="39.75" customHeight="1" x14ac:dyDescent="0.25">
      <c r="A58" s="1907" t="s">
        <v>2434</v>
      </c>
      <c r="B58" s="1887" t="s">
        <v>2454</v>
      </c>
      <c r="C58" s="1918">
        <v>200</v>
      </c>
      <c r="D58" s="1974">
        <f>E58</f>
        <v>200</v>
      </c>
      <c r="E58" s="1973">
        <v>200</v>
      </c>
      <c r="F58" s="1973"/>
      <c r="G58" s="1973">
        <f t="shared" si="2"/>
        <v>0</v>
      </c>
      <c r="H58" s="1973">
        <f t="shared" si="3"/>
        <v>0</v>
      </c>
      <c r="I58" s="1973"/>
    </row>
    <row r="59" spans="1:10" ht="25.15" customHeight="1" x14ac:dyDescent="0.25">
      <c r="A59" s="1907" t="s">
        <v>866</v>
      </c>
      <c r="B59" s="1907" t="s">
        <v>2455</v>
      </c>
      <c r="C59" s="2022">
        <f>SUM(C60:C64)</f>
        <v>8947.7487889999993</v>
      </c>
      <c r="D59" s="2028">
        <f>SUM(D60:D64)</f>
        <v>8650.3678099999997</v>
      </c>
      <c r="E59" s="2022">
        <f>SUM(E60:E64)</f>
        <v>8650.3678099999997</v>
      </c>
      <c r="F59" s="2022">
        <f>SUM(F60:F64)</f>
        <v>0</v>
      </c>
      <c r="G59" s="1973">
        <f t="shared" si="2"/>
        <v>-297.38097899999957</v>
      </c>
      <c r="H59" s="1973">
        <f t="shared" si="3"/>
        <v>-3.4377842137096319</v>
      </c>
      <c r="I59" s="1907"/>
    </row>
    <row r="60" spans="1:10" ht="61.5" customHeight="1" x14ac:dyDescent="0.25">
      <c r="A60" s="1907">
        <v>1</v>
      </c>
      <c r="B60" s="1887" t="s">
        <v>3115</v>
      </c>
      <c r="C60" s="1918">
        <v>3794.7444509999996</v>
      </c>
      <c r="D60" s="2028">
        <f>E60</f>
        <v>5485.4607139999998</v>
      </c>
      <c r="E60" s="2022">
        <v>5485.4607139999998</v>
      </c>
      <c r="F60" s="1973"/>
      <c r="G60" s="1973">
        <f t="shared" si="2"/>
        <v>1690.7162630000003</v>
      </c>
      <c r="H60" s="1973">
        <f t="shared" si="3"/>
        <v>30.821773250238614</v>
      </c>
      <c r="I60" s="2025"/>
    </row>
    <row r="61" spans="1:10" ht="96.75" customHeight="1" x14ac:dyDescent="0.25">
      <c r="A61" s="1907">
        <v>2</v>
      </c>
      <c r="B61" s="1887" t="s">
        <v>2457</v>
      </c>
      <c r="C61" s="1918">
        <v>5002.6430439999986</v>
      </c>
      <c r="D61" s="2028">
        <v>2971.0050550000001</v>
      </c>
      <c r="E61" s="2022">
        <v>2971.0050550000001</v>
      </c>
      <c r="F61" s="1973"/>
      <c r="G61" s="1973">
        <f t="shared" si="2"/>
        <v>-2031.6379889999985</v>
      </c>
      <c r="H61" s="1973">
        <f t="shared" si="3"/>
        <v>-68.382178804471891</v>
      </c>
      <c r="I61" s="1907"/>
    </row>
    <row r="62" spans="1:10" ht="27.75" customHeight="1" x14ac:dyDescent="0.25">
      <c r="A62" s="1907">
        <v>3</v>
      </c>
      <c r="B62" s="1887" t="s">
        <v>2969</v>
      </c>
      <c r="C62" s="1918">
        <v>1.1399999999999999</v>
      </c>
      <c r="D62" s="2028">
        <f>E62</f>
        <v>44.894795000000002</v>
      </c>
      <c r="E62" s="2022">
        <v>44.894795000000002</v>
      </c>
      <c r="F62" s="1973"/>
      <c r="G62" s="1973">
        <f t="shared" si="2"/>
        <v>43.754795000000001</v>
      </c>
      <c r="H62" s="1973">
        <f t="shared" si="3"/>
        <v>97.460730135865418</v>
      </c>
      <c r="I62" s="1907"/>
    </row>
    <row r="63" spans="1:10" ht="111.75" customHeight="1" x14ac:dyDescent="0.25">
      <c r="A63" s="1907">
        <v>4</v>
      </c>
      <c r="B63" s="1887" t="s">
        <v>2456</v>
      </c>
      <c r="C63" s="1918">
        <v>149.221294</v>
      </c>
      <c r="D63" s="2028">
        <f>E63</f>
        <v>121.974605</v>
      </c>
      <c r="E63" s="2022">
        <f>121.974605</f>
        <v>121.974605</v>
      </c>
      <c r="F63" s="1973"/>
      <c r="G63" s="1973">
        <f t="shared" si="2"/>
        <v>-27.246689000000003</v>
      </c>
      <c r="H63" s="1973">
        <f t="shared" si="3"/>
        <v>-22.338001422509222</v>
      </c>
      <c r="I63" s="1907"/>
    </row>
    <row r="64" spans="1:10" ht="35.25" customHeight="1" x14ac:dyDescent="0.25">
      <c r="A64" s="1907">
        <v>5</v>
      </c>
      <c r="B64" s="1887" t="s">
        <v>2789</v>
      </c>
      <c r="C64" s="1918"/>
      <c r="D64" s="2028">
        <v>27.032641000000002</v>
      </c>
      <c r="E64" s="2022">
        <f>D64</f>
        <v>27.032641000000002</v>
      </c>
      <c r="F64" s="1973"/>
      <c r="G64" s="1973"/>
      <c r="H64" s="1973"/>
      <c r="I64" s="1907"/>
    </row>
    <row r="65" spans="1:9" s="686" customFormat="1" x14ac:dyDescent="0.25">
      <c r="A65" s="1965"/>
      <c r="B65" s="1344"/>
      <c r="C65" s="1944"/>
      <c r="D65" s="2029"/>
      <c r="E65" s="1966"/>
      <c r="F65" s="1943"/>
      <c r="G65" s="1943"/>
      <c r="H65" s="1943"/>
      <c r="I65" s="1965"/>
    </row>
    <row r="66" spans="1:9" s="1946" customFormat="1" ht="15.75" customHeight="1" x14ac:dyDescent="0.25">
      <c r="A66" s="4602"/>
      <c r="B66" s="4602"/>
      <c r="C66" s="692"/>
      <c r="D66" s="4606" t="s">
        <v>2970</v>
      </c>
      <c r="E66" s="4606"/>
      <c r="F66" s="4606"/>
      <c r="G66" s="4606"/>
      <c r="H66" s="4606"/>
    </row>
    <row r="67" spans="1:9" s="1946" customFormat="1" ht="15.75" customHeight="1" x14ac:dyDescent="0.25">
      <c r="A67" s="4382"/>
      <c r="B67" s="4382"/>
      <c r="C67" s="692"/>
      <c r="D67" s="4605" t="s">
        <v>1442</v>
      </c>
      <c r="E67" s="4605"/>
      <c r="F67" s="4605"/>
      <c r="G67" s="4605"/>
      <c r="H67" s="691"/>
    </row>
    <row r="68" spans="1:9" s="1946" customFormat="1" ht="15.75" customHeight="1" x14ac:dyDescent="0.25">
      <c r="A68" s="4603"/>
      <c r="B68" s="4603"/>
      <c r="C68" s="692"/>
      <c r="D68" s="4605" t="s">
        <v>807</v>
      </c>
      <c r="E68" s="4605"/>
      <c r="F68" s="4605"/>
      <c r="G68" s="4605"/>
      <c r="H68" s="4605"/>
    </row>
    <row r="69" spans="1:9" s="1946" customFormat="1" x14ac:dyDescent="0.25">
      <c r="C69" s="692"/>
      <c r="D69" s="1967"/>
      <c r="E69" s="691"/>
      <c r="F69" s="697"/>
      <c r="G69" s="687"/>
      <c r="H69" s="1945"/>
    </row>
    <row r="70" spans="1:9" s="1946" customFormat="1" x14ac:dyDescent="0.25">
      <c r="C70" s="692"/>
      <c r="D70" s="1967"/>
      <c r="E70" s="691"/>
      <c r="F70" s="697"/>
      <c r="G70" s="687"/>
      <c r="H70" s="1945"/>
    </row>
    <row r="71" spans="1:9" s="1946" customFormat="1" x14ac:dyDescent="0.25">
      <c r="C71" s="692"/>
      <c r="D71" s="1967"/>
      <c r="E71" s="691"/>
      <c r="F71" s="697"/>
      <c r="G71" s="687"/>
      <c r="H71" s="1945"/>
    </row>
    <row r="72" spans="1:9" s="1946" customFormat="1" x14ac:dyDescent="0.25">
      <c r="C72" s="692"/>
      <c r="D72" s="1967"/>
      <c r="E72" s="691"/>
      <c r="F72" s="697"/>
      <c r="G72" s="687"/>
      <c r="H72" s="697"/>
    </row>
    <row r="73" spans="1:9" s="1946" customFormat="1" x14ac:dyDescent="0.25">
      <c r="C73" s="692"/>
      <c r="D73" s="1967"/>
      <c r="E73" s="691"/>
      <c r="F73" s="697"/>
      <c r="G73" s="687"/>
      <c r="H73" s="697"/>
    </row>
    <row r="74" spans="1:9" s="1946" customFormat="1" x14ac:dyDescent="0.25">
      <c r="C74" s="692"/>
      <c r="D74" s="1967"/>
      <c r="E74" s="691"/>
      <c r="F74" s="687"/>
      <c r="G74" s="687"/>
      <c r="H74" s="687"/>
    </row>
    <row r="75" spans="1:9" s="1946" customFormat="1" x14ac:dyDescent="0.25">
      <c r="A75" s="4601"/>
      <c r="B75" s="4601"/>
      <c r="C75" s="692"/>
      <c r="D75" s="4604" t="s">
        <v>808</v>
      </c>
      <c r="E75" s="4604"/>
      <c r="F75" s="4604"/>
      <c r="G75" s="4604"/>
      <c r="H75" s="4604"/>
    </row>
  </sheetData>
  <mergeCells count="22">
    <mergeCell ref="B36:B37"/>
    <mergeCell ref="B38:B39"/>
    <mergeCell ref="H1:I1"/>
    <mergeCell ref="A2:I2"/>
    <mergeCell ref="A3:I3"/>
    <mergeCell ref="A5:A6"/>
    <mergeCell ref="B5:B6"/>
    <mergeCell ref="C5:C6"/>
    <mergeCell ref="D5:F5"/>
    <mergeCell ref="G5:H5"/>
    <mergeCell ref="I5:I6"/>
    <mergeCell ref="A36:A37"/>
    <mergeCell ref="A38:A39"/>
    <mergeCell ref="E1:G1"/>
    <mergeCell ref="A75:B75"/>
    <mergeCell ref="A66:B66"/>
    <mergeCell ref="A67:B67"/>
    <mergeCell ref="A68:B68"/>
    <mergeCell ref="D75:H75"/>
    <mergeCell ref="D68:H68"/>
    <mergeCell ref="D67:G67"/>
    <mergeCell ref="D66:H66"/>
  </mergeCells>
  <phoneticPr fontId="70" type="noConversion"/>
  <pageMargins left="0.75" right="0.5" top="0.75" bottom="0.75" header="0.31496062992126" footer="0.196850393700787"/>
  <pageSetup paperSize="9" scale="75" firstPageNumber="190" orientation="portrait" useFirstPageNumber="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K103"/>
  <sheetViews>
    <sheetView topLeftCell="A7" workbookViewId="0">
      <selection activeCell="H4" sqref="H1:H1048576"/>
    </sheetView>
  </sheetViews>
  <sheetFormatPr defaultColWidth="10.140625" defaultRowHeight="15.75" x14ac:dyDescent="0.25"/>
  <cols>
    <col min="1" max="1" width="7.28515625" style="1574" customWidth="1"/>
    <col min="2" max="2" width="53.5703125" style="1575" customWidth="1"/>
    <col min="3" max="3" width="9.140625" style="1574" customWidth="1"/>
    <col min="4" max="4" width="16.5703125" style="1576" customWidth="1"/>
    <col min="5" max="5" width="7.7109375" style="1576" customWidth="1"/>
    <col min="6" max="6" width="8.7109375" style="1549" customWidth="1"/>
    <col min="7" max="7" width="18.7109375" style="1551" customWidth="1"/>
    <col min="8" max="8" width="18.7109375" style="1551" hidden="1" customWidth="1"/>
    <col min="9" max="9" width="18.7109375" style="1551" customWidth="1"/>
    <col min="10" max="10" width="18.85546875" style="1549" customWidth="1"/>
    <col min="11" max="11" width="23.28515625" style="1004" bestFit="1" customWidth="1"/>
    <col min="12" max="16384" width="10.140625" style="1004"/>
  </cols>
  <sheetData>
    <row r="1" spans="1:10" x14ac:dyDescent="0.25">
      <c r="G1" s="4084" t="s">
        <v>2638</v>
      </c>
      <c r="H1" s="4084"/>
      <c r="I1" s="4084"/>
      <c r="J1" s="4084"/>
    </row>
    <row r="2" spans="1:10" ht="18.75" x14ac:dyDescent="0.25">
      <c r="A2" s="4085" t="s">
        <v>2547</v>
      </c>
      <c r="B2" s="4085"/>
      <c r="C2" s="4085"/>
      <c r="D2" s="4085"/>
      <c r="E2" s="4085"/>
      <c r="F2" s="4085"/>
      <c r="G2" s="4085"/>
      <c r="H2" s="4085"/>
      <c r="I2" s="4085"/>
      <c r="J2" s="4085"/>
    </row>
    <row r="3" spans="1:10" x14ac:dyDescent="0.25">
      <c r="A3" s="4086" t="str">
        <f>'B50'!A4:H4</f>
        <v>(Kèm theo Quyết định số         /QĐ-UBND ngày      tháng 4 năm 2026 của UBND xã Phong Quang)</v>
      </c>
      <c r="B3" s="4086"/>
      <c r="C3" s="4086"/>
      <c r="D3" s="4086"/>
      <c r="E3" s="4086"/>
      <c r="F3" s="4086"/>
      <c r="G3" s="4086"/>
      <c r="H3" s="4086"/>
      <c r="I3" s="4086"/>
      <c r="J3" s="4086"/>
    </row>
    <row r="4" spans="1:10" x14ac:dyDescent="0.25">
      <c r="F4" s="1550"/>
      <c r="J4" s="1550"/>
    </row>
    <row r="5" spans="1:10" ht="27.6" customHeight="1" x14ac:dyDescent="0.25">
      <c r="F5" s="1550"/>
      <c r="I5" s="4617" t="s">
        <v>2720</v>
      </c>
      <c r="J5" s="4617"/>
    </row>
    <row r="6" spans="1:10" ht="9" customHeight="1" x14ac:dyDescent="0.25">
      <c r="F6" s="1550"/>
      <c r="I6" s="1616"/>
      <c r="J6" s="1616"/>
    </row>
    <row r="7" spans="1:10" s="577" customFormat="1" ht="47.25" x14ac:dyDescent="0.25">
      <c r="A7" s="551" t="s">
        <v>844</v>
      </c>
      <c r="B7" s="551" t="s">
        <v>845</v>
      </c>
      <c r="C7" s="1544" t="s">
        <v>1616</v>
      </c>
      <c r="D7" s="1577" t="s">
        <v>1617</v>
      </c>
      <c r="E7" s="1577" t="s">
        <v>2639</v>
      </c>
      <c r="F7" s="1552" t="s">
        <v>2640</v>
      </c>
      <c r="G7" s="1553" t="s">
        <v>2641</v>
      </c>
      <c r="H7" s="1553"/>
      <c r="I7" s="1553" t="s">
        <v>2642</v>
      </c>
      <c r="J7" s="1552" t="s">
        <v>2643</v>
      </c>
    </row>
    <row r="8" spans="1:10" s="1574" customFormat="1" x14ac:dyDescent="0.25">
      <c r="A8" s="1555" t="s">
        <v>847</v>
      </c>
      <c r="B8" s="1555" t="s">
        <v>848</v>
      </c>
      <c r="C8" s="1555">
        <v>1</v>
      </c>
      <c r="D8" s="1578" t="s">
        <v>2644</v>
      </c>
      <c r="E8" s="1578"/>
      <c r="F8" s="1579">
        <v>3</v>
      </c>
      <c r="G8" s="1554">
        <v>4</v>
      </c>
      <c r="H8" s="1554"/>
      <c r="I8" s="1554">
        <v>5</v>
      </c>
      <c r="J8" s="1579">
        <v>6</v>
      </c>
    </row>
    <row r="9" spans="1:10" s="577" customFormat="1" x14ac:dyDescent="0.25">
      <c r="A9" s="1555"/>
      <c r="B9" s="1580" t="s">
        <v>2645</v>
      </c>
      <c r="C9" s="1581"/>
      <c r="D9" s="1582"/>
      <c r="E9" s="1582"/>
      <c r="F9" s="1556"/>
      <c r="G9" s="1557">
        <f>G10+G44</f>
        <v>284985862540</v>
      </c>
      <c r="H9" s="1557">
        <f>H10+H44</f>
        <v>284985.86254</v>
      </c>
      <c r="I9" s="1557">
        <f>57129500000+76172666000+96435650440+47274606100+7960000000+13440000</f>
        <v>284985862540</v>
      </c>
      <c r="J9" s="1558">
        <f>I9-G9</f>
        <v>0</v>
      </c>
    </row>
    <row r="10" spans="1:10" s="1547" customFormat="1" x14ac:dyDescent="0.25">
      <c r="A10" s="1583" t="s">
        <v>849</v>
      </c>
      <c r="B10" s="1584" t="s">
        <v>1741</v>
      </c>
      <c r="C10" s="1585"/>
      <c r="D10" s="1586"/>
      <c r="E10" s="1586"/>
      <c r="F10" s="1559"/>
      <c r="G10" s="1560">
        <f>G11+G12</f>
        <v>253448000000</v>
      </c>
      <c r="H10" s="1560">
        <f>H11+H12</f>
        <v>253448</v>
      </c>
      <c r="I10" s="1560">
        <f>I11+I12</f>
        <v>253448000000</v>
      </c>
      <c r="J10" s="1559"/>
    </row>
    <row r="11" spans="1:10" s="1548" customFormat="1" x14ac:dyDescent="0.25">
      <c r="A11" s="1587">
        <v>1</v>
      </c>
      <c r="B11" s="1588" t="s">
        <v>2447</v>
      </c>
      <c r="C11" s="1587">
        <v>2268</v>
      </c>
      <c r="D11" s="1589">
        <v>44175</v>
      </c>
      <c r="E11" s="1589"/>
      <c r="F11" s="1561" t="s">
        <v>2646</v>
      </c>
      <c r="G11" s="1562">
        <v>228518000000</v>
      </c>
      <c r="H11" s="1562">
        <f>G11/1000000</f>
        <v>228518</v>
      </c>
      <c r="I11" s="1562">
        <f>G11</f>
        <v>228518000000</v>
      </c>
      <c r="J11" s="1590"/>
    </row>
    <row r="12" spans="1:10" s="1591" customFormat="1" ht="31.5" x14ac:dyDescent="0.25">
      <c r="A12" s="1587">
        <v>2</v>
      </c>
      <c r="B12" s="588" t="s">
        <v>2647</v>
      </c>
      <c r="C12" s="1587">
        <v>2268</v>
      </c>
      <c r="D12" s="1589">
        <v>44175</v>
      </c>
      <c r="E12" s="1589"/>
      <c r="F12" s="1563" t="s">
        <v>2646</v>
      </c>
      <c r="G12" s="1562">
        <f>SUM(G13:G43)</f>
        <v>24930000000</v>
      </c>
      <c r="H12" s="1562">
        <f>G12/1000000</f>
        <v>24930</v>
      </c>
      <c r="I12" s="1562">
        <f>G12</f>
        <v>24930000000</v>
      </c>
      <c r="J12" s="1590"/>
    </row>
    <row r="13" spans="1:10" s="1591" customFormat="1" ht="31.5" x14ac:dyDescent="0.25">
      <c r="A13" s="1587" t="s">
        <v>711</v>
      </c>
      <c r="B13" s="588" t="s">
        <v>2648</v>
      </c>
      <c r="C13" s="1587">
        <v>2268</v>
      </c>
      <c r="D13" s="1589">
        <v>44175</v>
      </c>
      <c r="E13" s="1589"/>
      <c r="F13" s="1564">
        <v>107</v>
      </c>
      <c r="G13" s="1562">
        <v>808000000</v>
      </c>
      <c r="H13" s="1562">
        <f t="shared" ref="H13:H76" si="0">G13/1000000</f>
        <v>808</v>
      </c>
      <c r="I13" s="1562">
        <f t="shared" ref="I13:I43" si="1">G13</f>
        <v>808000000</v>
      </c>
      <c r="J13" s="1590"/>
    </row>
    <row r="14" spans="1:10" s="1591" customFormat="1" ht="31.5" x14ac:dyDescent="0.25">
      <c r="A14" s="1587" t="s">
        <v>711</v>
      </c>
      <c r="B14" s="588" t="s">
        <v>2649</v>
      </c>
      <c r="C14" s="1587">
        <v>2268</v>
      </c>
      <c r="D14" s="1589">
        <v>44175</v>
      </c>
      <c r="E14" s="1589"/>
      <c r="F14" s="1563">
        <v>108</v>
      </c>
      <c r="G14" s="1562">
        <v>202000000</v>
      </c>
      <c r="H14" s="1562">
        <f t="shared" si="0"/>
        <v>202</v>
      </c>
      <c r="I14" s="1562">
        <f t="shared" si="1"/>
        <v>202000000</v>
      </c>
      <c r="J14" s="1590"/>
    </row>
    <row r="15" spans="1:10" s="1591" customFormat="1" ht="31.5" x14ac:dyDescent="0.25">
      <c r="A15" s="1587" t="s">
        <v>711</v>
      </c>
      <c r="B15" s="588" t="s">
        <v>2650</v>
      </c>
      <c r="C15" s="1587">
        <v>2268</v>
      </c>
      <c r="D15" s="1589">
        <v>44175</v>
      </c>
      <c r="E15" s="1589"/>
      <c r="F15" s="1563">
        <v>111</v>
      </c>
      <c r="G15" s="1562">
        <v>2055000000</v>
      </c>
      <c r="H15" s="1562">
        <f t="shared" si="0"/>
        <v>2055</v>
      </c>
      <c r="I15" s="1562">
        <f t="shared" si="1"/>
        <v>2055000000</v>
      </c>
      <c r="J15" s="1590"/>
    </row>
    <row r="16" spans="1:10" s="1591" customFormat="1" ht="31.5" x14ac:dyDescent="0.25">
      <c r="A16" s="1587" t="s">
        <v>711</v>
      </c>
      <c r="B16" s="588" t="s">
        <v>2651</v>
      </c>
      <c r="C16" s="1587">
        <v>2268</v>
      </c>
      <c r="D16" s="1589">
        <v>44175</v>
      </c>
      <c r="E16" s="1589"/>
      <c r="F16" s="1563">
        <v>112</v>
      </c>
      <c r="G16" s="1562">
        <v>792000000</v>
      </c>
      <c r="H16" s="1562">
        <f t="shared" si="0"/>
        <v>792</v>
      </c>
      <c r="I16" s="1562">
        <f t="shared" si="1"/>
        <v>792000000</v>
      </c>
      <c r="J16" s="1590"/>
    </row>
    <row r="17" spans="1:10" s="1591" customFormat="1" ht="31.5" x14ac:dyDescent="0.25">
      <c r="A17" s="1587" t="s">
        <v>711</v>
      </c>
      <c r="B17" s="588" t="s">
        <v>2652</v>
      </c>
      <c r="C17" s="1587">
        <v>2268</v>
      </c>
      <c r="D17" s="1589">
        <v>44175</v>
      </c>
      <c r="E17" s="1589"/>
      <c r="F17" s="1563">
        <v>114</v>
      </c>
      <c r="G17" s="1562">
        <v>240000000</v>
      </c>
      <c r="H17" s="1562">
        <f t="shared" si="0"/>
        <v>240</v>
      </c>
      <c r="I17" s="1562">
        <f t="shared" si="1"/>
        <v>240000000</v>
      </c>
      <c r="J17" s="1590"/>
    </row>
    <row r="18" spans="1:10" s="1591" customFormat="1" ht="18.600000000000001" customHeight="1" x14ac:dyDescent="0.25">
      <c r="A18" s="1587" t="s">
        <v>711</v>
      </c>
      <c r="B18" s="588" t="s">
        <v>2653</v>
      </c>
      <c r="C18" s="1587">
        <v>2268</v>
      </c>
      <c r="D18" s="1589">
        <v>44175</v>
      </c>
      <c r="E18" s="1589"/>
      <c r="F18" s="1563">
        <v>115</v>
      </c>
      <c r="G18" s="1562">
        <v>1185000000</v>
      </c>
      <c r="H18" s="1562">
        <f t="shared" si="0"/>
        <v>1185</v>
      </c>
      <c r="I18" s="1562">
        <f t="shared" si="1"/>
        <v>1185000000</v>
      </c>
      <c r="J18" s="1590"/>
    </row>
    <row r="19" spans="1:10" s="1591" customFormat="1" ht="31.5" x14ac:dyDescent="0.25">
      <c r="A19" s="1587" t="s">
        <v>711</v>
      </c>
      <c r="B19" s="588" t="s">
        <v>2654</v>
      </c>
      <c r="C19" s="1587">
        <v>2268</v>
      </c>
      <c r="D19" s="1589">
        <v>44175</v>
      </c>
      <c r="E19" s="1589"/>
      <c r="F19" s="1563">
        <v>117</v>
      </c>
      <c r="G19" s="1562">
        <v>729000000</v>
      </c>
      <c r="H19" s="1562">
        <f t="shared" si="0"/>
        <v>729</v>
      </c>
      <c r="I19" s="1562">
        <f t="shared" si="1"/>
        <v>729000000</v>
      </c>
      <c r="J19" s="1590"/>
    </row>
    <row r="20" spans="1:10" s="1591" customFormat="1" ht="47.25" x14ac:dyDescent="0.25">
      <c r="A20" s="1587" t="s">
        <v>711</v>
      </c>
      <c r="B20" s="588" t="s">
        <v>2655</v>
      </c>
      <c r="C20" s="1587">
        <v>2268</v>
      </c>
      <c r="D20" s="1589">
        <v>44175</v>
      </c>
      <c r="E20" s="1589"/>
      <c r="F20" s="1563">
        <v>120</v>
      </c>
      <c r="G20" s="1562">
        <v>2038000000</v>
      </c>
      <c r="H20" s="1562">
        <f t="shared" si="0"/>
        <v>2038</v>
      </c>
      <c r="I20" s="1562">
        <f t="shared" si="1"/>
        <v>2038000000</v>
      </c>
      <c r="J20" s="1590"/>
    </row>
    <row r="21" spans="1:10" s="1591" customFormat="1" ht="31.5" x14ac:dyDescent="0.25">
      <c r="A21" s="1587" t="s">
        <v>711</v>
      </c>
      <c r="B21" s="588" t="s">
        <v>2656</v>
      </c>
      <c r="C21" s="1587">
        <v>2268</v>
      </c>
      <c r="D21" s="1589">
        <v>44175</v>
      </c>
      <c r="E21" s="1589"/>
      <c r="F21" s="1563">
        <v>125</v>
      </c>
      <c r="G21" s="1562">
        <v>500000000</v>
      </c>
      <c r="H21" s="1562">
        <f t="shared" si="0"/>
        <v>500</v>
      </c>
      <c r="I21" s="1562">
        <f t="shared" si="1"/>
        <v>500000000</v>
      </c>
      <c r="J21" s="1590"/>
    </row>
    <row r="22" spans="1:10" s="1591" customFormat="1" ht="47.25" x14ac:dyDescent="0.25">
      <c r="A22" s="1587" t="s">
        <v>711</v>
      </c>
      <c r="B22" s="588" t="s">
        <v>2657</v>
      </c>
      <c r="C22" s="1587">
        <v>2268</v>
      </c>
      <c r="D22" s="1589">
        <v>44175</v>
      </c>
      <c r="E22" s="1589"/>
      <c r="F22" s="1563">
        <v>126</v>
      </c>
      <c r="G22" s="1562">
        <v>48000000</v>
      </c>
      <c r="H22" s="1562">
        <f t="shared" si="0"/>
        <v>48</v>
      </c>
      <c r="I22" s="1562">
        <f t="shared" si="1"/>
        <v>48000000</v>
      </c>
      <c r="J22" s="1590"/>
    </row>
    <row r="23" spans="1:10" s="1591" customFormat="1" x14ac:dyDescent="0.25">
      <c r="A23" s="1587" t="s">
        <v>711</v>
      </c>
      <c r="B23" s="588" t="s">
        <v>2658</v>
      </c>
      <c r="C23" s="1587">
        <v>2268</v>
      </c>
      <c r="D23" s="1589">
        <v>44175</v>
      </c>
      <c r="E23" s="1589"/>
      <c r="F23" s="1563">
        <v>131</v>
      </c>
      <c r="G23" s="1562">
        <v>1260000000</v>
      </c>
      <c r="H23" s="1562">
        <f t="shared" si="0"/>
        <v>1260</v>
      </c>
      <c r="I23" s="1562">
        <f t="shared" si="1"/>
        <v>1260000000</v>
      </c>
      <c r="J23" s="1590"/>
    </row>
    <row r="24" spans="1:10" s="1591" customFormat="1" ht="31.5" x14ac:dyDescent="0.25">
      <c r="A24" s="1587" t="s">
        <v>711</v>
      </c>
      <c r="B24" s="588" t="s">
        <v>2650</v>
      </c>
      <c r="C24" s="1587">
        <v>2268</v>
      </c>
      <c r="D24" s="1589">
        <v>44175</v>
      </c>
      <c r="E24" s="1589"/>
      <c r="F24" s="1563">
        <v>211</v>
      </c>
      <c r="G24" s="1562">
        <v>116000000</v>
      </c>
      <c r="H24" s="1562">
        <f t="shared" si="0"/>
        <v>116</v>
      </c>
      <c r="I24" s="1562">
        <f t="shared" si="1"/>
        <v>116000000</v>
      </c>
      <c r="J24" s="1590"/>
    </row>
    <row r="25" spans="1:10" s="1591" customFormat="1" ht="31.5" x14ac:dyDescent="0.25">
      <c r="A25" s="1587" t="s">
        <v>711</v>
      </c>
      <c r="B25" s="588" t="s">
        <v>2659</v>
      </c>
      <c r="C25" s="1587">
        <v>2268</v>
      </c>
      <c r="D25" s="1589">
        <v>44175</v>
      </c>
      <c r="E25" s="1589"/>
      <c r="F25" s="1563">
        <v>213</v>
      </c>
      <c r="G25" s="1562">
        <v>151000000</v>
      </c>
      <c r="H25" s="1562">
        <f t="shared" si="0"/>
        <v>151</v>
      </c>
      <c r="I25" s="1562">
        <f t="shared" si="1"/>
        <v>151000000</v>
      </c>
      <c r="J25" s="1590"/>
    </row>
    <row r="26" spans="1:10" s="1591" customFormat="1" x14ac:dyDescent="0.25">
      <c r="A26" s="1587" t="s">
        <v>711</v>
      </c>
      <c r="B26" s="588" t="s">
        <v>2653</v>
      </c>
      <c r="C26" s="1587">
        <v>2268</v>
      </c>
      <c r="D26" s="1589">
        <v>44175</v>
      </c>
      <c r="E26" s="1589"/>
      <c r="F26" s="1563">
        <v>215</v>
      </c>
      <c r="G26" s="1562">
        <v>70000000</v>
      </c>
      <c r="H26" s="1562">
        <f t="shared" si="0"/>
        <v>70</v>
      </c>
      <c r="I26" s="1562">
        <f t="shared" si="1"/>
        <v>70000000</v>
      </c>
      <c r="J26" s="1590"/>
    </row>
    <row r="27" spans="1:10" s="1591" customFormat="1" ht="31.5" x14ac:dyDescent="0.25">
      <c r="A27" s="1587" t="s">
        <v>711</v>
      </c>
      <c r="B27" s="588" t="s">
        <v>1764</v>
      </c>
      <c r="C27" s="1587">
        <v>2268</v>
      </c>
      <c r="D27" s="1589">
        <v>44175</v>
      </c>
      <c r="E27" s="1589"/>
      <c r="F27" s="1563">
        <v>216</v>
      </c>
      <c r="G27" s="1562">
        <v>853000000</v>
      </c>
      <c r="H27" s="1562">
        <f t="shared" si="0"/>
        <v>853</v>
      </c>
      <c r="I27" s="1562">
        <f t="shared" si="1"/>
        <v>853000000</v>
      </c>
      <c r="J27" s="1590"/>
    </row>
    <row r="28" spans="1:10" s="1591" customFormat="1" ht="31.5" x14ac:dyDescent="0.25">
      <c r="A28" s="1587" t="s">
        <v>711</v>
      </c>
      <c r="B28" s="588" t="s">
        <v>2654</v>
      </c>
      <c r="C28" s="1587">
        <v>2268</v>
      </c>
      <c r="D28" s="1589">
        <v>44175</v>
      </c>
      <c r="E28" s="1589"/>
      <c r="F28" s="1563">
        <v>217</v>
      </c>
      <c r="G28" s="1562">
        <v>2884000000</v>
      </c>
      <c r="H28" s="1562">
        <f t="shared" si="0"/>
        <v>2884</v>
      </c>
      <c r="I28" s="1562">
        <f t="shared" si="1"/>
        <v>2884000000</v>
      </c>
      <c r="J28" s="1590"/>
    </row>
    <row r="29" spans="1:10" s="1591" customFormat="1" ht="31.5" x14ac:dyDescent="0.25">
      <c r="A29" s="1587" t="s">
        <v>711</v>
      </c>
      <c r="B29" s="588" t="s">
        <v>2660</v>
      </c>
      <c r="C29" s="1587">
        <v>2268</v>
      </c>
      <c r="D29" s="1589">
        <v>44175</v>
      </c>
      <c r="E29" s="1589"/>
      <c r="F29" s="1563">
        <v>230</v>
      </c>
      <c r="G29" s="1562">
        <v>53000000</v>
      </c>
      <c r="H29" s="1562">
        <f t="shared" si="0"/>
        <v>53</v>
      </c>
      <c r="I29" s="1562">
        <f t="shared" si="1"/>
        <v>53000000</v>
      </c>
      <c r="J29" s="1590"/>
    </row>
    <row r="30" spans="1:10" s="1591" customFormat="1" ht="31.5" x14ac:dyDescent="0.25">
      <c r="A30" s="1587" t="s">
        <v>711</v>
      </c>
      <c r="B30" s="588" t="s">
        <v>2661</v>
      </c>
      <c r="C30" s="1587">
        <v>2268</v>
      </c>
      <c r="D30" s="1589">
        <v>44175</v>
      </c>
      <c r="E30" s="1589"/>
      <c r="F30" s="1563">
        <v>124</v>
      </c>
      <c r="G30" s="1562">
        <v>316000000</v>
      </c>
      <c r="H30" s="1562">
        <f t="shared" si="0"/>
        <v>316</v>
      </c>
      <c r="I30" s="1562">
        <f t="shared" si="1"/>
        <v>316000000</v>
      </c>
      <c r="J30" s="1590"/>
    </row>
    <row r="31" spans="1:10" s="1591" customFormat="1" x14ac:dyDescent="0.25">
      <c r="A31" s="1587" t="s">
        <v>711</v>
      </c>
      <c r="B31" s="588" t="s">
        <v>2662</v>
      </c>
      <c r="C31" s="1587">
        <v>2268</v>
      </c>
      <c r="D31" s="1589">
        <v>44175</v>
      </c>
      <c r="E31" s="1589"/>
      <c r="F31" s="1563">
        <v>200</v>
      </c>
      <c r="G31" s="1562">
        <v>35000000</v>
      </c>
      <c r="H31" s="1562">
        <f t="shared" si="0"/>
        <v>35</v>
      </c>
      <c r="I31" s="1562">
        <f t="shared" si="1"/>
        <v>35000000</v>
      </c>
      <c r="J31" s="1590"/>
    </row>
    <row r="32" spans="1:10" s="1591" customFormat="1" ht="31.5" x14ac:dyDescent="0.25">
      <c r="A32" s="1587" t="s">
        <v>711</v>
      </c>
      <c r="B32" s="588" t="s">
        <v>1768</v>
      </c>
      <c r="C32" s="1587">
        <v>2268</v>
      </c>
      <c r="D32" s="1589">
        <v>44175</v>
      </c>
      <c r="E32" s="1589"/>
      <c r="F32" s="1563">
        <v>200</v>
      </c>
      <c r="G32" s="1562">
        <v>30000000</v>
      </c>
      <c r="H32" s="1562">
        <f t="shared" si="0"/>
        <v>30</v>
      </c>
      <c r="I32" s="1562">
        <f t="shared" si="1"/>
        <v>30000000</v>
      </c>
      <c r="J32" s="1590"/>
    </row>
    <row r="33" spans="1:10" s="1591" customFormat="1" ht="47.25" x14ac:dyDescent="0.25">
      <c r="A33" s="1587" t="s">
        <v>711</v>
      </c>
      <c r="B33" s="588" t="s">
        <v>2663</v>
      </c>
      <c r="C33" s="1587">
        <v>2268</v>
      </c>
      <c r="D33" s="1589">
        <v>44175</v>
      </c>
      <c r="E33" s="1589"/>
      <c r="F33" s="1563">
        <v>200</v>
      </c>
      <c r="G33" s="1562">
        <v>27000000</v>
      </c>
      <c r="H33" s="1562">
        <f t="shared" si="0"/>
        <v>27</v>
      </c>
      <c r="I33" s="1562">
        <f t="shared" si="1"/>
        <v>27000000</v>
      </c>
      <c r="J33" s="1590"/>
    </row>
    <row r="34" spans="1:10" s="1591" customFormat="1" ht="47.25" x14ac:dyDescent="0.25">
      <c r="A34" s="1587" t="s">
        <v>711</v>
      </c>
      <c r="B34" s="588" t="s">
        <v>2664</v>
      </c>
      <c r="C34" s="1587">
        <v>2268</v>
      </c>
      <c r="D34" s="1589">
        <v>44175</v>
      </c>
      <c r="E34" s="1589"/>
      <c r="F34" s="1563">
        <v>200</v>
      </c>
      <c r="G34" s="1562">
        <v>200000000</v>
      </c>
      <c r="H34" s="1562">
        <f t="shared" si="0"/>
        <v>200</v>
      </c>
      <c r="I34" s="1562">
        <f t="shared" si="1"/>
        <v>200000000</v>
      </c>
      <c r="J34" s="1590"/>
    </row>
    <row r="35" spans="1:10" s="1591" customFormat="1" ht="31.5" x14ac:dyDescent="0.25">
      <c r="A35" s="1587" t="s">
        <v>711</v>
      </c>
      <c r="B35" s="588" t="s">
        <v>2665</v>
      </c>
      <c r="C35" s="1587">
        <v>2268</v>
      </c>
      <c r="D35" s="1589">
        <v>44175</v>
      </c>
      <c r="E35" s="1589"/>
      <c r="F35" s="1563">
        <v>200</v>
      </c>
      <c r="G35" s="1562">
        <v>470000000</v>
      </c>
      <c r="H35" s="1562">
        <f t="shared" si="0"/>
        <v>470</v>
      </c>
      <c r="I35" s="1562">
        <f t="shared" si="1"/>
        <v>470000000</v>
      </c>
      <c r="J35" s="1590"/>
    </row>
    <row r="36" spans="1:10" s="1591" customFormat="1" ht="31.5" x14ac:dyDescent="0.25">
      <c r="A36" s="1587" t="s">
        <v>711</v>
      </c>
      <c r="B36" s="588" t="s">
        <v>2329</v>
      </c>
      <c r="C36" s="1587">
        <v>2268</v>
      </c>
      <c r="D36" s="1589">
        <v>44175</v>
      </c>
      <c r="E36" s="1589"/>
      <c r="F36" s="1563">
        <v>200</v>
      </c>
      <c r="G36" s="1562">
        <v>582000000</v>
      </c>
      <c r="H36" s="1562">
        <f t="shared" si="0"/>
        <v>582</v>
      </c>
      <c r="I36" s="1562">
        <f t="shared" si="1"/>
        <v>582000000</v>
      </c>
      <c r="J36" s="1590"/>
    </row>
    <row r="37" spans="1:10" s="1591" customFormat="1" ht="47.25" x14ac:dyDescent="0.25">
      <c r="A37" s="1587" t="s">
        <v>711</v>
      </c>
      <c r="B37" s="588" t="s">
        <v>2666</v>
      </c>
      <c r="C37" s="1587">
        <v>2268</v>
      </c>
      <c r="D37" s="1589">
        <v>44175</v>
      </c>
      <c r="E37" s="1589"/>
      <c r="F37" s="1563">
        <v>200</v>
      </c>
      <c r="G37" s="1562">
        <v>5496000000</v>
      </c>
      <c r="H37" s="1562">
        <f t="shared" si="0"/>
        <v>5496</v>
      </c>
      <c r="I37" s="1562">
        <f t="shared" si="1"/>
        <v>5496000000</v>
      </c>
      <c r="J37" s="1590"/>
    </row>
    <row r="38" spans="1:10" s="1591" customFormat="1" ht="63" x14ac:dyDescent="0.25">
      <c r="A38" s="1587" t="s">
        <v>711</v>
      </c>
      <c r="B38" s="588" t="s">
        <v>2667</v>
      </c>
      <c r="C38" s="1587">
        <v>2268</v>
      </c>
      <c r="D38" s="1589">
        <v>44175</v>
      </c>
      <c r="E38" s="1589"/>
      <c r="F38" s="1563">
        <v>200</v>
      </c>
      <c r="G38" s="1562">
        <v>357000000</v>
      </c>
      <c r="H38" s="1562">
        <f t="shared" si="0"/>
        <v>357</v>
      </c>
      <c r="I38" s="1562">
        <f t="shared" si="1"/>
        <v>357000000</v>
      </c>
      <c r="J38" s="1590"/>
    </row>
    <row r="39" spans="1:10" s="1591" customFormat="1" ht="31.5" x14ac:dyDescent="0.25">
      <c r="A39" s="1587" t="s">
        <v>711</v>
      </c>
      <c r="B39" s="588" t="s">
        <v>2668</v>
      </c>
      <c r="C39" s="1587">
        <v>2268</v>
      </c>
      <c r="D39" s="1589">
        <v>44175</v>
      </c>
      <c r="E39" s="1589"/>
      <c r="F39" s="1563">
        <v>200</v>
      </c>
      <c r="G39" s="1562">
        <v>800000000</v>
      </c>
      <c r="H39" s="1562">
        <f t="shared" si="0"/>
        <v>800</v>
      </c>
      <c r="I39" s="1562">
        <f t="shared" si="1"/>
        <v>800000000</v>
      </c>
      <c r="J39" s="1590"/>
    </row>
    <row r="40" spans="1:10" s="1591" customFormat="1" x14ac:dyDescent="0.25">
      <c r="A40" s="1587" t="s">
        <v>711</v>
      </c>
      <c r="B40" s="588" t="s">
        <v>1770</v>
      </c>
      <c r="C40" s="1587">
        <v>2268</v>
      </c>
      <c r="D40" s="1589">
        <v>44175</v>
      </c>
      <c r="E40" s="1589"/>
      <c r="F40" s="1563">
        <v>200</v>
      </c>
      <c r="G40" s="1562">
        <v>133000000</v>
      </c>
      <c r="H40" s="1562">
        <f t="shared" si="0"/>
        <v>133</v>
      </c>
      <c r="I40" s="1562">
        <f t="shared" si="1"/>
        <v>133000000</v>
      </c>
      <c r="J40" s="1590"/>
    </row>
    <row r="41" spans="1:10" s="1591" customFormat="1" ht="63" x14ac:dyDescent="0.25">
      <c r="A41" s="1587" t="s">
        <v>711</v>
      </c>
      <c r="B41" s="588" t="s">
        <v>2669</v>
      </c>
      <c r="C41" s="1587">
        <v>2268</v>
      </c>
      <c r="D41" s="1589">
        <v>44175</v>
      </c>
      <c r="E41" s="1589"/>
      <c r="F41" s="1563">
        <v>200</v>
      </c>
      <c r="G41" s="1562">
        <v>300000000</v>
      </c>
      <c r="H41" s="1562">
        <f t="shared" si="0"/>
        <v>300</v>
      </c>
      <c r="I41" s="1562">
        <f t="shared" si="1"/>
        <v>300000000</v>
      </c>
      <c r="J41" s="1590"/>
    </row>
    <row r="42" spans="1:10" s="1591" customFormat="1" x14ac:dyDescent="0.25">
      <c r="A42" s="1587" t="s">
        <v>711</v>
      </c>
      <c r="B42" s="588" t="s">
        <v>2670</v>
      </c>
      <c r="C42" s="1587">
        <v>2268</v>
      </c>
      <c r="D42" s="1589">
        <v>44175</v>
      </c>
      <c r="E42" s="1589"/>
      <c r="F42" s="1563">
        <v>200</v>
      </c>
      <c r="G42" s="1562">
        <v>1000000000</v>
      </c>
      <c r="H42" s="1562">
        <f t="shared" si="0"/>
        <v>1000</v>
      </c>
      <c r="I42" s="1562">
        <f t="shared" si="1"/>
        <v>1000000000</v>
      </c>
      <c r="J42" s="1590"/>
    </row>
    <row r="43" spans="1:10" s="1591" customFormat="1" x14ac:dyDescent="0.25">
      <c r="A43" s="1587" t="s">
        <v>711</v>
      </c>
      <c r="B43" s="588" t="s">
        <v>1771</v>
      </c>
      <c r="C43" s="1587">
        <v>2268</v>
      </c>
      <c r="D43" s="1589">
        <v>44175</v>
      </c>
      <c r="E43" s="1589"/>
      <c r="F43" s="1563">
        <v>200</v>
      </c>
      <c r="G43" s="1562">
        <v>1200000000</v>
      </c>
      <c r="H43" s="1562">
        <f t="shared" si="0"/>
        <v>1200</v>
      </c>
      <c r="I43" s="1562">
        <f t="shared" si="1"/>
        <v>1200000000</v>
      </c>
      <c r="J43" s="1590"/>
    </row>
    <row r="44" spans="1:10" s="1595" customFormat="1" x14ac:dyDescent="0.25">
      <c r="A44" s="1587">
        <v>3</v>
      </c>
      <c r="B44" s="590" t="s">
        <v>2671</v>
      </c>
      <c r="C44" s="1592"/>
      <c r="D44" s="1593"/>
      <c r="E44" s="1593"/>
      <c r="F44" s="1565"/>
      <c r="G44" s="1566">
        <f>SUM(G45:G88)</f>
        <v>31537862540</v>
      </c>
      <c r="H44" s="1566">
        <f>SUM(H45:H88)</f>
        <v>31537.862539999998</v>
      </c>
      <c r="I44" s="1566">
        <f>G45+G46+G49+G52+G55+G56+G59</f>
        <v>6139820900</v>
      </c>
      <c r="J44" s="1594"/>
    </row>
    <row r="45" spans="1:10" s="1591" customFormat="1" ht="31.5" x14ac:dyDescent="0.25">
      <c r="A45" s="1587" t="s">
        <v>174</v>
      </c>
      <c r="B45" s="588" t="s">
        <v>2672</v>
      </c>
      <c r="C45" s="1596">
        <v>156</v>
      </c>
      <c r="D45" s="1589">
        <v>44231</v>
      </c>
      <c r="E45" s="1589"/>
      <c r="F45" s="1564">
        <v>200</v>
      </c>
      <c r="G45" s="1562">
        <v>51200000</v>
      </c>
      <c r="H45" s="1562">
        <f t="shared" si="0"/>
        <v>51.2</v>
      </c>
      <c r="I45" s="1562">
        <f>G45</f>
        <v>51200000</v>
      </c>
      <c r="J45" s="1590"/>
    </row>
    <row r="46" spans="1:10" s="1591" customFormat="1" ht="63" x14ac:dyDescent="0.25">
      <c r="A46" s="1587" t="s">
        <v>796</v>
      </c>
      <c r="B46" s="588" t="s">
        <v>2718</v>
      </c>
      <c r="C46" s="1596">
        <v>348</v>
      </c>
      <c r="D46" s="1589">
        <v>44267</v>
      </c>
      <c r="E46" s="1589"/>
      <c r="F46" s="1564">
        <v>200</v>
      </c>
      <c r="G46" s="1562">
        <v>2397000000</v>
      </c>
      <c r="H46" s="1562">
        <f t="shared" si="0"/>
        <v>2397</v>
      </c>
      <c r="I46" s="1562">
        <f t="shared" ref="I46:I87" si="2">G46</f>
        <v>2397000000</v>
      </c>
      <c r="J46" s="1590"/>
    </row>
    <row r="47" spans="1:10" s="1591" customFormat="1" ht="31.5" x14ac:dyDescent="0.25">
      <c r="A47" s="1587" t="s">
        <v>1493</v>
      </c>
      <c r="B47" s="588" t="s">
        <v>2673</v>
      </c>
      <c r="C47" s="1596">
        <v>350</v>
      </c>
      <c r="D47" s="1597">
        <v>44270</v>
      </c>
      <c r="E47" s="1597"/>
      <c r="F47" s="1564">
        <v>201</v>
      </c>
      <c r="G47" s="1562">
        <v>727345000</v>
      </c>
      <c r="H47" s="1562">
        <f t="shared" si="0"/>
        <v>727.34500000000003</v>
      </c>
      <c r="I47" s="1562">
        <f t="shared" si="2"/>
        <v>727345000</v>
      </c>
      <c r="J47" s="1590"/>
    </row>
    <row r="48" spans="1:10" s="1602" customFormat="1" ht="63" x14ac:dyDescent="0.25">
      <c r="A48" s="1598" t="s">
        <v>1492</v>
      </c>
      <c r="B48" s="196" t="s">
        <v>2674</v>
      </c>
      <c r="C48" s="1599">
        <v>406</v>
      </c>
      <c r="D48" s="1600">
        <v>44280</v>
      </c>
      <c r="E48" s="1600"/>
      <c r="F48" s="1567"/>
      <c r="G48" s="1568"/>
      <c r="H48" s="1562">
        <f t="shared" si="0"/>
        <v>0</v>
      </c>
      <c r="I48" s="1562">
        <f t="shared" si="2"/>
        <v>0</v>
      </c>
      <c r="J48" s="1601"/>
    </row>
    <row r="49" spans="1:11" s="1591" customFormat="1" ht="31.5" x14ac:dyDescent="0.25">
      <c r="A49" s="1587" t="s">
        <v>1494</v>
      </c>
      <c r="B49" s="588" t="s">
        <v>2675</v>
      </c>
      <c r="C49" s="1596">
        <v>408</v>
      </c>
      <c r="D49" s="1597">
        <v>44281</v>
      </c>
      <c r="E49" s="1597"/>
      <c r="F49" s="1564">
        <v>200</v>
      </c>
      <c r="G49" s="1562">
        <v>48404000</v>
      </c>
      <c r="H49" s="1562">
        <f t="shared" si="0"/>
        <v>48.404000000000003</v>
      </c>
      <c r="I49" s="1562">
        <f t="shared" si="2"/>
        <v>48404000</v>
      </c>
      <c r="J49" s="1590"/>
    </row>
    <row r="50" spans="1:11" s="1591" customFormat="1" ht="63" x14ac:dyDescent="0.25">
      <c r="A50" s="1587" t="s">
        <v>1495</v>
      </c>
      <c r="B50" s="588" t="s">
        <v>2676</v>
      </c>
      <c r="C50" s="1596">
        <v>442</v>
      </c>
      <c r="D50" s="1597">
        <v>44287</v>
      </c>
      <c r="E50" s="1597"/>
      <c r="F50" s="1564">
        <v>201</v>
      </c>
      <c r="G50" s="1562">
        <v>600000000</v>
      </c>
      <c r="H50" s="1562">
        <f t="shared" si="0"/>
        <v>600</v>
      </c>
      <c r="I50" s="1562">
        <f t="shared" si="2"/>
        <v>600000000</v>
      </c>
      <c r="J50" s="1590"/>
    </row>
    <row r="51" spans="1:11" s="1591" customFormat="1" ht="63" x14ac:dyDescent="0.25">
      <c r="A51" s="1587" t="s">
        <v>2522</v>
      </c>
      <c r="B51" s="588" t="s">
        <v>2677</v>
      </c>
      <c r="C51" s="1596">
        <v>611</v>
      </c>
      <c r="D51" s="1597">
        <v>44326</v>
      </c>
      <c r="E51" s="1597"/>
      <c r="F51" s="1564">
        <v>100</v>
      </c>
      <c r="G51" s="1562">
        <v>1087000000</v>
      </c>
      <c r="H51" s="1562">
        <f t="shared" si="0"/>
        <v>1087</v>
      </c>
      <c r="I51" s="1562">
        <f t="shared" si="2"/>
        <v>1087000000</v>
      </c>
      <c r="J51" s="1590"/>
    </row>
    <row r="52" spans="1:11" s="1591" customFormat="1" ht="63" x14ac:dyDescent="0.25">
      <c r="A52" s="1587" t="s">
        <v>2523</v>
      </c>
      <c r="B52" s="588" t="s">
        <v>2678</v>
      </c>
      <c r="C52" s="1596">
        <v>619</v>
      </c>
      <c r="D52" s="1597">
        <v>44327</v>
      </c>
      <c r="E52" s="1597"/>
      <c r="F52" s="1564">
        <v>200</v>
      </c>
      <c r="G52" s="1562">
        <v>307877000</v>
      </c>
      <c r="H52" s="1562">
        <f t="shared" si="0"/>
        <v>307.87700000000001</v>
      </c>
      <c r="I52" s="1562">
        <f t="shared" si="2"/>
        <v>307877000</v>
      </c>
      <c r="J52" s="1590"/>
    </row>
    <row r="53" spans="1:11" s="1591" customFormat="1" ht="47.25" x14ac:dyDescent="0.25">
      <c r="A53" s="1587" t="s">
        <v>2524</v>
      </c>
      <c r="B53" s="588" t="s">
        <v>2679</v>
      </c>
      <c r="C53" s="1596">
        <v>701</v>
      </c>
      <c r="D53" s="1597">
        <v>44336</v>
      </c>
      <c r="E53" s="1597"/>
      <c r="F53" s="1564">
        <v>204</v>
      </c>
      <c r="G53" s="1562">
        <v>2608000000</v>
      </c>
      <c r="H53" s="1562">
        <f t="shared" si="0"/>
        <v>2608</v>
      </c>
      <c r="I53" s="1562">
        <f t="shared" si="2"/>
        <v>2608000000</v>
      </c>
      <c r="J53" s="1590"/>
    </row>
    <row r="54" spans="1:11" s="1591" customFormat="1" ht="63" x14ac:dyDescent="0.25">
      <c r="A54" s="1587" t="s">
        <v>2525</v>
      </c>
      <c r="B54" s="588" t="s">
        <v>2680</v>
      </c>
      <c r="C54" s="1596">
        <v>749</v>
      </c>
      <c r="D54" s="1597">
        <v>44343</v>
      </c>
      <c r="E54" s="1597"/>
      <c r="F54" s="1564">
        <v>204</v>
      </c>
      <c r="G54" s="1562">
        <v>72733140</v>
      </c>
      <c r="H54" s="1562">
        <f t="shared" si="0"/>
        <v>72.733140000000006</v>
      </c>
      <c r="I54" s="1562">
        <f t="shared" si="2"/>
        <v>72733140</v>
      </c>
      <c r="J54" s="1590"/>
    </row>
    <row r="55" spans="1:11" s="1591" customFormat="1" ht="31.5" x14ac:dyDescent="0.25">
      <c r="A55" s="1587" t="s">
        <v>2526</v>
      </c>
      <c r="B55" s="588" t="s">
        <v>2681</v>
      </c>
      <c r="C55" s="1596">
        <v>808</v>
      </c>
      <c r="D55" s="1597">
        <v>44351</v>
      </c>
      <c r="E55" s="1597"/>
      <c r="F55" s="1564">
        <v>200</v>
      </c>
      <c r="G55" s="1562">
        <v>1027604000</v>
      </c>
      <c r="H55" s="1562">
        <f t="shared" si="0"/>
        <v>1027.604</v>
      </c>
      <c r="I55" s="1562">
        <f t="shared" si="2"/>
        <v>1027604000</v>
      </c>
      <c r="J55" s="1590"/>
    </row>
    <row r="56" spans="1:11" s="1591" customFormat="1" ht="78.75" x14ac:dyDescent="0.25">
      <c r="A56" s="1587" t="s">
        <v>2527</v>
      </c>
      <c r="B56" s="588" t="s">
        <v>2682</v>
      </c>
      <c r="C56" s="1596">
        <v>825</v>
      </c>
      <c r="D56" s="1597">
        <v>44355</v>
      </c>
      <c r="E56" s="1597"/>
      <c r="F56" s="1564">
        <v>200</v>
      </c>
      <c r="G56" s="1562">
        <v>2238003900</v>
      </c>
      <c r="H56" s="1562">
        <f t="shared" si="0"/>
        <v>2238.0039000000002</v>
      </c>
      <c r="I56" s="1562">
        <f t="shared" si="2"/>
        <v>2238003900</v>
      </c>
      <c r="J56" s="1590"/>
    </row>
    <row r="57" spans="1:11" s="1591" customFormat="1" ht="78.75" x14ac:dyDescent="0.25">
      <c r="A57" s="1587" t="s">
        <v>2528</v>
      </c>
      <c r="B57" s="588" t="s">
        <v>2719</v>
      </c>
      <c r="C57" s="1596">
        <v>877</v>
      </c>
      <c r="D57" s="1597">
        <v>44362</v>
      </c>
      <c r="E57" s="1597"/>
      <c r="F57" s="1564">
        <v>204</v>
      </c>
      <c r="G57" s="1562">
        <v>2500000000</v>
      </c>
      <c r="H57" s="1562">
        <f t="shared" si="0"/>
        <v>2500</v>
      </c>
      <c r="I57" s="1562">
        <f t="shared" si="2"/>
        <v>2500000000</v>
      </c>
      <c r="J57" s="1590"/>
    </row>
    <row r="58" spans="1:11" s="1602" customFormat="1" ht="47.25" x14ac:dyDescent="0.25">
      <c r="A58" s="1598" t="s">
        <v>2529</v>
      </c>
      <c r="B58" s="196" t="s">
        <v>2683</v>
      </c>
      <c r="C58" s="1599">
        <v>1776</v>
      </c>
      <c r="D58" s="1600">
        <v>44466</v>
      </c>
      <c r="E58" s="1600"/>
      <c r="F58" s="1567">
        <v>201</v>
      </c>
      <c r="G58" s="1568">
        <v>51040000</v>
      </c>
      <c r="H58" s="1562">
        <f t="shared" si="0"/>
        <v>51.04</v>
      </c>
      <c r="I58" s="1562">
        <f t="shared" si="2"/>
        <v>51040000</v>
      </c>
      <c r="J58" s="1601"/>
    </row>
    <row r="59" spans="1:11" s="1591" customFormat="1" ht="63" x14ac:dyDescent="0.25">
      <c r="A59" s="1587" t="s">
        <v>2530</v>
      </c>
      <c r="B59" s="588" t="s">
        <v>2684</v>
      </c>
      <c r="C59" s="1596" t="s">
        <v>2685</v>
      </c>
      <c r="D59" s="1597">
        <v>44439</v>
      </c>
      <c r="E59" s="1597"/>
      <c r="F59" s="1564">
        <v>200</v>
      </c>
      <c r="G59" s="1562">
        <v>69732000</v>
      </c>
      <c r="H59" s="1562">
        <f t="shared" si="0"/>
        <v>69.731999999999999</v>
      </c>
      <c r="I59" s="1562">
        <f t="shared" si="2"/>
        <v>69732000</v>
      </c>
      <c r="J59" s="1590"/>
    </row>
    <row r="60" spans="1:11" s="1591" customFormat="1" x14ac:dyDescent="0.25">
      <c r="A60" s="1598" t="s">
        <v>2531</v>
      </c>
      <c r="B60" s="588" t="s">
        <v>2686</v>
      </c>
      <c r="C60" s="1596"/>
      <c r="D60" s="1597"/>
      <c r="E60" s="1597"/>
      <c r="F60" s="1564">
        <v>100</v>
      </c>
      <c r="G60" s="1562">
        <v>400000000</v>
      </c>
      <c r="H60" s="1562">
        <f t="shared" si="0"/>
        <v>400</v>
      </c>
      <c r="I60" s="1562">
        <f t="shared" si="2"/>
        <v>400000000</v>
      </c>
      <c r="J60" s="1590"/>
    </row>
    <row r="61" spans="1:11" s="1602" customFormat="1" ht="63" x14ac:dyDescent="0.25">
      <c r="A61" s="1587" t="s">
        <v>2532</v>
      </c>
      <c r="B61" s="196" t="s">
        <v>2687</v>
      </c>
      <c r="C61" s="1599">
        <v>1829</v>
      </c>
      <c r="D61" s="1600">
        <v>44473</v>
      </c>
      <c r="E61" s="1600"/>
      <c r="F61" s="1567">
        <v>201</v>
      </c>
      <c r="G61" s="1568">
        <v>190211000</v>
      </c>
      <c r="H61" s="1562">
        <f t="shared" si="0"/>
        <v>190.21100000000001</v>
      </c>
      <c r="I61" s="1562">
        <f t="shared" si="2"/>
        <v>190211000</v>
      </c>
      <c r="J61" s="1601"/>
      <c r="K61" s="1603"/>
    </row>
    <row r="62" spans="1:11" s="1591" customFormat="1" x14ac:dyDescent="0.25">
      <c r="A62" s="1598" t="s">
        <v>2533</v>
      </c>
      <c r="B62" s="588" t="s">
        <v>2688</v>
      </c>
      <c r="C62" s="1596">
        <v>1989</v>
      </c>
      <c r="D62" s="1597">
        <v>44489</v>
      </c>
      <c r="E62" s="1604" t="s">
        <v>1697</v>
      </c>
      <c r="F62" s="1564">
        <v>100</v>
      </c>
      <c r="G62" s="1569">
        <v>591000000</v>
      </c>
      <c r="H62" s="1562">
        <f t="shared" si="0"/>
        <v>591</v>
      </c>
      <c r="I62" s="1562">
        <f t="shared" si="2"/>
        <v>591000000</v>
      </c>
      <c r="J62" s="1590"/>
    </row>
    <row r="63" spans="1:11" s="1591" customFormat="1" ht="31.5" x14ac:dyDescent="0.25">
      <c r="A63" s="1587" t="s">
        <v>2534</v>
      </c>
      <c r="B63" s="588" t="s">
        <v>2689</v>
      </c>
      <c r="C63" s="1596">
        <v>2017</v>
      </c>
      <c r="D63" s="1597">
        <v>44495</v>
      </c>
      <c r="E63" s="1604"/>
      <c r="F63" s="1564">
        <v>200</v>
      </c>
      <c r="G63" s="1569">
        <v>1157162500</v>
      </c>
      <c r="H63" s="1562">
        <f t="shared" si="0"/>
        <v>1157.1624999999999</v>
      </c>
      <c r="I63" s="1562">
        <f t="shared" si="2"/>
        <v>1157162500</v>
      </c>
      <c r="J63" s="1590"/>
    </row>
    <row r="64" spans="1:11" s="1591" customFormat="1" ht="47.25" x14ac:dyDescent="0.25">
      <c r="A64" s="1598" t="s">
        <v>2535</v>
      </c>
      <c r="B64" s="588" t="s">
        <v>2690</v>
      </c>
      <c r="C64" s="1596">
        <v>2026</v>
      </c>
      <c r="D64" s="1597">
        <v>44496</v>
      </c>
      <c r="E64" s="1597"/>
      <c r="F64" s="1564">
        <v>204</v>
      </c>
      <c r="G64" s="1569">
        <v>44000000</v>
      </c>
      <c r="H64" s="1562">
        <f t="shared" si="0"/>
        <v>44</v>
      </c>
      <c r="I64" s="1562">
        <f t="shared" si="2"/>
        <v>44000000</v>
      </c>
      <c r="J64" s="1590"/>
      <c r="K64" s="1605"/>
    </row>
    <row r="65" spans="1:11" s="1591" customFormat="1" ht="31.5" x14ac:dyDescent="0.25">
      <c r="A65" s="1587" t="s">
        <v>2691</v>
      </c>
      <c r="B65" s="588" t="s">
        <v>2692</v>
      </c>
      <c r="C65" s="1596">
        <v>2073</v>
      </c>
      <c r="D65" s="1597">
        <v>44502</v>
      </c>
      <c r="E65" s="1597"/>
      <c r="F65" s="1564">
        <v>100</v>
      </c>
      <c r="G65" s="1569">
        <v>648000000</v>
      </c>
      <c r="H65" s="1562">
        <f t="shared" si="0"/>
        <v>648</v>
      </c>
      <c r="I65" s="1562">
        <f t="shared" si="2"/>
        <v>648000000</v>
      </c>
      <c r="J65" s="1590"/>
      <c r="K65" s="1605"/>
    </row>
    <row r="66" spans="1:11" s="1591" customFormat="1" x14ac:dyDescent="0.25">
      <c r="A66" s="1598" t="s">
        <v>2693</v>
      </c>
      <c r="B66" s="1606" t="s">
        <v>2694</v>
      </c>
      <c r="C66" s="1596">
        <v>2088</v>
      </c>
      <c r="D66" s="1597">
        <v>44530</v>
      </c>
      <c r="E66" s="1597"/>
      <c r="F66" s="1597"/>
      <c r="G66" s="1597"/>
      <c r="H66" s="1562">
        <f t="shared" si="0"/>
        <v>0</v>
      </c>
      <c r="I66" s="1562">
        <f t="shared" si="2"/>
        <v>0</v>
      </c>
      <c r="J66" s="1590"/>
    </row>
    <row r="67" spans="1:11" s="1591" customFormat="1" x14ac:dyDescent="0.25">
      <c r="A67" s="1587"/>
      <c r="B67" s="7" t="s">
        <v>2695</v>
      </c>
      <c r="C67" s="1596"/>
      <c r="D67" s="1597"/>
      <c r="E67" s="1597"/>
      <c r="F67" s="1564">
        <v>212</v>
      </c>
      <c r="G67" s="1570">
        <v>330000000</v>
      </c>
      <c r="H67" s="1562">
        <f t="shared" si="0"/>
        <v>330</v>
      </c>
      <c r="I67" s="1562">
        <f t="shared" si="2"/>
        <v>330000000</v>
      </c>
      <c r="J67" s="1590"/>
    </row>
    <row r="68" spans="1:11" s="1591" customFormat="1" x14ac:dyDescent="0.25">
      <c r="A68" s="1587"/>
      <c r="B68" s="7" t="s">
        <v>2696</v>
      </c>
      <c r="C68" s="1596"/>
      <c r="D68" s="1597"/>
      <c r="E68" s="1597"/>
      <c r="F68" s="1564">
        <v>213</v>
      </c>
      <c r="G68" s="1569">
        <v>373000000</v>
      </c>
      <c r="H68" s="1562">
        <f t="shared" si="0"/>
        <v>373</v>
      </c>
      <c r="I68" s="1562">
        <f t="shared" si="2"/>
        <v>373000000</v>
      </c>
      <c r="J68" s="1590"/>
    </row>
    <row r="69" spans="1:11" s="1591" customFormat="1" x14ac:dyDescent="0.25">
      <c r="A69" s="1587"/>
      <c r="B69" s="1606" t="s">
        <v>2697</v>
      </c>
      <c r="C69" s="1596"/>
      <c r="D69" s="1597"/>
      <c r="E69" s="1597"/>
      <c r="F69" s="1564">
        <v>220</v>
      </c>
      <c r="G69" s="1569">
        <v>1233000000</v>
      </c>
      <c r="H69" s="1562">
        <f t="shared" si="0"/>
        <v>1233</v>
      </c>
      <c r="I69" s="1562">
        <f t="shared" si="2"/>
        <v>1233000000</v>
      </c>
      <c r="J69" s="1590"/>
    </row>
    <row r="70" spans="1:11" s="1591" customFormat="1" x14ac:dyDescent="0.25">
      <c r="A70" s="1587"/>
      <c r="B70" s="1606" t="s">
        <v>2698</v>
      </c>
      <c r="C70" s="1596"/>
      <c r="D70" s="1597"/>
      <c r="E70" s="1597"/>
      <c r="F70" s="1564">
        <v>200</v>
      </c>
      <c r="G70" s="1569">
        <v>211000000</v>
      </c>
      <c r="H70" s="1562">
        <f t="shared" si="0"/>
        <v>211</v>
      </c>
      <c r="I70" s="1562">
        <f t="shared" si="2"/>
        <v>211000000</v>
      </c>
      <c r="J70" s="1590"/>
    </row>
    <row r="71" spans="1:11" s="1591" customFormat="1" x14ac:dyDescent="0.25">
      <c r="A71" s="1587"/>
      <c r="B71" s="1606" t="s">
        <v>2699</v>
      </c>
      <c r="C71" s="1596"/>
      <c r="D71" s="1597"/>
      <c r="E71" s="1597"/>
      <c r="F71" s="1564">
        <v>211</v>
      </c>
      <c r="G71" s="1569">
        <v>3927000000</v>
      </c>
      <c r="H71" s="1562">
        <f t="shared" si="0"/>
        <v>3927</v>
      </c>
      <c r="I71" s="1562">
        <f t="shared" si="2"/>
        <v>3927000000</v>
      </c>
      <c r="J71" s="1590"/>
    </row>
    <row r="72" spans="1:11" s="1602" customFormat="1" x14ac:dyDescent="0.25">
      <c r="A72" s="1598" t="s">
        <v>2700</v>
      </c>
      <c r="B72" s="1607" t="s">
        <v>2701</v>
      </c>
      <c r="C72" s="1599">
        <v>2324</v>
      </c>
      <c r="D72" s="1600">
        <v>44531</v>
      </c>
      <c r="E72" s="1600"/>
      <c r="F72" s="1567">
        <v>201</v>
      </c>
      <c r="G72" s="1570">
        <v>213662000</v>
      </c>
      <c r="H72" s="1562">
        <f t="shared" si="0"/>
        <v>213.66200000000001</v>
      </c>
      <c r="I72" s="1562">
        <f t="shared" si="2"/>
        <v>213662000</v>
      </c>
      <c r="J72" s="1601"/>
    </row>
    <row r="73" spans="1:11" s="1602" customFormat="1" x14ac:dyDescent="0.25">
      <c r="A73" s="1598" t="s">
        <v>2702</v>
      </c>
      <c r="B73" s="1607" t="s">
        <v>2703</v>
      </c>
      <c r="C73" s="1599">
        <v>2359</v>
      </c>
      <c r="D73" s="1600">
        <v>44533</v>
      </c>
      <c r="E73" s="1600"/>
      <c r="F73" s="1567">
        <v>201</v>
      </c>
      <c r="G73" s="1570">
        <v>205800000</v>
      </c>
      <c r="H73" s="1562">
        <f t="shared" si="0"/>
        <v>205.8</v>
      </c>
      <c r="I73" s="1562">
        <f t="shared" si="2"/>
        <v>205800000</v>
      </c>
      <c r="J73" s="1601"/>
    </row>
    <row r="74" spans="1:11" s="1602" customFormat="1" x14ac:dyDescent="0.25">
      <c r="A74" s="1598" t="s">
        <v>2704</v>
      </c>
      <c r="B74" s="1607" t="s">
        <v>2705</v>
      </c>
      <c r="C74" s="1599">
        <v>2474</v>
      </c>
      <c r="D74" s="1600">
        <v>44547</v>
      </c>
      <c r="E74" s="1600"/>
      <c r="F74" s="1567">
        <v>201</v>
      </c>
      <c r="G74" s="1570">
        <v>13440000</v>
      </c>
      <c r="H74" s="1562">
        <f t="shared" si="0"/>
        <v>13.44</v>
      </c>
      <c r="I74" s="1562">
        <f t="shared" si="2"/>
        <v>13440000</v>
      </c>
      <c r="J74" s="1601"/>
    </row>
    <row r="75" spans="1:11" s="1602" customFormat="1" ht="31.5" x14ac:dyDescent="0.25">
      <c r="A75" s="1598" t="s">
        <v>2706</v>
      </c>
      <c r="B75" s="1607" t="s">
        <v>2707</v>
      </c>
      <c r="C75" s="1599">
        <v>2466</v>
      </c>
      <c r="D75" s="1600">
        <v>44546</v>
      </c>
      <c r="E75" s="1600"/>
      <c r="F75" s="1567">
        <v>200</v>
      </c>
      <c r="G75" s="1570">
        <v>254648000</v>
      </c>
      <c r="H75" s="1562">
        <f t="shared" si="0"/>
        <v>254.648</v>
      </c>
      <c r="I75" s="1562">
        <f t="shared" si="2"/>
        <v>254648000</v>
      </c>
      <c r="J75" s="1601"/>
    </row>
    <row r="76" spans="1:11" s="1602" customFormat="1" x14ac:dyDescent="0.25">
      <c r="A76" s="1598" t="s">
        <v>2708</v>
      </c>
      <c r="B76" s="1607" t="s">
        <v>2709</v>
      </c>
      <c r="C76" s="1599">
        <v>2680</v>
      </c>
      <c r="D76" s="1600">
        <v>44561</v>
      </c>
      <c r="E76" s="1600"/>
      <c r="F76" s="1567">
        <v>201</v>
      </c>
      <c r="G76" s="1570">
        <v>1000000000</v>
      </c>
      <c r="H76" s="1562">
        <f t="shared" si="0"/>
        <v>1000</v>
      </c>
      <c r="I76" s="1562">
        <f t="shared" si="2"/>
        <v>1000000000</v>
      </c>
      <c r="J76" s="1601"/>
    </row>
    <row r="77" spans="1:11" s="1591" customFormat="1" ht="31.5" x14ac:dyDescent="0.25">
      <c r="A77" s="1598" t="s">
        <v>2710</v>
      </c>
      <c r="B77" s="1606" t="s">
        <v>2711</v>
      </c>
      <c r="C77" s="1587">
        <v>2679</v>
      </c>
      <c r="D77" s="1597">
        <v>44561</v>
      </c>
      <c r="E77" s="1597"/>
      <c r="F77" s="1571">
        <v>201</v>
      </c>
      <c r="G77" s="1569">
        <v>1235000000</v>
      </c>
      <c r="H77" s="1562">
        <f t="shared" ref="H77:H88" si="3">G77/1000000</f>
        <v>1235</v>
      </c>
      <c r="I77" s="1562">
        <f t="shared" si="2"/>
        <v>1235000000</v>
      </c>
      <c r="J77" s="1590"/>
    </row>
    <row r="78" spans="1:11" s="1591" customFormat="1" ht="31.5" x14ac:dyDescent="0.25">
      <c r="A78" s="1598" t="s">
        <v>2712</v>
      </c>
      <c r="B78" s="1606" t="s">
        <v>2713</v>
      </c>
      <c r="C78" s="1596">
        <v>2689</v>
      </c>
      <c r="D78" s="1597">
        <v>44561</v>
      </c>
      <c r="E78" s="1597"/>
      <c r="F78" s="1564"/>
      <c r="G78" s="1569"/>
      <c r="H78" s="1562">
        <f t="shared" si="3"/>
        <v>0</v>
      </c>
      <c r="I78" s="1562">
        <f t="shared" si="2"/>
        <v>0</v>
      </c>
      <c r="J78" s="1590"/>
    </row>
    <row r="79" spans="1:11" s="1591" customFormat="1" x14ac:dyDescent="0.25">
      <c r="A79" s="1587"/>
      <c r="B79" s="1606" t="s">
        <v>2697</v>
      </c>
      <c r="C79" s="1596"/>
      <c r="D79" s="1597"/>
      <c r="E79" s="1597"/>
      <c r="F79" s="1564">
        <v>120</v>
      </c>
      <c r="G79" s="1569">
        <v>2459000000</v>
      </c>
      <c r="H79" s="1562">
        <f t="shared" si="3"/>
        <v>2459</v>
      </c>
      <c r="I79" s="1562">
        <f t="shared" si="2"/>
        <v>2459000000</v>
      </c>
      <c r="J79" s="1590"/>
    </row>
    <row r="80" spans="1:11" s="1591" customFormat="1" x14ac:dyDescent="0.25">
      <c r="A80" s="1587"/>
      <c r="B80" s="1606" t="s">
        <v>2699</v>
      </c>
      <c r="C80" s="1596"/>
      <c r="D80" s="1597"/>
      <c r="E80" s="1597"/>
      <c r="F80" s="1564">
        <v>111</v>
      </c>
      <c r="G80" s="1569">
        <v>1803000000</v>
      </c>
      <c r="H80" s="1562">
        <f t="shared" si="3"/>
        <v>1803</v>
      </c>
      <c r="I80" s="1562">
        <f t="shared" si="2"/>
        <v>1803000000</v>
      </c>
      <c r="J80" s="1590"/>
    </row>
    <row r="81" spans="1:10" s="1591" customFormat="1" x14ac:dyDescent="0.25">
      <c r="A81" s="1587"/>
      <c r="B81" s="1606" t="s">
        <v>2698</v>
      </c>
      <c r="C81" s="1596"/>
      <c r="D81" s="1608"/>
      <c r="E81" s="1608"/>
      <c r="F81" s="1564">
        <v>107</v>
      </c>
      <c r="G81" s="1569">
        <v>125000000</v>
      </c>
      <c r="H81" s="1562">
        <f t="shared" si="3"/>
        <v>125</v>
      </c>
      <c r="I81" s="1562">
        <f t="shared" si="2"/>
        <v>125000000</v>
      </c>
      <c r="J81" s="1590"/>
    </row>
    <row r="82" spans="1:10" s="1591" customFormat="1" x14ac:dyDescent="0.25">
      <c r="A82" s="1587"/>
      <c r="B82" s="1606" t="s">
        <v>2696</v>
      </c>
      <c r="C82" s="1596"/>
      <c r="D82" s="1608"/>
      <c r="E82" s="1608"/>
      <c r="F82" s="1564">
        <v>113</v>
      </c>
      <c r="G82" s="1569">
        <v>176000000</v>
      </c>
      <c r="H82" s="1562">
        <f t="shared" si="3"/>
        <v>176</v>
      </c>
      <c r="I82" s="1562">
        <f t="shared" si="2"/>
        <v>176000000</v>
      </c>
      <c r="J82" s="1590"/>
    </row>
    <row r="83" spans="1:10" s="1591" customFormat="1" ht="31.5" x14ac:dyDescent="0.25">
      <c r="A83" s="1587"/>
      <c r="B83" s="1606" t="s">
        <v>2654</v>
      </c>
      <c r="C83" s="1596"/>
      <c r="D83" s="1608"/>
      <c r="E83" s="1608"/>
      <c r="F83" s="1564">
        <v>117</v>
      </c>
      <c r="G83" s="1569">
        <v>67000000</v>
      </c>
      <c r="H83" s="1562">
        <f t="shared" si="3"/>
        <v>67</v>
      </c>
      <c r="I83" s="1562">
        <f t="shared" si="2"/>
        <v>67000000</v>
      </c>
      <c r="J83" s="1609"/>
    </row>
    <row r="84" spans="1:10" s="1591" customFormat="1" ht="31.5" x14ac:dyDescent="0.25">
      <c r="A84" s="1587"/>
      <c r="B84" s="1606" t="s">
        <v>2714</v>
      </c>
      <c r="C84" s="1587"/>
      <c r="D84" s="1597"/>
      <c r="E84" s="1597"/>
      <c r="F84" s="1564">
        <v>114</v>
      </c>
      <c r="G84" s="1569">
        <v>30000000</v>
      </c>
      <c r="H84" s="1562">
        <f t="shared" si="3"/>
        <v>30</v>
      </c>
      <c r="I84" s="1562">
        <f t="shared" si="2"/>
        <v>30000000</v>
      </c>
      <c r="J84" s="1590"/>
    </row>
    <row r="85" spans="1:10" s="1591" customFormat="1" ht="31.5" x14ac:dyDescent="0.25">
      <c r="A85" s="1587"/>
      <c r="B85" s="1606" t="s">
        <v>2715</v>
      </c>
      <c r="C85" s="1587"/>
      <c r="D85" s="1597"/>
      <c r="E85" s="1597"/>
      <c r="F85" s="1571">
        <v>126</v>
      </c>
      <c r="G85" s="1569">
        <v>32000000</v>
      </c>
      <c r="H85" s="1562">
        <f t="shared" si="3"/>
        <v>32</v>
      </c>
      <c r="I85" s="1562">
        <f t="shared" si="2"/>
        <v>32000000</v>
      </c>
      <c r="J85" s="1590"/>
    </row>
    <row r="86" spans="1:10" s="1591" customFormat="1" ht="31.5" x14ac:dyDescent="0.25">
      <c r="A86" s="1587" t="s">
        <v>2716</v>
      </c>
      <c r="B86" s="1606" t="s">
        <v>2717</v>
      </c>
      <c r="C86" s="1587">
        <v>2725</v>
      </c>
      <c r="D86" s="1597">
        <v>44561</v>
      </c>
      <c r="E86" s="1597"/>
      <c r="F86" s="1571"/>
      <c r="G86" s="1569"/>
      <c r="H86" s="1562">
        <f t="shared" si="3"/>
        <v>0</v>
      </c>
      <c r="I86" s="1562">
        <f t="shared" si="2"/>
        <v>0</v>
      </c>
      <c r="J86" s="1590"/>
    </row>
    <row r="87" spans="1:10" s="1591" customFormat="1" x14ac:dyDescent="0.25">
      <c r="A87" s="1587"/>
      <c r="B87" s="1606"/>
      <c r="C87" s="1587"/>
      <c r="D87" s="1597"/>
      <c r="E87" s="1597"/>
      <c r="F87" s="1571">
        <v>100</v>
      </c>
      <c r="G87" s="1569">
        <v>330000000</v>
      </c>
      <c r="H87" s="1562">
        <f t="shared" si="3"/>
        <v>330</v>
      </c>
      <c r="I87" s="1562">
        <f t="shared" si="2"/>
        <v>330000000</v>
      </c>
      <c r="J87" s="1590"/>
    </row>
    <row r="88" spans="1:10" x14ac:dyDescent="0.25">
      <c r="A88" s="1610"/>
      <c r="B88" s="1611"/>
      <c r="C88" s="1610"/>
      <c r="D88" s="1612"/>
      <c r="E88" s="1612"/>
      <c r="F88" s="1572">
        <v>204</v>
      </c>
      <c r="G88" s="1573">
        <v>703000000</v>
      </c>
      <c r="H88" s="1562">
        <f t="shared" si="3"/>
        <v>703</v>
      </c>
      <c r="I88" s="1613">
        <f>G88</f>
        <v>703000000</v>
      </c>
      <c r="J88" s="1613"/>
    </row>
    <row r="89" spans="1:10" x14ac:dyDescent="0.25">
      <c r="J89" s="1551"/>
    </row>
    <row r="91" spans="1:10" x14ac:dyDescent="0.25">
      <c r="J91" s="1614"/>
    </row>
    <row r="92" spans="1:10" x14ac:dyDescent="0.25">
      <c r="J92" s="1545"/>
    </row>
    <row r="93" spans="1:10" x14ac:dyDescent="0.25">
      <c r="J93" s="1545"/>
    </row>
    <row r="94" spans="1:10" x14ac:dyDescent="0.25">
      <c r="J94" s="1421"/>
    </row>
    <row r="95" spans="1:10" x14ac:dyDescent="0.25">
      <c r="J95" s="1421"/>
    </row>
    <row r="96" spans="1:10" x14ac:dyDescent="0.25">
      <c r="J96" s="1421"/>
    </row>
    <row r="97" spans="7:10" x14ac:dyDescent="0.25">
      <c r="J97" s="1421"/>
    </row>
    <row r="98" spans="7:10" x14ac:dyDescent="0.25">
      <c r="J98" s="1421"/>
    </row>
    <row r="99" spans="7:10" x14ac:dyDescent="0.25">
      <c r="J99" s="1615"/>
    </row>
    <row r="100" spans="7:10" x14ac:dyDescent="0.25">
      <c r="J100" s="1546"/>
    </row>
    <row r="101" spans="7:10" x14ac:dyDescent="0.25">
      <c r="G101" s="1551">
        <f>SUM(G7:G61)</f>
        <v>862725875124</v>
      </c>
    </row>
    <row r="103" spans="7:10" x14ac:dyDescent="0.25">
      <c r="G103" s="1551">
        <f>1568596000-1378385000</f>
        <v>190211000</v>
      </c>
    </row>
  </sheetData>
  <mergeCells count="4">
    <mergeCell ref="I5:J5"/>
    <mergeCell ref="G1:J1"/>
    <mergeCell ref="A2:J2"/>
    <mergeCell ref="A3:J3"/>
  </mergeCells>
  <pageMargins left="0.31496062992125984" right="0.31496062992125984" top="0.35433070866141736" bottom="0.35433070866141736" header="0.31496062992125984" footer="0.31496062992125984"/>
  <pageSetup paperSize="9" scale="8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AB85"/>
  <sheetViews>
    <sheetView zoomScale="142" zoomScaleNormal="142" workbookViewId="0">
      <pane xSplit="2" ySplit="17" topLeftCell="P19" activePane="bottomRight" state="frozen"/>
      <selection pane="topRight" activeCell="C1" sqref="C1"/>
      <selection pane="bottomLeft" activeCell="A18" sqref="A18"/>
      <selection pane="bottomRight" activeCell="AB29" sqref="AB29"/>
    </sheetView>
  </sheetViews>
  <sheetFormatPr defaultRowHeight="12.75" x14ac:dyDescent="0.25"/>
  <cols>
    <col min="1" max="1" width="3.42578125" style="1195" customWidth="1"/>
    <col min="2" max="2" width="19.42578125" style="1195" customWidth="1"/>
    <col min="3" max="3" width="10.42578125" style="1207" customWidth="1"/>
    <col min="4" max="4" width="9.5703125" style="1207" customWidth="1"/>
    <col min="5" max="6" width="10.7109375" style="1207" customWidth="1"/>
    <col min="7" max="7" width="5.140625" style="1207" customWidth="1"/>
    <col min="8" max="8" width="10.140625" style="1207" customWidth="1"/>
    <col min="9" max="9" width="10.28515625" style="1207" customWidth="1"/>
    <col min="10" max="10" width="10.7109375" style="1207" customWidth="1"/>
    <col min="11" max="11" width="10.85546875" style="1207" customWidth="1"/>
    <col min="12" max="12" width="10.28515625" style="1207" customWidth="1"/>
    <col min="13" max="14" width="10.85546875" style="1207" customWidth="1"/>
    <col min="15" max="16" width="10.5703125" style="1207" customWidth="1"/>
    <col min="17" max="17" width="5" style="1207" customWidth="1"/>
    <col min="18" max="18" width="10.140625" style="1207" customWidth="1"/>
    <col min="19" max="19" width="9.7109375" style="1207" customWidth="1"/>
    <col min="20" max="20" width="5.7109375" style="1207" customWidth="1"/>
    <col min="21" max="21" width="9.5703125" style="1207" customWidth="1"/>
    <col min="22" max="22" width="10.85546875" style="1207" customWidth="1"/>
    <col min="23" max="23" width="10.28515625" style="1207" customWidth="1"/>
    <col min="24" max="24" width="10.85546875" style="1207" customWidth="1"/>
    <col min="25" max="25" width="11.140625" style="1207" customWidth="1"/>
    <col min="26" max="26" width="9" style="1207" customWidth="1"/>
    <col min="27" max="27" width="3.7109375" style="1207" customWidth="1"/>
    <col min="28" max="28" width="15.140625" style="1195" bestFit="1" customWidth="1"/>
    <col min="29" max="243" width="9.140625" style="1195"/>
    <col min="244" max="244" width="5.5703125" style="1195" customWidth="1"/>
    <col min="245" max="245" width="29" style="1195" customWidth="1"/>
    <col min="246" max="260" width="9.7109375" style="1195" customWidth="1"/>
    <col min="261" max="263" width="8.28515625" style="1195" customWidth="1"/>
    <col min="264" max="499" width="9.140625" style="1195"/>
    <col min="500" max="500" width="5.5703125" style="1195" customWidth="1"/>
    <col min="501" max="501" width="29" style="1195" customWidth="1"/>
    <col min="502" max="516" width="9.7109375" style="1195" customWidth="1"/>
    <col min="517" max="519" width="8.28515625" style="1195" customWidth="1"/>
    <col min="520" max="755" width="9.140625" style="1195"/>
    <col min="756" max="756" width="5.5703125" style="1195" customWidth="1"/>
    <col min="757" max="757" width="29" style="1195" customWidth="1"/>
    <col min="758" max="772" width="9.7109375" style="1195" customWidth="1"/>
    <col min="773" max="775" width="8.28515625" style="1195" customWidth="1"/>
    <col min="776" max="1011" width="9.140625" style="1195"/>
    <col min="1012" max="1012" width="5.5703125" style="1195" customWidth="1"/>
    <col min="1013" max="1013" width="29" style="1195" customWidth="1"/>
    <col min="1014" max="1028" width="9.7109375" style="1195" customWidth="1"/>
    <col min="1029" max="1031" width="8.28515625" style="1195" customWidth="1"/>
    <col min="1032" max="1267" width="9.140625" style="1195"/>
    <col min="1268" max="1268" width="5.5703125" style="1195" customWidth="1"/>
    <col min="1269" max="1269" width="29" style="1195" customWidth="1"/>
    <col min="1270" max="1284" width="9.7109375" style="1195" customWidth="1"/>
    <col min="1285" max="1287" width="8.28515625" style="1195" customWidth="1"/>
    <col min="1288" max="1523" width="9.140625" style="1195"/>
    <col min="1524" max="1524" width="5.5703125" style="1195" customWidth="1"/>
    <col min="1525" max="1525" width="29" style="1195" customWidth="1"/>
    <col min="1526" max="1540" width="9.7109375" style="1195" customWidth="1"/>
    <col min="1541" max="1543" width="8.28515625" style="1195" customWidth="1"/>
    <col min="1544" max="1779" width="9.140625" style="1195"/>
    <col min="1780" max="1780" width="5.5703125" style="1195" customWidth="1"/>
    <col min="1781" max="1781" width="29" style="1195" customWidth="1"/>
    <col min="1782" max="1796" width="9.7109375" style="1195" customWidth="1"/>
    <col min="1797" max="1799" width="8.28515625" style="1195" customWidth="1"/>
    <col min="1800" max="2035" width="9.140625" style="1195"/>
    <col min="2036" max="2036" width="5.5703125" style="1195" customWidth="1"/>
    <col min="2037" max="2037" width="29" style="1195" customWidth="1"/>
    <col min="2038" max="2052" width="9.7109375" style="1195" customWidth="1"/>
    <col min="2053" max="2055" width="8.28515625" style="1195" customWidth="1"/>
    <col min="2056" max="2291" width="9.140625" style="1195"/>
    <col min="2292" max="2292" width="5.5703125" style="1195" customWidth="1"/>
    <col min="2293" max="2293" width="29" style="1195" customWidth="1"/>
    <col min="2294" max="2308" width="9.7109375" style="1195" customWidth="1"/>
    <col min="2309" max="2311" width="8.28515625" style="1195" customWidth="1"/>
    <col min="2312" max="2547" width="9.140625" style="1195"/>
    <col min="2548" max="2548" width="5.5703125" style="1195" customWidth="1"/>
    <col min="2549" max="2549" width="29" style="1195" customWidth="1"/>
    <col min="2550" max="2564" width="9.7109375" style="1195" customWidth="1"/>
    <col min="2565" max="2567" width="8.28515625" style="1195" customWidth="1"/>
    <col min="2568" max="2803" width="9.140625" style="1195"/>
    <col min="2804" max="2804" width="5.5703125" style="1195" customWidth="1"/>
    <col min="2805" max="2805" width="29" style="1195" customWidth="1"/>
    <col min="2806" max="2820" width="9.7109375" style="1195" customWidth="1"/>
    <col min="2821" max="2823" width="8.28515625" style="1195" customWidth="1"/>
    <col min="2824" max="3059" width="9.140625" style="1195"/>
    <col min="3060" max="3060" width="5.5703125" style="1195" customWidth="1"/>
    <col min="3061" max="3061" width="29" style="1195" customWidth="1"/>
    <col min="3062" max="3076" width="9.7109375" style="1195" customWidth="1"/>
    <col min="3077" max="3079" width="8.28515625" style="1195" customWidth="1"/>
    <col min="3080" max="3315" width="9.140625" style="1195"/>
    <col min="3316" max="3316" width="5.5703125" style="1195" customWidth="1"/>
    <col min="3317" max="3317" width="29" style="1195" customWidth="1"/>
    <col min="3318" max="3332" width="9.7109375" style="1195" customWidth="1"/>
    <col min="3333" max="3335" width="8.28515625" style="1195" customWidth="1"/>
    <col min="3336" max="3571" width="9.140625" style="1195"/>
    <col min="3572" max="3572" width="5.5703125" style="1195" customWidth="1"/>
    <col min="3573" max="3573" width="29" style="1195" customWidth="1"/>
    <col min="3574" max="3588" width="9.7109375" style="1195" customWidth="1"/>
    <col min="3589" max="3591" width="8.28515625" style="1195" customWidth="1"/>
    <col min="3592" max="3827" width="9.140625" style="1195"/>
    <col min="3828" max="3828" width="5.5703125" style="1195" customWidth="1"/>
    <col min="3829" max="3829" width="29" style="1195" customWidth="1"/>
    <col min="3830" max="3844" width="9.7109375" style="1195" customWidth="1"/>
    <col min="3845" max="3847" width="8.28515625" style="1195" customWidth="1"/>
    <col min="3848" max="4083" width="9.140625" style="1195"/>
    <col min="4084" max="4084" width="5.5703125" style="1195" customWidth="1"/>
    <col min="4085" max="4085" width="29" style="1195" customWidth="1"/>
    <col min="4086" max="4100" width="9.7109375" style="1195" customWidth="1"/>
    <col min="4101" max="4103" width="8.28515625" style="1195" customWidth="1"/>
    <col min="4104" max="4339" width="9.140625" style="1195"/>
    <col min="4340" max="4340" width="5.5703125" style="1195" customWidth="1"/>
    <col min="4341" max="4341" width="29" style="1195" customWidth="1"/>
    <col min="4342" max="4356" width="9.7109375" style="1195" customWidth="1"/>
    <col min="4357" max="4359" width="8.28515625" style="1195" customWidth="1"/>
    <col min="4360" max="4595" width="9.140625" style="1195"/>
    <col min="4596" max="4596" width="5.5703125" style="1195" customWidth="1"/>
    <col min="4597" max="4597" width="29" style="1195" customWidth="1"/>
    <col min="4598" max="4612" width="9.7109375" style="1195" customWidth="1"/>
    <col min="4613" max="4615" width="8.28515625" style="1195" customWidth="1"/>
    <col min="4616" max="4851" width="9.140625" style="1195"/>
    <col min="4852" max="4852" width="5.5703125" style="1195" customWidth="1"/>
    <col min="4853" max="4853" width="29" style="1195" customWidth="1"/>
    <col min="4854" max="4868" width="9.7109375" style="1195" customWidth="1"/>
    <col min="4869" max="4871" width="8.28515625" style="1195" customWidth="1"/>
    <col min="4872" max="5107" width="9.140625" style="1195"/>
    <col min="5108" max="5108" width="5.5703125" style="1195" customWidth="1"/>
    <col min="5109" max="5109" width="29" style="1195" customWidth="1"/>
    <col min="5110" max="5124" width="9.7109375" style="1195" customWidth="1"/>
    <col min="5125" max="5127" width="8.28515625" style="1195" customWidth="1"/>
    <col min="5128" max="5363" width="9.140625" style="1195"/>
    <col min="5364" max="5364" width="5.5703125" style="1195" customWidth="1"/>
    <col min="5365" max="5365" width="29" style="1195" customWidth="1"/>
    <col min="5366" max="5380" width="9.7109375" style="1195" customWidth="1"/>
    <col min="5381" max="5383" width="8.28515625" style="1195" customWidth="1"/>
    <col min="5384" max="5619" width="9.140625" style="1195"/>
    <col min="5620" max="5620" width="5.5703125" style="1195" customWidth="1"/>
    <col min="5621" max="5621" width="29" style="1195" customWidth="1"/>
    <col min="5622" max="5636" width="9.7109375" style="1195" customWidth="1"/>
    <col min="5637" max="5639" width="8.28515625" style="1195" customWidth="1"/>
    <col min="5640" max="5875" width="9.140625" style="1195"/>
    <col min="5876" max="5876" width="5.5703125" style="1195" customWidth="1"/>
    <col min="5877" max="5877" width="29" style="1195" customWidth="1"/>
    <col min="5878" max="5892" width="9.7109375" style="1195" customWidth="1"/>
    <col min="5893" max="5895" width="8.28515625" style="1195" customWidth="1"/>
    <col min="5896" max="6131" width="9.140625" style="1195"/>
    <col min="6132" max="6132" width="5.5703125" style="1195" customWidth="1"/>
    <col min="6133" max="6133" width="29" style="1195" customWidth="1"/>
    <col min="6134" max="6148" width="9.7109375" style="1195" customWidth="1"/>
    <col min="6149" max="6151" width="8.28515625" style="1195" customWidth="1"/>
    <col min="6152" max="6387" width="9.140625" style="1195"/>
    <col min="6388" max="6388" width="5.5703125" style="1195" customWidth="1"/>
    <col min="6389" max="6389" width="29" style="1195" customWidth="1"/>
    <col min="6390" max="6404" width="9.7109375" style="1195" customWidth="1"/>
    <col min="6405" max="6407" width="8.28515625" style="1195" customWidth="1"/>
    <col min="6408" max="6643" width="9.140625" style="1195"/>
    <col min="6644" max="6644" width="5.5703125" style="1195" customWidth="1"/>
    <col min="6645" max="6645" width="29" style="1195" customWidth="1"/>
    <col min="6646" max="6660" width="9.7109375" style="1195" customWidth="1"/>
    <col min="6661" max="6663" width="8.28515625" style="1195" customWidth="1"/>
    <col min="6664" max="6899" width="9.140625" style="1195"/>
    <col min="6900" max="6900" width="5.5703125" style="1195" customWidth="1"/>
    <col min="6901" max="6901" width="29" style="1195" customWidth="1"/>
    <col min="6902" max="6916" width="9.7109375" style="1195" customWidth="1"/>
    <col min="6917" max="6919" width="8.28515625" style="1195" customWidth="1"/>
    <col min="6920" max="7155" width="9.140625" style="1195"/>
    <col min="7156" max="7156" width="5.5703125" style="1195" customWidth="1"/>
    <col min="7157" max="7157" width="29" style="1195" customWidth="1"/>
    <col min="7158" max="7172" width="9.7109375" style="1195" customWidth="1"/>
    <col min="7173" max="7175" width="8.28515625" style="1195" customWidth="1"/>
    <col min="7176" max="7411" width="9.140625" style="1195"/>
    <col min="7412" max="7412" width="5.5703125" style="1195" customWidth="1"/>
    <col min="7413" max="7413" width="29" style="1195" customWidth="1"/>
    <col min="7414" max="7428" width="9.7109375" style="1195" customWidth="1"/>
    <col min="7429" max="7431" width="8.28515625" style="1195" customWidth="1"/>
    <col min="7432" max="7667" width="9.140625" style="1195"/>
    <col min="7668" max="7668" width="5.5703125" style="1195" customWidth="1"/>
    <col min="7669" max="7669" width="29" style="1195" customWidth="1"/>
    <col min="7670" max="7684" width="9.7109375" style="1195" customWidth="1"/>
    <col min="7685" max="7687" width="8.28515625" style="1195" customWidth="1"/>
    <col min="7688" max="7923" width="9.140625" style="1195"/>
    <col min="7924" max="7924" width="5.5703125" style="1195" customWidth="1"/>
    <col min="7925" max="7925" width="29" style="1195" customWidth="1"/>
    <col min="7926" max="7940" width="9.7109375" style="1195" customWidth="1"/>
    <col min="7941" max="7943" width="8.28515625" style="1195" customWidth="1"/>
    <col min="7944" max="8179" width="9.140625" style="1195"/>
    <col min="8180" max="8180" width="5.5703125" style="1195" customWidth="1"/>
    <col min="8181" max="8181" width="29" style="1195" customWidth="1"/>
    <col min="8182" max="8196" width="9.7109375" style="1195" customWidth="1"/>
    <col min="8197" max="8199" width="8.28515625" style="1195" customWidth="1"/>
    <col min="8200" max="8435" width="9.140625" style="1195"/>
    <col min="8436" max="8436" width="5.5703125" style="1195" customWidth="1"/>
    <col min="8437" max="8437" width="29" style="1195" customWidth="1"/>
    <col min="8438" max="8452" width="9.7109375" style="1195" customWidth="1"/>
    <col min="8453" max="8455" width="8.28515625" style="1195" customWidth="1"/>
    <col min="8456" max="8691" width="9.140625" style="1195"/>
    <col min="8692" max="8692" width="5.5703125" style="1195" customWidth="1"/>
    <col min="8693" max="8693" width="29" style="1195" customWidth="1"/>
    <col min="8694" max="8708" width="9.7109375" style="1195" customWidth="1"/>
    <col min="8709" max="8711" width="8.28515625" style="1195" customWidth="1"/>
    <col min="8712" max="8947" width="9.140625" style="1195"/>
    <col min="8948" max="8948" width="5.5703125" style="1195" customWidth="1"/>
    <col min="8949" max="8949" width="29" style="1195" customWidth="1"/>
    <col min="8950" max="8964" width="9.7109375" style="1195" customWidth="1"/>
    <col min="8965" max="8967" width="8.28515625" style="1195" customWidth="1"/>
    <col min="8968" max="9203" width="9.140625" style="1195"/>
    <col min="9204" max="9204" width="5.5703125" style="1195" customWidth="1"/>
    <col min="9205" max="9205" width="29" style="1195" customWidth="1"/>
    <col min="9206" max="9220" width="9.7109375" style="1195" customWidth="1"/>
    <col min="9221" max="9223" width="8.28515625" style="1195" customWidth="1"/>
    <col min="9224" max="9459" width="9.140625" style="1195"/>
    <col min="9460" max="9460" width="5.5703125" style="1195" customWidth="1"/>
    <col min="9461" max="9461" width="29" style="1195" customWidth="1"/>
    <col min="9462" max="9476" width="9.7109375" style="1195" customWidth="1"/>
    <col min="9477" max="9479" width="8.28515625" style="1195" customWidth="1"/>
    <col min="9480" max="9715" width="9.140625" style="1195"/>
    <col min="9716" max="9716" width="5.5703125" style="1195" customWidth="1"/>
    <col min="9717" max="9717" width="29" style="1195" customWidth="1"/>
    <col min="9718" max="9732" width="9.7109375" style="1195" customWidth="1"/>
    <col min="9733" max="9735" width="8.28515625" style="1195" customWidth="1"/>
    <col min="9736" max="9971" width="9.140625" style="1195"/>
    <col min="9972" max="9972" width="5.5703125" style="1195" customWidth="1"/>
    <col min="9973" max="9973" width="29" style="1195" customWidth="1"/>
    <col min="9974" max="9988" width="9.7109375" style="1195" customWidth="1"/>
    <col min="9989" max="9991" width="8.28515625" style="1195" customWidth="1"/>
    <col min="9992" max="10227" width="9.140625" style="1195"/>
    <col min="10228" max="10228" width="5.5703125" style="1195" customWidth="1"/>
    <col min="10229" max="10229" width="29" style="1195" customWidth="1"/>
    <col min="10230" max="10244" width="9.7109375" style="1195" customWidth="1"/>
    <col min="10245" max="10247" width="8.28515625" style="1195" customWidth="1"/>
    <col min="10248" max="10483" width="9.140625" style="1195"/>
    <col min="10484" max="10484" width="5.5703125" style="1195" customWidth="1"/>
    <col min="10485" max="10485" width="29" style="1195" customWidth="1"/>
    <col min="10486" max="10500" width="9.7109375" style="1195" customWidth="1"/>
    <col min="10501" max="10503" width="8.28515625" style="1195" customWidth="1"/>
    <col min="10504" max="10739" width="9.140625" style="1195"/>
    <col min="10740" max="10740" width="5.5703125" style="1195" customWidth="1"/>
    <col min="10741" max="10741" width="29" style="1195" customWidth="1"/>
    <col min="10742" max="10756" width="9.7109375" style="1195" customWidth="1"/>
    <col min="10757" max="10759" width="8.28515625" style="1195" customWidth="1"/>
    <col min="10760" max="10995" width="9.140625" style="1195"/>
    <col min="10996" max="10996" width="5.5703125" style="1195" customWidth="1"/>
    <col min="10997" max="10997" width="29" style="1195" customWidth="1"/>
    <col min="10998" max="11012" width="9.7109375" style="1195" customWidth="1"/>
    <col min="11013" max="11015" width="8.28515625" style="1195" customWidth="1"/>
    <col min="11016" max="11251" width="9.140625" style="1195"/>
    <col min="11252" max="11252" width="5.5703125" style="1195" customWidth="1"/>
    <col min="11253" max="11253" width="29" style="1195" customWidth="1"/>
    <col min="11254" max="11268" width="9.7109375" style="1195" customWidth="1"/>
    <col min="11269" max="11271" width="8.28515625" style="1195" customWidth="1"/>
    <col min="11272" max="11507" width="9.140625" style="1195"/>
    <col min="11508" max="11508" width="5.5703125" style="1195" customWidth="1"/>
    <col min="11509" max="11509" width="29" style="1195" customWidth="1"/>
    <col min="11510" max="11524" width="9.7109375" style="1195" customWidth="1"/>
    <col min="11525" max="11527" width="8.28515625" style="1195" customWidth="1"/>
    <col min="11528" max="11763" width="9.140625" style="1195"/>
    <col min="11764" max="11764" width="5.5703125" style="1195" customWidth="1"/>
    <col min="11765" max="11765" width="29" style="1195" customWidth="1"/>
    <col min="11766" max="11780" width="9.7109375" style="1195" customWidth="1"/>
    <col min="11781" max="11783" width="8.28515625" style="1195" customWidth="1"/>
    <col min="11784" max="12019" width="9.140625" style="1195"/>
    <col min="12020" max="12020" width="5.5703125" style="1195" customWidth="1"/>
    <col min="12021" max="12021" width="29" style="1195" customWidth="1"/>
    <col min="12022" max="12036" width="9.7109375" style="1195" customWidth="1"/>
    <col min="12037" max="12039" width="8.28515625" style="1195" customWidth="1"/>
    <col min="12040" max="12275" width="9.140625" style="1195"/>
    <col min="12276" max="12276" width="5.5703125" style="1195" customWidth="1"/>
    <col min="12277" max="12277" width="29" style="1195" customWidth="1"/>
    <col min="12278" max="12292" width="9.7109375" style="1195" customWidth="1"/>
    <col min="12293" max="12295" width="8.28515625" style="1195" customWidth="1"/>
    <col min="12296" max="12531" width="9.140625" style="1195"/>
    <col min="12532" max="12532" width="5.5703125" style="1195" customWidth="1"/>
    <col min="12533" max="12533" width="29" style="1195" customWidth="1"/>
    <col min="12534" max="12548" width="9.7109375" style="1195" customWidth="1"/>
    <col min="12549" max="12551" width="8.28515625" style="1195" customWidth="1"/>
    <col min="12552" max="12787" width="9.140625" style="1195"/>
    <col min="12788" max="12788" width="5.5703125" style="1195" customWidth="1"/>
    <col min="12789" max="12789" width="29" style="1195" customWidth="1"/>
    <col min="12790" max="12804" width="9.7109375" style="1195" customWidth="1"/>
    <col min="12805" max="12807" width="8.28515625" style="1195" customWidth="1"/>
    <col min="12808" max="13043" width="9.140625" style="1195"/>
    <col min="13044" max="13044" width="5.5703125" style="1195" customWidth="1"/>
    <col min="13045" max="13045" width="29" style="1195" customWidth="1"/>
    <col min="13046" max="13060" width="9.7109375" style="1195" customWidth="1"/>
    <col min="13061" max="13063" width="8.28515625" style="1195" customWidth="1"/>
    <col min="13064" max="13299" width="9.140625" style="1195"/>
    <col min="13300" max="13300" width="5.5703125" style="1195" customWidth="1"/>
    <col min="13301" max="13301" width="29" style="1195" customWidth="1"/>
    <col min="13302" max="13316" width="9.7109375" style="1195" customWidth="1"/>
    <col min="13317" max="13319" width="8.28515625" style="1195" customWidth="1"/>
    <col min="13320" max="13555" width="9.140625" style="1195"/>
    <col min="13556" max="13556" width="5.5703125" style="1195" customWidth="1"/>
    <col min="13557" max="13557" width="29" style="1195" customWidth="1"/>
    <col min="13558" max="13572" width="9.7109375" style="1195" customWidth="1"/>
    <col min="13573" max="13575" width="8.28515625" style="1195" customWidth="1"/>
    <col min="13576" max="13811" width="9.140625" style="1195"/>
    <col min="13812" max="13812" width="5.5703125" style="1195" customWidth="1"/>
    <col min="13813" max="13813" width="29" style="1195" customWidth="1"/>
    <col min="13814" max="13828" width="9.7109375" style="1195" customWidth="1"/>
    <col min="13829" max="13831" width="8.28515625" style="1195" customWidth="1"/>
    <col min="13832" max="14067" width="9.140625" style="1195"/>
    <col min="14068" max="14068" width="5.5703125" style="1195" customWidth="1"/>
    <col min="14069" max="14069" width="29" style="1195" customWidth="1"/>
    <col min="14070" max="14084" width="9.7109375" style="1195" customWidth="1"/>
    <col min="14085" max="14087" width="8.28515625" style="1195" customWidth="1"/>
    <col min="14088" max="14323" width="9.140625" style="1195"/>
    <col min="14324" max="14324" width="5.5703125" style="1195" customWidth="1"/>
    <col min="14325" max="14325" width="29" style="1195" customWidth="1"/>
    <col min="14326" max="14340" width="9.7109375" style="1195" customWidth="1"/>
    <col min="14341" max="14343" width="8.28515625" style="1195" customWidth="1"/>
    <col min="14344" max="14579" width="9.140625" style="1195"/>
    <col min="14580" max="14580" width="5.5703125" style="1195" customWidth="1"/>
    <col min="14581" max="14581" width="29" style="1195" customWidth="1"/>
    <col min="14582" max="14596" width="9.7109375" style="1195" customWidth="1"/>
    <col min="14597" max="14599" width="8.28515625" style="1195" customWidth="1"/>
    <col min="14600" max="14835" width="9.140625" style="1195"/>
    <col min="14836" max="14836" width="5.5703125" style="1195" customWidth="1"/>
    <col min="14837" max="14837" width="29" style="1195" customWidth="1"/>
    <col min="14838" max="14852" width="9.7109375" style="1195" customWidth="1"/>
    <col min="14853" max="14855" width="8.28515625" style="1195" customWidth="1"/>
    <col min="14856" max="15091" width="9.140625" style="1195"/>
    <col min="15092" max="15092" width="5.5703125" style="1195" customWidth="1"/>
    <col min="15093" max="15093" width="29" style="1195" customWidth="1"/>
    <col min="15094" max="15108" width="9.7109375" style="1195" customWidth="1"/>
    <col min="15109" max="15111" width="8.28515625" style="1195" customWidth="1"/>
    <col min="15112" max="15347" width="9.140625" style="1195"/>
    <col min="15348" max="15348" width="5.5703125" style="1195" customWidth="1"/>
    <col min="15349" max="15349" width="29" style="1195" customWidth="1"/>
    <col min="15350" max="15364" width="9.7109375" style="1195" customWidth="1"/>
    <col min="15365" max="15367" width="8.28515625" style="1195" customWidth="1"/>
    <col min="15368" max="15603" width="9.140625" style="1195"/>
    <col min="15604" max="15604" width="5.5703125" style="1195" customWidth="1"/>
    <col min="15605" max="15605" width="29" style="1195" customWidth="1"/>
    <col min="15606" max="15620" width="9.7109375" style="1195" customWidth="1"/>
    <col min="15621" max="15623" width="8.28515625" style="1195" customWidth="1"/>
    <col min="15624" max="15859" width="9.140625" style="1195"/>
    <col min="15860" max="15860" width="5.5703125" style="1195" customWidth="1"/>
    <col min="15861" max="15861" width="29" style="1195" customWidth="1"/>
    <col min="15862" max="15876" width="9.7109375" style="1195" customWidth="1"/>
    <col min="15877" max="15879" width="8.28515625" style="1195" customWidth="1"/>
    <col min="15880" max="16115" width="9.140625" style="1195"/>
    <col min="16116" max="16116" width="5.5703125" style="1195" customWidth="1"/>
    <col min="16117" max="16117" width="29" style="1195" customWidth="1"/>
    <col min="16118" max="16132" width="9.7109375" style="1195" customWidth="1"/>
    <col min="16133" max="16135" width="8.28515625" style="1195" customWidth="1"/>
    <col min="16136" max="16384" width="9.140625" style="1195"/>
  </cols>
  <sheetData>
    <row r="1" spans="1:27" x14ac:dyDescent="0.25">
      <c r="A1" s="4103"/>
      <c r="B1" s="4103"/>
      <c r="C1" s="4103"/>
      <c r="S1" s="4104"/>
      <c r="T1" s="4104"/>
      <c r="U1" s="4104"/>
      <c r="V1" s="4105" t="s">
        <v>2550</v>
      </c>
      <c r="W1" s="4105"/>
      <c r="X1" s="4105"/>
      <c r="Y1" s="4105"/>
      <c r="Z1" s="4105"/>
      <c r="AA1" s="4105"/>
    </row>
    <row r="2" spans="1:27" x14ac:dyDescent="0.25">
      <c r="A2" s="4106" t="s">
        <v>2293</v>
      </c>
      <c r="B2" s="4106"/>
      <c r="C2" s="4106"/>
      <c r="D2" s="4106"/>
      <c r="E2" s="4106"/>
      <c r="F2" s="4106"/>
      <c r="G2" s="4106"/>
      <c r="H2" s="4106"/>
      <c r="I2" s="4106"/>
      <c r="J2" s="4106"/>
      <c r="K2" s="4106"/>
      <c r="L2" s="4106"/>
      <c r="M2" s="4106"/>
      <c r="N2" s="4106"/>
      <c r="O2" s="4106"/>
      <c r="P2" s="4106"/>
      <c r="Q2" s="4106"/>
      <c r="R2" s="4106"/>
      <c r="S2" s="4106"/>
      <c r="T2" s="4106"/>
      <c r="U2" s="4106"/>
      <c r="V2" s="4106"/>
      <c r="W2" s="4106"/>
      <c r="X2" s="4106"/>
      <c r="Y2" s="4106"/>
      <c r="Z2" s="4106"/>
      <c r="AA2" s="4106"/>
    </row>
    <row r="3" spans="1:27" x14ac:dyDescent="0.25">
      <c r="A3" s="4107" t="str">
        <f>'Biêu so 01 2020'!A3:W3</f>
        <v>(Kèm theo Quyết định số         /QĐ-UBND ngày      tháng 4 năm 2026 của UBND xã Phong Quang)</v>
      </c>
      <c r="B3" s="4107"/>
      <c r="C3" s="4107"/>
      <c r="D3" s="4107"/>
      <c r="E3" s="4107"/>
      <c r="F3" s="4107"/>
      <c r="G3" s="4107"/>
      <c r="H3" s="4107"/>
      <c r="I3" s="4107"/>
      <c r="J3" s="4107"/>
      <c r="K3" s="4107"/>
      <c r="L3" s="4107"/>
      <c r="M3" s="4107"/>
      <c r="N3" s="4107"/>
      <c r="O3" s="4107"/>
      <c r="P3" s="4107"/>
      <c r="Q3" s="4107"/>
      <c r="R3" s="4107"/>
      <c r="S3" s="4107"/>
      <c r="T3" s="4107"/>
      <c r="U3" s="4107"/>
      <c r="V3" s="4107"/>
      <c r="W3" s="4107"/>
      <c r="X3" s="4107"/>
      <c r="Y3" s="4107"/>
      <c r="Z3" s="4107"/>
      <c r="AA3" s="4107"/>
    </row>
    <row r="4" spans="1:27" x14ac:dyDescent="0.25">
      <c r="E4" s="1256"/>
      <c r="T4" s="1208"/>
      <c r="U4" s="1208"/>
      <c r="V4" s="1208"/>
      <c r="W4" s="4102" t="s">
        <v>1461</v>
      </c>
      <c r="X4" s="4102"/>
      <c r="Y4" s="4102"/>
      <c r="Z4" s="4102"/>
      <c r="AA4" s="4102"/>
    </row>
    <row r="5" spans="1:27" s="1213" customFormat="1" ht="9" x14ac:dyDescent="0.25">
      <c r="A5" s="4087" t="s">
        <v>1579</v>
      </c>
      <c r="B5" s="4087" t="s">
        <v>193</v>
      </c>
      <c r="C5" s="4090" t="s">
        <v>2271</v>
      </c>
      <c r="D5" s="4091"/>
      <c r="E5" s="4091"/>
      <c r="F5" s="4091"/>
      <c r="G5" s="4092"/>
      <c r="H5" s="4090" t="s">
        <v>2272</v>
      </c>
      <c r="I5" s="4091"/>
      <c r="J5" s="4092"/>
      <c r="K5" s="4090" t="s">
        <v>2273</v>
      </c>
      <c r="L5" s="4091"/>
      <c r="M5" s="4092"/>
      <c r="N5" s="4090" t="s">
        <v>2274</v>
      </c>
      <c r="O5" s="4091"/>
      <c r="P5" s="4091"/>
      <c r="Q5" s="4091"/>
      <c r="R5" s="4092"/>
      <c r="S5" s="4090" t="s">
        <v>2275</v>
      </c>
      <c r="T5" s="4091"/>
      <c r="U5" s="4092"/>
      <c r="V5" s="4090" t="s">
        <v>2276</v>
      </c>
      <c r="W5" s="4091"/>
      <c r="X5" s="4091"/>
      <c r="Y5" s="4091"/>
      <c r="Z5" s="4091"/>
      <c r="AA5" s="4092"/>
    </row>
    <row r="6" spans="1:27" s="1213" customFormat="1" ht="9" x14ac:dyDescent="0.25">
      <c r="A6" s="4088"/>
      <c r="B6" s="4088"/>
      <c r="C6" s="4093" t="s">
        <v>1114</v>
      </c>
      <c r="D6" s="4090" t="s">
        <v>707</v>
      </c>
      <c r="E6" s="4092"/>
      <c r="F6" s="4096" t="s">
        <v>1471</v>
      </c>
      <c r="G6" s="4097"/>
      <c r="H6" s="4093" t="s">
        <v>1114</v>
      </c>
      <c r="I6" s="4093" t="s">
        <v>707</v>
      </c>
      <c r="J6" s="4093" t="s">
        <v>1471</v>
      </c>
      <c r="K6" s="4093" t="s">
        <v>1114</v>
      </c>
      <c r="L6" s="4093" t="s">
        <v>707</v>
      </c>
      <c r="M6" s="4093" t="s">
        <v>1471</v>
      </c>
      <c r="N6" s="4093" t="s">
        <v>1114</v>
      </c>
      <c r="O6" s="4090" t="s">
        <v>707</v>
      </c>
      <c r="P6" s="4092"/>
      <c r="Q6" s="4090" t="s">
        <v>1471</v>
      </c>
      <c r="R6" s="4092"/>
      <c r="S6" s="4093" t="s">
        <v>1114</v>
      </c>
      <c r="T6" s="4093" t="s">
        <v>707</v>
      </c>
      <c r="U6" s="4093" t="s">
        <v>1471</v>
      </c>
      <c r="V6" s="4093" t="s">
        <v>1114</v>
      </c>
      <c r="W6" s="4096" t="s">
        <v>707</v>
      </c>
      <c r="X6" s="4100"/>
      <c r="Y6" s="4097"/>
      <c r="Z6" s="4101" t="s">
        <v>1471</v>
      </c>
      <c r="AA6" s="4101"/>
    </row>
    <row r="7" spans="1:27" s="1213" customFormat="1" ht="54" customHeight="1" x14ac:dyDescent="0.25">
      <c r="A7" s="4089"/>
      <c r="B7" s="4089"/>
      <c r="C7" s="4095"/>
      <c r="D7" s="1214" t="s">
        <v>34</v>
      </c>
      <c r="E7" s="1214" t="s">
        <v>2158</v>
      </c>
      <c r="F7" s="1214" t="s">
        <v>34</v>
      </c>
      <c r="G7" s="1214" t="s">
        <v>2158</v>
      </c>
      <c r="H7" s="4094"/>
      <c r="I7" s="4094"/>
      <c r="J7" s="4094"/>
      <c r="K7" s="4094"/>
      <c r="L7" s="4094"/>
      <c r="M7" s="4094"/>
      <c r="N7" s="4094"/>
      <c r="O7" s="1215" t="s">
        <v>2277</v>
      </c>
      <c r="P7" s="1216" t="s">
        <v>2278</v>
      </c>
      <c r="Q7" s="1254" t="s">
        <v>2277</v>
      </c>
      <c r="R7" s="1216" t="s">
        <v>2278</v>
      </c>
      <c r="S7" s="4094"/>
      <c r="T7" s="4094"/>
      <c r="U7" s="4094"/>
      <c r="V7" s="4094"/>
      <c r="W7" s="1214" t="s">
        <v>2279</v>
      </c>
      <c r="X7" s="1214" t="s">
        <v>2280</v>
      </c>
      <c r="Y7" s="1214" t="s">
        <v>2281</v>
      </c>
      <c r="Z7" s="1216" t="s">
        <v>34</v>
      </c>
      <c r="AA7" s="1215" t="s">
        <v>2158</v>
      </c>
    </row>
    <row r="8" spans="1:27" s="1213" customFormat="1" ht="9" x14ac:dyDescent="0.25">
      <c r="A8" s="1217" t="s">
        <v>847</v>
      </c>
      <c r="B8" s="1217" t="s">
        <v>848</v>
      </c>
      <c r="C8" s="1218">
        <v>1</v>
      </c>
      <c r="D8" s="1218" t="s">
        <v>902</v>
      </c>
      <c r="E8" s="1218" t="s">
        <v>903</v>
      </c>
      <c r="F8" s="1218" t="s">
        <v>174</v>
      </c>
      <c r="G8" s="1218" t="s">
        <v>796</v>
      </c>
      <c r="H8" s="1218">
        <v>4</v>
      </c>
      <c r="I8" s="1218">
        <v>5</v>
      </c>
      <c r="J8" s="1218">
        <v>6</v>
      </c>
      <c r="K8" s="1218">
        <v>7</v>
      </c>
      <c r="L8" s="1218" t="s">
        <v>2282</v>
      </c>
      <c r="M8" s="1218" t="s">
        <v>2283</v>
      </c>
      <c r="N8" s="1218">
        <v>10</v>
      </c>
      <c r="O8" s="1218">
        <v>11</v>
      </c>
      <c r="P8" s="1218">
        <v>12</v>
      </c>
      <c r="Q8" s="1218">
        <v>13</v>
      </c>
      <c r="R8" s="1218">
        <v>14</v>
      </c>
      <c r="S8" s="1218">
        <v>15</v>
      </c>
      <c r="T8" s="1218">
        <v>16</v>
      </c>
      <c r="U8" s="1218">
        <v>17</v>
      </c>
      <c r="V8" s="1218">
        <v>18</v>
      </c>
      <c r="W8" s="1218">
        <v>19</v>
      </c>
      <c r="X8" s="1218">
        <v>20</v>
      </c>
      <c r="Y8" s="1218">
        <v>21</v>
      </c>
      <c r="Z8" s="1218">
        <v>22</v>
      </c>
      <c r="AA8" s="1218">
        <v>23</v>
      </c>
    </row>
    <row r="9" spans="1:27" s="1221" customFormat="1" ht="9" hidden="1" x14ac:dyDescent="0.25">
      <c r="A9" s="1219"/>
      <c r="B9" s="1219" t="s">
        <v>1114</v>
      </c>
      <c r="C9" s="1220"/>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row>
    <row r="10" spans="1:27" s="1221" customFormat="1" ht="9" hidden="1" x14ac:dyDescent="0.25">
      <c r="A10" s="1222" t="s">
        <v>847</v>
      </c>
      <c r="B10" s="1223" t="s">
        <v>2294</v>
      </c>
      <c r="C10" s="1224"/>
      <c r="D10" s="1225"/>
      <c r="E10" s="1225"/>
      <c r="F10" s="1225"/>
      <c r="G10" s="1225"/>
      <c r="H10" s="1224"/>
      <c r="I10" s="1225"/>
      <c r="J10" s="1225"/>
      <c r="K10" s="1224"/>
      <c r="L10" s="1224"/>
      <c r="M10" s="1224"/>
      <c r="N10" s="1224"/>
      <c r="O10" s="1225"/>
      <c r="P10" s="1225"/>
      <c r="Q10" s="1225"/>
      <c r="R10" s="1225"/>
      <c r="S10" s="1224"/>
      <c r="T10" s="1225"/>
      <c r="U10" s="1225"/>
      <c r="V10" s="1224"/>
      <c r="W10" s="1224"/>
      <c r="X10" s="1224"/>
      <c r="Y10" s="1224"/>
      <c r="Z10" s="1224"/>
      <c r="AA10" s="1224"/>
    </row>
    <row r="11" spans="1:27" s="1221" customFormat="1" ht="9" hidden="1" x14ac:dyDescent="0.25">
      <c r="A11" s="1222" t="s">
        <v>849</v>
      </c>
      <c r="B11" s="1223" t="s">
        <v>2295</v>
      </c>
      <c r="C11" s="1225"/>
      <c r="D11" s="1225"/>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row>
    <row r="12" spans="1:27" s="1221" customFormat="1" ht="9" hidden="1" x14ac:dyDescent="0.25">
      <c r="A12" s="1226">
        <v>1</v>
      </c>
      <c r="B12" s="1227" t="s">
        <v>2296</v>
      </c>
      <c r="C12" s="1225"/>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row>
    <row r="13" spans="1:27" s="1231" customFormat="1" ht="9" hidden="1" x14ac:dyDescent="0.25">
      <c r="A13" s="1228" t="s">
        <v>882</v>
      </c>
      <c r="B13" s="1229" t="s">
        <v>341</v>
      </c>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row>
    <row r="14" spans="1:27" s="1231" customFormat="1" ht="9" hidden="1" x14ac:dyDescent="0.25">
      <c r="A14" s="1228" t="s">
        <v>882</v>
      </c>
      <c r="B14" s="1229" t="s">
        <v>546</v>
      </c>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row>
    <row r="15" spans="1:27" s="1231" customFormat="1" ht="9" hidden="1" x14ac:dyDescent="0.25">
      <c r="A15" s="1228" t="s">
        <v>882</v>
      </c>
      <c r="B15" s="1229" t="s">
        <v>129</v>
      </c>
      <c r="C15" s="1230"/>
      <c r="D15" s="1230"/>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row>
    <row r="16" spans="1:27" s="1221" customFormat="1" ht="9" hidden="1" x14ac:dyDescent="0.25">
      <c r="A16" s="1232" t="s">
        <v>895</v>
      </c>
      <c r="B16" s="1233" t="s">
        <v>890</v>
      </c>
      <c r="C16" s="1234"/>
      <c r="D16" s="1234"/>
      <c r="E16" s="1234"/>
      <c r="F16" s="1234"/>
      <c r="G16" s="1234"/>
      <c r="H16" s="1234"/>
      <c r="I16" s="1234"/>
      <c r="J16" s="1234"/>
      <c r="K16" s="1234"/>
      <c r="L16" s="1234"/>
      <c r="M16" s="1234"/>
      <c r="N16" s="1234"/>
      <c r="O16" s="1234"/>
      <c r="P16" s="1234"/>
      <c r="Q16" s="1234"/>
      <c r="R16" s="1234"/>
      <c r="S16" s="1234"/>
      <c r="T16" s="1234"/>
      <c r="U16" s="1234"/>
      <c r="V16" s="1234"/>
      <c r="W16" s="1234"/>
      <c r="X16" s="1234"/>
      <c r="Y16" s="1234"/>
      <c r="Z16" s="1234"/>
      <c r="AA16" s="1234"/>
    </row>
    <row r="17" spans="1:27" s="1221" customFormat="1" ht="9" hidden="1" x14ac:dyDescent="0.25">
      <c r="A17" s="1219" t="s">
        <v>848</v>
      </c>
      <c r="B17" s="1235" t="s">
        <v>2297</v>
      </c>
      <c r="C17" s="1220"/>
      <c r="D17" s="1220"/>
      <c r="E17" s="1220"/>
      <c r="F17" s="1220"/>
      <c r="G17" s="1220"/>
      <c r="H17" s="1220"/>
      <c r="I17" s="1220"/>
      <c r="J17" s="1220"/>
      <c r="K17" s="1220"/>
      <c r="L17" s="1220"/>
      <c r="M17" s="1220"/>
      <c r="N17" s="1220"/>
      <c r="O17" s="1220"/>
      <c r="P17" s="1220"/>
      <c r="Q17" s="1220"/>
      <c r="R17" s="1220"/>
      <c r="S17" s="1220"/>
      <c r="T17" s="1220"/>
      <c r="U17" s="1220"/>
      <c r="V17" s="1220"/>
      <c r="W17" s="1220"/>
      <c r="X17" s="1220"/>
      <c r="Y17" s="1220"/>
      <c r="Z17" s="1220"/>
      <c r="AA17" s="1220"/>
    </row>
    <row r="18" spans="1:27" s="1221" customFormat="1" ht="18" customHeight="1" x14ac:dyDescent="0.25">
      <c r="A18" s="1236" t="s">
        <v>849</v>
      </c>
      <c r="B18" s="1237" t="s">
        <v>2286</v>
      </c>
      <c r="C18" s="1224">
        <f>C19</f>
        <v>13768287465</v>
      </c>
      <c r="D18" s="1224">
        <f t="shared" ref="D18:Z18" si="0">D19</f>
        <v>734414479</v>
      </c>
      <c r="E18" s="1224">
        <f t="shared" si="0"/>
        <v>11134451986</v>
      </c>
      <c r="F18" s="1224">
        <f t="shared" si="0"/>
        <v>1899421000</v>
      </c>
      <c r="G18" s="1224">
        <f t="shared" si="0"/>
        <v>0</v>
      </c>
      <c r="H18" s="1224">
        <f t="shared" si="0"/>
        <v>71390524138</v>
      </c>
      <c r="I18" s="1224">
        <f t="shared" si="0"/>
        <v>59736183000</v>
      </c>
      <c r="J18" s="1224">
        <f t="shared" si="0"/>
        <v>11654341138</v>
      </c>
      <c r="K18" s="1224">
        <f t="shared" si="0"/>
        <v>83259390603</v>
      </c>
      <c r="L18" s="1224">
        <f t="shared" si="0"/>
        <v>71605049465</v>
      </c>
      <c r="M18" s="1224">
        <f t="shared" si="0"/>
        <v>13553762138</v>
      </c>
      <c r="N18" s="1224">
        <f t="shared" si="0"/>
        <v>73195762058</v>
      </c>
      <c r="O18" s="1224">
        <f t="shared" si="0"/>
        <v>11134451986</v>
      </c>
      <c r="P18" s="1224">
        <f t="shared" si="0"/>
        <v>51121209815</v>
      </c>
      <c r="Q18" s="1224">
        <f t="shared" si="0"/>
        <v>0</v>
      </c>
      <c r="R18" s="1224">
        <f t="shared" si="0"/>
        <v>10940271619</v>
      </c>
      <c r="S18" s="1224">
        <f t="shared" si="0"/>
        <v>1899423000</v>
      </c>
      <c r="T18" s="1224">
        <f t="shared" si="0"/>
        <v>2E-3</v>
      </c>
      <c r="U18" s="1224">
        <f t="shared" si="0"/>
        <v>1899421000</v>
      </c>
      <c r="V18" s="1224">
        <f t="shared" si="0"/>
        <v>10063626545</v>
      </c>
      <c r="W18" s="1224">
        <f t="shared" si="0"/>
        <v>734412479</v>
      </c>
      <c r="X18" s="1224">
        <f t="shared" si="0"/>
        <v>1273698863</v>
      </c>
      <c r="Y18" s="1224">
        <f t="shared" si="0"/>
        <v>7341274322</v>
      </c>
      <c r="Z18" s="1224">
        <f t="shared" si="0"/>
        <v>714240881</v>
      </c>
      <c r="AA18" s="1224"/>
    </row>
    <row r="19" spans="1:27" s="1221" customFormat="1" ht="18" customHeight="1" x14ac:dyDescent="0.25">
      <c r="A19" s="1236">
        <v>1</v>
      </c>
      <c r="B19" s="1238" t="s">
        <v>1114</v>
      </c>
      <c r="C19" s="1224">
        <f>SUM(C20:C22)</f>
        <v>13768287465</v>
      </c>
      <c r="D19" s="1224">
        <f t="shared" ref="D19:Z19" si="1">SUM(D20:D22)</f>
        <v>734414479</v>
      </c>
      <c r="E19" s="1224">
        <f t="shared" si="1"/>
        <v>11134451986</v>
      </c>
      <c r="F19" s="1224">
        <f t="shared" si="1"/>
        <v>1899421000</v>
      </c>
      <c r="G19" s="1224">
        <f t="shared" si="1"/>
        <v>0</v>
      </c>
      <c r="H19" s="1224">
        <f t="shared" si="1"/>
        <v>71390524138</v>
      </c>
      <c r="I19" s="1224">
        <f t="shared" si="1"/>
        <v>59736183000</v>
      </c>
      <c r="J19" s="1224">
        <f t="shared" si="1"/>
        <v>11654341138</v>
      </c>
      <c r="K19" s="1224">
        <f t="shared" si="1"/>
        <v>83259390603</v>
      </c>
      <c r="L19" s="1224">
        <f t="shared" si="1"/>
        <v>71605049465</v>
      </c>
      <c r="M19" s="1224">
        <f t="shared" si="1"/>
        <v>13553762138</v>
      </c>
      <c r="N19" s="1224">
        <f>SUM(N20:N22)</f>
        <v>73195762058</v>
      </c>
      <c r="O19" s="1224">
        <f t="shared" si="1"/>
        <v>11134451986</v>
      </c>
      <c r="P19" s="1224">
        <f t="shared" si="1"/>
        <v>51121209815</v>
      </c>
      <c r="Q19" s="1224">
        <f t="shared" si="1"/>
        <v>0</v>
      </c>
      <c r="R19" s="1224">
        <f t="shared" si="1"/>
        <v>10940271619</v>
      </c>
      <c r="S19" s="1224">
        <f t="shared" si="1"/>
        <v>1899423000</v>
      </c>
      <c r="T19" s="1224">
        <f t="shared" si="1"/>
        <v>2E-3</v>
      </c>
      <c r="U19" s="1224">
        <f t="shared" si="1"/>
        <v>1899421000</v>
      </c>
      <c r="V19" s="1224">
        <f t="shared" si="1"/>
        <v>10063626545</v>
      </c>
      <c r="W19" s="1224">
        <f t="shared" si="1"/>
        <v>734412479</v>
      </c>
      <c r="X19" s="1224">
        <f t="shared" si="1"/>
        <v>1273698863</v>
      </c>
      <c r="Y19" s="1224">
        <f t="shared" si="1"/>
        <v>7341274322</v>
      </c>
      <c r="Z19" s="1224">
        <f t="shared" si="1"/>
        <v>714240881</v>
      </c>
      <c r="AA19" s="1224"/>
    </row>
    <row r="20" spans="1:27" s="1242" customFormat="1" ht="18" customHeight="1" x14ac:dyDescent="0.25">
      <c r="A20" s="1239" t="s">
        <v>882</v>
      </c>
      <c r="B20" s="1240" t="s">
        <v>341</v>
      </c>
      <c r="C20" s="1241">
        <f>C24+C29+C33+C37+C41+C45+C49+C53+C57+C61+C65</f>
        <v>13768287465</v>
      </c>
      <c r="D20" s="1241">
        <f t="shared" ref="D20:AA20" si="2">D24+D29+D33+D37+D41+D45+D49+D53+D57+D61+D65</f>
        <v>734414479</v>
      </c>
      <c r="E20" s="1241">
        <f t="shared" si="2"/>
        <v>11134451986</v>
      </c>
      <c r="F20" s="1241">
        <f t="shared" si="2"/>
        <v>1899421000</v>
      </c>
      <c r="G20" s="1241">
        <f t="shared" si="2"/>
        <v>0</v>
      </c>
      <c r="H20" s="1241">
        <f t="shared" si="2"/>
        <v>61738183000</v>
      </c>
      <c r="I20" s="1241">
        <f t="shared" si="2"/>
        <v>50911183000</v>
      </c>
      <c r="J20" s="1241">
        <f t="shared" si="2"/>
        <v>10827000000</v>
      </c>
      <c r="K20" s="1241">
        <f>K24+K29+K33+K37+K41+K45+K49+K53+K57+K61+K65</f>
        <v>73607049465</v>
      </c>
      <c r="L20" s="1241">
        <f>D20+E20+I20</f>
        <v>62780049465</v>
      </c>
      <c r="M20" s="1241">
        <f>F20+J20</f>
        <v>12726421000</v>
      </c>
      <c r="N20" s="1241">
        <f>O20+P20+R20</f>
        <v>67234803747</v>
      </c>
      <c r="O20" s="1241">
        <f>O24+O29+O33+O37+O41+O45+O49+O53+O57+O61+O65</f>
        <v>11134451986</v>
      </c>
      <c r="P20" s="1241">
        <f t="shared" si="2"/>
        <v>45984958193</v>
      </c>
      <c r="Q20" s="1241">
        <f t="shared" si="2"/>
        <v>0</v>
      </c>
      <c r="R20" s="1241">
        <f>R24+R29+R33+R37+R41+R45+R49+R53+R57+R61+R65</f>
        <v>10115393568</v>
      </c>
      <c r="S20" s="1241">
        <f t="shared" si="2"/>
        <v>1899423000</v>
      </c>
      <c r="T20" s="1241">
        <v>2E-3</v>
      </c>
      <c r="U20" s="1241">
        <f t="shared" si="2"/>
        <v>1899421000</v>
      </c>
      <c r="V20" s="1241">
        <f t="shared" si="2"/>
        <v>6372243718</v>
      </c>
      <c r="W20" s="1241">
        <f>W24+W29+W33+W37+W41+W45+W49+W53+W57+W61+W65</f>
        <v>734412479</v>
      </c>
      <c r="X20" s="1241">
        <f>X24+X29+X33+X37+X41+X45+X49+X53+X57+X61+X65</f>
        <v>1072765220</v>
      </c>
      <c r="Y20" s="1241">
        <f t="shared" si="2"/>
        <v>3853459587</v>
      </c>
      <c r="Z20" s="1241">
        <f t="shared" si="2"/>
        <v>711606432</v>
      </c>
      <c r="AA20" s="1241">
        <f t="shared" si="2"/>
        <v>0</v>
      </c>
    </row>
    <row r="21" spans="1:27" s="1242" customFormat="1" ht="18" customHeight="1" x14ac:dyDescent="0.25">
      <c r="A21" s="1239" t="s">
        <v>882</v>
      </c>
      <c r="B21" s="1240" t="s">
        <v>2298</v>
      </c>
      <c r="C21" s="1241">
        <f>C25+                C30+C34+C38+C42+C46+C50+C58+C62+C66</f>
        <v>0</v>
      </c>
      <c r="D21" s="1241">
        <f t="shared" ref="D21:Z21" si="3">D25+                D30+D34+D38+D42+D46+D50+D58+D62+D66</f>
        <v>0</v>
      </c>
      <c r="E21" s="1241">
        <f t="shared" si="3"/>
        <v>0</v>
      </c>
      <c r="F21" s="1241">
        <f t="shared" si="3"/>
        <v>0</v>
      </c>
      <c r="G21" s="1241">
        <f t="shared" si="3"/>
        <v>0</v>
      </c>
      <c r="H21" s="1241">
        <f t="shared" si="3"/>
        <v>9350000000</v>
      </c>
      <c r="I21" s="1241">
        <f t="shared" si="3"/>
        <v>8825000000</v>
      </c>
      <c r="J21" s="1241">
        <f t="shared" si="3"/>
        <v>525000000</v>
      </c>
      <c r="K21" s="1241">
        <f t="shared" si="3"/>
        <v>9350000000</v>
      </c>
      <c r="L21" s="1241">
        <f t="shared" ref="L21:L66" si="4">D21+E21+I21</f>
        <v>8825000000</v>
      </c>
      <c r="M21" s="1241">
        <f t="shared" ref="M21:M27" si="5">G21+J21</f>
        <v>525000000</v>
      </c>
      <c r="N21" s="1241">
        <f>N25+                N30+N34+N38+N42+N46+N50+N58+N62+N66</f>
        <v>5661080260</v>
      </c>
      <c r="O21" s="1241">
        <f t="shared" si="3"/>
        <v>0</v>
      </c>
      <c r="P21" s="1241">
        <f>P25+                P30+P34+P38+P42+P46+P50+P58+P62+P66</f>
        <v>5136251622</v>
      </c>
      <c r="Q21" s="1241">
        <f t="shared" si="3"/>
        <v>0</v>
      </c>
      <c r="R21" s="1241">
        <v>525000000</v>
      </c>
      <c r="S21" s="1241">
        <f t="shared" si="3"/>
        <v>0</v>
      </c>
      <c r="T21" s="1241">
        <f t="shared" si="3"/>
        <v>0</v>
      </c>
      <c r="U21" s="1241">
        <f t="shared" si="3"/>
        <v>0</v>
      </c>
      <c r="V21" s="1241">
        <f t="shared" si="3"/>
        <v>3688919740</v>
      </c>
      <c r="W21" s="1241">
        <f t="shared" si="3"/>
        <v>0</v>
      </c>
      <c r="X21" s="1241">
        <f t="shared" si="3"/>
        <v>200933643</v>
      </c>
      <c r="Y21" s="1241">
        <f t="shared" si="3"/>
        <v>3487814735</v>
      </c>
      <c r="Z21" s="1241">
        <f t="shared" si="3"/>
        <v>171362</v>
      </c>
      <c r="AA21" s="1241"/>
    </row>
    <row r="22" spans="1:27" s="1242" customFormat="1" ht="18" customHeight="1" x14ac:dyDescent="0.25">
      <c r="A22" s="1239" t="s">
        <v>882</v>
      </c>
      <c r="B22" s="1240" t="s">
        <v>1719</v>
      </c>
      <c r="C22" s="1241">
        <f>C26+C31+C35+C39+C43+C47+C51+C55+C59+C63+C67</f>
        <v>0</v>
      </c>
      <c r="D22" s="1241">
        <f t="shared" ref="D22:Z22" si="6">D26+D31+D35+D39+D43+D47+D51+D55+D59+D63+D67</f>
        <v>0</v>
      </c>
      <c r="E22" s="1241">
        <f t="shared" si="6"/>
        <v>0</v>
      </c>
      <c r="F22" s="1241">
        <f t="shared" si="6"/>
        <v>0</v>
      </c>
      <c r="G22" s="1241">
        <f t="shared" si="6"/>
        <v>0</v>
      </c>
      <c r="H22" s="1241">
        <f t="shared" si="6"/>
        <v>302341138</v>
      </c>
      <c r="I22" s="1241">
        <f t="shared" si="6"/>
        <v>0</v>
      </c>
      <c r="J22" s="1241">
        <f t="shared" si="6"/>
        <v>302341138</v>
      </c>
      <c r="K22" s="1241">
        <f t="shared" si="6"/>
        <v>302341138</v>
      </c>
      <c r="L22" s="1241">
        <f t="shared" si="4"/>
        <v>0</v>
      </c>
      <c r="M22" s="1241">
        <f t="shared" si="5"/>
        <v>302341138</v>
      </c>
      <c r="N22" s="1241">
        <f>R22</f>
        <v>299878051</v>
      </c>
      <c r="O22" s="1241">
        <f t="shared" si="6"/>
        <v>0</v>
      </c>
      <c r="P22" s="1241">
        <f t="shared" si="6"/>
        <v>0</v>
      </c>
      <c r="Q22" s="1241">
        <f t="shared" si="6"/>
        <v>0</v>
      </c>
      <c r="R22" s="1241">
        <f t="shared" si="6"/>
        <v>299878051</v>
      </c>
      <c r="S22" s="1241">
        <f t="shared" si="6"/>
        <v>0</v>
      </c>
      <c r="T22" s="1241">
        <f t="shared" si="6"/>
        <v>0</v>
      </c>
      <c r="U22" s="1241">
        <f t="shared" si="6"/>
        <v>0</v>
      </c>
      <c r="V22" s="1241">
        <f t="shared" si="6"/>
        <v>2463087</v>
      </c>
      <c r="W22" s="1241">
        <f t="shared" si="6"/>
        <v>0</v>
      </c>
      <c r="X22" s="1241">
        <f t="shared" si="6"/>
        <v>0</v>
      </c>
      <c r="Y22" s="1241">
        <f t="shared" si="6"/>
        <v>0</v>
      </c>
      <c r="Z22" s="1241">
        <f t="shared" si="6"/>
        <v>2463087</v>
      </c>
      <c r="AA22" s="1241"/>
    </row>
    <row r="23" spans="1:27" s="1221" customFormat="1" ht="18" customHeight="1" x14ac:dyDescent="0.25">
      <c r="A23" s="1236">
        <v>2</v>
      </c>
      <c r="B23" s="1238" t="s">
        <v>2299</v>
      </c>
      <c r="C23" s="1224">
        <f t="shared" ref="C23:Q23" si="7">SUM(C24:C27)</f>
        <v>11868866465</v>
      </c>
      <c r="D23" s="1224">
        <f t="shared" si="7"/>
        <v>734414479</v>
      </c>
      <c r="E23" s="1224">
        <f t="shared" si="7"/>
        <v>11134451986</v>
      </c>
      <c r="F23" s="1224">
        <f t="shared" si="7"/>
        <v>0</v>
      </c>
      <c r="G23" s="1224">
        <f t="shared" si="7"/>
        <v>0</v>
      </c>
      <c r="H23" s="1224">
        <f t="shared" si="7"/>
        <v>60038524138</v>
      </c>
      <c r="I23" s="1224">
        <f t="shared" si="7"/>
        <v>59736183000</v>
      </c>
      <c r="J23" s="1224">
        <f t="shared" si="7"/>
        <v>302341138</v>
      </c>
      <c r="K23" s="1224">
        <f t="shared" si="7"/>
        <v>71907390603</v>
      </c>
      <c r="L23" s="1224">
        <f t="shared" si="7"/>
        <v>71605049465</v>
      </c>
      <c r="M23" s="1241">
        <f t="shared" si="5"/>
        <v>302341138</v>
      </c>
      <c r="N23" s="1224">
        <f t="shared" si="7"/>
        <v>62255661801</v>
      </c>
      <c r="O23" s="1224">
        <f t="shared" si="7"/>
        <v>11134451986</v>
      </c>
      <c r="P23" s="1224">
        <f t="shared" si="7"/>
        <v>51121209815</v>
      </c>
      <c r="Q23" s="1224">
        <f t="shared" si="7"/>
        <v>0</v>
      </c>
      <c r="R23" s="1224">
        <f>SUM(R24:R27)</f>
        <v>299878051</v>
      </c>
      <c r="S23" s="1224">
        <f t="shared" ref="S23:AA23" si="8">SUM(S24:S27)</f>
        <v>2000</v>
      </c>
      <c r="T23" s="1224">
        <f t="shared" si="8"/>
        <v>2000</v>
      </c>
      <c r="U23" s="1224">
        <f t="shared" si="8"/>
        <v>0</v>
      </c>
      <c r="V23" s="1224">
        <f t="shared" si="8"/>
        <v>9351848751</v>
      </c>
      <c r="W23" s="1224">
        <f t="shared" si="8"/>
        <v>734412479</v>
      </c>
      <c r="X23" s="1224">
        <f t="shared" si="8"/>
        <v>1273698863</v>
      </c>
      <c r="Y23" s="1224">
        <f t="shared" si="8"/>
        <v>7341274322</v>
      </c>
      <c r="Z23" s="1224">
        <f t="shared" si="8"/>
        <v>2463087</v>
      </c>
      <c r="AA23" s="1224">
        <f t="shared" si="8"/>
        <v>0</v>
      </c>
    </row>
    <row r="24" spans="1:27" s="1242" customFormat="1" ht="18" customHeight="1" x14ac:dyDescent="0.25">
      <c r="A24" s="1239" t="s">
        <v>882</v>
      </c>
      <c r="B24" s="1240" t="s">
        <v>341</v>
      </c>
      <c r="C24" s="1241">
        <f>D24+E24+F24+G24</f>
        <v>11868866465</v>
      </c>
      <c r="D24" s="1241">
        <v>734414479</v>
      </c>
      <c r="E24" s="1241">
        <v>11134451986</v>
      </c>
      <c r="F24" s="1241"/>
      <c r="G24" s="1241"/>
      <c r="H24" s="1241">
        <f>SUM(I24:J24)</f>
        <v>50911183000</v>
      </c>
      <c r="I24" s="1241">
        <v>50911183000</v>
      </c>
      <c r="J24" s="1241"/>
      <c r="K24" s="1241">
        <f>SUM(L24:M24)</f>
        <v>62780049465</v>
      </c>
      <c r="L24" s="1241">
        <f>D24+E24+I24</f>
        <v>62780049465</v>
      </c>
      <c r="M24" s="1241">
        <f t="shared" si="5"/>
        <v>0</v>
      </c>
      <c r="N24" s="1241">
        <f>SUM(O24:P24)</f>
        <v>57119410179</v>
      </c>
      <c r="O24" s="1241">
        <v>11134451986</v>
      </c>
      <c r="P24" s="1241">
        <v>45984958193</v>
      </c>
      <c r="Q24" s="1241"/>
      <c r="R24" s="1241"/>
      <c r="S24" s="1241">
        <f>T24+U24</f>
        <v>2000</v>
      </c>
      <c r="T24" s="1241">
        <f>0.002*1000000</f>
        <v>2000</v>
      </c>
      <c r="U24" s="1241"/>
      <c r="V24" s="1241">
        <f>W24+X24+Y24+Z24+AA24</f>
        <v>5660637286</v>
      </c>
      <c r="W24" s="1241">
        <f>D24+E24-O24-T24</f>
        <v>734412479</v>
      </c>
      <c r="X24" s="1241">
        <f>I24-P24-Y24</f>
        <v>1072765220</v>
      </c>
      <c r="Y24" s="1241">
        <v>3853459587</v>
      </c>
      <c r="Z24" s="1241"/>
      <c r="AA24" s="1241"/>
    </row>
    <row r="25" spans="1:27" s="1242" customFormat="1" ht="18" customHeight="1" x14ac:dyDescent="0.25">
      <c r="A25" s="1239" t="s">
        <v>882</v>
      </c>
      <c r="B25" s="1240" t="s">
        <v>2298</v>
      </c>
      <c r="C25" s="1241">
        <f>D25+E25+F25+G25</f>
        <v>0</v>
      </c>
      <c r="D25" s="1241"/>
      <c r="E25" s="1241"/>
      <c r="F25" s="1241"/>
      <c r="G25" s="1241"/>
      <c r="H25" s="1241">
        <f>SUM(I25:J25)</f>
        <v>8825000000</v>
      </c>
      <c r="I25" s="1241">
        <v>8825000000</v>
      </c>
      <c r="J25" s="1241"/>
      <c r="K25" s="1241">
        <f>SUM(L25:M25)</f>
        <v>8825000000</v>
      </c>
      <c r="L25" s="1241">
        <f t="shared" si="4"/>
        <v>8825000000</v>
      </c>
      <c r="M25" s="1241">
        <f t="shared" si="5"/>
        <v>0</v>
      </c>
      <c r="N25" s="1241">
        <f>SUM(O25:P25)</f>
        <v>5136251622</v>
      </c>
      <c r="O25" s="1241"/>
      <c r="P25" s="1241">
        <v>5136251622</v>
      </c>
      <c r="Q25" s="1241"/>
      <c r="R25" s="1241"/>
      <c r="S25" s="1241">
        <f t="shared" ref="S25:S47" si="9">T25+U25</f>
        <v>0</v>
      </c>
      <c r="T25" s="1241"/>
      <c r="U25" s="1241"/>
      <c r="V25" s="1241">
        <f>W25+X25+Y25+Z25+AA25</f>
        <v>3688748378</v>
      </c>
      <c r="W25" s="1241">
        <f t="shared" ref="W25:W65" si="10">D25+E25-O25-T25</f>
        <v>0</v>
      </c>
      <c r="X25" s="1241">
        <f>I25-P25-Y25</f>
        <v>200933643</v>
      </c>
      <c r="Y25" s="1241">
        <v>3487814735</v>
      </c>
      <c r="Z25" s="1241"/>
      <c r="AA25" s="1241"/>
    </row>
    <row r="26" spans="1:27" s="1242" customFormat="1" ht="18" customHeight="1" x14ac:dyDescent="0.25">
      <c r="A26" s="1239"/>
      <c r="B26" s="1240" t="s">
        <v>1719</v>
      </c>
      <c r="C26" s="1241"/>
      <c r="D26" s="1241"/>
      <c r="E26" s="1241"/>
      <c r="F26" s="1241"/>
      <c r="G26" s="1241"/>
      <c r="H26" s="1241">
        <f>SUM(I26:J26)</f>
        <v>302341138</v>
      </c>
      <c r="I26" s="1241"/>
      <c r="J26" s="1241">
        <v>302341138</v>
      </c>
      <c r="K26" s="1241">
        <f>SUM(L26:M26)</f>
        <v>302341138</v>
      </c>
      <c r="L26" s="1241">
        <f t="shared" si="4"/>
        <v>0</v>
      </c>
      <c r="M26" s="1241">
        <f t="shared" si="5"/>
        <v>302341138</v>
      </c>
      <c r="N26" s="1241">
        <f>SUM(O26:P26)</f>
        <v>0</v>
      </c>
      <c r="O26" s="1241"/>
      <c r="P26" s="1241"/>
      <c r="Q26" s="1241"/>
      <c r="R26" s="1241">
        <v>299878051</v>
      </c>
      <c r="S26" s="1241">
        <f t="shared" si="9"/>
        <v>0</v>
      </c>
      <c r="T26" s="1241"/>
      <c r="U26" s="1241"/>
      <c r="V26" s="1241">
        <f>W26+X26+Y26+Z26+AA26</f>
        <v>2463087</v>
      </c>
      <c r="W26" s="1241">
        <f t="shared" si="10"/>
        <v>0</v>
      </c>
      <c r="X26" s="1241">
        <f t="shared" ref="X26:X66" si="11">I26-P26-Y26</f>
        <v>0</v>
      </c>
      <c r="Y26" s="1241"/>
      <c r="Z26" s="1241">
        <f>H26-R26</f>
        <v>2463087</v>
      </c>
      <c r="AA26" s="1241"/>
    </row>
    <row r="27" spans="1:27" s="1231" customFormat="1" ht="18" hidden="1" customHeight="1" x14ac:dyDescent="0.25">
      <c r="A27" s="1239" t="s">
        <v>882</v>
      </c>
      <c r="B27" s="1240" t="s">
        <v>129</v>
      </c>
      <c r="C27" s="1243">
        <f t="shared" ref="C27:C47" si="12">D27+E27+F27+G27</f>
        <v>0</v>
      </c>
      <c r="D27" s="1243"/>
      <c r="E27" s="1243"/>
      <c r="F27" s="1243"/>
      <c r="G27" s="1243"/>
      <c r="H27" s="1243">
        <f t="shared" ref="H27:H47" si="13">SUM(I27:J27)</f>
        <v>0</v>
      </c>
      <c r="I27" s="1243"/>
      <c r="J27" s="1243"/>
      <c r="K27" s="1243">
        <f t="shared" ref="K27:K47" si="14">SUM(L27:M27)</f>
        <v>0</v>
      </c>
      <c r="L27" s="1241">
        <f t="shared" si="4"/>
        <v>0</v>
      </c>
      <c r="M27" s="1241">
        <f t="shared" si="5"/>
        <v>0</v>
      </c>
      <c r="N27" s="1241">
        <f>SUM(O27:P27)</f>
        <v>0</v>
      </c>
      <c r="O27" s="1243"/>
      <c r="P27" s="1243"/>
      <c r="Q27" s="1243"/>
      <c r="R27" s="1243"/>
      <c r="S27" s="1244">
        <f t="shared" si="9"/>
        <v>0</v>
      </c>
      <c r="T27" s="1243"/>
      <c r="U27" s="1243"/>
      <c r="V27" s="1244">
        <f t="shared" ref="V27:V47" si="15">W27+X27+Y27+Z27+AA27</f>
        <v>0</v>
      </c>
      <c r="W27" s="1241">
        <f t="shared" si="10"/>
        <v>0</v>
      </c>
      <c r="X27" s="1241">
        <f t="shared" si="11"/>
        <v>0</v>
      </c>
      <c r="Y27" s="1243"/>
      <c r="Z27" s="1243"/>
      <c r="AA27" s="1243"/>
    </row>
    <row r="28" spans="1:27" s="1221" customFormat="1" ht="18" customHeight="1" x14ac:dyDescent="0.25">
      <c r="A28" s="1236">
        <v>3</v>
      </c>
      <c r="B28" s="1237" t="s">
        <v>805</v>
      </c>
      <c r="C28" s="1224">
        <f t="shared" ref="C28:H28" si="16">SUM(C29:C31)</f>
        <v>1864530000</v>
      </c>
      <c r="D28" s="1224">
        <f t="shared" si="16"/>
        <v>0</v>
      </c>
      <c r="E28" s="1224">
        <f t="shared" si="16"/>
        <v>0</v>
      </c>
      <c r="F28" s="1224">
        <f t="shared" si="16"/>
        <v>1864530000</v>
      </c>
      <c r="G28" s="1224">
        <f t="shared" si="16"/>
        <v>0</v>
      </c>
      <c r="H28" s="1224">
        <f t="shared" si="16"/>
        <v>4524000000</v>
      </c>
      <c r="I28" s="1224">
        <f t="shared" ref="I28:AA28" si="17">SUM(I29:I31)</f>
        <v>0</v>
      </c>
      <c r="J28" s="1224">
        <f t="shared" si="17"/>
        <v>4524000000</v>
      </c>
      <c r="K28" s="1224">
        <f t="shared" si="17"/>
        <v>4524000000</v>
      </c>
      <c r="L28" s="1224">
        <f t="shared" si="17"/>
        <v>0</v>
      </c>
      <c r="M28" s="1224">
        <f t="shared" si="17"/>
        <v>4524000000</v>
      </c>
      <c r="N28" s="1224">
        <f t="shared" si="17"/>
        <v>3898959213</v>
      </c>
      <c r="O28" s="1224">
        <f t="shared" si="17"/>
        <v>0</v>
      </c>
      <c r="P28" s="1224">
        <f t="shared" si="17"/>
        <v>0</v>
      </c>
      <c r="Q28" s="1224">
        <f t="shared" si="17"/>
        <v>0</v>
      </c>
      <c r="R28" s="1224">
        <f t="shared" si="17"/>
        <v>3898959213</v>
      </c>
      <c r="S28" s="1224">
        <f t="shared" si="17"/>
        <v>1864530000</v>
      </c>
      <c r="T28" s="1224">
        <f t="shared" si="17"/>
        <v>0</v>
      </c>
      <c r="U28" s="1224">
        <f t="shared" si="17"/>
        <v>1864530000</v>
      </c>
      <c r="V28" s="1224">
        <f t="shared" si="17"/>
        <v>625040787</v>
      </c>
      <c r="W28" s="1241">
        <f t="shared" si="10"/>
        <v>0</v>
      </c>
      <c r="X28" s="1241">
        <f t="shared" si="11"/>
        <v>0</v>
      </c>
      <c r="Y28" s="1224">
        <f t="shared" si="17"/>
        <v>0</v>
      </c>
      <c r="Z28" s="1224">
        <f t="shared" si="17"/>
        <v>625040787</v>
      </c>
      <c r="AA28" s="1224">
        <f t="shared" si="17"/>
        <v>0</v>
      </c>
    </row>
    <row r="29" spans="1:27" s="1242" customFormat="1" ht="18" customHeight="1" x14ac:dyDescent="0.25">
      <c r="A29" s="1239" t="s">
        <v>882</v>
      </c>
      <c r="B29" s="1240" t="s">
        <v>341</v>
      </c>
      <c r="C29" s="1241">
        <f t="shared" si="12"/>
        <v>1864530000</v>
      </c>
      <c r="D29" s="1241"/>
      <c r="E29" s="1241"/>
      <c r="F29" s="1241">
        <v>1864530000</v>
      </c>
      <c r="G29" s="1241"/>
      <c r="H29" s="1241">
        <f>SUM(I29:J29)</f>
        <v>4524000000</v>
      </c>
      <c r="I29" s="1241"/>
      <c r="J29" s="1241">
        <v>4524000000</v>
      </c>
      <c r="K29" s="1241">
        <f>SUM(L29:M29)</f>
        <v>4524000000</v>
      </c>
      <c r="L29" s="1241">
        <f t="shared" si="4"/>
        <v>0</v>
      </c>
      <c r="M29" s="1241">
        <f>G29+J29</f>
        <v>4524000000</v>
      </c>
      <c r="N29" s="1241">
        <f>SUM(O29:R29)</f>
        <v>3898959213</v>
      </c>
      <c r="O29" s="1241"/>
      <c r="P29" s="1241"/>
      <c r="Q29" s="1241"/>
      <c r="R29" s="1241">
        <v>3898959213</v>
      </c>
      <c r="S29" s="1241">
        <f t="shared" si="9"/>
        <v>1864530000</v>
      </c>
      <c r="T29" s="1241"/>
      <c r="U29" s="1241">
        <f>F29</f>
        <v>1864530000</v>
      </c>
      <c r="V29" s="1241">
        <f>W29+X29+Y29+Z29+AA29</f>
        <v>625040787</v>
      </c>
      <c r="W29" s="1241">
        <f t="shared" si="10"/>
        <v>0</v>
      </c>
      <c r="X29" s="1241">
        <f t="shared" si="11"/>
        <v>0</v>
      </c>
      <c r="Y29" s="1241"/>
      <c r="Z29" s="1241">
        <f>J29-N29</f>
        <v>625040787</v>
      </c>
      <c r="AA29" s="1241"/>
    </row>
    <row r="30" spans="1:27" s="1231" customFormat="1" ht="18" hidden="1" customHeight="1" x14ac:dyDescent="0.25">
      <c r="A30" s="1239" t="s">
        <v>882</v>
      </c>
      <c r="B30" s="1240" t="s">
        <v>2298</v>
      </c>
      <c r="C30" s="1243">
        <f t="shared" si="12"/>
        <v>0</v>
      </c>
      <c r="D30" s="1243"/>
      <c r="E30" s="1243"/>
      <c r="F30" s="1243"/>
      <c r="G30" s="1243"/>
      <c r="H30" s="1243">
        <f t="shared" si="13"/>
        <v>0</v>
      </c>
      <c r="I30" s="1243"/>
      <c r="J30" s="1243"/>
      <c r="K30" s="1243">
        <f t="shared" si="14"/>
        <v>0</v>
      </c>
      <c r="L30" s="1241">
        <f t="shared" si="4"/>
        <v>0</v>
      </c>
      <c r="M30" s="1241">
        <f>G30+J30</f>
        <v>0</v>
      </c>
      <c r="N30" s="1241">
        <f>SUM(O30:R30)</f>
        <v>0</v>
      </c>
      <c r="O30" s="1243"/>
      <c r="P30" s="1243"/>
      <c r="Q30" s="1243"/>
      <c r="R30" s="1243"/>
      <c r="S30" s="1244">
        <f t="shared" si="9"/>
        <v>0</v>
      </c>
      <c r="T30" s="1243"/>
      <c r="U30" s="1243"/>
      <c r="V30" s="1244">
        <f t="shared" si="15"/>
        <v>0</v>
      </c>
      <c r="W30" s="1241">
        <f t="shared" si="10"/>
        <v>0</v>
      </c>
      <c r="X30" s="1241">
        <f t="shared" si="11"/>
        <v>0</v>
      </c>
      <c r="Y30" s="1243"/>
      <c r="Z30" s="1241">
        <f>J30-N30</f>
        <v>0</v>
      </c>
      <c r="AA30" s="1243"/>
    </row>
    <row r="31" spans="1:27" s="1231" customFormat="1" ht="18" hidden="1" customHeight="1" x14ac:dyDescent="0.25">
      <c r="A31" s="1239" t="s">
        <v>882</v>
      </c>
      <c r="B31" s="1240" t="s">
        <v>1719</v>
      </c>
      <c r="C31" s="1243">
        <f t="shared" si="12"/>
        <v>0</v>
      </c>
      <c r="D31" s="1243"/>
      <c r="E31" s="1243"/>
      <c r="F31" s="1243"/>
      <c r="G31" s="1243"/>
      <c r="H31" s="1243">
        <f t="shared" si="13"/>
        <v>0</v>
      </c>
      <c r="I31" s="1243"/>
      <c r="J31" s="1243"/>
      <c r="K31" s="1243">
        <f t="shared" si="14"/>
        <v>0</v>
      </c>
      <c r="L31" s="1241">
        <f t="shared" si="4"/>
        <v>0</v>
      </c>
      <c r="M31" s="1241">
        <f>G31+J31</f>
        <v>0</v>
      </c>
      <c r="N31" s="1241">
        <f>SUM(O31:R31)</f>
        <v>0</v>
      </c>
      <c r="O31" s="1243"/>
      <c r="P31" s="1243"/>
      <c r="Q31" s="1243"/>
      <c r="R31" s="1243"/>
      <c r="S31" s="1244">
        <f t="shared" si="9"/>
        <v>0</v>
      </c>
      <c r="T31" s="1243"/>
      <c r="U31" s="1243"/>
      <c r="V31" s="1244">
        <f t="shared" si="15"/>
        <v>0</v>
      </c>
      <c r="W31" s="1241">
        <f t="shared" si="10"/>
        <v>0</v>
      </c>
      <c r="X31" s="1241">
        <f t="shared" si="11"/>
        <v>0</v>
      </c>
      <c r="Y31" s="1243"/>
      <c r="Z31" s="1241">
        <f>J31-N31</f>
        <v>0</v>
      </c>
      <c r="AA31" s="1243"/>
    </row>
    <row r="32" spans="1:27" s="1231" customFormat="1" ht="18" customHeight="1" x14ac:dyDescent="0.25">
      <c r="A32" s="1245">
        <v>4</v>
      </c>
      <c r="B32" s="1246" t="s">
        <v>804</v>
      </c>
      <c r="C32" s="1243">
        <f t="shared" ref="C32:Q32" si="18">SUM(C33:C35)</f>
        <v>0</v>
      </c>
      <c r="D32" s="1243">
        <f t="shared" si="18"/>
        <v>0</v>
      </c>
      <c r="E32" s="1243">
        <f t="shared" si="18"/>
        <v>0</v>
      </c>
      <c r="F32" s="1243">
        <f t="shared" si="18"/>
        <v>0</v>
      </c>
      <c r="G32" s="1243">
        <f t="shared" si="18"/>
        <v>0</v>
      </c>
      <c r="H32" s="1243">
        <f t="shared" si="18"/>
        <v>1010000000</v>
      </c>
      <c r="I32" s="1243">
        <f t="shared" si="18"/>
        <v>0</v>
      </c>
      <c r="J32" s="1243">
        <f t="shared" si="18"/>
        <v>1010000000</v>
      </c>
      <c r="K32" s="1243">
        <f t="shared" si="18"/>
        <v>1010000000</v>
      </c>
      <c r="L32" s="1243">
        <f t="shared" si="18"/>
        <v>0</v>
      </c>
      <c r="M32" s="1243">
        <f t="shared" si="18"/>
        <v>1010000000</v>
      </c>
      <c r="N32" s="1243">
        <f t="shared" si="18"/>
        <v>1008269507</v>
      </c>
      <c r="O32" s="1243">
        <f t="shared" si="18"/>
        <v>0</v>
      </c>
      <c r="P32" s="1243">
        <f t="shared" si="18"/>
        <v>0</v>
      </c>
      <c r="Q32" s="1243">
        <f t="shared" si="18"/>
        <v>0</v>
      </c>
      <c r="R32" s="1243">
        <f>SUM(R33:R35)</f>
        <v>1008269507</v>
      </c>
      <c r="S32" s="1243">
        <f t="shared" ref="S32:AA32" si="19">SUM(S33:S35)</f>
        <v>0</v>
      </c>
      <c r="T32" s="1243">
        <f t="shared" si="19"/>
        <v>0</v>
      </c>
      <c r="U32" s="1243">
        <f t="shared" si="19"/>
        <v>0</v>
      </c>
      <c r="V32" s="1243">
        <f t="shared" si="19"/>
        <v>1730493</v>
      </c>
      <c r="W32" s="1241">
        <f t="shared" si="10"/>
        <v>0</v>
      </c>
      <c r="X32" s="1241">
        <f t="shared" si="11"/>
        <v>0</v>
      </c>
      <c r="Y32" s="1243">
        <f t="shared" si="19"/>
        <v>0</v>
      </c>
      <c r="Z32" s="1243">
        <f t="shared" si="19"/>
        <v>1730493</v>
      </c>
      <c r="AA32" s="1243">
        <f t="shared" si="19"/>
        <v>0</v>
      </c>
    </row>
    <row r="33" spans="1:27" s="1242" customFormat="1" ht="18" customHeight="1" x14ac:dyDescent="0.25">
      <c r="A33" s="1239" t="s">
        <v>882</v>
      </c>
      <c r="B33" s="1240" t="s">
        <v>341</v>
      </c>
      <c r="C33" s="1241">
        <f t="shared" si="12"/>
        <v>0</v>
      </c>
      <c r="D33" s="1241"/>
      <c r="E33" s="1241"/>
      <c r="F33" s="1241"/>
      <c r="G33" s="1241"/>
      <c r="H33" s="1241">
        <f>SUM(I33:J33)</f>
        <v>1010000000</v>
      </c>
      <c r="I33" s="1241"/>
      <c r="J33" s="1241">
        <v>1010000000</v>
      </c>
      <c r="K33" s="1241">
        <f t="shared" si="14"/>
        <v>1010000000</v>
      </c>
      <c r="L33" s="1241">
        <f t="shared" si="4"/>
        <v>0</v>
      </c>
      <c r="M33" s="1241">
        <f>G33+J33</f>
        <v>1010000000</v>
      </c>
      <c r="N33" s="1241">
        <f>SUM(O33:R33)</f>
        <v>1008269507</v>
      </c>
      <c r="O33" s="1241"/>
      <c r="P33" s="1241"/>
      <c r="Q33" s="1241"/>
      <c r="R33" s="1241">
        <v>1008269507</v>
      </c>
      <c r="S33" s="1244">
        <f t="shared" si="9"/>
        <v>0</v>
      </c>
      <c r="T33" s="1241"/>
      <c r="U33" s="1241"/>
      <c r="V33" s="1244">
        <f>W33+X33+Y33+Z33+AA33</f>
        <v>1730493</v>
      </c>
      <c r="W33" s="1241">
        <f t="shared" si="10"/>
        <v>0</v>
      </c>
      <c r="X33" s="1241">
        <f t="shared" si="11"/>
        <v>0</v>
      </c>
      <c r="Y33" s="1241"/>
      <c r="Z33" s="1241">
        <f>J33-N33</f>
        <v>1730493</v>
      </c>
      <c r="AA33" s="1241"/>
    </row>
    <row r="34" spans="1:27" s="1231" customFormat="1" ht="18" hidden="1" customHeight="1" x14ac:dyDescent="0.25">
      <c r="A34" s="1239" t="s">
        <v>882</v>
      </c>
      <c r="B34" s="1240" t="s">
        <v>2298</v>
      </c>
      <c r="C34" s="1243">
        <f t="shared" si="12"/>
        <v>0</v>
      </c>
      <c r="D34" s="1243"/>
      <c r="E34" s="1243"/>
      <c r="F34" s="1243"/>
      <c r="G34" s="1243"/>
      <c r="H34" s="1243">
        <f t="shared" si="13"/>
        <v>0</v>
      </c>
      <c r="I34" s="1243"/>
      <c r="J34" s="1243"/>
      <c r="K34" s="1243">
        <f t="shared" si="14"/>
        <v>0</v>
      </c>
      <c r="L34" s="1241">
        <f t="shared" si="4"/>
        <v>0</v>
      </c>
      <c r="M34" s="1241">
        <f>G34+J34</f>
        <v>0</v>
      </c>
      <c r="N34" s="1244"/>
      <c r="O34" s="1243"/>
      <c r="P34" s="1243"/>
      <c r="Q34" s="1243"/>
      <c r="R34" s="1243"/>
      <c r="S34" s="1244">
        <f t="shared" si="9"/>
        <v>0</v>
      </c>
      <c r="T34" s="1243"/>
      <c r="U34" s="1243"/>
      <c r="V34" s="1244">
        <f t="shared" si="15"/>
        <v>0</v>
      </c>
      <c r="W34" s="1241">
        <f t="shared" si="10"/>
        <v>0</v>
      </c>
      <c r="X34" s="1241">
        <f t="shared" si="11"/>
        <v>0</v>
      </c>
      <c r="Y34" s="1243"/>
      <c r="Z34" s="1243"/>
      <c r="AA34" s="1243"/>
    </row>
    <row r="35" spans="1:27" s="1231" customFormat="1" ht="18" hidden="1" customHeight="1" x14ac:dyDescent="0.25">
      <c r="A35" s="1239" t="s">
        <v>882</v>
      </c>
      <c r="B35" s="1240" t="s">
        <v>1719</v>
      </c>
      <c r="C35" s="1243">
        <f t="shared" si="12"/>
        <v>0</v>
      </c>
      <c r="D35" s="1243"/>
      <c r="E35" s="1243"/>
      <c r="F35" s="1243"/>
      <c r="G35" s="1243"/>
      <c r="H35" s="1243">
        <f t="shared" si="13"/>
        <v>0</v>
      </c>
      <c r="I35" s="1243"/>
      <c r="J35" s="1243"/>
      <c r="K35" s="1243">
        <f t="shared" si="14"/>
        <v>0</v>
      </c>
      <c r="L35" s="1241">
        <f t="shared" si="4"/>
        <v>0</v>
      </c>
      <c r="M35" s="1241">
        <f>G35+J35</f>
        <v>0</v>
      </c>
      <c r="N35" s="1244"/>
      <c r="O35" s="1243"/>
      <c r="P35" s="1243"/>
      <c r="Q35" s="1243"/>
      <c r="R35" s="1243"/>
      <c r="S35" s="1244">
        <f t="shared" si="9"/>
        <v>0</v>
      </c>
      <c r="T35" s="1243"/>
      <c r="U35" s="1243"/>
      <c r="V35" s="1244">
        <f t="shared" si="15"/>
        <v>0</v>
      </c>
      <c r="W35" s="1241">
        <f t="shared" si="10"/>
        <v>0</v>
      </c>
      <c r="X35" s="1241">
        <f t="shared" si="11"/>
        <v>0</v>
      </c>
      <c r="Y35" s="1243"/>
      <c r="Z35" s="1243"/>
      <c r="AA35" s="1243"/>
    </row>
    <row r="36" spans="1:27" s="1231" customFormat="1" ht="18" customHeight="1" x14ac:dyDescent="0.25">
      <c r="A36" s="1239">
        <v>5</v>
      </c>
      <c r="B36" s="1247" t="s">
        <v>2300</v>
      </c>
      <c r="C36" s="1243">
        <f t="shared" ref="C36:H36" si="20">SUM(C37:C39)</f>
        <v>3116000</v>
      </c>
      <c r="D36" s="1243">
        <f t="shared" si="20"/>
        <v>0</v>
      </c>
      <c r="E36" s="1243">
        <f t="shared" si="20"/>
        <v>0</v>
      </c>
      <c r="F36" s="1243">
        <f t="shared" si="20"/>
        <v>3116000</v>
      </c>
      <c r="G36" s="1243">
        <f t="shared" si="20"/>
        <v>0</v>
      </c>
      <c r="H36" s="1243">
        <f t="shared" si="20"/>
        <v>200000000</v>
      </c>
      <c r="I36" s="1243">
        <f t="shared" ref="I36:AA36" si="21">SUM(I37:I39)</f>
        <v>0</v>
      </c>
      <c r="J36" s="1243">
        <f t="shared" si="21"/>
        <v>200000000</v>
      </c>
      <c r="K36" s="1243">
        <f t="shared" si="21"/>
        <v>200000000</v>
      </c>
      <c r="L36" s="1243">
        <f t="shared" si="21"/>
        <v>0</v>
      </c>
      <c r="M36" s="1243">
        <f t="shared" si="21"/>
        <v>200000000</v>
      </c>
      <c r="N36" s="1243">
        <f t="shared" si="21"/>
        <v>184600000</v>
      </c>
      <c r="O36" s="1243">
        <f t="shared" si="21"/>
        <v>0</v>
      </c>
      <c r="P36" s="1243">
        <f t="shared" si="21"/>
        <v>0</v>
      </c>
      <c r="Q36" s="1243">
        <f t="shared" si="21"/>
        <v>0</v>
      </c>
      <c r="R36" s="1243">
        <f t="shared" si="21"/>
        <v>184600000</v>
      </c>
      <c r="S36" s="1243">
        <f t="shared" si="21"/>
        <v>3116000</v>
      </c>
      <c r="T36" s="1243">
        <f t="shared" si="21"/>
        <v>0</v>
      </c>
      <c r="U36" s="1243">
        <f t="shared" si="21"/>
        <v>3116000</v>
      </c>
      <c r="V36" s="1243">
        <f t="shared" si="21"/>
        <v>15400000</v>
      </c>
      <c r="W36" s="1241">
        <f t="shared" si="10"/>
        <v>0</v>
      </c>
      <c r="X36" s="1241">
        <f t="shared" si="11"/>
        <v>0</v>
      </c>
      <c r="Y36" s="1243">
        <f t="shared" si="21"/>
        <v>0</v>
      </c>
      <c r="Z36" s="1243">
        <f t="shared" si="21"/>
        <v>15400000</v>
      </c>
      <c r="AA36" s="1243">
        <f t="shared" si="21"/>
        <v>0</v>
      </c>
    </row>
    <row r="37" spans="1:27" s="1242" customFormat="1" ht="18" customHeight="1" x14ac:dyDescent="0.25">
      <c r="A37" s="1239"/>
      <c r="B37" s="1240" t="s">
        <v>341</v>
      </c>
      <c r="C37" s="1241">
        <f t="shared" si="12"/>
        <v>3116000</v>
      </c>
      <c r="D37" s="1241"/>
      <c r="E37" s="1241"/>
      <c r="F37" s="1241">
        <v>3116000</v>
      </c>
      <c r="G37" s="1241"/>
      <c r="H37" s="1241">
        <f t="shared" si="13"/>
        <v>200000000</v>
      </c>
      <c r="I37" s="1241"/>
      <c r="J37" s="1241">
        <v>200000000</v>
      </c>
      <c r="K37" s="1241">
        <f t="shared" si="14"/>
        <v>200000000</v>
      </c>
      <c r="L37" s="1241">
        <f t="shared" si="4"/>
        <v>0</v>
      </c>
      <c r="M37" s="1241">
        <f>G37+J37</f>
        <v>200000000</v>
      </c>
      <c r="N37" s="1244">
        <f>SUM(O37:R37)</f>
        <v>184600000</v>
      </c>
      <c r="O37" s="1241"/>
      <c r="P37" s="1241"/>
      <c r="Q37" s="1241"/>
      <c r="R37" s="1241">
        <v>184600000</v>
      </c>
      <c r="S37" s="1244">
        <f t="shared" si="9"/>
        <v>3116000</v>
      </c>
      <c r="T37" s="1241"/>
      <c r="U37" s="1241">
        <v>3116000</v>
      </c>
      <c r="V37" s="1244">
        <f t="shared" si="15"/>
        <v>15400000</v>
      </c>
      <c r="W37" s="1241">
        <f t="shared" si="10"/>
        <v>0</v>
      </c>
      <c r="X37" s="1241">
        <f t="shared" si="11"/>
        <v>0</v>
      </c>
      <c r="Y37" s="1241"/>
      <c r="Z37" s="1241">
        <f>K37-N37</f>
        <v>15400000</v>
      </c>
      <c r="AA37" s="1241"/>
    </row>
    <row r="38" spans="1:27" s="1231" customFormat="1" ht="18" hidden="1" customHeight="1" x14ac:dyDescent="0.25">
      <c r="A38" s="1239"/>
      <c r="B38" s="1240" t="s">
        <v>2298</v>
      </c>
      <c r="C38" s="1243">
        <f t="shared" si="12"/>
        <v>0</v>
      </c>
      <c r="D38" s="1243"/>
      <c r="E38" s="1243"/>
      <c r="F38" s="1243"/>
      <c r="G38" s="1243"/>
      <c r="H38" s="1243">
        <f t="shared" si="13"/>
        <v>0</v>
      </c>
      <c r="I38" s="1243"/>
      <c r="J38" s="1243"/>
      <c r="K38" s="1243">
        <f t="shared" si="14"/>
        <v>0</v>
      </c>
      <c r="L38" s="1241">
        <f t="shared" si="4"/>
        <v>0</v>
      </c>
      <c r="M38" s="1241">
        <f>G38+J38</f>
        <v>0</v>
      </c>
      <c r="N38" s="1244">
        <f>SUM(O38:R38)</f>
        <v>0</v>
      </c>
      <c r="O38" s="1243"/>
      <c r="P38" s="1243"/>
      <c r="Q38" s="1243"/>
      <c r="R38" s="1243"/>
      <c r="S38" s="1244">
        <f t="shared" si="9"/>
        <v>0</v>
      </c>
      <c r="T38" s="1243"/>
      <c r="U38" s="1243"/>
      <c r="V38" s="1244">
        <f t="shared" si="15"/>
        <v>0</v>
      </c>
      <c r="W38" s="1241">
        <f t="shared" si="10"/>
        <v>0</v>
      </c>
      <c r="X38" s="1241">
        <f t="shared" si="11"/>
        <v>0</v>
      </c>
      <c r="Y38" s="1243"/>
      <c r="Z38" s="1243"/>
      <c r="AA38" s="1243"/>
    </row>
    <row r="39" spans="1:27" s="1231" customFormat="1" ht="18" hidden="1" customHeight="1" x14ac:dyDescent="0.25">
      <c r="A39" s="1239"/>
      <c r="B39" s="1240" t="s">
        <v>1719</v>
      </c>
      <c r="C39" s="1243">
        <f t="shared" si="12"/>
        <v>0</v>
      </c>
      <c r="D39" s="1243"/>
      <c r="E39" s="1243"/>
      <c r="F39" s="1243"/>
      <c r="G39" s="1243"/>
      <c r="H39" s="1243">
        <f t="shared" si="13"/>
        <v>0</v>
      </c>
      <c r="I39" s="1243"/>
      <c r="J39" s="1243"/>
      <c r="K39" s="1243">
        <f t="shared" si="14"/>
        <v>0</v>
      </c>
      <c r="L39" s="1241">
        <f t="shared" si="4"/>
        <v>0</v>
      </c>
      <c r="M39" s="1241">
        <f>G39+J39</f>
        <v>0</v>
      </c>
      <c r="N39" s="1244">
        <f>SUM(O39:R39)</f>
        <v>0</v>
      </c>
      <c r="O39" s="1243"/>
      <c r="P39" s="1243"/>
      <c r="Q39" s="1243"/>
      <c r="R39" s="1243"/>
      <c r="S39" s="1244">
        <f t="shared" si="9"/>
        <v>0</v>
      </c>
      <c r="T39" s="1243"/>
      <c r="U39" s="1243"/>
      <c r="V39" s="1244">
        <f t="shared" si="15"/>
        <v>0</v>
      </c>
      <c r="W39" s="1241">
        <f t="shared" si="10"/>
        <v>0</v>
      </c>
      <c r="X39" s="1241">
        <f t="shared" si="11"/>
        <v>0</v>
      </c>
      <c r="Y39" s="1243"/>
      <c r="Z39" s="1243"/>
      <c r="AA39" s="1243"/>
    </row>
    <row r="40" spans="1:27" s="1221" customFormat="1" ht="18" customHeight="1" x14ac:dyDescent="0.25">
      <c r="A40" s="1248">
        <v>6</v>
      </c>
      <c r="B40" s="1247" t="s">
        <v>2301</v>
      </c>
      <c r="C40" s="1224">
        <f t="shared" ref="C40:H40" si="22">SUM(C41:C43)</f>
        <v>0</v>
      </c>
      <c r="D40" s="1224">
        <f t="shared" si="22"/>
        <v>0</v>
      </c>
      <c r="E40" s="1224">
        <f t="shared" si="22"/>
        <v>0</v>
      </c>
      <c r="F40" s="1224">
        <f t="shared" si="22"/>
        <v>0</v>
      </c>
      <c r="G40" s="1224">
        <f t="shared" si="22"/>
        <v>0</v>
      </c>
      <c r="H40" s="1224">
        <f t="shared" si="22"/>
        <v>8000000</v>
      </c>
      <c r="I40" s="1224">
        <f t="shared" ref="I40:AA40" si="23">SUM(I41:I43)</f>
        <v>0</v>
      </c>
      <c r="J40" s="1224">
        <f t="shared" si="23"/>
        <v>8000000</v>
      </c>
      <c r="K40" s="1224">
        <f t="shared" si="23"/>
        <v>8000000</v>
      </c>
      <c r="L40" s="1224">
        <f t="shared" si="23"/>
        <v>0</v>
      </c>
      <c r="M40" s="1224">
        <f t="shared" si="23"/>
        <v>8000000</v>
      </c>
      <c r="N40" s="1224">
        <f t="shared" si="23"/>
        <v>8000000</v>
      </c>
      <c r="O40" s="1224">
        <f t="shared" si="23"/>
        <v>0</v>
      </c>
      <c r="P40" s="1224">
        <f t="shared" si="23"/>
        <v>0</v>
      </c>
      <c r="Q40" s="1224">
        <f t="shared" si="23"/>
        <v>0</v>
      </c>
      <c r="R40" s="1224">
        <f t="shared" si="23"/>
        <v>8000000</v>
      </c>
      <c r="S40" s="1224">
        <f t="shared" si="23"/>
        <v>0</v>
      </c>
      <c r="T40" s="1224">
        <f t="shared" si="23"/>
        <v>0</v>
      </c>
      <c r="U40" s="1224">
        <f t="shared" si="23"/>
        <v>0</v>
      </c>
      <c r="V40" s="1224">
        <f t="shared" si="23"/>
        <v>0</v>
      </c>
      <c r="W40" s="1241">
        <f t="shared" si="10"/>
        <v>0</v>
      </c>
      <c r="X40" s="1241">
        <f t="shared" si="11"/>
        <v>0</v>
      </c>
      <c r="Y40" s="1224">
        <f t="shared" si="23"/>
        <v>0</v>
      </c>
      <c r="Z40" s="1224">
        <f t="shared" si="23"/>
        <v>0</v>
      </c>
      <c r="AA40" s="1224">
        <f t="shared" si="23"/>
        <v>0</v>
      </c>
    </row>
    <row r="41" spans="1:27" s="1249" customFormat="1" ht="18" customHeight="1" x14ac:dyDescent="0.25">
      <c r="A41" s="1248"/>
      <c r="B41" s="1240" t="s">
        <v>341</v>
      </c>
      <c r="C41" s="1244">
        <f t="shared" si="12"/>
        <v>0</v>
      </c>
      <c r="D41" s="1244"/>
      <c r="E41" s="1244"/>
      <c r="F41" s="1244"/>
      <c r="G41" s="1244"/>
      <c r="H41" s="1244">
        <f t="shared" si="13"/>
        <v>8000000</v>
      </c>
      <c r="I41" s="1244"/>
      <c r="J41" s="1244">
        <v>8000000</v>
      </c>
      <c r="K41" s="1244">
        <f t="shared" si="14"/>
        <v>8000000</v>
      </c>
      <c r="L41" s="1241">
        <f t="shared" si="4"/>
        <v>0</v>
      </c>
      <c r="M41" s="1241">
        <f>G41+J41</f>
        <v>8000000</v>
      </c>
      <c r="N41" s="1244">
        <f t="shared" ref="N41:N47" si="24">SUM(O41:R41)</f>
        <v>8000000</v>
      </c>
      <c r="O41" s="1244"/>
      <c r="P41" s="1244"/>
      <c r="Q41" s="1244"/>
      <c r="R41" s="1244">
        <v>8000000</v>
      </c>
      <c r="S41" s="1244">
        <f t="shared" si="9"/>
        <v>0</v>
      </c>
      <c r="T41" s="1244"/>
      <c r="U41" s="1244"/>
      <c r="V41" s="1244">
        <f t="shared" si="15"/>
        <v>0</v>
      </c>
      <c r="W41" s="1241">
        <f t="shared" si="10"/>
        <v>0</v>
      </c>
      <c r="X41" s="1241">
        <f t="shared" si="11"/>
        <v>0</v>
      </c>
      <c r="Y41" s="1244"/>
      <c r="Z41" s="1244"/>
      <c r="AA41" s="1244"/>
    </row>
    <row r="42" spans="1:27" s="1231" customFormat="1" ht="18" hidden="1" customHeight="1" x14ac:dyDescent="0.25">
      <c r="A42" s="1239"/>
      <c r="B42" s="1240" t="s">
        <v>2298</v>
      </c>
      <c r="C42" s="1243">
        <f t="shared" si="12"/>
        <v>0</v>
      </c>
      <c r="D42" s="1243"/>
      <c r="E42" s="1243"/>
      <c r="F42" s="1243"/>
      <c r="G42" s="1243"/>
      <c r="H42" s="1243">
        <f t="shared" si="13"/>
        <v>0</v>
      </c>
      <c r="I42" s="1243"/>
      <c r="J42" s="1243"/>
      <c r="K42" s="1243">
        <f t="shared" si="14"/>
        <v>0</v>
      </c>
      <c r="L42" s="1241">
        <f t="shared" si="4"/>
        <v>0</v>
      </c>
      <c r="M42" s="1241">
        <f>G42+J42</f>
        <v>0</v>
      </c>
      <c r="N42" s="1244">
        <f t="shared" si="24"/>
        <v>0</v>
      </c>
      <c r="O42" s="1243"/>
      <c r="P42" s="1243"/>
      <c r="Q42" s="1243"/>
      <c r="R42" s="1243"/>
      <c r="S42" s="1244">
        <f t="shared" si="9"/>
        <v>0</v>
      </c>
      <c r="T42" s="1243"/>
      <c r="U42" s="1243"/>
      <c r="V42" s="1244">
        <f t="shared" si="15"/>
        <v>0</v>
      </c>
      <c r="W42" s="1241">
        <f t="shared" si="10"/>
        <v>0</v>
      </c>
      <c r="X42" s="1241">
        <f t="shared" si="11"/>
        <v>0</v>
      </c>
      <c r="Y42" s="1243"/>
      <c r="Z42" s="1243"/>
      <c r="AA42" s="1243"/>
    </row>
    <row r="43" spans="1:27" s="1231" customFormat="1" ht="18" hidden="1" customHeight="1" x14ac:dyDescent="0.25">
      <c r="A43" s="1239"/>
      <c r="B43" s="1240" t="s">
        <v>1719</v>
      </c>
      <c r="C43" s="1243">
        <f t="shared" si="12"/>
        <v>0</v>
      </c>
      <c r="D43" s="1243"/>
      <c r="E43" s="1243"/>
      <c r="F43" s="1243"/>
      <c r="G43" s="1243"/>
      <c r="H43" s="1243">
        <f t="shared" si="13"/>
        <v>0</v>
      </c>
      <c r="I43" s="1243"/>
      <c r="J43" s="1243"/>
      <c r="K43" s="1243">
        <f t="shared" si="14"/>
        <v>0</v>
      </c>
      <c r="L43" s="1241">
        <f t="shared" si="4"/>
        <v>0</v>
      </c>
      <c r="M43" s="1241">
        <f>G43+J43</f>
        <v>0</v>
      </c>
      <c r="N43" s="1244">
        <f t="shared" si="24"/>
        <v>0</v>
      </c>
      <c r="O43" s="1243"/>
      <c r="P43" s="1243"/>
      <c r="Q43" s="1243"/>
      <c r="R43" s="1243"/>
      <c r="S43" s="1244">
        <f t="shared" si="9"/>
        <v>0</v>
      </c>
      <c r="T43" s="1243"/>
      <c r="U43" s="1243"/>
      <c r="V43" s="1244">
        <f t="shared" si="15"/>
        <v>0</v>
      </c>
      <c r="W43" s="1241">
        <f t="shared" si="10"/>
        <v>0</v>
      </c>
      <c r="X43" s="1241">
        <f t="shared" si="11"/>
        <v>0</v>
      </c>
      <c r="Y43" s="1243"/>
      <c r="Z43" s="1243"/>
      <c r="AA43" s="1243"/>
    </row>
    <row r="44" spans="1:27" s="1231" customFormat="1" ht="18" customHeight="1" x14ac:dyDescent="0.25">
      <c r="A44" s="1239">
        <v>7</v>
      </c>
      <c r="B44" s="1247" t="s">
        <v>2302</v>
      </c>
      <c r="C44" s="1243">
        <f t="shared" ref="C44:AA44" si="25">SUM(C45:C47)</f>
        <v>1834000</v>
      </c>
      <c r="D44" s="1243">
        <f t="shared" si="25"/>
        <v>0</v>
      </c>
      <c r="E44" s="1243">
        <f t="shared" si="25"/>
        <v>0</v>
      </c>
      <c r="F44" s="1243">
        <f t="shared" si="25"/>
        <v>1834000</v>
      </c>
      <c r="G44" s="1243">
        <f t="shared" si="25"/>
        <v>0</v>
      </c>
      <c r="H44" s="1243">
        <f t="shared" si="25"/>
        <v>115000000</v>
      </c>
      <c r="I44" s="1243">
        <f t="shared" si="25"/>
        <v>0</v>
      </c>
      <c r="J44" s="1243">
        <f t="shared" si="25"/>
        <v>115000000</v>
      </c>
      <c r="K44" s="1243">
        <f t="shared" si="25"/>
        <v>115000000</v>
      </c>
      <c r="L44" s="1243">
        <f t="shared" si="25"/>
        <v>0</v>
      </c>
      <c r="M44" s="1243">
        <f t="shared" si="25"/>
        <v>115000000</v>
      </c>
      <c r="N44" s="1243">
        <f t="shared" si="25"/>
        <v>115000000</v>
      </c>
      <c r="O44" s="1243">
        <f t="shared" si="25"/>
        <v>0</v>
      </c>
      <c r="P44" s="1243">
        <f t="shared" si="25"/>
        <v>0</v>
      </c>
      <c r="Q44" s="1243">
        <f t="shared" si="25"/>
        <v>0</v>
      </c>
      <c r="R44" s="1243">
        <f t="shared" si="25"/>
        <v>115000000</v>
      </c>
      <c r="S44" s="1243">
        <f t="shared" si="25"/>
        <v>1834000</v>
      </c>
      <c r="T44" s="1243">
        <f t="shared" si="25"/>
        <v>0</v>
      </c>
      <c r="U44" s="1243">
        <f t="shared" si="25"/>
        <v>1834000</v>
      </c>
      <c r="V44" s="1243">
        <f t="shared" si="25"/>
        <v>0</v>
      </c>
      <c r="W44" s="1241">
        <f t="shared" si="10"/>
        <v>0</v>
      </c>
      <c r="X44" s="1241">
        <f t="shared" si="11"/>
        <v>0</v>
      </c>
      <c r="Y44" s="1243">
        <f t="shared" si="25"/>
        <v>0</v>
      </c>
      <c r="Z44" s="1243">
        <f t="shared" si="25"/>
        <v>0</v>
      </c>
      <c r="AA44" s="1243">
        <f t="shared" si="25"/>
        <v>0</v>
      </c>
    </row>
    <row r="45" spans="1:27" s="1242" customFormat="1" ht="18" customHeight="1" x14ac:dyDescent="0.25">
      <c r="A45" s="1239"/>
      <c r="B45" s="1240" t="s">
        <v>341</v>
      </c>
      <c r="C45" s="1241">
        <f t="shared" si="12"/>
        <v>1834000</v>
      </c>
      <c r="D45" s="1241"/>
      <c r="E45" s="1241"/>
      <c r="F45" s="1241">
        <v>1834000</v>
      </c>
      <c r="G45" s="1241"/>
      <c r="H45" s="1241">
        <f t="shared" si="13"/>
        <v>115000000</v>
      </c>
      <c r="I45" s="1241"/>
      <c r="J45" s="1241">
        <v>115000000</v>
      </c>
      <c r="K45" s="1241">
        <f t="shared" si="14"/>
        <v>115000000</v>
      </c>
      <c r="L45" s="1241">
        <f t="shared" si="4"/>
        <v>0</v>
      </c>
      <c r="M45" s="1241">
        <f>G45+J45</f>
        <v>115000000</v>
      </c>
      <c r="N45" s="1244">
        <f t="shared" si="24"/>
        <v>115000000</v>
      </c>
      <c r="O45" s="1241"/>
      <c r="P45" s="1241"/>
      <c r="Q45" s="1241"/>
      <c r="R45" s="1241">
        <v>115000000</v>
      </c>
      <c r="S45" s="1244">
        <f t="shared" si="9"/>
        <v>1834000</v>
      </c>
      <c r="T45" s="1241"/>
      <c r="U45" s="1241">
        <v>1834000</v>
      </c>
      <c r="V45" s="1244">
        <f t="shared" si="15"/>
        <v>0</v>
      </c>
      <c r="W45" s="1241">
        <f t="shared" si="10"/>
        <v>0</v>
      </c>
      <c r="X45" s="1241">
        <f t="shared" si="11"/>
        <v>0</v>
      </c>
      <c r="Y45" s="1241"/>
      <c r="Z45" s="1241"/>
      <c r="AA45" s="1241"/>
    </row>
    <row r="46" spans="1:27" s="1231" customFormat="1" ht="18" hidden="1" customHeight="1" x14ac:dyDescent="0.25">
      <c r="A46" s="1239"/>
      <c r="B46" s="1240" t="s">
        <v>2298</v>
      </c>
      <c r="C46" s="1243">
        <f t="shared" si="12"/>
        <v>0</v>
      </c>
      <c r="D46" s="1243"/>
      <c r="E46" s="1243"/>
      <c r="F46" s="1243"/>
      <c r="G46" s="1243"/>
      <c r="H46" s="1243">
        <f t="shared" si="13"/>
        <v>0</v>
      </c>
      <c r="I46" s="1243"/>
      <c r="J46" s="1243"/>
      <c r="K46" s="1243">
        <f t="shared" si="14"/>
        <v>0</v>
      </c>
      <c r="L46" s="1241">
        <f t="shared" si="4"/>
        <v>0</v>
      </c>
      <c r="M46" s="1241">
        <f>G46+J46</f>
        <v>0</v>
      </c>
      <c r="N46" s="1244">
        <f t="shared" si="24"/>
        <v>0</v>
      </c>
      <c r="O46" s="1243"/>
      <c r="P46" s="1243"/>
      <c r="Q46" s="1243"/>
      <c r="R46" s="1243"/>
      <c r="S46" s="1244">
        <f t="shared" si="9"/>
        <v>0</v>
      </c>
      <c r="T46" s="1243"/>
      <c r="U46" s="1243"/>
      <c r="V46" s="1244">
        <f t="shared" si="15"/>
        <v>0</v>
      </c>
      <c r="W46" s="1241">
        <f t="shared" si="10"/>
        <v>0</v>
      </c>
      <c r="X46" s="1241">
        <f t="shared" si="11"/>
        <v>0</v>
      </c>
      <c r="Y46" s="1243"/>
      <c r="Z46" s="1243"/>
      <c r="AA46" s="1243"/>
    </row>
    <row r="47" spans="1:27" s="1231" customFormat="1" ht="18" hidden="1" customHeight="1" x14ac:dyDescent="0.25">
      <c r="A47" s="1239"/>
      <c r="B47" s="1240" t="s">
        <v>1719</v>
      </c>
      <c r="C47" s="1243">
        <f t="shared" si="12"/>
        <v>0</v>
      </c>
      <c r="D47" s="1243"/>
      <c r="E47" s="1243"/>
      <c r="F47" s="1243"/>
      <c r="G47" s="1243"/>
      <c r="H47" s="1243">
        <f t="shared" si="13"/>
        <v>0</v>
      </c>
      <c r="I47" s="1243"/>
      <c r="J47" s="1243"/>
      <c r="K47" s="1243">
        <f t="shared" si="14"/>
        <v>0</v>
      </c>
      <c r="L47" s="1241">
        <f t="shared" si="4"/>
        <v>0</v>
      </c>
      <c r="M47" s="1241">
        <f>G47+J47</f>
        <v>0</v>
      </c>
      <c r="N47" s="1244">
        <f t="shared" si="24"/>
        <v>0</v>
      </c>
      <c r="O47" s="1243"/>
      <c r="P47" s="1243"/>
      <c r="Q47" s="1243"/>
      <c r="R47" s="1243"/>
      <c r="S47" s="1244">
        <f t="shared" si="9"/>
        <v>0</v>
      </c>
      <c r="T47" s="1243"/>
      <c r="U47" s="1243"/>
      <c r="V47" s="1244">
        <f t="shared" si="15"/>
        <v>0</v>
      </c>
      <c r="W47" s="1241">
        <f t="shared" si="10"/>
        <v>0</v>
      </c>
      <c r="X47" s="1241">
        <f t="shared" si="11"/>
        <v>0</v>
      </c>
      <c r="Y47" s="1243"/>
      <c r="Z47" s="1243"/>
      <c r="AA47" s="1243"/>
    </row>
    <row r="48" spans="1:27" s="1231" customFormat="1" ht="18" customHeight="1" x14ac:dyDescent="0.25">
      <c r="A48" s="1239">
        <v>8</v>
      </c>
      <c r="B48" s="1247" t="s">
        <v>2303</v>
      </c>
      <c r="C48" s="1243">
        <f>SUM(C49:C51)</f>
        <v>29941000</v>
      </c>
      <c r="D48" s="1243">
        <f t="shared" ref="D48:AA48" si="26">SUM(D49:D51)</f>
        <v>0</v>
      </c>
      <c r="E48" s="1243">
        <f t="shared" si="26"/>
        <v>0</v>
      </c>
      <c r="F48" s="1243">
        <f t="shared" si="26"/>
        <v>29941000</v>
      </c>
      <c r="G48" s="1243">
        <f t="shared" si="26"/>
        <v>0</v>
      </c>
      <c r="H48" s="1243">
        <f t="shared" si="26"/>
        <v>195000000</v>
      </c>
      <c r="I48" s="1243">
        <f t="shared" si="26"/>
        <v>0</v>
      </c>
      <c r="J48" s="1243">
        <f t="shared" si="26"/>
        <v>195000000</v>
      </c>
      <c r="K48" s="1243">
        <f t="shared" si="26"/>
        <v>195000000</v>
      </c>
      <c r="L48" s="1243">
        <f t="shared" si="26"/>
        <v>0</v>
      </c>
      <c r="M48" s="1243">
        <f t="shared" si="26"/>
        <v>195000000</v>
      </c>
      <c r="N48" s="1243">
        <f t="shared" si="26"/>
        <v>193800000</v>
      </c>
      <c r="O48" s="1243">
        <f t="shared" si="26"/>
        <v>0</v>
      </c>
      <c r="P48" s="1243">
        <f t="shared" si="26"/>
        <v>0</v>
      </c>
      <c r="Q48" s="1243">
        <f t="shared" si="26"/>
        <v>0</v>
      </c>
      <c r="R48" s="1243">
        <f t="shared" si="26"/>
        <v>193800000</v>
      </c>
      <c r="S48" s="1243">
        <f t="shared" si="26"/>
        <v>29941000</v>
      </c>
      <c r="T48" s="1243">
        <f t="shared" si="26"/>
        <v>0</v>
      </c>
      <c r="U48" s="1243">
        <f t="shared" si="26"/>
        <v>29941000</v>
      </c>
      <c r="V48" s="1243">
        <f t="shared" si="26"/>
        <v>1200000</v>
      </c>
      <c r="W48" s="1241">
        <f t="shared" si="10"/>
        <v>0</v>
      </c>
      <c r="X48" s="1241">
        <f t="shared" si="11"/>
        <v>0</v>
      </c>
      <c r="Y48" s="1243">
        <f t="shared" si="26"/>
        <v>0</v>
      </c>
      <c r="Z48" s="1243">
        <f t="shared" si="26"/>
        <v>1200000</v>
      </c>
      <c r="AA48" s="1243">
        <f t="shared" si="26"/>
        <v>0</v>
      </c>
    </row>
    <row r="49" spans="1:28" s="1242" customFormat="1" ht="18" customHeight="1" x14ac:dyDescent="0.25">
      <c r="A49" s="1239"/>
      <c r="B49" s="1240" t="s">
        <v>341</v>
      </c>
      <c r="C49" s="1241">
        <f t="shared" ref="C49:C72" si="27">D49+E49+F49+G49</f>
        <v>29941000</v>
      </c>
      <c r="D49" s="1241"/>
      <c r="E49" s="1241"/>
      <c r="F49" s="1241">
        <v>29941000</v>
      </c>
      <c r="G49" s="1241"/>
      <c r="H49" s="1241">
        <f t="shared" ref="H49:H72" si="28">SUM(I49:J49)</f>
        <v>195000000</v>
      </c>
      <c r="I49" s="1241"/>
      <c r="J49" s="1241">
        <f>180000000+15000000</f>
        <v>195000000</v>
      </c>
      <c r="K49" s="1241">
        <f>SUM(L49:M49)</f>
        <v>195000000</v>
      </c>
      <c r="L49" s="1241">
        <f t="shared" si="4"/>
        <v>0</v>
      </c>
      <c r="M49" s="1241">
        <f>G49+J49</f>
        <v>195000000</v>
      </c>
      <c r="N49" s="1241">
        <f>SUM(O49:R49)</f>
        <v>193800000</v>
      </c>
      <c r="O49" s="1241"/>
      <c r="P49" s="1241"/>
      <c r="Q49" s="1241"/>
      <c r="R49" s="1241">
        <f>180000000+13800000</f>
        <v>193800000</v>
      </c>
      <c r="S49" s="1241">
        <f t="shared" ref="S49:S59" si="29">T49+U49</f>
        <v>29941000</v>
      </c>
      <c r="T49" s="1241"/>
      <c r="U49" s="1241">
        <v>29941000</v>
      </c>
      <c r="V49" s="1241">
        <f t="shared" ref="V49:V59" si="30">W49+X49+Y49+Z49+AA49</f>
        <v>1200000</v>
      </c>
      <c r="W49" s="1241">
        <f t="shared" si="10"/>
        <v>0</v>
      </c>
      <c r="X49" s="1241">
        <f t="shared" si="11"/>
        <v>0</v>
      </c>
      <c r="Y49" s="1241"/>
      <c r="Z49" s="1241">
        <f>K49-N49</f>
        <v>1200000</v>
      </c>
      <c r="AA49" s="1241"/>
    </row>
    <row r="50" spans="1:28" s="1231" customFormat="1" ht="18" hidden="1" customHeight="1" x14ac:dyDescent="0.25">
      <c r="A50" s="1239"/>
      <c r="B50" s="1240" t="s">
        <v>2298</v>
      </c>
      <c r="C50" s="1243">
        <f t="shared" si="27"/>
        <v>0</v>
      </c>
      <c r="D50" s="1243"/>
      <c r="E50" s="1243"/>
      <c r="F50" s="1243"/>
      <c r="G50" s="1243"/>
      <c r="H50" s="1243">
        <f t="shared" si="28"/>
        <v>0</v>
      </c>
      <c r="I50" s="1243"/>
      <c r="J50" s="1243"/>
      <c r="K50" s="1243">
        <f>SUM(L50:M50)</f>
        <v>0</v>
      </c>
      <c r="L50" s="1241">
        <f t="shared" si="4"/>
        <v>0</v>
      </c>
      <c r="M50" s="1241">
        <f>G50+J50</f>
        <v>0</v>
      </c>
      <c r="N50" s="1244">
        <f>SUM(O50:R50)</f>
        <v>0</v>
      </c>
      <c r="O50" s="1243"/>
      <c r="P50" s="1243"/>
      <c r="Q50" s="1243"/>
      <c r="R50" s="1243"/>
      <c r="S50" s="1244">
        <f t="shared" si="29"/>
        <v>0</v>
      </c>
      <c r="T50" s="1243"/>
      <c r="U50" s="1243"/>
      <c r="V50" s="1244">
        <f t="shared" si="30"/>
        <v>0</v>
      </c>
      <c r="W50" s="1241">
        <f t="shared" si="10"/>
        <v>0</v>
      </c>
      <c r="X50" s="1241">
        <f t="shared" si="11"/>
        <v>0</v>
      </c>
      <c r="Y50" s="1243"/>
      <c r="Z50" s="1243"/>
      <c r="AA50" s="1243"/>
    </row>
    <row r="51" spans="1:28" s="1231" customFormat="1" ht="18" hidden="1" customHeight="1" x14ac:dyDescent="0.25">
      <c r="A51" s="1239"/>
      <c r="B51" s="1240" t="s">
        <v>1719</v>
      </c>
      <c r="C51" s="1243">
        <f t="shared" si="27"/>
        <v>0</v>
      </c>
      <c r="D51" s="1243"/>
      <c r="E51" s="1243"/>
      <c r="F51" s="1243"/>
      <c r="G51" s="1243"/>
      <c r="H51" s="1243">
        <f t="shared" si="28"/>
        <v>0</v>
      </c>
      <c r="I51" s="1243"/>
      <c r="J51" s="1243"/>
      <c r="K51" s="1243">
        <f>SUM(L51:M51)</f>
        <v>0</v>
      </c>
      <c r="L51" s="1241">
        <f t="shared" si="4"/>
        <v>0</v>
      </c>
      <c r="M51" s="1241">
        <f>G51+J51</f>
        <v>0</v>
      </c>
      <c r="N51" s="1244">
        <f>SUM(O51:R51)</f>
        <v>0</v>
      </c>
      <c r="O51" s="1243"/>
      <c r="P51" s="1243"/>
      <c r="Q51" s="1243"/>
      <c r="R51" s="1243"/>
      <c r="S51" s="1244">
        <f t="shared" si="29"/>
        <v>0</v>
      </c>
      <c r="T51" s="1243"/>
      <c r="U51" s="1243"/>
      <c r="V51" s="1244">
        <f t="shared" si="30"/>
        <v>0</v>
      </c>
      <c r="W51" s="1241">
        <f t="shared" si="10"/>
        <v>0</v>
      </c>
      <c r="X51" s="1241">
        <f t="shared" si="11"/>
        <v>0</v>
      </c>
      <c r="Y51" s="1243"/>
      <c r="Z51" s="1243"/>
      <c r="AA51" s="1243"/>
    </row>
    <row r="52" spans="1:28" s="1231" customFormat="1" ht="18" customHeight="1" x14ac:dyDescent="0.25">
      <c r="A52" s="1239">
        <v>9</v>
      </c>
      <c r="B52" s="1247" t="s">
        <v>2304</v>
      </c>
      <c r="C52" s="1243">
        <f t="shared" ref="C52:J52" si="31">SUM(C53:C55)</f>
        <v>0</v>
      </c>
      <c r="D52" s="1243">
        <f t="shared" si="31"/>
        <v>0</v>
      </c>
      <c r="E52" s="1243">
        <f t="shared" si="31"/>
        <v>0</v>
      </c>
      <c r="F52" s="1243">
        <f t="shared" si="31"/>
        <v>0</v>
      </c>
      <c r="G52" s="1243">
        <f t="shared" si="31"/>
        <v>0</v>
      </c>
      <c r="H52" s="1243">
        <f t="shared" si="31"/>
        <v>1000000000</v>
      </c>
      <c r="I52" s="1243">
        <f t="shared" si="31"/>
        <v>0</v>
      </c>
      <c r="J52" s="1243">
        <f t="shared" si="31"/>
        <v>1000000000</v>
      </c>
      <c r="K52" s="1243">
        <f>SUM(K53:K55)</f>
        <v>1000000000</v>
      </c>
      <c r="L52" s="1241">
        <f t="shared" si="4"/>
        <v>0</v>
      </c>
      <c r="M52" s="1241">
        <f>F52+J52</f>
        <v>1000000000</v>
      </c>
      <c r="N52" s="1243">
        <f>SUM(N53:N55)</f>
        <v>987516000</v>
      </c>
      <c r="O52" s="1243">
        <f t="shared" ref="O52:AA52" si="32">SUM(O53:O55)</f>
        <v>0</v>
      </c>
      <c r="P52" s="1243">
        <f t="shared" si="32"/>
        <v>0</v>
      </c>
      <c r="Q52" s="1243">
        <f t="shared" si="32"/>
        <v>0</v>
      </c>
      <c r="R52" s="1243">
        <f t="shared" si="32"/>
        <v>987516000</v>
      </c>
      <c r="S52" s="1243">
        <f t="shared" si="32"/>
        <v>0</v>
      </c>
      <c r="T52" s="1243">
        <f t="shared" si="32"/>
        <v>0</v>
      </c>
      <c r="U52" s="1243">
        <f t="shared" si="32"/>
        <v>0</v>
      </c>
      <c r="V52" s="1243">
        <f t="shared" si="32"/>
        <v>12484000</v>
      </c>
      <c r="W52" s="1241">
        <f t="shared" si="10"/>
        <v>0</v>
      </c>
      <c r="X52" s="1241">
        <f t="shared" si="11"/>
        <v>0</v>
      </c>
      <c r="Y52" s="1243">
        <f t="shared" si="32"/>
        <v>0</v>
      </c>
      <c r="Z52" s="1243">
        <f t="shared" si="32"/>
        <v>12484000</v>
      </c>
      <c r="AA52" s="1243">
        <f t="shared" si="32"/>
        <v>0</v>
      </c>
    </row>
    <row r="53" spans="1:28" s="1242" customFormat="1" ht="18" customHeight="1" x14ac:dyDescent="0.25">
      <c r="A53" s="1239"/>
      <c r="B53" s="1240" t="s">
        <v>341</v>
      </c>
      <c r="C53" s="1241">
        <f t="shared" si="27"/>
        <v>0</v>
      </c>
      <c r="D53" s="1241"/>
      <c r="E53" s="1241"/>
      <c r="F53" s="1241"/>
      <c r="G53" s="1241"/>
      <c r="H53" s="1241">
        <f t="shared" si="28"/>
        <v>1000000000</v>
      </c>
      <c r="I53" s="1241"/>
      <c r="J53" s="1241">
        <v>1000000000</v>
      </c>
      <c r="K53" s="1241">
        <f>SUM(L53:M53)</f>
        <v>1000000000</v>
      </c>
      <c r="L53" s="1241">
        <f t="shared" si="4"/>
        <v>0</v>
      </c>
      <c r="M53" s="1241">
        <f>G53+J53</f>
        <v>1000000000</v>
      </c>
      <c r="N53" s="1241">
        <f t="shared" ref="N53:N59" si="33">SUM(O53:R53)</f>
        <v>987516000</v>
      </c>
      <c r="O53" s="1241"/>
      <c r="P53" s="1241"/>
      <c r="Q53" s="1241"/>
      <c r="R53" s="1241">
        <v>987516000</v>
      </c>
      <c r="S53" s="1241">
        <f t="shared" si="29"/>
        <v>0</v>
      </c>
      <c r="T53" s="1241"/>
      <c r="U53" s="1241"/>
      <c r="V53" s="1241">
        <f t="shared" si="30"/>
        <v>12484000</v>
      </c>
      <c r="W53" s="1241">
        <f t="shared" si="10"/>
        <v>0</v>
      </c>
      <c r="X53" s="1241">
        <f t="shared" si="11"/>
        <v>0</v>
      </c>
      <c r="Y53" s="1241"/>
      <c r="Z53" s="1241">
        <f>K53-R53</f>
        <v>12484000</v>
      </c>
      <c r="AA53" s="1241"/>
    </row>
    <row r="54" spans="1:28" s="1231" customFormat="1" ht="18" hidden="1" customHeight="1" x14ac:dyDescent="0.25">
      <c r="A54" s="1239"/>
      <c r="B54" s="1240" t="s">
        <v>2298</v>
      </c>
      <c r="C54" s="1243">
        <f t="shared" si="27"/>
        <v>0</v>
      </c>
      <c r="D54" s="1243"/>
      <c r="E54" s="1243"/>
      <c r="F54" s="1243"/>
      <c r="G54" s="1243"/>
      <c r="H54" s="1243">
        <f t="shared" si="28"/>
        <v>0</v>
      </c>
      <c r="I54" s="1243"/>
      <c r="J54" s="1243"/>
      <c r="K54" s="1243">
        <f>SUM(L54:M54)</f>
        <v>0</v>
      </c>
      <c r="L54" s="1241">
        <f t="shared" si="4"/>
        <v>0</v>
      </c>
      <c r="M54" s="1241">
        <f>G54+J54</f>
        <v>0</v>
      </c>
      <c r="N54" s="1244">
        <f t="shared" si="33"/>
        <v>0</v>
      </c>
      <c r="O54" s="1243"/>
      <c r="P54" s="1243"/>
      <c r="Q54" s="1243"/>
      <c r="R54" s="1243"/>
      <c r="S54" s="1244">
        <f t="shared" si="29"/>
        <v>0</v>
      </c>
      <c r="T54" s="1243"/>
      <c r="U54" s="1243"/>
      <c r="V54" s="1244">
        <f t="shared" si="30"/>
        <v>0</v>
      </c>
      <c r="W54" s="1241">
        <f t="shared" si="10"/>
        <v>0</v>
      </c>
      <c r="X54" s="1241">
        <f t="shared" si="11"/>
        <v>0</v>
      </c>
      <c r="Y54" s="1243"/>
      <c r="Z54" s="1243"/>
      <c r="AA54" s="1243"/>
    </row>
    <row r="55" spans="1:28" s="1231" customFormat="1" ht="18" hidden="1" customHeight="1" x14ac:dyDescent="0.25">
      <c r="A55" s="1239"/>
      <c r="B55" s="1240" t="s">
        <v>1719</v>
      </c>
      <c r="C55" s="1243">
        <f t="shared" si="27"/>
        <v>0</v>
      </c>
      <c r="D55" s="1243"/>
      <c r="E55" s="1243"/>
      <c r="F55" s="1243"/>
      <c r="G55" s="1243"/>
      <c r="H55" s="1243">
        <f t="shared" si="28"/>
        <v>0</v>
      </c>
      <c r="I55" s="1243"/>
      <c r="J55" s="1243"/>
      <c r="K55" s="1243">
        <f>SUM(L55:M55)</f>
        <v>0</v>
      </c>
      <c r="L55" s="1241">
        <f t="shared" si="4"/>
        <v>0</v>
      </c>
      <c r="M55" s="1241">
        <f>G55+J55</f>
        <v>0</v>
      </c>
      <c r="N55" s="1244">
        <f t="shared" si="33"/>
        <v>0</v>
      </c>
      <c r="O55" s="1243"/>
      <c r="P55" s="1243"/>
      <c r="Q55" s="1243"/>
      <c r="R55" s="1243"/>
      <c r="S55" s="1244">
        <f t="shared" si="29"/>
        <v>0</v>
      </c>
      <c r="T55" s="1243"/>
      <c r="U55" s="1243"/>
      <c r="V55" s="1244">
        <f t="shared" si="30"/>
        <v>0</v>
      </c>
      <c r="W55" s="1241">
        <f t="shared" si="10"/>
        <v>0</v>
      </c>
      <c r="X55" s="1241">
        <f t="shared" si="11"/>
        <v>0</v>
      </c>
      <c r="Y55" s="1243"/>
      <c r="Z55" s="1243"/>
      <c r="AA55" s="1243"/>
    </row>
    <row r="56" spans="1:28" s="1231" customFormat="1" ht="18" customHeight="1" x14ac:dyDescent="0.25">
      <c r="A56" s="1239">
        <v>10</v>
      </c>
      <c r="B56" s="1247" t="s">
        <v>2305</v>
      </c>
      <c r="C56" s="1243">
        <f t="shared" si="27"/>
        <v>0</v>
      </c>
      <c r="D56" s="1243"/>
      <c r="E56" s="1243"/>
      <c r="F56" s="1243"/>
      <c r="G56" s="1243"/>
      <c r="H56" s="1243">
        <f t="shared" si="28"/>
        <v>7914003696</v>
      </c>
      <c r="I56" s="1243"/>
      <c r="J56" s="1244">
        <f>SUM(K56:N56)</f>
        <v>7914003696</v>
      </c>
      <c r="K56" s="1244">
        <f>SUM(L56:O56)</f>
        <v>3957001848</v>
      </c>
      <c r="L56" s="1244">
        <f>SUM(M56:P56)</f>
        <v>1978500924</v>
      </c>
      <c r="M56" s="1244">
        <f>SUM(N56:Q56)</f>
        <v>989250462</v>
      </c>
      <c r="N56" s="1244">
        <f t="shared" si="33"/>
        <v>989250462</v>
      </c>
      <c r="O56" s="1243"/>
      <c r="P56" s="1243"/>
      <c r="Q56" s="1243"/>
      <c r="R56" s="1243">
        <f>R57+R58+R59</f>
        <v>989250462</v>
      </c>
      <c r="S56" s="1243">
        <f t="shared" ref="S56:AA56" si="34">S57+S58+S59</f>
        <v>0</v>
      </c>
      <c r="T56" s="1243">
        <f t="shared" si="34"/>
        <v>0</v>
      </c>
      <c r="U56" s="1243">
        <f t="shared" si="34"/>
        <v>0</v>
      </c>
      <c r="V56" s="1243">
        <f t="shared" si="34"/>
        <v>10749538</v>
      </c>
      <c r="W56" s="1241">
        <f t="shared" si="10"/>
        <v>0</v>
      </c>
      <c r="X56" s="1241">
        <f t="shared" si="11"/>
        <v>0</v>
      </c>
      <c r="Y56" s="1243">
        <f t="shared" si="34"/>
        <v>0</v>
      </c>
      <c r="Z56" s="1243">
        <f t="shared" si="34"/>
        <v>10749538</v>
      </c>
      <c r="AA56" s="1243">
        <f t="shared" si="34"/>
        <v>0</v>
      </c>
    </row>
    <row r="57" spans="1:28" s="1231" customFormat="1" ht="18" customHeight="1" x14ac:dyDescent="0.25">
      <c r="A57" s="1239"/>
      <c r="B57" s="1240" t="s">
        <v>341</v>
      </c>
      <c r="C57" s="1243">
        <f t="shared" si="27"/>
        <v>0</v>
      </c>
      <c r="D57" s="1243"/>
      <c r="E57" s="1243"/>
      <c r="F57" s="1243"/>
      <c r="G57" s="1243"/>
      <c r="H57" s="1243">
        <f t="shared" si="28"/>
        <v>1000000000</v>
      </c>
      <c r="I57" s="1243"/>
      <c r="J57" s="1243">
        <v>1000000000</v>
      </c>
      <c r="K57" s="1243">
        <f>SUM(L57:M57)</f>
        <v>1000000000</v>
      </c>
      <c r="L57" s="1241">
        <f t="shared" si="4"/>
        <v>0</v>
      </c>
      <c r="M57" s="1241">
        <f>G57+J57</f>
        <v>1000000000</v>
      </c>
      <c r="N57" s="1244">
        <f t="shared" si="33"/>
        <v>989250462</v>
      </c>
      <c r="O57" s="1243"/>
      <c r="P57" s="1243"/>
      <c r="Q57" s="1243"/>
      <c r="R57" s="1243">
        <v>989250462</v>
      </c>
      <c r="S57" s="1244">
        <f t="shared" si="29"/>
        <v>0</v>
      </c>
      <c r="T57" s="1243"/>
      <c r="U57" s="1243"/>
      <c r="V57" s="1244">
        <f t="shared" si="30"/>
        <v>10749538</v>
      </c>
      <c r="W57" s="1241">
        <f t="shared" si="10"/>
        <v>0</v>
      </c>
      <c r="X57" s="1241">
        <f t="shared" si="11"/>
        <v>0</v>
      </c>
      <c r="Y57" s="1243"/>
      <c r="Z57" s="1243">
        <f>K57-N57</f>
        <v>10749538</v>
      </c>
      <c r="AA57" s="1243"/>
    </row>
    <row r="58" spans="1:28" s="1231" customFormat="1" ht="18" hidden="1" customHeight="1" x14ac:dyDescent="0.25">
      <c r="A58" s="1239"/>
      <c r="B58" s="1240" t="s">
        <v>2298</v>
      </c>
      <c r="C58" s="1243">
        <f t="shared" si="27"/>
        <v>0</v>
      </c>
      <c r="D58" s="1243"/>
      <c r="E58" s="1243"/>
      <c r="F58" s="1243"/>
      <c r="G58" s="1243"/>
      <c r="H58" s="1243">
        <f t="shared" si="28"/>
        <v>0</v>
      </c>
      <c r="I58" s="1243"/>
      <c r="J58" s="1243"/>
      <c r="K58" s="1243">
        <f>SUM(L58:M58)</f>
        <v>0</v>
      </c>
      <c r="L58" s="1241">
        <f t="shared" si="4"/>
        <v>0</v>
      </c>
      <c r="M58" s="1241">
        <f>G58+J58</f>
        <v>0</v>
      </c>
      <c r="N58" s="1244">
        <f t="shared" si="33"/>
        <v>0</v>
      </c>
      <c r="O58" s="1243"/>
      <c r="P58" s="1243"/>
      <c r="Q58" s="1243"/>
      <c r="R58" s="1243"/>
      <c r="S58" s="1244">
        <f t="shared" si="29"/>
        <v>0</v>
      </c>
      <c r="T58" s="1243"/>
      <c r="U58" s="1243"/>
      <c r="V58" s="1244">
        <f t="shared" si="30"/>
        <v>0</v>
      </c>
      <c r="W58" s="1241">
        <f t="shared" si="10"/>
        <v>0</v>
      </c>
      <c r="X58" s="1241">
        <f t="shared" si="11"/>
        <v>0</v>
      </c>
      <c r="Y58" s="1243"/>
      <c r="Z58" s="1243"/>
      <c r="AA58" s="1243"/>
    </row>
    <row r="59" spans="1:28" s="1231" customFormat="1" ht="18" hidden="1" customHeight="1" x14ac:dyDescent="0.25">
      <c r="A59" s="1239"/>
      <c r="B59" s="1240" t="s">
        <v>1719</v>
      </c>
      <c r="C59" s="1243">
        <f t="shared" si="27"/>
        <v>0</v>
      </c>
      <c r="D59" s="1243"/>
      <c r="E59" s="1243"/>
      <c r="F59" s="1243"/>
      <c r="G59" s="1243"/>
      <c r="H59" s="1243">
        <f t="shared" si="28"/>
        <v>0</v>
      </c>
      <c r="I59" s="1243"/>
      <c r="J59" s="1243"/>
      <c r="K59" s="1243">
        <f>SUM(L59:M59)</f>
        <v>0</v>
      </c>
      <c r="L59" s="1241">
        <f t="shared" si="4"/>
        <v>0</v>
      </c>
      <c r="M59" s="1241">
        <f>G59+J59</f>
        <v>0</v>
      </c>
      <c r="N59" s="1244">
        <f t="shared" si="33"/>
        <v>0</v>
      </c>
      <c r="O59" s="1243"/>
      <c r="P59" s="1243"/>
      <c r="Q59" s="1243"/>
      <c r="R59" s="1243"/>
      <c r="S59" s="1244">
        <f t="shared" si="29"/>
        <v>0</v>
      </c>
      <c r="T59" s="1243"/>
      <c r="U59" s="1243"/>
      <c r="V59" s="1244">
        <f t="shared" si="30"/>
        <v>0</v>
      </c>
      <c r="W59" s="1241">
        <f t="shared" si="10"/>
        <v>0</v>
      </c>
      <c r="X59" s="1241">
        <f t="shared" si="11"/>
        <v>0</v>
      </c>
      <c r="Y59" s="1243"/>
      <c r="Z59" s="1243"/>
      <c r="AA59" s="1243"/>
    </row>
    <row r="60" spans="1:28" s="1231" customFormat="1" ht="18" customHeight="1" x14ac:dyDescent="0.25">
      <c r="A60" s="1239"/>
      <c r="B60" s="1247" t="s">
        <v>2306</v>
      </c>
      <c r="C60" s="1243">
        <f t="shared" si="27"/>
        <v>0</v>
      </c>
      <c r="D60" s="1243"/>
      <c r="E60" s="1243"/>
      <c r="F60" s="1243"/>
      <c r="G60" s="1243"/>
      <c r="H60" s="1243">
        <f t="shared" si="28"/>
        <v>3200000000</v>
      </c>
      <c r="I60" s="1243"/>
      <c r="J60" s="1243">
        <f>SUM(J61:J63)</f>
        <v>3200000000</v>
      </c>
      <c r="K60" s="1243">
        <f t="shared" ref="K60:AA60" si="35">SUM(K61:K63)</f>
        <v>3200000000</v>
      </c>
      <c r="L60" s="1243">
        <f t="shared" si="35"/>
        <v>0</v>
      </c>
      <c r="M60" s="1243">
        <f t="shared" si="35"/>
        <v>3200000000</v>
      </c>
      <c r="N60" s="1243">
        <f>SUM(N61:N63)</f>
        <v>3159178810</v>
      </c>
      <c r="O60" s="1243">
        <f t="shared" si="35"/>
        <v>0</v>
      </c>
      <c r="P60" s="1243">
        <f t="shared" si="35"/>
        <v>0</v>
      </c>
      <c r="Q60" s="1243">
        <f t="shared" si="35"/>
        <v>0</v>
      </c>
      <c r="R60" s="1243">
        <f t="shared" si="35"/>
        <v>3159178810</v>
      </c>
      <c r="S60" s="1243">
        <f t="shared" si="35"/>
        <v>0</v>
      </c>
      <c r="T60" s="1243">
        <f t="shared" si="35"/>
        <v>0</v>
      </c>
      <c r="U60" s="1243">
        <f t="shared" si="35"/>
        <v>0</v>
      </c>
      <c r="V60" s="1243">
        <f t="shared" si="35"/>
        <v>40821190</v>
      </c>
      <c r="W60" s="1241">
        <f t="shared" si="10"/>
        <v>0</v>
      </c>
      <c r="X60" s="1241">
        <f t="shared" si="11"/>
        <v>0</v>
      </c>
      <c r="Y60" s="1243">
        <f t="shared" si="35"/>
        <v>0</v>
      </c>
      <c r="Z60" s="1243">
        <f t="shared" si="35"/>
        <v>40821190</v>
      </c>
      <c r="AA60" s="1243">
        <f t="shared" si="35"/>
        <v>0</v>
      </c>
    </row>
    <row r="61" spans="1:28" s="1242" customFormat="1" ht="18" customHeight="1" x14ac:dyDescent="0.25">
      <c r="A61" s="1239"/>
      <c r="B61" s="1240" t="s">
        <v>341</v>
      </c>
      <c r="C61" s="1241">
        <f t="shared" si="27"/>
        <v>0</v>
      </c>
      <c r="D61" s="1241"/>
      <c r="E61" s="1241"/>
      <c r="F61" s="1241"/>
      <c r="G61" s="1241"/>
      <c r="H61" s="1241">
        <f t="shared" si="28"/>
        <v>2675000000</v>
      </c>
      <c r="I61" s="1241"/>
      <c r="J61" s="1241">
        <f>3200000000-525000000</f>
        <v>2675000000</v>
      </c>
      <c r="K61" s="1241">
        <f t="shared" ref="K61:K71" si="36">SUM(L61:M61)</f>
        <v>2675000000</v>
      </c>
      <c r="L61" s="1241">
        <f t="shared" si="4"/>
        <v>0</v>
      </c>
      <c r="M61" s="1241">
        <f>G61+J61</f>
        <v>2675000000</v>
      </c>
      <c r="N61" s="1244">
        <f>SUM(O61:R61)</f>
        <v>2634350172</v>
      </c>
      <c r="O61" s="1241"/>
      <c r="P61" s="1241"/>
      <c r="Q61" s="1241"/>
      <c r="R61" s="1241">
        <f>2634178810+171362</f>
        <v>2634350172</v>
      </c>
      <c r="S61" s="1244">
        <f t="shared" ref="S61:S72" si="37">T61+U61</f>
        <v>0</v>
      </c>
      <c r="T61" s="1241"/>
      <c r="U61" s="1241"/>
      <c r="V61" s="1244">
        <f t="shared" ref="V61:V72" si="38">W61+X61+Y61+Z61+AA61</f>
        <v>40649828</v>
      </c>
      <c r="W61" s="1241">
        <f t="shared" si="10"/>
        <v>0</v>
      </c>
      <c r="X61" s="1241">
        <f t="shared" si="11"/>
        <v>0</v>
      </c>
      <c r="Y61" s="1241"/>
      <c r="Z61" s="1241">
        <f>K61-N61</f>
        <v>40649828</v>
      </c>
      <c r="AA61" s="1241"/>
    </row>
    <row r="62" spans="1:28" s="1242" customFormat="1" ht="18" customHeight="1" x14ac:dyDescent="0.25">
      <c r="A62" s="1239"/>
      <c r="B62" s="1240" t="s">
        <v>2298</v>
      </c>
      <c r="C62" s="1241">
        <f t="shared" si="27"/>
        <v>0</v>
      </c>
      <c r="D62" s="1241"/>
      <c r="E62" s="1241"/>
      <c r="F62" s="1241"/>
      <c r="G62" s="1241"/>
      <c r="H62" s="1241">
        <f t="shared" si="28"/>
        <v>525000000</v>
      </c>
      <c r="I62" s="1241"/>
      <c r="J62" s="1241">
        <v>525000000</v>
      </c>
      <c r="K62" s="1241">
        <f t="shared" si="36"/>
        <v>525000000</v>
      </c>
      <c r="L62" s="1241">
        <f t="shared" si="4"/>
        <v>0</v>
      </c>
      <c r="M62" s="1241">
        <f>G62+J62</f>
        <v>525000000</v>
      </c>
      <c r="N62" s="1244">
        <f>SUM(O62:R62)</f>
        <v>524828638</v>
      </c>
      <c r="O62" s="1241"/>
      <c r="P62" s="1241"/>
      <c r="Q62" s="1241"/>
      <c r="R62" s="1241">
        <f>525000000-171362</f>
        <v>524828638</v>
      </c>
      <c r="S62" s="1244">
        <f t="shared" si="37"/>
        <v>0</v>
      </c>
      <c r="T62" s="1241"/>
      <c r="U62" s="1241"/>
      <c r="V62" s="1244">
        <f t="shared" si="38"/>
        <v>171362</v>
      </c>
      <c r="W62" s="1241">
        <f t="shared" si="10"/>
        <v>0</v>
      </c>
      <c r="X62" s="1241">
        <f t="shared" si="11"/>
        <v>0</v>
      </c>
      <c r="Y62" s="1241"/>
      <c r="Z62" s="1241">
        <f>K62-N62</f>
        <v>171362</v>
      </c>
      <c r="AA62" s="1241"/>
    </row>
    <row r="63" spans="1:28" s="1231" customFormat="1" ht="18" hidden="1" customHeight="1" x14ac:dyDescent="0.25">
      <c r="A63" s="1239"/>
      <c r="B63" s="1240" t="s">
        <v>1719</v>
      </c>
      <c r="C63" s="1243">
        <f t="shared" si="27"/>
        <v>0</v>
      </c>
      <c r="D63" s="1243"/>
      <c r="E63" s="1243"/>
      <c r="F63" s="1243"/>
      <c r="G63" s="1243"/>
      <c r="H63" s="1243">
        <f t="shared" si="28"/>
        <v>0</v>
      </c>
      <c r="I63" s="1243"/>
      <c r="J63" s="1243"/>
      <c r="K63" s="1243">
        <f t="shared" si="36"/>
        <v>0</v>
      </c>
      <c r="L63" s="1241">
        <f t="shared" si="4"/>
        <v>0</v>
      </c>
      <c r="M63" s="1241">
        <f>G63+J63</f>
        <v>0</v>
      </c>
      <c r="N63" s="1244"/>
      <c r="O63" s="1243"/>
      <c r="P63" s="1243"/>
      <c r="Q63" s="1243"/>
      <c r="R63" s="1243"/>
      <c r="S63" s="1244">
        <f t="shared" si="37"/>
        <v>0</v>
      </c>
      <c r="T63" s="1243"/>
      <c r="U63" s="1243"/>
      <c r="V63" s="1244">
        <f t="shared" si="38"/>
        <v>0</v>
      </c>
      <c r="W63" s="1241">
        <f t="shared" si="10"/>
        <v>0</v>
      </c>
      <c r="X63" s="1241">
        <f t="shared" si="11"/>
        <v>0</v>
      </c>
      <c r="Y63" s="1243"/>
      <c r="Z63" s="1243"/>
      <c r="AA63" s="1243"/>
      <c r="AB63" s="1231">
        <v>3159.3501719999995</v>
      </c>
    </row>
    <row r="64" spans="1:28" s="1231" customFormat="1" ht="18" customHeight="1" x14ac:dyDescent="0.25">
      <c r="A64" s="1239"/>
      <c r="B64" s="1247" t="s">
        <v>2307</v>
      </c>
      <c r="C64" s="1243">
        <f t="shared" si="27"/>
        <v>0</v>
      </c>
      <c r="D64" s="1243"/>
      <c r="E64" s="1243"/>
      <c r="F64" s="1243"/>
      <c r="G64" s="1243"/>
      <c r="H64" s="1243">
        <f>H65</f>
        <v>100000000</v>
      </c>
      <c r="I64" s="1243">
        <f t="shared" ref="I64:AA64" si="39">I65</f>
        <v>0</v>
      </c>
      <c r="J64" s="1243">
        <f t="shared" si="39"/>
        <v>100000000</v>
      </c>
      <c r="K64" s="1243">
        <f t="shared" si="39"/>
        <v>100000000</v>
      </c>
      <c r="L64" s="1243">
        <f t="shared" si="39"/>
        <v>0</v>
      </c>
      <c r="M64" s="1243">
        <f t="shared" si="39"/>
        <v>100000000</v>
      </c>
      <c r="N64" s="1243">
        <f t="shared" si="39"/>
        <v>0</v>
      </c>
      <c r="O64" s="1243">
        <f t="shared" si="39"/>
        <v>0</v>
      </c>
      <c r="P64" s="1243">
        <f t="shared" si="39"/>
        <v>0</v>
      </c>
      <c r="Q64" s="1243">
        <f t="shared" si="39"/>
        <v>0</v>
      </c>
      <c r="R64" s="1243">
        <f t="shared" si="39"/>
        <v>95648214</v>
      </c>
      <c r="S64" s="1243">
        <f t="shared" si="39"/>
        <v>0</v>
      </c>
      <c r="T64" s="1243">
        <f t="shared" si="39"/>
        <v>0</v>
      </c>
      <c r="U64" s="1243">
        <f t="shared" si="39"/>
        <v>0</v>
      </c>
      <c r="V64" s="1243">
        <f t="shared" si="39"/>
        <v>4351786</v>
      </c>
      <c r="W64" s="1241">
        <f t="shared" si="10"/>
        <v>0</v>
      </c>
      <c r="X64" s="1241">
        <f t="shared" si="11"/>
        <v>0</v>
      </c>
      <c r="Y64" s="1243">
        <f t="shared" si="39"/>
        <v>0</v>
      </c>
      <c r="Z64" s="1243">
        <f t="shared" si="39"/>
        <v>4351786</v>
      </c>
      <c r="AA64" s="1243">
        <f t="shared" si="39"/>
        <v>0</v>
      </c>
      <c r="AB64" s="1231">
        <v>525</v>
      </c>
    </row>
    <row r="65" spans="1:28" s="1249" customFormat="1" ht="18" customHeight="1" x14ac:dyDescent="0.25">
      <c r="A65" s="1248"/>
      <c r="B65" s="1250" t="s">
        <v>341</v>
      </c>
      <c r="C65" s="1244">
        <f t="shared" si="27"/>
        <v>0</v>
      </c>
      <c r="D65" s="1244"/>
      <c r="E65" s="1244"/>
      <c r="F65" s="1244"/>
      <c r="G65" s="1244"/>
      <c r="H65" s="1244">
        <f t="shared" si="28"/>
        <v>100000000</v>
      </c>
      <c r="I65" s="1244"/>
      <c r="J65" s="1244">
        <v>100000000</v>
      </c>
      <c r="K65" s="1244">
        <f t="shared" si="36"/>
        <v>100000000</v>
      </c>
      <c r="L65" s="1241">
        <f t="shared" si="4"/>
        <v>0</v>
      </c>
      <c r="M65" s="1241">
        <f t="shared" ref="M65:M72" si="40">G65+J65</f>
        <v>100000000</v>
      </c>
      <c r="N65" s="1244"/>
      <c r="O65" s="1244"/>
      <c r="P65" s="1244"/>
      <c r="Q65" s="1244"/>
      <c r="R65" s="1244">
        <f>100000000-4351786</f>
        <v>95648214</v>
      </c>
      <c r="S65" s="1244">
        <f t="shared" si="37"/>
        <v>0</v>
      </c>
      <c r="T65" s="1244"/>
      <c r="U65" s="1244"/>
      <c r="V65" s="1244">
        <f t="shared" si="38"/>
        <v>4351786</v>
      </c>
      <c r="W65" s="1241">
        <f t="shared" si="10"/>
        <v>0</v>
      </c>
      <c r="X65" s="1241">
        <f t="shared" si="11"/>
        <v>0</v>
      </c>
      <c r="Y65" s="1244"/>
      <c r="Z65" s="1244">
        <f>K65-R65</f>
        <v>4351786</v>
      </c>
      <c r="AA65" s="1244"/>
      <c r="AB65" s="1249">
        <f>AB63-AB64</f>
        <v>2634.3501719999995</v>
      </c>
    </row>
    <row r="66" spans="1:28" s="1231" customFormat="1" ht="18" hidden="1" customHeight="1" x14ac:dyDescent="0.25">
      <c r="A66" s="1239"/>
      <c r="B66" s="1240" t="s">
        <v>2298</v>
      </c>
      <c r="C66" s="1243">
        <f t="shared" si="27"/>
        <v>0</v>
      </c>
      <c r="D66" s="1243"/>
      <c r="E66" s="1243"/>
      <c r="F66" s="1243"/>
      <c r="G66" s="1243"/>
      <c r="H66" s="1243">
        <f t="shared" si="28"/>
        <v>0</v>
      </c>
      <c r="I66" s="1243"/>
      <c r="J66" s="1243"/>
      <c r="K66" s="1243">
        <f t="shared" si="36"/>
        <v>0</v>
      </c>
      <c r="L66" s="1241">
        <f t="shared" si="4"/>
        <v>0</v>
      </c>
      <c r="M66" s="1241">
        <f t="shared" si="40"/>
        <v>0</v>
      </c>
      <c r="N66" s="1244"/>
      <c r="O66" s="1243"/>
      <c r="P66" s="1243"/>
      <c r="Q66" s="1243"/>
      <c r="R66" s="1243"/>
      <c r="S66" s="1244">
        <f t="shared" si="37"/>
        <v>0</v>
      </c>
      <c r="T66" s="1243"/>
      <c r="U66" s="1243"/>
      <c r="V66" s="1244">
        <f t="shared" si="38"/>
        <v>0</v>
      </c>
      <c r="W66" s="1243"/>
      <c r="X66" s="1241">
        <f t="shared" si="11"/>
        <v>0</v>
      </c>
      <c r="Y66" s="1243"/>
      <c r="Z66" s="1243"/>
      <c r="AA66" s="1243"/>
    </row>
    <row r="67" spans="1:28" s="1231" customFormat="1" ht="18" hidden="1" customHeight="1" x14ac:dyDescent="0.25">
      <c r="A67" s="1239"/>
      <c r="B67" s="1240" t="s">
        <v>1719</v>
      </c>
      <c r="C67" s="1243">
        <f t="shared" si="27"/>
        <v>0</v>
      </c>
      <c r="D67" s="1243"/>
      <c r="E67" s="1243"/>
      <c r="F67" s="1243"/>
      <c r="G67" s="1243"/>
      <c r="H67" s="1243">
        <f t="shared" si="28"/>
        <v>0</v>
      </c>
      <c r="I67" s="1243"/>
      <c r="J67" s="1243"/>
      <c r="K67" s="1243">
        <f t="shared" si="36"/>
        <v>0</v>
      </c>
      <c r="L67" s="1243">
        <f t="shared" ref="L67:L72" si="41">E67+I67</f>
        <v>0</v>
      </c>
      <c r="M67" s="1243">
        <f t="shared" si="40"/>
        <v>0</v>
      </c>
      <c r="N67" s="1244"/>
      <c r="O67" s="1243"/>
      <c r="P67" s="1243"/>
      <c r="Q67" s="1243"/>
      <c r="R67" s="1243"/>
      <c r="S67" s="1244">
        <f t="shared" si="37"/>
        <v>0</v>
      </c>
      <c r="T67" s="1243"/>
      <c r="U67" s="1243"/>
      <c r="V67" s="1244">
        <f t="shared" si="38"/>
        <v>0</v>
      </c>
      <c r="W67" s="1243"/>
      <c r="X67" s="1243"/>
      <c r="Y67" s="1243"/>
      <c r="Z67" s="1243"/>
      <c r="AA67" s="1243"/>
    </row>
    <row r="68" spans="1:28" s="1231" customFormat="1" ht="9" hidden="1" x14ac:dyDescent="0.25">
      <c r="A68" s="1239"/>
      <c r="B68" s="1240"/>
      <c r="C68" s="1243">
        <f t="shared" si="27"/>
        <v>0</v>
      </c>
      <c r="D68" s="1243"/>
      <c r="E68" s="1243"/>
      <c r="F68" s="1243"/>
      <c r="G68" s="1243"/>
      <c r="H68" s="1243">
        <f t="shared" si="28"/>
        <v>0</v>
      </c>
      <c r="I68" s="1243"/>
      <c r="J68" s="1243"/>
      <c r="K68" s="1243">
        <f t="shared" si="36"/>
        <v>0</v>
      </c>
      <c r="L68" s="1243">
        <f t="shared" si="41"/>
        <v>0</v>
      </c>
      <c r="M68" s="1243">
        <f t="shared" si="40"/>
        <v>0</v>
      </c>
      <c r="N68" s="1244"/>
      <c r="O68" s="1243"/>
      <c r="P68" s="1243"/>
      <c r="Q68" s="1243"/>
      <c r="R68" s="1243"/>
      <c r="S68" s="1244">
        <f t="shared" si="37"/>
        <v>0</v>
      </c>
      <c r="T68" s="1243"/>
      <c r="U68" s="1243"/>
      <c r="V68" s="1244">
        <f t="shared" si="38"/>
        <v>0</v>
      </c>
      <c r="W68" s="1243"/>
      <c r="X68" s="1243"/>
      <c r="Y68" s="1243"/>
      <c r="Z68" s="1243"/>
      <c r="AA68" s="1243"/>
    </row>
    <row r="69" spans="1:28" s="1231" customFormat="1" ht="9" hidden="1" x14ac:dyDescent="0.25">
      <c r="A69" s="1239"/>
      <c r="B69" s="1240"/>
      <c r="C69" s="1243">
        <f t="shared" si="27"/>
        <v>0</v>
      </c>
      <c r="D69" s="1243"/>
      <c r="E69" s="1243"/>
      <c r="F69" s="1243"/>
      <c r="G69" s="1243"/>
      <c r="H69" s="1243">
        <f t="shared" si="28"/>
        <v>0</v>
      </c>
      <c r="I69" s="1243"/>
      <c r="J69" s="1243"/>
      <c r="K69" s="1243">
        <f t="shared" si="36"/>
        <v>0</v>
      </c>
      <c r="L69" s="1243">
        <f t="shared" si="41"/>
        <v>0</v>
      </c>
      <c r="M69" s="1243">
        <f t="shared" si="40"/>
        <v>0</v>
      </c>
      <c r="N69" s="1244"/>
      <c r="O69" s="1243"/>
      <c r="P69" s="1243"/>
      <c r="Q69" s="1243"/>
      <c r="R69" s="1243"/>
      <c r="S69" s="1244">
        <f t="shared" si="37"/>
        <v>0</v>
      </c>
      <c r="T69" s="1243"/>
      <c r="U69" s="1243"/>
      <c r="V69" s="1244">
        <f t="shared" si="38"/>
        <v>0</v>
      </c>
      <c r="W69" s="1243"/>
      <c r="X69" s="1243"/>
      <c r="Y69" s="1243"/>
      <c r="Z69" s="1243"/>
      <c r="AA69" s="1243"/>
    </row>
    <row r="70" spans="1:28" s="1231" customFormat="1" ht="9" hidden="1" x14ac:dyDescent="0.25">
      <c r="A70" s="1239"/>
      <c r="B70" s="1240"/>
      <c r="C70" s="1243">
        <f t="shared" si="27"/>
        <v>0</v>
      </c>
      <c r="D70" s="1243"/>
      <c r="E70" s="1243"/>
      <c r="F70" s="1243"/>
      <c r="G70" s="1243"/>
      <c r="H70" s="1243">
        <f t="shared" si="28"/>
        <v>0</v>
      </c>
      <c r="I70" s="1243"/>
      <c r="J70" s="1243"/>
      <c r="K70" s="1243">
        <f t="shared" si="36"/>
        <v>0</v>
      </c>
      <c r="L70" s="1243">
        <f t="shared" si="41"/>
        <v>0</v>
      </c>
      <c r="M70" s="1243">
        <f t="shared" si="40"/>
        <v>0</v>
      </c>
      <c r="N70" s="1244"/>
      <c r="O70" s="1243"/>
      <c r="P70" s="1243"/>
      <c r="Q70" s="1243"/>
      <c r="R70" s="1243"/>
      <c r="S70" s="1244">
        <f t="shared" si="37"/>
        <v>0</v>
      </c>
      <c r="T70" s="1243"/>
      <c r="U70" s="1243"/>
      <c r="V70" s="1244">
        <f t="shared" si="38"/>
        <v>0</v>
      </c>
      <c r="W70" s="1243"/>
      <c r="X70" s="1243"/>
      <c r="Y70" s="1243"/>
      <c r="Z70" s="1243"/>
      <c r="AA70" s="1243"/>
    </row>
    <row r="71" spans="1:28" s="1231" customFormat="1" ht="9" hidden="1" x14ac:dyDescent="0.25">
      <c r="A71" s="1239"/>
      <c r="B71" s="1240"/>
      <c r="C71" s="1243">
        <f t="shared" si="27"/>
        <v>0</v>
      </c>
      <c r="D71" s="1243"/>
      <c r="E71" s="1243"/>
      <c r="F71" s="1243"/>
      <c r="G71" s="1243"/>
      <c r="H71" s="1243">
        <f t="shared" si="28"/>
        <v>0</v>
      </c>
      <c r="I71" s="1243"/>
      <c r="J71" s="1243"/>
      <c r="K71" s="1243">
        <f t="shared" si="36"/>
        <v>0</v>
      </c>
      <c r="L71" s="1243">
        <f t="shared" si="41"/>
        <v>0</v>
      </c>
      <c r="M71" s="1243">
        <f t="shared" si="40"/>
        <v>0</v>
      </c>
      <c r="N71" s="1244"/>
      <c r="O71" s="1243"/>
      <c r="P71" s="1243"/>
      <c r="Q71" s="1243"/>
      <c r="R71" s="1243"/>
      <c r="S71" s="1244">
        <f t="shared" si="37"/>
        <v>0</v>
      </c>
      <c r="T71" s="1243"/>
      <c r="U71" s="1243"/>
      <c r="V71" s="1244">
        <f t="shared" si="38"/>
        <v>0</v>
      </c>
      <c r="W71" s="1243"/>
      <c r="X71" s="1243"/>
      <c r="Y71" s="1243"/>
      <c r="Z71" s="1243"/>
      <c r="AA71" s="1243"/>
    </row>
    <row r="72" spans="1:28" s="1231" customFormat="1" ht="9" hidden="1" x14ac:dyDescent="0.25">
      <c r="A72" s="1239"/>
      <c r="B72" s="1240"/>
      <c r="C72" s="1243">
        <f t="shared" si="27"/>
        <v>0</v>
      </c>
      <c r="D72" s="1243"/>
      <c r="E72" s="1243"/>
      <c r="F72" s="1243"/>
      <c r="G72" s="1243"/>
      <c r="H72" s="1243">
        <f t="shared" si="28"/>
        <v>0</v>
      </c>
      <c r="I72" s="1243"/>
      <c r="J72" s="1243"/>
      <c r="K72" s="1243">
        <f>SUM(L72:M72)</f>
        <v>0</v>
      </c>
      <c r="L72" s="1243">
        <f t="shared" si="41"/>
        <v>0</v>
      </c>
      <c r="M72" s="1243">
        <f t="shared" si="40"/>
        <v>0</v>
      </c>
      <c r="N72" s="1244">
        <f>SUM(O72:R72)</f>
        <v>0</v>
      </c>
      <c r="O72" s="1243"/>
      <c r="P72" s="1243"/>
      <c r="Q72" s="1243"/>
      <c r="R72" s="1243"/>
      <c r="S72" s="1244">
        <f t="shared" si="37"/>
        <v>0</v>
      </c>
      <c r="T72" s="1243"/>
      <c r="U72" s="1243"/>
      <c r="V72" s="1244">
        <f t="shared" si="38"/>
        <v>0</v>
      </c>
      <c r="W72" s="1243"/>
      <c r="X72" s="1243"/>
      <c r="Y72" s="1243"/>
      <c r="Z72" s="1243"/>
      <c r="AA72" s="1243"/>
    </row>
    <row r="73" spans="1:28" s="1249" customFormat="1" ht="9" x14ac:dyDescent="0.25">
      <c r="A73" s="1251" t="s">
        <v>890</v>
      </c>
      <c r="B73" s="1252" t="s">
        <v>890</v>
      </c>
      <c r="C73" s="1253"/>
      <c r="D73" s="1253"/>
      <c r="E73" s="1253"/>
      <c r="F73" s="1253"/>
      <c r="G73" s="1253"/>
      <c r="H73" s="1253"/>
      <c r="I73" s="1253"/>
      <c r="J73" s="1253"/>
      <c r="K73" s="1253"/>
      <c r="L73" s="1253"/>
      <c r="M73" s="1253"/>
      <c r="N73" s="1253">
        <f>SUM(N74:N77)</f>
        <v>0</v>
      </c>
      <c r="O73" s="1253"/>
      <c r="P73" s="1253"/>
      <c r="Q73" s="1253"/>
      <c r="R73" s="1253"/>
      <c r="S73" s="1253"/>
      <c r="T73" s="1253"/>
      <c r="U73" s="1253"/>
      <c r="V73" s="1253"/>
      <c r="W73" s="1253"/>
      <c r="X73" s="1253"/>
      <c r="Y73" s="1253"/>
      <c r="Z73" s="1253"/>
      <c r="AA73" s="1253"/>
    </row>
    <row r="74" spans="1:28" s="1249" customFormat="1" ht="9" x14ac:dyDescent="0.25">
      <c r="A74" s="4098" t="s">
        <v>2308</v>
      </c>
      <c r="B74" s="4098"/>
      <c r="C74" s="4098"/>
      <c r="D74" s="4098"/>
      <c r="E74" s="4098"/>
      <c r="F74" s="4098"/>
      <c r="G74" s="4098"/>
      <c r="H74" s="4098"/>
      <c r="I74" s="4098"/>
      <c r="J74" s="4098"/>
      <c r="K74" s="4098"/>
      <c r="L74" s="4098"/>
      <c r="M74" s="4098"/>
      <c r="N74" s="4098"/>
      <c r="O74" s="4098"/>
      <c r="P74" s="4098"/>
      <c r="Q74" s="4098"/>
      <c r="R74" s="4098"/>
      <c r="S74" s="4098"/>
      <c r="T74" s="4098"/>
      <c r="U74" s="4098"/>
      <c r="V74" s="4098"/>
      <c r="W74" s="4098"/>
      <c r="X74" s="4098"/>
      <c r="Y74" s="4098"/>
      <c r="Z74" s="4098"/>
      <c r="AA74" s="4098"/>
    </row>
    <row r="75" spans="1:28" s="1340" customFormat="1" x14ac:dyDescent="0.25">
      <c r="C75" s="1341"/>
      <c r="D75" s="1341"/>
      <c r="E75" s="1341">
        <f>D18+E18</f>
        <v>11868866465</v>
      </c>
      <c r="F75" s="1341"/>
      <c r="G75" s="1341"/>
      <c r="H75" s="1341"/>
      <c r="I75" s="1341"/>
      <c r="J75" s="1341"/>
      <c r="K75" s="1341"/>
      <c r="L75" s="1341"/>
      <c r="M75" s="1341"/>
      <c r="N75" s="1341"/>
      <c r="O75" s="1341"/>
      <c r="P75" s="1341"/>
      <c r="Q75" s="4099"/>
      <c r="R75" s="4099"/>
      <c r="S75" s="4099"/>
      <c r="T75" s="4099"/>
      <c r="U75" s="4099"/>
      <c r="V75" s="4099"/>
      <c r="W75" s="4099"/>
      <c r="X75" s="4099"/>
      <c r="Y75" s="4099"/>
      <c r="Z75" s="4099"/>
      <c r="AA75" s="4099"/>
    </row>
    <row r="76" spans="1:28" s="1340" customFormat="1" ht="15" customHeight="1" x14ac:dyDescent="0.25">
      <c r="C76" s="1341"/>
      <c r="D76" s="1341"/>
      <c r="E76" s="1341"/>
      <c r="F76" s="1341"/>
      <c r="G76" s="1341"/>
      <c r="H76" s="1341"/>
      <c r="I76" s="1341"/>
      <c r="J76" s="1341"/>
      <c r="K76" s="1341"/>
      <c r="L76" s="1341"/>
      <c r="M76" s="1341"/>
      <c r="N76" s="1341"/>
      <c r="O76" s="1341"/>
      <c r="P76" s="1341"/>
      <c r="Q76" s="1341"/>
      <c r="R76" s="4068" t="s">
        <v>2480</v>
      </c>
      <c r="S76" s="4068"/>
      <c r="T76" s="4068"/>
      <c r="U76" s="4068"/>
      <c r="V76" s="4068"/>
      <c r="W76" s="1341"/>
      <c r="X76" s="1341"/>
      <c r="Y76" s="1341"/>
      <c r="Z76" s="1341"/>
      <c r="AA76" s="1341"/>
    </row>
    <row r="77" spans="1:28" s="1340" customFormat="1" ht="15.75" customHeight="1" x14ac:dyDescent="0.25">
      <c r="C77" s="1341"/>
      <c r="D77" s="1341"/>
      <c r="E77" s="1341"/>
      <c r="F77" s="1341"/>
      <c r="G77" s="1341"/>
      <c r="H77" s="1341"/>
      <c r="I77" s="1341"/>
      <c r="J77" s="1341"/>
      <c r="K77" s="1341"/>
      <c r="L77" s="1341"/>
      <c r="M77" s="1341"/>
      <c r="N77" s="1341"/>
      <c r="O77" s="1341"/>
      <c r="P77" s="1341"/>
      <c r="Q77" s="1341"/>
      <c r="R77" s="4069" t="s">
        <v>1442</v>
      </c>
      <c r="S77" s="4069"/>
      <c r="T77" s="4069"/>
      <c r="U77" s="4069"/>
      <c r="V77" s="4069"/>
      <c r="W77" s="1341"/>
      <c r="X77" s="1341"/>
      <c r="Y77" s="1341"/>
      <c r="Z77" s="1341"/>
      <c r="AA77" s="1341"/>
    </row>
    <row r="78" spans="1:28" s="1340" customFormat="1" ht="15.75" customHeight="1" x14ac:dyDescent="0.25">
      <c r="C78" s="1341"/>
      <c r="D78" s="1341"/>
      <c r="E78" s="1341"/>
      <c r="F78" s="1341"/>
      <c r="G78" s="1341"/>
      <c r="H78" s="1341"/>
      <c r="I78" s="1341"/>
      <c r="J78" s="1341"/>
      <c r="K78" s="1341"/>
      <c r="L78" s="1341"/>
      <c r="M78" s="1341"/>
      <c r="N78" s="1341"/>
      <c r="O78" s="1341"/>
      <c r="P78" s="1341"/>
      <c r="Q78" s="1341"/>
      <c r="R78" s="4069" t="s">
        <v>807</v>
      </c>
      <c r="S78" s="4069"/>
      <c r="T78" s="4069"/>
      <c r="U78" s="4069"/>
      <c r="V78" s="4069"/>
      <c r="W78" s="1341"/>
      <c r="X78" s="1341"/>
      <c r="Y78" s="1341"/>
      <c r="Z78" s="1341"/>
      <c r="AA78" s="1341"/>
    </row>
    <row r="79" spans="1:28" s="1340" customFormat="1" ht="15.75" x14ac:dyDescent="0.25">
      <c r="C79" s="1341"/>
      <c r="D79" s="1341"/>
      <c r="E79" s="1341"/>
      <c r="F79" s="1341"/>
      <c r="G79" s="1341"/>
      <c r="H79" s="1341"/>
      <c r="I79" s="1341"/>
      <c r="J79" s="1341">
        <f>E18+D18</f>
        <v>11868866465</v>
      </c>
      <c r="K79" s="1341"/>
      <c r="L79" s="1341"/>
      <c r="M79" s="1341"/>
      <c r="N79" s="1341"/>
      <c r="O79" s="1341"/>
      <c r="P79" s="1341"/>
      <c r="Q79" s="1341"/>
      <c r="R79" s="1335"/>
      <c r="S79" s="1336"/>
      <c r="T79" s="1337"/>
      <c r="U79" s="1341"/>
      <c r="V79" s="1341"/>
      <c r="W79" s="1341"/>
      <c r="X79" s="1341"/>
      <c r="Y79" s="1341"/>
      <c r="Z79" s="1341"/>
      <c r="AA79" s="1341"/>
    </row>
    <row r="80" spans="1:28" s="1340" customFormat="1" ht="15.75" x14ac:dyDescent="0.25">
      <c r="C80" s="1341"/>
      <c r="D80" s="1341"/>
      <c r="E80" s="1341"/>
      <c r="F80" s="1341"/>
      <c r="G80" s="1341"/>
      <c r="H80" s="1341"/>
      <c r="I80" s="1341"/>
      <c r="J80" s="1341"/>
      <c r="K80" s="1341"/>
      <c r="L80" s="1341"/>
      <c r="M80" s="1341"/>
      <c r="N80" s="1341"/>
      <c r="O80" s="1341"/>
      <c r="P80" s="1341"/>
      <c r="Q80" s="1341"/>
      <c r="R80" s="1335"/>
      <c r="S80" s="1336"/>
      <c r="T80" s="1337"/>
      <c r="U80" s="1341"/>
      <c r="V80" s="1341"/>
      <c r="W80" s="1341"/>
      <c r="X80" s="1341"/>
      <c r="Y80" s="1341"/>
      <c r="Z80" s="1341"/>
      <c r="AA80" s="1341"/>
    </row>
    <row r="81" spans="3:27" s="1340" customFormat="1" ht="15.75" x14ac:dyDescent="0.25">
      <c r="C81" s="1341"/>
      <c r="D81" s="1341"/>
      <c r="E81" s="1341"/>
      <c r="F81" s="1341"/>
      <c r="G81" s="1341"/>
      <c r="H81" s="1341"/>
      <c r="I81" s="1341"/>
      <c r="J81" s="1341"/>
      <c r="K81" s="1341"/>
      <c r="L81" s="1341"/>
      <c r="M81" s="1341"/>
      <c r="N81" s="1341"/>
      <c r="O81" s="1341"/>
      <c r="P81" s="1341"/>
      <c r="Q81" s="1341"/>
      <c r="R81" s="1335"/>
      <c r="S81" s="1336"/>
      <c r="T81" s="1337"/>
      <c r="U81" s="1341"/>
      <c r="V81" s="1341"/>
      <c r="W81" s="1341"/>
      <c r="X81" s="1341"/>
      <c r="Y81" s="1341"/>
      <c r="Z81" s="1341"/>
      <c r="AA81" s="1341"/>
    </row>
    <row r="82" spans="3:27" s="1340" customFormat="1" ht="15.75" x14ac:dyDescent="0.25">
      <c r="C82" s="1341"/>
      <c r="D82" s="1341"/>
      <c r="E82" s="1341"/>
      <c r="F82" s="1341"/>
      <c r="G82" s="1341"/>
      <c r="H82" s="1341"/>
      <c r="I82" s="1341"/>
      <c r="J82" s="1341"/>
      <c r="K82" s="1341"/>
      <c r="L82" s="1341"/>
      <c r="M82" s="1341"/>
      <c r="N82" s="1341"/>
      <c r="O82" s="1341"/>
      <c r="P82" s="1341"/>
      <c r="Q82" s="1341"/>
      <c r="R82" s="1335"/>
      <c r="S82" s="1336"/>
      <c r="T82" s="1335"/>
      <c r="U82" s="1341"/>
      <c r="V82" s="1341"/>
      <c r="W82" s="1341"/>
      <c r="X82" s="1341"/>
      <c r="Y82" s="1341"/>
      <c r="Z82" s="1341"/>
      <c r="AA82" s="1341"/>
    </row>
    <row r="83" spans="3:27" s="1340" customFormat="1" ht="15.75" x14ac:dyDescent="0.25">
      <c r="C83" s="1341"/>
      <c r="D83" s="1341"/>
      <c r="E83" s="1341"/>
      <c r="F83" s="1341"/>
      <c r="G83" s="1341"/>
      <c r="H83" s="1341"/>
      <c r="I83" s="1341"/>
      <c r="J83" s="1341"/>
      <c r="K83" s="1341"/>
      <c r="L83" s="1341"/>
      <c r="M83" s="1341"/>
      <c r="N83" s="1341"/>
      <c r="O83" s="1341"/>
      <c r="P83" s="1341"/>
      <c r="Q83" s="1341"/>
      <c r="R83" s="1335"/>
      <c r="S83" s="1336"/>
      <c r="T83" s="1335"/>
      <c r="U83" s="1341"/>
      <c r="V83" s="1341"/>
      <c r="W83" s="1341"/>
      <c r="X83" s="1341"/>
      <c r="Y83" s="1341"/>
      <c r="Z83" s="1341"/>
      <c r="AA83" s="1341"/>
    </row>
    <row r="84" spans="3:27" s="1340" customFormat="1" ht="15" x14ac:dyDescent="0.25">
      <c r="C84" s="1341"/>
      <c r="D84" s="1341"/>
      <c r="E84" s="1341"/>
      <c r="F84" s="1341"/>
      <c r="G84" s="1341"/>
      <c r="H84" s="1341"/>
      <c r="I84" s="1341"/>
      <c r="J84" s="1341"/>
      <c r="K84" s="1341"/>
      <c r="L84" s="1341"/>
      <c r="M84" s="1341"/>
      <c r="N84" s="1341"/>
      <c r="O84" s="1341"/>
      <c r="P84" s="1341"/>
      <c r="Q84" s="1341"/>
      <c r="R84" s="1336"/>
      <c r="S84" s="1336"/>
      <c r="T84" s="1336"/>
      <c r="U84" s="1341"/>
      <c r="V84" s="1341"/>
      <c r="W84" s="1341"/>
      <c r="X84" s="1341"/>
      <c r="Y84" s="1341"/>
      <c r="Z84" s="1341"/>
      <c r="AA84" s="1341"/>
    </row>
    <row r="85" spans="3:27" s="1340" customFormat="1" ht="15.75" x14ac:dyDescent="0.25">
      <c r="C85" s="1341"/>
      <c r="D85" s="1341"/>
      <c r="E85" s="1341"/>
      <c r="F85" s="1341"/>
      <c r="G85" s="1341"/>
      <c r="H85" s="1341"/>
      <c r="I85" s="1341"/>
      <c r="J85" s="1341"/>
      <c r="K85" s="1341"/>
      <c r="L85" s="1341"/>
      <c r="M85" s="1341"/>
      <c r="N85" s="1341"/>
      <c r="O85" s="1341"/>
      <c r="P85" s="1341"/>
      <c r="Q85" s="1341"/>
      <c r="R85" s="4065" t="s">
        <v>808</v>
      </c>
      <c r="S85" s="4065"/>
      <c r="T85" s="4065"/>
      <c r="U85" s="4065"/>
      <c r="V85" s="4065"/>
      <c r="W85" s="1341"/>
      <c r="X85" s="1341"/>
      <c r="Y85" s="1341"/>
      <c r="Z85" s="1341"/>
      <c r="AA85" s="1341"/>
    </row>
  </sheetData>
  <mergeCells count="39">
    <mergeCell ref="Q6:R6"/>
    <mergeCell ref="N5:R5"/>
    <mergeCell ref="H5:J5"/>
    <mergeCell ref="K5:M5"/>
    <mergeCell ref="D6:E6"/>
    <mergeCell ref="F6:G6"/>
    <mergeCell ref="O6:P6"/>
    <mergeCell ref="R77:V77"/>
    <mergeCell ref="R78:V78"/>
    <mergeCell ref="A1:C1"/>
    <mergeCell ref="S1:U1"/>
    <mergeCell ref="V1:AA1"/>
    <mergeCell ref="A2:AA2"/>
    <mergeCell ref="A3:AA3"/>
    <mergeCell ref="S5:U5"/>
    <mergeCell ref="V5:AA5"/>
    <mergeCell ref="C6:C7"/>
    <mergeCell ref="H6:H7"/>
    <mergeCell ref="I6:I7"/>
    <mergeCell ref="J6:J7"/>
    <mergeCell ref="K6:K7"/>
    <mergeCell ref="L6:L7"/>
    <mergeCell ref="C5:G5"/>
    <mergeCell ref="R85:V85"/>
    <mergeCell ref="W4:AA4"/>
    <mergeCell ref="A74:AA74"/>
    <mergeCell ref="Q75:V75"/>
    <mergeCell ref="W75:AA75"/>
    <mergeCell ref="S6:S7"/>
    <mergeCell ref="T6:T7"/>
    <mergeCell ref="U6:U7"/>
    <mergeCell ref="V6:V7"/>
    <mergeCell ref="W6:Y6"/>
    <mergeCell ref="Z6:AA6"/>
    <mergeCell ref="A5:A7"/>
    <mergeCell ref="B5:B7"/>
    <mergeCell ref="M6:M7"/>
    <mergeCell ref="N6:N7"/>
    <mergeCell ref="R76:V76"/>
  </mergeCells>
  <pageMargins left="0.19685039370078741" right="0.19685039370078741" top="0.35433070866141736" bottom="0.19685039370078741" header="0.31496062992125984" footer="0.31496062992125984"/>
  <pageSetup paperSize="9" scale="55" orientation="landscape" verticalDpi="0"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9"/>
  <dimension ref="A1:AA139"/>
  <sheetViews>
    <sheetView zoomScale="85" zoomScaleNormal="85" workbookViewId="0">
      <pane xSplit="2" ySplit="9" topLeftCell="C22" activePane="bottomRight" state="frozen"/>
      <selection pane="topRight" activeCell="C1" sqref="C1"/>
      <selection pane="bottomLeft" activeCell="A10" sqref="A10"/>
      <selection pane="bottomRight" activeCell="A25" sqref="A25:XFD25"/>
    </sheetView>
  </sheetViews>
  <sheetFormatPr defaultColWidth="10.140625" defaultRowHeight="15.75" x14ac:dyDescent="0.25"/>
  <cols>
    <col min="1" max="1" width="4.7109375" style="591" customWidth="1"/>
    <col min="2" max="2" width="45.7109375" style="1004" customWidth="1"/>
    <col min="3" max="3" width="9.28515625" style="626" customWidth="1"/>
    <col min="4" max="4" width="12.42578125" style="626" customWidth="1"/>
    <col min="5" max="5" width="7.42578125" style="626" customWidth="1"/>
    <col min="6" max="9" width="9.28515625" style="626" customWidth="1"/>
    <col min="10" max="10" width="13.42578125" style="626" customWidth="1"/>
    <col min="11" max="11" width="10.85546875" style="626" customWidth="1"/>
    <col min="12" max="12" width="10.140625" style="626" customWidth="1"/>
    <col min="13" max="13" width="11.42578125" style="626" customWidth="1"/>
    <col min="14" max="14" width="11.5703125" style="626" customWidth="1"/>
    <col min="15" max="15" width="11.85546875" style="626" customWidth="1"/>
    <col min="16" max="16" width="8.28515625" style="626" customWidth="1"/>
    <col min="17" max="17" width="13.85546875" style="626" customWidth="1"/>
    <col min="18" max="18" width="15.140625" style="2282" customWidth="1"/>
    <col min="19" max="19" width="8.5703125" style="626" customWidth="1"/>
    <col min="20" max="20" width="14.140625" style="626" customWidth="1"/>
    <col min="21" max="23" width="9.28515625" style="626" customWidth="1"/>
    <col min="24" max="24" width="13.7109375" style="591" bestFit="1" customWidth="1"/>
    <col min="25" max="16384" width="10.140625" style="591"/>
  </cols>
  <sheetData>
    <row r="1" spans="1:27" x14ac:dyDescent="0.25">
      <c r="A1" s="545" t="s">
        <v>1205</v>
      </c>
      <c r="T1" s="4020" t="s">
        <v>2548</v>
      </c>
      <c r="U1" s="4020"/>
      <c r="V1" s="4020"/>
      <c r="W1" s="4020"/>
    </row>
    <row r="2" spans="1:27" x14ac:dyDescent="0.25">
      <c r="A2" s="3998" t="s">
        <v>3144</v>
      </c>
      <c r="B2" s="3998"/>
      <c r="C2" s="3998"/>
      <c r="D2" s="3998"/>
      <c r="E2" s="3998"/>
      <c r="F2" s="3998"/>
      <c r="G2" s="3998"/>
      <c r="H2" s="3998"/>
      <c r="I2" s="3998"/>
      <c r="J2" s="3998"/>
      <c r="K2" s="3998"/>
      <c r="L2" s="3998"/>
      <c r="M2" s="3998"/>
      <c r="N2" s="3998"/>
      <c r="O2" s="3998"/>
      <c r="P2" s="3998"/>
      <c r="Q2" s="3998"/>
      <c r="R2" s="3998"/>
      <c r="S2" s="3998"/>
      <c r="T2" s="3998"/>
      <c r="U2" s="3998"/>
      <c r="V2" s="3998"/>
      <c r="W2" s="3998"/>
    </row>
    <row r="3" spans="1:27" x14ac:dyDescent="0.25">
      <c r="A3" s="3997" t="str">
        <f>'B49'!A4:E4</f>
        <v>(Kèm theo Quyết định số         /QĐ-UBND ngày      tháng 4 năm 2026 của UBND xã Phong Quang)</v>
      </c>
      <c r="B3" s="3997"/>
      <c r="C3" s="3997"/>
      <c r="D3" s="3997"/>
      <c r="E3" s="3997"/>
      <c r="F3" s="3997"/>
      <c r="G3" s="3997"/>
      <c r="H3" s="3997"/>
      <c r="I3" s="3997"/>
      <c r="J3" s="3997"/>
      <c r="K3" s="3997"/>
      <c r="L3" s="3997"/>
      <c r="M3" s="3997"/>
      <c r="N3" s="3997"/>
      <c r="O3" s="3997"/>
      <c r="P3" s="3997"/>
      <c r="Q3" s="3997"/>
      <c r="R3" s="3997"/>
      <c r="S3" s="3997"/>
      <c r="T3" s="3997"/>
      <c r="U3" s="3997"/>
      <c r="V3" s="3997"/>
      <c r="W3" s="3997"/>
    </row>
    <row r="4" spans="1:27" x14ac:dyDescent="0.25">
      <c r="H4" s="626">
        <f>K85-F85</f>
        <v>0</v>
      </c>
      <c r="N4" s="4112" t="s">
        <v>1461</v>
      </c>
      <c r="O4" s="4112"/>
      <c r="P4" s="4112"/>
      <c r="Q4" s="4112"/>
      <c r="R4" s="4112"/>
      <c r="S4" s="4112"/>
      <c r="T4" s="4112"/>
      <c r="U4" s="4112"/>
      <c r="V4" s="4112"/>
      <c r="W4" s="4112"/>
    </row>
    <row r="5" spans="1:27" ht="36" customHeight="1" x14ac:dyDescent="0.25">
      <c r="A5" s="4001" t="s">
        <v>844</v>
      </c>
      <c r="B5" s="4001" t="s">
        <v>3147</v>
      </c>
      <c r="C5" s="4002" t="s">
        <v>1206</v>
      </c>
      <c r="D5" s="4002"/>
      <c r="E5" s="4002"/>
      <c r="F5" s="4002" t="s">
        <v>3146</v>
      </c>
      <c r="G5" s="4002"/>
      <c r="H5" s="4002"/>
      <c r="I5" s="4022" t="s">
        <v>3139</v>
      </c>
      <c r="J5" s="4023"/>
      <c r="K5" s="4023"/>
      <c r="L5" s="4025" t="s">
        <v>1208</v>
      </c>
      <c r="M5" s="4025" t="s">
        <v>1725</v>
      </c>
      <c r="N5" s="4028" t="s">
        <v>3145</v>
      </c>
      <c r="O5" s="4029"/>
      <c r="P5" s="4029"/>
      <c r="Q5" s="4029"/>
      <c r="R5" s="4029"/>
      <c r="S5" s="4029"/>
      <c r="T5" s="4029"/>
      <c r="U5" s="4029"/>
      <c r="V5" s="4029"/>
      <c r="W5" s="4030"/>
      <c r="AA5" s="591">
        <v>0</v>
      </c>
    </row>
    <row r="6" spans="1:27" x14ac:dyDescent="0.25">
      <c r="A6" s="4001"/>
      <c r="B6" s="4001"/>
      <c r="C6" s="4002" t="s">
        <v>868</v>
      </c>
      <c r="D6" s="4002" t="s">
        <v>907</v>
      </c>
      <c r="E6" s="4002"/>
      <c r="F6" s="4002" t="s">
        <v>868</v>
      </c>
      <c r="G6" s="4002" t="s">
        <v>907</v>
      </c>
      <c r="H6" s="4002"/>
      <c r="I6" s="4027" t="s">
        <v>868</v>
      </c>
      <c r="J6" s="4027" t="s">
        <v>907</v>
      </c>
      <c r="K6" s="4027"/>
      <c r="L6" s="4026"/>
      <c r="M6" s="4026"/>
      <c r="N6" s="4025" t="s">
        <v>868</v>
      </c>
      <c r="O6" s="4002" t="s">
        <v>756</v>
      </c>
      <c r="P6" s="4002"/>
      <c r="Q6" s="4002"/>
      <c r="R6" s="4002"/>
      <c r="S6" s="4002"/>
      <c r="T6" s="4022" t="s">
        <v>757</v>
      </c>
      <c r="U6" s="4023"/>
      <c r="V6" s="4023"/>
      <c r="W6" s="4024"/>
    </row>
    <row r="7" spans="1:27" x14ac:dyDescent="0.25">
      <c r="A7" s="4001"/>
      <c r="B7" s="4001"/>
      <c r="C7" s="4002"/>
      <c r="D7" s="4002" t="s">
        <v>756</v>
      </c>
      <c r="E7" s="4002" t="s">
        <v>757</v>
      </c>
      <c r="F7" s="4002"/>
      <c r="G7" s="4002" t="s">
        <v>756</v>
      </c>
      <c r="H7" s="4002" t="s">
        <v>757</v>
      </c>
      <c r="I7" s="4002"/>
      <c r="J7" s="4002" t="s">
        <v>756</v>
      </c>
      <c r="K7" s="4002" t="s">
        <v>757</v>
      </c>
      <c r="L7" s="4026"/>
      <c r="M7" s="4026"/>
      <c r="N7" s="4026"/>
      <c r="O7" s="4026" t="s">
        <v>1592</v>
      </c>
      <c r="P7" s="4026" t="s">
        <v>1593</v>
      </c>
      <c r="Q7" s="4026" t="s">
        <v>1594</v>
      </c>
      <c r="R7" s="4034" t="s">
        <v>577</v>
      </c>
      <c r="S7" s="4035"/>
      <c r="T7" s="4025" t="s">
        <v>1210</v>
      </c>
      <c r="U7" s="4002" t="s">
        <v>577</v>
      </c>
      <c r="V7" s="4002"/>
      <c r="W7" s="4002"/>
    </row>
    <row r="8" spans="1:27" x14ac:dyDescent="0.25">
      <c r="A8" s="4001"/>
      <c r="B8" s="4001"/>
      <c r="C8" s="4002"/>
      <c r="D8" s="4002"/>
      <c r="E8" s="4002"/>
      <c r="F8" s="4002"/>
      <c r="G8" s="4002"/>
      <c r="H8" s="4002"/>
      <c r="I8" s="4002"/>
      <c r="J8" s="4002"/>
      <c r="K8" s="4002"/>
      <c r="L8" s="4026"/>
      <c r="M8" s="4026"/>
      <c r="N8" s="4026"/>
      <c r="O8" s="4026"/>
      <c r="P8" s="4026"/>
      <c r="Q8" s="4026"/>
      <c r="R8" s="4003" t="s">
        <v>1590</v>
      </c>
      <c r="S8" s="4025" t="s">
        <v>1591</v>
      </c>
      <c r="T8" s="4026"/>
      <c r="U8" s="4025" t="s">
        <v>868</v>
      </c>
      <c r="V8" s="4025" t="s">
        <v>1590</v>
      </c>
      <c r="W8" s="4025" t="s">
        <v>1591</v>
      </c>
    </row>
    <row r="9" spans="1:27" ht="55.15" customHeight="1" x14ac:dyDescent="0.25">
      <c r="A9" s="4001"/>
      <c r="B9" s="4001"/>
      <c r="C9" s="4002"/>
      <c r="D9" s="4002"/>
      <c r="E9" s="4002"/>
      <c r="F9" s="4002"/>
      <c r="G9" s="4002"/>
      <c r="H9" s="4002"/>
      <c r="I9" s="4002"/>
      <c r="J9" s="4002"/>
      <c r="K9" s="4002"/>
      <c r="L9" s="4027"/>
      <c r="M9" s="4027"/>
      <c r="N9" s="4027"/>
      <c r="O9" s="4027"/>
      <c r="P9" s="4027"/>
      <c r="Q9" s="4027"/>
      <c r="R9" s="4003"/>
      <c r="S9" s="4027"/>
      <c r="T9" s="4027"/>
      <c r="U9" s="4027"/>
      <c r="V9" s="4027"/>
      <c r="W9" s="4027"/>
    </row>
    <row r="10" spans="1:27" s="626" customFormat="1" x14ac:dyDescent="0.25">
      <c r="A10" s="698" t="s">
        <v>847</v>
      </c>
      <c r="B10" s="698" t="s">
        <v>848</v>
      </c>
      <c r="C10" s="698">
        <v>1</v>
      </c>
      <c r="D10" s="698">
        <v>2</v>
      </c>
      <c r="E10" s="698">
        <v>3</v>
      </c>
      <c r="F10" s="698">
        <v>4</v>
      </c>
      <c r="G10" s="698">
        <v>5</v>
      </c>
      <c r="H10" s="698">
        <v>6</v>
      </c>
      <c r="I10" s="698">
        <v>8</v>
      </c>
      <c r="J10" s="698">
        <v>9</v>
      </c>
      <c r="K10" s="698">
        <v>10</v>
      </c>
      <c r="L10" s="698">
        <v>13</v>
      </c>
      <c r="M10" s="698"/>
      <c r="N10" s="698">
        <v>14</v>
      </c>
      <c r="O10" s="698">
        <v>15</v>
      </c>
      <c r="P10" s="698">
        <v>16</v>
      </c>
      <c r="Q10" s="698">
        <v>17</v>
      </c>
      <c r="R10" s="2275">
        <v>18</v>
      </c>
      <c r="S10" s="698">
        <v>19</v>
      </c>
      <c r="T10" s="698">
        <v>20</v>
      </c>
      <c r="U10" s="698">
        <v>21</v>
      </c>
      <c r="V10" s="698">
        <v>22</v>
      </c>
      <c r="W10" s="698">
        <v>23</v>
      </c>
    </row>
    <row r="11" spans="1:27" x14ac:dyDescent="0.25">
      <c r="A11" s="1902"/>
      <c r="B11" s="1902" t="s">
        <v>886</v>
      </c>
      <c r="C11" s="1908" t="e">
        <f t="shared" ref="C11:W11" si="0">C12+C68</f>
        <v>#REF!</v>
      </c>
      <c r="D11" s="1908" t="e">
        <f t="shared" si="0"/>
        <v>#REF!</v>
      </c>
      <c r="E11" s="1908">
        <f t="shared" si="0"/>
        <v>0</v>
      </c>
      <c r="F11" s="1908" t="e">
        <f t="shared" si="0"/>
        <v>#REF!</v>
      </c>
      <c r="G11" s="1908" t="e">
        <f t="shared" si="0"/>
        <v>#REF!</v>
      </c>
      <c r="H11" s="1908" t="e">
        <f t="shared" si="0"/>
        <v>#REF!</v>
      </c>
      <c r="I11" s="1908" t="e">
        <f t="shared" si="0"/>
        <v>#REF!</v>
      </c>
      <c r="J11" s="1908" t="e">
        <f t="shared" si="0"/>
        <v>#REF!</v>
      </c>
      <c r="K11" s="1908" t="e">
        <f t="shared" si="0"/>
        <v>#REF!</v>
      </c>
      <c r="L11" s="1908">
        <f t="shared" si="0"/>
        <v>0</v>
      </c>
      <c r="M11" s="1908">
        <f t="shared" si="0"/>
        <v>2008.114</v>
      </c>
      <c r="N11" s="1908" t="e">
        <f t="shared" si="0"/>
        <v>#REF!</v>
      </c>
      <c r="O11" s="1908">
        <f t="shared" si="0"/>
        <v>0</v>
      </c>
      <c r="P11" s="1908">
        <f t="shared" si="0"/>
        <v>0</v>
      </c>
      <c r="Q11" s="1908">
        <f t="shared" si="0"/>
        <v>0</v>
      </c>
      <c r="R11" s="2283">
        <f t="shared" si="0"/>
        <v>12508484.819</v>
      </c>
      <c r="S11" s="1908" t="e">
        <f t="shared" si="0"/>
        <v>#REF!</v>
      </c>
      <c r="T11" s="1908">
        <f t="shared" si="0"/>
        <v>2256.6291000000001</v>
      </c>
      <c r="U11" s="1908" t="e">
        <f t="shared" si="0"/>
        <v>#REF!</v>
      </c>
      <c r="V11" s="1908" t="e">
        <f t="shared" si="0"/>
        <v>#REF!</v>
      </c>
      <c r="W11" s="1908" t="e">
        <f t="shared" si="0"/>
        <v>#REF!</v>
      </c>
    </row>
    <row r="12" spans="1:27" x14ac:dyDescent="0.25">
      <c r="A12" s="1902" t="s">
        <v>847</v>
      </c>
      <c r="B12" s="1902" t="s">
        <v>725</v>
      </c>
      <c r="C12" s="1908">
        <f t="shared" ref="C12:W12" si="1">C13+C27</f>
        <v>12510292</v>
      </c>
      <c r="D12" s="1908">
        <f t="shared" si="1"/>
        <v>12510292</v>
      </c>
      <c r="E12" s="1908">
        <f t="shared" si="1"/>
        <v>0</v>
      </c>
      <c r="F12" s="1908" t="e">
        <f t="shared" si="1"/>
        <v>#REF!</v>
      </c>
      <c r="G12" s="1908">
        <f t="shared" si="1"/>
        <v>0</v>
      </c>
      <c r="H12" s="1908" t="e">
        <f t="shared" si="1"/>
        <v>#REF!</v>
      </c>
      <c r="I12" s="1908" t="e">
        <f t="shared" si="1"/>
        <v>#REF!</v>
      </c>
      <c r="J12" s="1908">
        <f t="shared" si="1"/>
        <v>0</v>
      </c>
      <c r="K12" s="1908" t="e">
        <f t="shared" si="1"/>
        <v>#REF!</v>
      </c>
      <c r="L12" s="1908">
        <f t="shared" si="1"/>
        <v>0</v>
      </c>
      <c r="M12" s="1908">
        <f t="shared" si="1"/>
        <v>2008.114</v>
      </c>
      <c r="N12" s="1908">
        <f t="shared" si="1"/>
        <v>12508484.819</v>
      </c>
      <c r="O12" s="1908">
        <f t="shared" si="1"/>
        <v>0</v>
      </c>
      <c r="P12" s="1908">
        <f t="shared" si="1"/>
        <v>0</v>
      </c>
      <c r="Q12" s="1908">
        <f t="shared" si="1"/>
        <v>0</v>
      </c>
      <c r="R12" s="2283">
        <f t="shared" si="1"/>
        <v>12508484.819</v>
      </c>
      <c r="S12" s="1908">
        <f t="shared" si="1"/>
        <v>0</v>
      </c>
      <c r="T12" s="1908">
        <f t="shared" si="1"/>
        <v>2256.6291000000001</v>
      </c>
      <c r="U12" s="1908" t="e">
        <f t="shared" si="1"/>
        <v>#REF!</v>
      </c>
      <c r="V12" s="1908" t="e">
        <f t="shared" si="1"/>
        <v>#REF!</v>
      </c>
      <c r="W12" s="1908" t="e">
        <f t="shared" si="1"/>
        <v>#REF!</v>
      </c>
    </row>
    <row r="13" spans="1:27" s="589" customFormat="1" x14ac:dyDescent="0.25">
      <c r="A13" s="1909"/>
      <c r="B13" s="1909" t="s">
        <v>1211</v>
      </c>
      <c r="C13" s="1903">
        <f t="shared" ref="C13:W13" si="2">C14+C18</f>
        <v>12510292</v>
      </c>
      <c r="D13" s="1903">
        <f t="shared" si="2"/>
        <v>12510292</v>
      </c>
      <c r="E13" s="1903">
        <f t="shared" si="2"/>
        <v>0</v>
      </c>
      <c r="F13" s="1903" t="e">
        <f t="shared" si="2"/>
        <v>#REF!</v>
      </c>
      <c r="G13" s="1903">
        <f t="shared" si="2"/>
        <v>0</v>
      </c>
      <c r="H13" s="1903" t="e">
        <f t="shared" si="2"/>
        <v>#REF!</v>
      </c>
      <c r="I13" s="1903">
        <f t="shared" si="2"/>
        <v>130</v>
      </c>
      <c r="J13" s="1903">
        <f t="shared" si="2"/>
        <v>0</v>
      </c>
      <c r="K13" s="1903" t="e">
        <f t="shared" si="2"/>
        <v>#REF!</v>
      </c>
      <c r="L13" s="1903">
        <f t="shared" si="2"/>
        <v>0</v>
      </c>
      <c r="M13" s="1903">
        <f t="shared" si="2"/>
        <v>2008.114</v>
      </c>
      <c r="N13" s="1903">
        <f t="shared" si="2"/>
        <v>12508484.819</v>
      </c>
      <c r="O13" s="1903">
        <f t="shared" si="2"/>
        <v>0</v>
      </c>
      <c r="P13" s="1903">
        <f t="shared" si="2"/>
        <v>0</v>
      </c>
      <c r="Q13" s="1903">
        <f t="shared" si="2"/>
        <v>0</v>
      </c>
      <c r="R13" s="2284">
        <f t="shared" si="2"/>
        <v>12508484.819</v>
      </c>
      <c r="S13" s="1903">
        <f t="shared" si="2"/>
        <v>0</v>
      </c>
      <c r="T13" s="1903">
        <f t="shared" si="2"/>
        <v>2033</v>
      </c>
      <c r="U13" s="1903">
        <f t="shared" si="2"/>
        <v>0</v>
      </c>
      <c r="V13" s="1903" t="e">
        <f t="shared" si="2"/>
        <v>#REF!</v>
      </c>
      <c r="W13" s="1903" t="e">
        <f t="shared" si="2"/>
        <v>#REF!</v>
      </c>
    </row>
    <row r="14" spans="1:27" s="583" customFormat="1" x14ac:dyDescent="0.25">
      <c r="A14" s="1909" t="s">
        <v>849</v>
      </c>
      <c r="B14" s="1910" t="s">
        <v>1212</v>
      </c>
      <c r="C14" s="1903">
        <f t="shared" ref="C14:W14" si="3">C15</f>
        <v>0</v>
      </c>
      <c r="D14" s="1903">
        <f t="shared" si="3"/>
        <v>0</v>
      </c>
      <c r="E14" s="1903">
        <f t="shared" si="3"/>
        <v>0</v>
      </c>
      <c r="F14" s="1903">
        <f t="shared" si="3"/>
        <v>1033</v>
      </c>
      <c r="G14" s="1903">
        <f t="shared" si="3"/>
        <v>0</v>
      </c>
      <c r="H14" s="1903">
        <f t="shared" si="3"/>
        <v>1033</v>
      </c>
      <c r="I14" s="1903">
        <f t="shared" si="3"/>
        <v>0</v>
      </c>
      <c r="J14" s="1903">
        <f t="shared" si="3"/>
        <v>0</v>
      </c>
      <c r="K14" s="1903">
        <f t="shared" si="3"/>
        <v>0</v>
      </c>
      <c r="L14" s="1903">
        <f t="shared" si="3"/>
        <v>0</v>
      </c>
      <c r="M14" s="1903">
        <f t="shared" si="3"/>
        <v>0</v>
      </c>
      <c r="N14" s="1903">
        <f t="shared" si="3"/>
        <v>0</v>
      </c>
      <c r="O14" s="1903">
        <f t="shared" si="3"/>
        <v>0</v>
      </c>
      <c r="P14" s="1903">
        <f t="shared" si="3"/>
        <v>0</v>
      </c>
      <c r="Q14" s="1903">
        <f t="shared" si="3"/>
        <v>0</v>
      </c>
      <c r="R14" s="2284">
        <f t="shared" si="3"/>
        <v>0</v>
      </c>
      <c r="S14" s="1903">
        <f t="shared" si="3"/>
        <v>0</v>
      </c>
      <c r="T14" s="1903">
        <f t="shared" si="3"/>
        <v>1033</v>
      </c>
      <c r="U14" s="1903">
        <f t="shared" si="3"/>
        <v>0</v>
      </c>
      <c r="V14" s="1903" t="e">
        <f t="shared" si="3"/>
        <v>#REF!</v>
      </c>
      <c r="W14" s="1903" t="e">
        <f t="shared" si="3"/>
        <v>#REF!</v>
      </c>
    </row>
    <row r="15" spans="1:27" s="583" customFormat="1" ht="17.25" customHeight="1" x14ac:dyDescent="0.25">
      <c r="A15" s="1909">
        <v>1</v>
      </c>
      <c r="B15" s="1910" t="s">
        <v>170</v>
      </c>
      <c r="C15" s="1903">
        <f t="shared" ref="C15:U15" si="4">C16</f>
        <v>0</v>
      </c>
      <c r="D15" s="1903">
        <f t="shared" si="4"/>
        <v>0</v>
      </c>
      <c r="E15" s="1903">
        <f t="shared" si="4"/>
        <v>0</v>
      </c>
      <c r="F15" s="1903">
        <f t="shared" si="4"/>
        <v>1033</v>
      </c>
      <c r="G15" s="1903">
        <f t="shared" si="4"/>
        <v>0</v>
      </c>
      <c r="H15" s="1903">
        <f t="shared" si="4"/>
        <v>1033</v>
      </c>
      <c r="I15" s="1903">
        <f t="shared" si="4"/>
        <v>0</v>
      </c>
      <c r="J15" s="1903">
        <f t="shared" si="4"/>
        <v>0</v>
      </c>
      <c r="K15" s="1903">
        <f t="shared" si="4"/>
        <v>0</v>
      </c>
      <c r="L15" s="1903">
        <f t="shared" si="4"/>
        <v>0</v>
      </c>
      <c r="M15" s="1903">
        <f t="shared" si="4"/>
        <v>0</v>
      </c>
      <c r="N15" s="1903">
        <f t="shared" si="4"/>
        <v>0</v>
      </c>
      <c r="O15" s="1903">
        <f t="shared" si="4"/>
        <v>0</v>
      </c>
      <c r="P15" s="1903">
        <f t="shared" si="4"/>
        <v>0</v>
      </c>
      <c r="Q15" s="1903">
        <f t="shared" si="4"/>
        <v>0</v>
      </c>
      <c r="R15" s="2284">
        <f t="shared" si="4"/>
        <v>0</v>
      </c>
      <c r="S15" s="1903">
        <f t="shared" si="4"/>
        <v>0</v>
      </c>
      <c r="T15" s="1903">
        <f t="shared" si="4"/>
        <v>1033</v>
      </c>
      <c r="U15" s="1903">
        <f t="shared" si="4"/>
        <v>0</v>
      </c>
      <c r="V15" s="1903" t="e">
        <f>#REF!</f>
        <v>#REF!</v>
      </c>
      <c r="W15" s="1903" t="e">
        <f>#REF!</f>
        <v>#REF!</v>
      </c>
    </row>
    <row r="16" spans="1:27" s="589" customFormat="1" ht="17.25" customHeight="1" x14ac:dyDescent="0.25">
      <c r="A16" s="1907"/>
      <c r="B16" s="1911" t="s">
        <v>2959</v>
      </c>
      <c r="C16" s="1904">
        <f>D16+E16</f>
        <v>0</v>
      </c>
      <c r="D16" s="1904"/>
      <c r="E16" s="1904"/>
      <c r="F16" s="1904">
        <f>G16+H16</f>
        <v>1033</v>
      </c>
      <c r="G16" s="1904"/>
      <c r="H16" s="1904">
        <v>1033</v>
      </c>
      <c r="I16" s="1904"/>
      <c r="J16" s="1904"/>
      <c r="K16" s="1904"/>
      <c r="L16" s="1904"/>
      <c r="M16" s="1904"/>
      <c r="N16" s="1904"/>
      <c r="O16" s="1904"/>
      <c r="P16" s="1904"/>
      <c r="Q16" s="1904"/>
      <c r="R16" s="1926"/>
      <c r="S16" s="1904"/>
      <c r="T16" s="1904">
        <v>1033</v>
      </c>
      <c r="U16" s="1904"/>
      <c r="V16" s="1904"/>
      <c r="W16" s="1904"/>
    </row>
    <row r="17" spans="1:24" s="589" customFormat="1" x14ac:dyDescent="0.25">
      <c r="A17" s="1907"/>
      <c r="B17" s="1911"/>
      <c r="C17" s="1904"/>
      <c r="D17" s="1904"/>
      <c r="E17" s="1904"/>
      <c r="F17" s="1904"/>
      <c r="G17" s="1904"/>
      <c r="H17" s="1904"/>
      <c r="I17" s="1904"/>
      <c r="J17" s="1904"/>
      <c r="K17" s="1904"/>
      <c r="L17" s="1904"/>
      <c r="M17" s="1904"/>
      <c r="N17" s="1904"/>
      <c r="O17" s="1904"/>
      <c r="P17" s="1904"/>
      <c r="Q17" s="1904"/>
      <c r="R17" s="1926"/>
      <c r="S17" s="1904"/>
      <c r="T17" s="1904"/>
      <c r="U17" s="1904"/>
      <c r="V17" s="1904"/>
      <c r="W17" s="1904"/>
    </row>
    <row r="18" spans="1:24" s="589" customFormat="1" x14ac:dyDescent="0.25">
      <c r="A18" s="1909">
        <v>2</v>
      </c>
      <c r="B18" s="1912" t="s">
        <v>1757</v>
      </c>
      <c r="C18" s="1903">
        <f t="shared" ref="C18:W18" si="5">C19+C23</f>
        <v>12510292</v>
      </c>
      <c r="D18" s="1903">
        <f t="shared" si="5"/>
        <v>12510292</v>
      </c>
      <c r="E18" s="1903">
        <f t="shared" si="5"/>
        <v>0</v>
      </c>
      <c r="F18" s="1903" t="e">
        <f t="shared" si="5"/>
        <v>#REF!</v>
      </c>
      <c r="G18" s="1903">
        <f t="shared" si="5"/>
        <v>0</v>
      </c>
      <c r="H18" s="1903" t="e">
        <f t="shared" si="5"/>
        <v>#REF!</v>
      </c>
      <c r="I18" s="1903">
        <f t="shared" si="5"/>
        <v>130</v>
      </c>
      <c r="J18" s="1903">
        <f t="shared" si="5"/>
        <v>0</v>
      </c>
      <c r="K18" s="1903" t="e">
        <f t="shared" si="5"/>
        <v>#REF!</v>
      </c>
      <c r="L18" s="1903">
        <f t="shared" si="5"/>
        <v>0</v>
      </c>
      <c r="M18" s="1903">
        <f t="shared" si="5"/>
        <v>2008.114</v>
      </c>
      <c r="N18" s="1903">
        <f t="shared" si="5"/>
        <v>12508484.819</v>
      </c>
      <c r="O18" s="1903">
        <f t="shared" si="5"/>
        <v>0</v>
      </c>
      <c r="P18" s="1903">
        <f t="shared" si="5"/>
        <v>0</v>
      </c>
      <c r="Q18" s="1903">
        <f t="shared" si="5"/>
        <v>0</v>
      </c>
      <c r="R18" s="2284">
        <f t="shared" si="5"/>
        <v>12508484.819</v>
      </c>
      <c r="S18" s="1903">
        <f t="shared" si="5"/>
        <v>0</v>
      </c>
      <c r="T18" s="1903">
        <f t="shared" si="5"/>
        <v>1000</v>
      </c>
      <c r="U18" s="1903">
        <f t="shared" si="5"/>
        <v>0</v>
      </c>
      <c r="V18" s="1903">
        <f t="shared" si="5"/>
        <v>0</v>
      </c>
      <c r="W18" s="1903">
        <f t="shared" si="5"/>
        <v>0</v>
      </c>
    </row>
    <row r="19" spans="1:24" s="589" customFormat="1" x14ac:dyDescent="0.25">
      <c r="A19" s="1909" t="s">
        <v>1317</v>
      </c>
      <c r="B19" s="1912" t="s">
        <v>707</v>
      </c>
      <c r="C19" s="1903">
        <f t="shared" ref="C19:W19" si="6">C20</f>
        <v>12510292</v>
      </c>
      <c r="D19" s="1903">
        <f t="shared" si="6"/>
        <v>12510292</v>
      </c>
      <c r="E19" s="1903">
        <f t="shared" si="6"/>
        <v>0</v>
      </c>
      <c r="F19" s="1903">
        <f t="shared" si="6"/>
        <v>0</v>
      </c>
      <c r="G19" s="1903">
        <f t="shared" si="6"/>
        <v>0</v>
      </c>
      <c r="H19" s="1903">
        <f t="shared" si="6"/>
        <v>0</v>
      </c>
      <c r="I19" s="1903">
        <f t="shared" si="6"/>
        <v>0</v>
      </c>
      <c r="J19" s="1903">
        <f t="shared" si="6"/>
        <v>0</v>
      </c>
      <c r="K19" s="1903">
        <f t="shared" si="6"/>
        <v>0</v>
      </c>
      <c r="L19" s="1903">
        <f t="shared" si="6"/>
        <v>0</v>
      </c>
      <c r="M19" s="1903">
        <f t="shared" si="6"/>
        <v>2008.114</v>
      </c>
      <c r="N19" s="1903">
        <f t="shared" si="6"/>
        <v>12508484.819</v>
      </c>
      <c r="O19" s="1903">
        <f t="shared" si="6"/>
        <v>0</v>
      </c>
      <c r="P19" s="1903">
        <f t="shared" si="6"/>
        <v>0</v>
      </c>
      <c r="Q19" s="1903">
        <f t="shared" si="6"/>
        <v>0</v>
      </c>
      <c r="R19" s="2284">
        <f t="shared" si="6"/>
        <v>12508484.819</v>
      </c>
      <c r="S19" s="1903">
        <f t="shared" si="6"/>
        <v>0</v>
      </c>
      <c r="T19" s="1903">
        <f t="shared" si="6"/>
        <v>0</v>
      </c>
      <c r="U19" s="1903">
        <f t="shared" si="6"/>
        <v>0</v>
      </c>
      <c r="V19" s="1903">
        <f t="shared" si="6"/>
        <v>0</v>
      </c>
      <c r="W19" s="1903">
        <f t="shared" si="6"/>
        <v>0</v>
      </c>
    </row>
    <row r="20" spans="1:24" s="589" customFormat="1" x14ac:dyDescent="0.25">
      <c r="A20" s="1909" t="s">
        <v>902</v>
      </c>
      <c r="B20" s="1912" t="s">
        <v>2961</v>
      </c>
      <c r="C20" s="1903">
        <f t="shared" ref="C20:W20" si="7">C21+C22</f>
        <v>12510292</v>
      </c>
      <c r="D20" s="1903">
        <f t="shared" si="7"/>
        <v>12510292</v>
      </c>
      <c r="E20" s="1903">
        <f t="shared" si="7"/>
        <v>0</v>
      </c>
      <c r="F20" s="1903">
        <f t="shared" si="7"/>
        <v>0</v>
      </c>
      <c r="G20" s="1903">
        <f t="shared" si="7"/>
        <v>0</v>
      </c>
      <c r="H20" s="1903">
        <f t="shared" si="7"/>
        <v>0</v>
      </c>
      <c r="I20" s="1903">
        <f t="shared" si="7"/>
        <v>0</v>
      </c>
      <c r="J20" s="1903">
        <f t="shared" si="7"/>
        <v>0</v>
      </c>
      <c r="K20" s="1903">
        <f t="shared" si="7"/>
        <v>0</v>
      </c>
      <c r="L20" s="1903">
        <f t="shared" si="7"/>
        <v>0</v>
      </c>
      <c r="M20" s="1903">
        <f t="shared" si="7"/>
        <v>2008.114</v>
      </c>
      <c r="N20" s="1903">
        <f t="shared" si="7"/>
        <v>12508484.819</v>
      </c>
      <c r="O20" s="1903">
        <f t="shared" si="7"/>
        <v>0</v>
      </c>
      <c r="P20" s="1903">
        <f t="shared" si="7"/>
        <v>0</v>
      </c>
      <c r="Q20" s="1903">
        <f t="shared" si="7"/>
        <v>0</v>
      </c>
      <c r="R20" s="2284">
        <f t="shared" si="7"/>
        <v>12508484.819</v>
      </c>
      <c r="S20" s="1903">
        <f t="shared" si="7"/>
        <v>0</v>
      </c>
      <c r="T20" s="1903">
        <f t="shared" si="7"/>
        <v>0</v>
      </c>
      <c r="U20" s="1903">
        <f t="shared" si="7"/>
        <v>0</v>
      </c>
      <c r="V20" s="1903">
        <f t="shared" si="7"/>
        <v>0</v>
      </c>
      <c r="W20" s="1903">
        <f t="shared" si="7"/>
        <v>0</v>
      </c>
    </row>
    <row r="21" spans="1:24" s="1916" customFormat="1" x14ac:dyDescent="0.25">
      <c r="A21" s="1913"/>
      <c r="B21" s="1914" t="s">
        <v>2756</v>
      </c>
      <c r="C21" s="1903">
        <f>D21+E21</f>
        <v>2110694</v>
      </c>
      <c r="D21" s="1915">
        <f>'B61'!E11</f>
        <v>2110694</v>
      </c>
      <c r="E21" s="1915"/>
      <c r="F21" s="1915"/>
      <c r="G21" s="1915"/>
      <c r="H21" s="1915"/>
      <c r="I21" s="1915">
        <f>J21+K21</f>
        <v>0</v>
      </c>
      <c r="J21" s="1915">
        <f>'B61'!N11</f>
        <v>0</v>
      </c>
      <c r="K21" s="1915"/>
      <c r="L21" s="1915"/>
      <c r="M21" s="1915">
        <v>200.93299999999999</v>
      </c>
      <c r="N21" s="1915">
        <f>R21</f>
        <v>2110694</v>
      </c>
      <c r="O21" s="1915"/>
      <c r="P21" s="1915"/>
      <c r="Q21" s="1915"/>
      <c r="R21" s="2285">
        <f>D21-J21</f>
        <v>2110694</v>
      </c>
      <c r="S21" s="1915"/>
      <c r="T21" s="1915"/>
      <c r="U21" s="1915"/>
      <c r="V21" s="1915"/>
      <c r="W21" s="1915"/>
    </row>
    <row r="22" spans="1:24" s="1942" customFormat="1" x14ac:dyDescent="0.25">
      <c r="A22" s="1936"/>
      <c r="B22" s="1937" t="s">
        <v>2757</v>
      </c>
      <c r="C22" s="1938">
        <f>D22+E22</f>
        <v>10399598</v>
      </c>
      <c r="D22" s="1939">
        <f>'B61'!E12</f>
        <v>10399598</v>
      </c>
      <c r="E22" s="1939"/>
      <c r="F22" s="1939"/>
      <c r="G22" s="1939"/>
      <c r="H22" s="1939"/>
      <c r="I22" s="1939">
        <f>J22+K22</f>
        <v>0</v>
      </c>
      <c r="J22" s="1939">
        <f>'B61'!N12</f>
        <v>0</v>
      </c>
      <c r="K22" s="1939"/>
      <c r="L22" s="1939"/>
      <c r="M22" s="2047">
        <f>'Nông thôn mới 2021'!T17</f>
        <v>1807.181</v>
      </c>
      <c r="N22" s="1939">
        <f>R22+S22</f>
        <v>10397790.819</v>
      </c>
      <c r="O22" s="1939"/>
      <c r="P22" s="1939"/>
      <c r="Q22" s="1939"/>
      <c r="R22" s="1940">
        <f>D22-I22-M22-S22</f>
        <v>10397790.819</v>
      </c>
      <c r="S22" s="1940"/>
      <c r="T22" s="1939"/>
      <c r="U22" s="1939"/>
      <c r="V22" s="1939"/>
      <c r="W22" s="1939"/>
      <c r="X22" s="1941">
        <f>R22+S22</f>
        <v>10397790.819</v>
      </c>
    </row>
    <row r="23" spans="1:24" s="583" customFormat="1" x14ac:dyDescent="0.25">
      <c r="A23" s="1909" t="s">
        <v>1317</v>
      </c>
      <c r="B23" s="1910" t="s">
        <v>1471</v>
      </c>
      <c r="C23" s="1903">
        <f>SUM(C24:C24)</f>
        <v>0</v>
      </c>
      <c r="D23" s="1903">
        <f>SUM(D24:D24)</f>
        <v>0</v>
      </c>
      <c r="E23" s="1903">
        <f>SUM(E24:E24)</f>
        <v>0</v>
      </c>
      <c r="F23" s="1903" t="e">
        <f t="shared" ref="F23:W23" si="8">SUM(F24:F26)</f>
        <v>#REF!</v>
      </c>
      <c r="G23" s="1903">
        <f t="shared" si="8"/>
        <v>0</v>
      </c>
      <c r="H23" s="1903" t="e">
        <f t="shared" si="8"/>
        <v>#REF!</v>
      </c>
      <c r="I23" s="1903">
        <f t="shared" si="8"/>
        <v>130</v>
      </c>
      <c r="J23" s="1903">
        <f t="shared" si="8"/>
        <v>0</v>
      </c>
      <c r="K23" s="1903" t="e">
        <f t="shared" si="8"/>
        <v>#REF!</v>
      </c>
      <c r="L23" s="1903">
        <f t="shared" si="8"/>
        <v>0</v>
      </c>
      <c r="M23" s="1903">
        <f t="shared" si="8"/>
        <v>0</v>
      </c>
      <c r="N23" s="1903">
        <f t="shared" si="8"/>
        <v>0</v>
      </c>
      <c r="O23" s="1903">
        <f t="shared" si="8"/>
        <v>0</v>
      </c>
      <c r="P23" s="1903">
        <f t="shared" si="8"/>
        <v>0</v>
      </c>
      <c r="Q23" s="1903">
        <f t="shared" si="8"/>
        <v>0</v>
      </c>
      <c r="R23" s="2284">
        <f t="shared" si="8"/>
        <v>0</v>
      </c>
      <c r="S23" s="1903">
        <f t="shared" si="8"/>
        <v>0</v>
      </c>
      <c r="T23" s="1903">
        <f t="shared" si="8"/>
        <v>1000</v>
      </c>
      <c r="U23" s="1903">
        <f t="shared" si="8"/>
        <v>0</v>
      </c>
      <c r="V23" s="1903">
        <f t="shared" si="8"/>
        <v>0</v>
      </c>
      <c r="W23" s="1903">
        <f t="shared" si="8"/>
        <v>0</v>
      </c>
      <c r="X23" s="1935" t="e">
        <f>S75</f>
        <v>#REF!</v>
      </c>
    </row>
    <row r="24" spans="1:24" s="589" customFormat="1" ht="31.5" x14ac:dyDescent="0.25">
      <c r="A24" s="1907">
        <v>2.2000000000000002</v>
      </c>
      <c r="B24" s="1911" t="s">
        <v>2957</v>
      </c>
      <c r="C24" s="1904"/>
      <c r="D24" s="1904"/>
      <c r="E24" s="1904"/>
      <c r="F24" s="1904">
        <f>H24</f>
        <v>130</v>
      </c>
      <c r="G24" s="1904"/>
      <c r="H24" s="1904">
        <v>130</v>
      </c>
      <c r="I24" s="1904">
        <f>K24</f>
        <v>130</v>
      </c>
      <c r="J24" s="1904"/>
      <c r="K24" s="1904">
        <v>130</v>
      </c>
      <c r="L24" s="1904"/>
      <c r="M24" s="1904"/>
      <c r="N24" s="1904"/>
      <c r="O24" s="1904"/>
      <c r="P24" s="1904"/>
      <c r="Q24" s="1904"/>
      <c r="R24" s="1926"/>
      <c r="S24" s="1904"/>
      <c r="T24" s="1904"/>
      <c r="U24" s="1904">
        <f>V24+W24</f>
        <v>0</v>
      </c>
      <c r="V24" s="1904">
        <f>F24-I24</f>
        <v>0</v>
      </c>
      <c r="W24" s="1904"/>
    </row>
    <row r="25" spans="1:24" s="589" customFormat="1" ht="21" customHeight="1" x14ac:dyDescent="0.25">
      <c r="A25" s="1907">
        <v>2.2999999999999998</v>
      </c>
      <c r="B25" s="1911" t="s">
        <v>3059</v>
      </c>
      <c r="C25" s="1904"/>
      <c r="D25" s="1904"/>
      <c r="E25" s="1904"/>
      <c r="F25" s="1904">
        <v>1000</v>
      </c>
      <c r="G25" s="1904"/>
      <c r="H25" s="1904">
        <v>1000</v>
      </c>
      <c r="I25" s="1904"/>
      <c r="J25" s="1904"/>
      <c r="K25" s="1904"/>
      <c r="L25" s="1904"/>
      <c r="M25" s="1904"/>
      <c r="N25" s="1904"/>
      <c r="O25" s="1904"/>
      <c r="P25" s="1904"/>
      <c r="Q25" s="1904"/>
      <c r="R25" s="1926"/>
      <c r="S25" s="1904"/>
      <c r="T25" s="1904">
        <v>1000</v>
      </c>
      <c r="U25" s="1904"/>
      <c r="V25" s="1904"/>
      <c r="W25" s="1904"/>
    </row>
    <row r="26" spans="1:24" s="589" customFormat="1" ht="63" x14ac:dyDescent="0.25">
      <c r="A26" s="1907">
        <v>2.4</v>
      </c>
      <c r="B26" s="1911" t="s">
        <v>2679</v>
      </c>
      <c r="C26" s="1904"/>
      <c r="D26" s="1904"/>
      <c r="E26" s="1904"/>
      <c r="F26" s="1904" t="e">
        <f>H26</f>
        <v>#REF!</v>
      </c>
      <c r="G26" s="1904"/>
      <c r="H26" s="1904" t="e">
        <f>'B53'!#REF!</f>
        <v>#REF!</v>
      </c>
      <c r="I26" s="1904"/>
      <c r="J26" s="1904"/>
      <c r="K26" s="1904" t="e">
        <f>H26</f>
        <v>#REF!</v>
      </c>
      <c r="L26" s="1904"/>
      <c r="M26" s="1904"/>
      <c r="N26" s="1904"/>
      <c r="O26" s="1904"/>
      <c r="P26" s="1904"/>
      <c r="Q26" s="1904"/>
      <c r="R26" s="1926"/>
      <c r="S26" s="1904"/>
      <c r="T26" s="1904"/>
      <c r="U26" s="1904"/>
      <c r="V26" s="1904"/>
      <c r="W26" s="1904"/>
    </row>
    <row r="27" spans="1:24" s="589" customFormat="1" x14ac:dyDescent="0.25">
      <c r="A27" s="1909">
        <v>3</v>
      </c>
      <c r="B27" s="1910" t="s">
        <v>1231</v>
      </c>
      <c r="C27" s="1903">
        <f>SUM(C28:C62)</f>
        <v>0</v>
      </c>
      <c r="D27" s="1903">
        <f>SUM(D28:D62)</f>
        <v>0</v>
      </c>
      <c r="E27" s="1903">
        <f>SUM(E28:E62)</f>
        <v>0</v>
      </c>
      <c r="F27" s="1903" t="e">
        <f t="shared" ref="F27:W27" si="9">SUM(F28:F67)</f>
        <v>#REF!</v>
      </c>
      <c r="G27" s="1903">
        <f t="shared" si="9"/>
        <v>0</v>
      </c>
      <c r="H27" s="1903" t="e">
        <f t="shared" si="9"/>
        <v>#REF!</v>
      </c>
      <c r="I27" s="1903" t="e">
        <f t="shared" si="9"/>
        <v>#REF!</v>
      </c>
      <c r="J27" s="1903">
        <f t="shared" si="9"/>
        <v>0</v>
      </c>
      <c r="K27" s="1903" t="e">
        <f t="shared" si="9"/>
        <v>#REF!</v>
      </c>
      <c r="L27" s="1903">
        <f t="shared" si="9"/>
        <v>0</v>
      </c>
      <c r="M27" s="1903">
        <f t="shared" si="9"/>
        <v>0</v>
      </c>
      <c r="N27" s="1903">
        <f t="shared" si="9"/>
        <v>0</v>
      </c>
      <c r="O27" s="1903">
        <f t="shared" si="9"/>
        <v>0</v>
      </c>
      <c r="P27" s="1903">
        <f t="shared" si="9"/>
        <v>0</v>
      </c>
      <c r="Q27" s="1903">
        <f t="shared" si="9"/>
        <v>0</v>
      </c>
      <c r="R27" s="2284">
        <f t="shared" si="9"/>
        <v>0</v>
      </c>
      <c r="S27" s="1903">
        <f t="shared" si="9"/>
        <v>0</v>
      </c>
      <c r="T27" s="1903">
        <f t="shared" si="9"/>
        <v>223.62909999999999</v>
      </c>
      <c r="U27" s="1903" t="e">
        <f t="shared" si="9"/>
        <v>#REF!</v>
      </c>
      <c r="V27" s="1903" t="e">
        <f t="shared" si="9"/>
        <v>#REF!</v>
      </c>
      <c r="W27" s="1903">
        <f t="shared" si="9"/>
        <v>0</v>
      </c>
    </row>
    <row r="28" spans="1:24" s="589" customFormat="1" ht="36.75" customHeight="1" x14ac:dyDescent="0.25">
      <c r="A28" s="1907" t="s">
        <v>711</v>
      </c>
      <c r="B28" s="1911" t="s">
        <v>2747</v>
      </c>
      <c r="C28" s="1904"/>
      <c r="D28" s="1904"/>
      <c r="E28" s="1904"/>
      <c r="F28" s="1904">
        <f>G28+H28</f>
        <v>12817</v>
      </c>
      <c r="G28" s="1904"/>
      <c r="H28" s="1904">
        <v>12817</v>
      </c>
      <c r="I28" s="1904">
        <f>J28+K28</f>
        <v>12550.346</v>
      </c>
      <c r="J28" s="1904"/>
      <c r="K28" s="1904">
        <v>12550.346</v>
      </c>
      <c r="L28" s="1904"/>
      <c r="M28" s="1904"/>
      <c r="N28" s="1904"/>
      <c r="O28" s="1904"/>
      <c r="P28" s="1904"/>
      <c r="Q28" s="1904"/>
      <c r="R28" s="1926"/>
      <c r="S28" s="1904"/>
      <c r="T28" s="1904">
        <v>214.55410000000001</v>
      </c>
      <c r="U28" s="1904">
        <f>V28+W28</f>
        <v>52.099900000000446</v>
      </c>
      <c r="V28" s="1904">
        <f>F28-K28-T28</f>
        <v>52.099900000000446</v>
      </c>
      <c r="W28" s="1904"/>
    </row>
    <row r="29" spans="1:24" s="2041" customFormat="1" ht="69.75" customHeight="1" x14ac:dyDescent="0.25">
      <c r="A29" s="2037" t="s">
        <v>711</v>
      </c>
      <c r="B29" s="2038" t="s">
        <v>2750</v>
      </c>
      <c r="C29" s="2039"/>
      <c r="D29" s="2039"/>
      <c r="E29" s="2039"/>
      <c r="F29" s="2039">
        <f>H29</f>
        <v>5730</v>
      </c>
      <c r="G29" s="2039"/>
      <c r="H29" s="2039">
        <v>5730</v>
      </c>
      <c r="I29" s="2039">
        <f>J29+K29+K30</f>
        <v>5584.5874999999996</v>
      </c>
      <c r="J29" s="2039"/>
      <c r="K29" s="2045">
        <f>'QT theo cơ cấu'!G33</f>
        <v>5485.2184999999999</v>
      </c>
      <c r="L29" s="2039">
        <f>+L30</f>
        <v>0</v>
      </c>
      <c r="M29" s="2039"/>
      <c r="N29" s="2039"/>
      <c r="O29" s="2039"/>
      <c r="P29" s="2039"/>
      <c r="Q29" s="2039"/>
      <c r="R29" s="2286"/>
      <c r="S29" s="2039"/>
      <c r="T29" s="2039">
        <f>'5.30'!E45+'5.30'!E46+'5.30'!E47</f>
        <v>9.0749999999999993</v>
      </c>
      <c r="U29" s="2039">
        <f>V29</f>
        <v>36.968500000000361</v>
      </c>
      <c r="V29" s="2039">
        <f>F29-I29-K30-T29</f>
        <v>36.968500000000361</v>
      </c>
      <c r="W29" s="2039"/>
      <c r="X29" s="2040">
        <f>F29-K29-K30</f>
        <v>145.41250000000005</v>
      </c>
    </row>
    <row r="30" spans="1:24" s="1781" customFormat="1" ht="54.75" customHeight="1" x14ac:dyDescent="0.25">
      <c r="A30" s="2042" t="s">
        <v>711</v>
      </c>
      <c r="B30" s="2043" t="s">
        <v>2315</v>
      </c>
      <c r="C30" s="2044"/>
      <c r="D30" s="2044"/>
      <c r="E30" s="2044"/>
      <c r="F30" s="2044"/>
      <c r="G30" s="2044"/>
      <c r="H30" s="2044"/>
      <c r="I30" s="2044"/>
      <c r="J30" s="2044"/>
      <c r="K30" s="2046">
        <f>'CCTL 2021chuẩn'!D13</f>
        <v>99.369</v>
      </c>
      <c r="L30" s="2044"/>
      <c r="M30" s="2044"/>
      <c r="N30" s="2044"/>
      <c r="O30" s="2044"/>
      <c r="P30" s="2044"/>
      <c r="Q30" s="2044"/>
      <c r="R30" s="2046"/>
      <c r="S30" s="2044"/>
      <c r="T30" s="2044"/>
      <c r="U30" s="2044">
        <f>V30+W30</f>
        <v>0</v>
      </c>
      <c r="V30" s="2044"/>
      <c r="W30" s="2044"/>
    </row>
    <row r="31" spans="1:24" s="589" customFormat="1" ht="88.5" customHeight="1" x14ac:dyDescent="0.25">
      <c r="A31" s="1907"/>
      <c r="B31" s="1911" t="s">
        <v>2666</v>
      </c>
      <c r="C31" s="1904"/>
      <c r="D31" s="1904"/>
      <c r="E31" s="1904"/>
      <c r="F31" s="1904">
        <f t="shared" ref="F31:F36" si="10">H31</f>
        <v>5496</v>
      </c>
      <c r="G31" s="1904"/>
      <c r="H31" s="1904">
        <v>5496</v>
      </c>
      <c r="I31" s="1904">
        <f t="shared" ref="I31:I66" si="11">K31</f>
        <v>5496</v>
      </c>
      <c r="J31" s="1904"/>
      <c r="K31" s="1904">
        <v>5496</v>
      </c>
      <c r="L31" s="1904"/>
      <c r="M31" s="1904"/>
      <c r="N31" s="1904"/>
      <c r="O31" s="1904"/>
      <c r="P31" s="1904"/>
      <c r="Q31" s="1904"/>
      <c r="R31" s="1926"/>
      <c r="S31" s="1904"/>
      <c r="T31" s="1904"/>
      <c r="U31" s="1904"/>
      <c r="V31" s="1904"/>
      <c r="W31" s="1904"/>
    </row>
    <row r="32" spans="1:24" s="589" customFormat="1" ht="52.5" customHeight="1" x14ac:dyDescent="0.25">
      <c r="A32" s="1907" t="s">
        <v>711</v>
      </c>
      <c r="B32" s="1917" t="s">
        <v>1760</v>
      </c>
      <c r="C32" s="1904"/>
      <c r="D32" s="1904"/>
      <c r="E32" s="1904"/>
      <c r="F32" s="1904">
        <f t="shared" si="10"/>
        <v>4697</v>
      </c>
      <c r="G32" s="1904"/>
      <c r="H32" s="1904">
        <f>3575+1122</f>
        <v>4697</v>
      </c>
      <c r="I32" s="1904">
        <f t="shared" si="11"/>
        <v>4482.384</v>
      </c>
      <c r="J32" s="1904"/>
      <c r="K32" s="1904">
        <v>4482.384</v>
      </c>
      <c r="L32" s="1904"/>
      <c r="M32" s="1904"/>
      <c r="N32" s="1904"/>
      <c r="O32" s="1904"/>
      <c r="P32" s="1904"/>
      <c r="Q32" s="1904"/>
      <c r="R32" s="1926"/>
      <c r="S32" s="1904"/>
      <c r="T32" s="1904"/>
      <c r="U32" s="1904">
        <f t="shared" ref="U32:U45" si="12">V32+W32</f>
        <v>214.61599999999999</v>
      </c>
      <c r="V32" s="1904">
        <f>F32-K32-M32</f>
        <v>214.61599999999999</v>
      </c>
      <c r="W32" s="1904"/>
    </row>
    <row r="33" spans="1:23" s="589" customFormat="1" ht="31.5" x14ac:dyDescent="0.25">
      <c r="A33" s="1907" t="s">
        <v>711</v>
      </c>
      <c r="B33" s="1911" t="s">
        <v>1238</v>
      </c>
      <c r="C33" s="1904"/>
      <c r="D33" s="1904"/>
      <c r="E33" s="1904"/>
      <c r="F33" s="1904">
        <f t="shared" si="10"/>
        <v>581</v>
      </c>
      <c r="G33" s="1904"/>
      <c r="H33" s="1904">
        <v>581</v>
      </c>
      <c r="I33" s="1904">
        <f t="shared" si="11"/>
        <v>581.13</v>
      </c>
      <c r="J33" s="1904"/>
      <c r="K33" s="1904">
        <v>581.13</v>
      </c>
      <c r="L33" s="1904"/>
      <c r="M33" s="1904"/>
      <c r="N33" s="1904"/>
      <c r="O33" s="1904"/>
      <c r="P33" s="1904"/>
      <c r="Q33" s="1904"/>
      <c r="R33" s="1926"/>
      <c r="S33" s="1904"/>
      <c r="T33" s="1904"/>
      <c r="U33" s="1904">
        <f t="shared" si="12"/>
        <v>-0.12999999999999545</v>
      </c>
      <c r="V33" s="1904">
        <f t="shared" ref="V33:V44" si="13">F33-I33-M33</f>
        <v>-0.12999999999999545</v>
      </c>
      <c r="W33" s="1904"/>
    </row>
    <row r="34" spans="1:23" s="589" customFormat="1" ht="47.25" x14ac:dyDescent="0.25">
      <c r="A34" s="1907" t="s">
        <v>711</v>
      </c>
      <c r="B34" s="1887" t="s">
        <v>2752</v>
      </c>
      <c r="C34" s="1904"/>
      <c r="D34" s="1904"/>
      <c r="E34" s="1904"/>
      <c r="F34" s="1904">
        <f t="shared" si="10"/>
        <v>2663</v>
      </c>
      <c r="G34" s="1904"/>
      <c r="H34" s="1904">
        <f>1963+700</f>
        <v>2663</v>
      </c>
      <c r="I34" s="1904">
        <f t="shared" si="11"/>
        <v>2680.78</v>
      </c>
      <c r="J34" s="1904"/>
      <c r="K34" s="1904">
        <v>2680.78</v>
      </c>
      <c r="L34" s="1904"/>
      <c r="M34" s="1904"/>
      <c r="N34" s="1904"/>
      <c r="O34" s="1904"/>
      <c r="P34" s="1904"/>
      <c r="Q34" s="1904"/>
      <c r="R34" s="1926"/>
      <c r="S34" s="1904"/>
      <c r="T34" s="1904"/>
      <c r="U34" s="1904">
        <f t="shared" si="12"/>
        <v>-17.7800000000002</v>
      </c>
      <c r="V34" s="1904">
        <f t="shared" si="13"/>
        <v>-17.7800000000002</v>
      </c>
      <c r="W34" s="1904"/>
    </row>
    <row r="35" spans="1:23" s="589" customFormat="1" ht="31.5" x14ac:dyDescent="0.25">
      <c r="A35" s="1907" t="s">
        <v>711</v>
      </c>
      <c r="B35" s="1911" t="s">
        <v>1607</v>
      </c>
      <c r="C35" s="1904"/>
      <c r="D35" s="1904"/>
      <c r="E35" s="1904"/>
      <c r="F35" s="1904">
        <f t="shared" si="10"/>
        <v>53</v>
      </c>
      <c r="G35" s="1904"/>
      <c r="H35" s="1904">
        <v>53</v>
      </c>
      <c r="I35" s="1904">
        <f t="shared" si="11"/>
        <v>77.877111999999997</v>
      </c>
      <c r="J35" s="1904"/>
      <c r="K35" s="1904">
        <v>77.877111999999997</v>
      </c>
      <c r="L35" s="1904"/>
      <c r="M35" s="1904"/>
      <c r="N35" s="1904"/>
      <c r="O35" s="1904"/>
      <c r="P35" s="1904"/>
      <c r="Q35" s="1904"/>
      <c r="R35" s="1926"/>
      <c r="S35" s="1904"/>
      <c r="T35" s="1904"/>
      <c r="U35" s="1904">
        <f t="shared" si="12"/>
        <v>-24.877111999999997</v>
      </c>
      <c r="V35" s="1904">
        <f t="shared" si="13"/>
        <v>-24.877111999999997</v>
      </c>
      <c r="W35" s="1904"/>
    </row>
    <row r="36" spans="1:23" s="589" customFormat="1" ht="50.25" customHeight="1" x14ac:dyDescent="0.25">
      <c r="A36" s="1907" t="s">
        <v>711</v>
      </c>
      <c r="B36" s="1911" t="s">
        <v>1608</v>
      </c>
      <c r="C36" s="1904"/>
      <c r="D36" s="1904"/>
      <c r="E36" s="1904"/>
      <c r="F36" s="1904">
        <f t="shared" si="10"/>
        <v>80</v>
      </c>
      <c r="G36" s="1904"/>
      <c r="H36" s="1904">
        <f>48+32</f>
        <v>80</v>
      </c>
      <c r="I36" s="1904">
        <f t="shared" si="11"/>
        <v>80.459999999999994</v>
      </c>
      <c r="J36" s="1904"/>
      <c r="K36" s="1904">
        <v>80.459999999999994</v>
      </c>
      <c r="L36" s="1904"/>
      <c r="M36" s="1904"/>
      <c r="N36" s="1904"/>
      <c r="O36" s="1904"/>
      <c r="P36" s="1904"/>
      <c r="Q36" s="1904"/>
      <c r="R36" s="1926"/>
      <c r="S36" s="1904"/>
      <c r="T36" s="1904"/>
      <c r="U36" s="1904">
        <f t="shared" si="12"/>
        <v>-0.45999999999999375</v>
      </c>
      <c r="V36" s="1904">
        <f t="shared" si="13"/>
        <v>-0.45999999999999375</v>
      </c>
      <c r="W36" s="1904"/>
    </row>
    <row r="37" spans="1:23" s="589" customFormat="1" ht="67.5" customHeight="1" x14ac:dyDescent="0.25">
      <c r="A37" s="1907" t="s">
        <v>711</v>
      </c>
      <c r="B37" s="1911" t="s">
        <v>2749</v>
      </c>
      <c r="C37" s="1904"/>
      <c r="D37" s="1904"/>
      <c r="E37" s="1904"/>
      <c r="F37" s="1904">
        <f t="shared" ref="F37:F45" si="14">G37+H37</f>
        <v>3680</v>
      </c>
      <c r="G37" s="1904"/>
      <c r="H37" s="1904">
        <v>3680</v>
      </c>
      <c r="I37" s="1904">
        <f t="shared" si="11"/>
        <v>3558.7326670000002</v>
      </c>
      <c r="J37" s="1904"/>
      <c r="K37" s="1904">
        <f>'QT theo cơ cấu'!G31</f>
        <v>3558.7326670000002</v>
      </c>
      <c r="L37" s="1904"/>
      <c r="M37" s="1904"/>
      <c r="N37" s="1904"/>
      <c r="O37" s="1904"/>
      <c r="P37" s="1904"/>
      <c r="Q37" s="1904"/>
      <c r="R37" s="1926"/>
      <c r="S37" s="1904"/>
      <c r="T37" s="1904"/>
      <c r="U37" s="1904">
        <f t="shared" si="12"/>
        <v>121.26733299999978</v>
      </c>
      <c r="V37" s="1904">
        <f t="shared" si="13"/>
        <v>121.26733299999978</v>
      </c>
      <c r="W37" s="1904"/>
    </row>
    <row r="38" spans="1:23" s="589" customFormat="1" ht="53.25" customHeight="1" x14ac:dyDescent="0.25">
      <c r="A38" s="1907" t="s">
        <v>711</v>
      </c>
      <c r="B38" s="1911" t="s">
        <v>2681</v>
      </c>
      <c r="C38" s="1904"/>
      <c r="D38" s="1904"/>
      <c r="E38" s="1904"/>
      <c r="F38" s="1904">
        <f t="shared" si="14"/>
        <v>1027.604</v>
      </c>
      <c r="G38" s="1904"/>
      <c r="H38" s="1904">
        <v>1027.604</v>
      </c>
      <c r="I38" s="1904">
        <f t="shared" si="11"/>
        <v>949.36305900000002</v>
      </c>
      <c r="J38" s="1904"/>
      <c r="K38" s="1904">
        <v>949.36305900000002</v>
      </c>
      <c r="L38" s="1904"/>
      <c r="M38" s="1904"/>
      <c r="N38" s="1904"/>
      <c r="O38" s="1904"/>
      <c r="P38" s="1904"/>
      <c r="Q38" s="1904"/>
      <c r="R38" s="1926"/>
      <c r="S38" s="1904"/>
      <c r="T38" s="1904"/>
      <c r="U38" s="1904">
        <f t="shared" si="12"/>
        <v>78.240941000000021</v>
      </c>
      <c r="V38" s="1904">
        <f t="shared" si="13"/>
        <v>78.240941000000021</v>
      </c>
      <c r="W38" s="1904"/>
    </row>
    <row r="39" spans="1:23" s="589" customFormat="1" ht="52.5" customHeight="1" x14ac:dyDescent="0.25">
      <c r="A39" s="1907" t="s">
        <v>711</v>
      </c>
      <c r="B39" s="1887" t="s">
        <v>2663</v>
      </c>
      <c r="C39" s="1904"/>
      <c r="D39" s="1904"/>
      <c r="E39" s="1904"/>
      <c r="F39" s="1904">
        <f t="shared" si="14"/>
        <v>27</v>
      </c>
      <c r="G39" s="1904"/>
      <c r="H39" s="1904">
        <v>27</v>
      </c>
      <c r="I39" s="1904">
        <f t="shared" si="11"/>
        <v>27</v>
      </c>
      <c r="J39" s="1904"/>
      <c r="K39" s="1904">
        <v>27</v>
      </c>
      <c r="L39" s="1904"/>
      <c r="M39" s="1904"/>
      <c r="N39" s="1904"/>
      <c r="O39" s="1904"/>
      <c r="P39" s="1904"/>
      <c r="Q39" s="1904"/>
      <c r="R39" s="1926"/>
      <c r="S39" s="1904"/>
      <c r="T39" s="1904"/>
      <c r="U39" s="1904">
        <f t="shared" si="12"/>
        <v>0</v>
      </c>
      <c r="V39" s="1904">
        <f t="shared" si="13"/>
        <v>0</v>
      </c>
      <c r="W39" s="1904"/>
    </row>
    <row r="40" spans="1:23" s="589" customFormat="1" ht="68.25" customHeight="1" x14ac:dyDescent="0.25">
      <c r="A40" s="1907" t="s">
        <v>711</v>
      </c>
      <c r="B40" s="1887" t="s">
        <v>2664</v>
      </c>
      <c r="C40" s="1904"/>
      <c r="D40" s="1904"/>
      <c r="E40" s="1904"/>
      <c r="F40" s="1904">
        <f t="shared" si="14"/>
        <v>200</v>
      </c>
      <c r="G40" s="1904"/>
      <c r="H40" s="1904">
        <v>200</v>
      </c>
      <c r="I40" s="1904">
        <f t="shared" si="11"/>
        <v>200</v>
      </c>
      <c r="J40" s="1904"/>
      <c r="K40" s="1904">
        <v>200</v>
      </c>
      <c r="L40" s="1904"/>
      <c r="M40" s="1904"/>
      <c r="N40" s="1904"/>
      <c r="O40" s="1904"/>
      <c r="P40" s="1904"/>
      <c r="Q40" s="1904"/>
      <c r="R40" s="1926"/>
      <c r="S40" s="1904"/>
      <c r="T40" s="1904"/>
      <c r="U40" s="1904">
        <f t="shared" si="12"/>
        <v>0</v>
      </c>
      <c r="V40" s="1904">
        <f t="shared" si="13"/>
        <v>0</v>
      </c>
      <c r="W40" s="1904"/>
    </row>
    <row r="41" spans="1:23" s="589" customFormat="1" ht="88.5" customHeight="1" x14ac:dyDescent="0.25">
      <c r="A41" s="1907" t="s">
        <v>711</v>
      </c>
      <c r="B41" s="1887" t="s">
        <v>2667</v>
      </c>
      <c r="C41" s="1904"/>
      <c r="D41" s="1904"/>
      <c r="E41" s="1904"/>
      <c r="F41" s="1904">
        <f t="shared" si="14"/>
        <v>357</v>
      </c>
      <c r="G41" s="1904"/>
      <c r="H41" s="1904">
        <v>357</v>
      </c>
      <c r="I41" s="1904">
        <f t="shared" si="11"/>
        <v>0</v>
      </c>
      <c r="J41" s="1904"/>
      <c r="K41" s="1904"/>
      <c r="L41" s="1904"/>
      <c r="M41" s="1904"/>
      <c r="N41" s="1904"/>
      <c r="O41" s="1904"/>
      <c r="P41" s="1904"/>
      <c r="Q41" s="1904"/>
      <c r="R41" s="1926"/>
      <c r="S41" s="1904"/>
      <c r="T41" s="1904"/>
      <c r="U41" s="1904">
        <f t="shared" si="12"/>
        <v>357</v>
      </c>
      <c r="V41" s="1904">
        <f t="shared" si="13"/>
        <v>357</v>
      </c>
      <c r="W41" s="1904"/>
    </row>
    <row r="42" spans="1:23" s="589" customFormat="1" ht="31.5" x14ac:dyDescent="0.25">
      <c r="A42" s="1907" t="s">
        <v>711</v>
      </c>
      <c r="B42" s="1887" t="s">
        <v>2668</v>
      </c>
      <c r="C42" s="1904"/>
      <c r="D42" s="1904"/>
      <c r="E42" s="1904"/>
      <c r="F42" s="1904">
        <f t="shared" si="14"/>
        <v>800</v>
      </c>
      <c r="G42" s="1904"/>
      <c r="H42" s="1904">
        <v>800</v>
      </c>
      <c r="I42" s="1904">
        <f t="shared" si="11"/>
        <v>762.41301099999998</v>
      </c>
      <c r="J42" s="1904"/>
      <c r="K42" s="1904">
        <v>762.41301099999998</v>
      </c>
      <c r="L42" s="1904"/>
      <c r="M42" s="1904"/>
      <c r="N42" s="1904"/>
      <c r="O42" s="1904"/>
      <c r="P42" s="1904"/>
      <c r="Q42" s="1904"/>
      <c r="R42" s="1926"/>
      <c r="S42" s="1904"/>
      <c r="T42" s="1904"/>
      <c r="U42" s="1904">
        <f t="shared" si="12"/>
        <v>37.586989000000017</v>
      </c>
      <c r="V42" s="1904">
        <f t="shared" si="13"/>
        <v>37.586989000000017</v>
      </c>
      <c r="W42" s="1904"/>
    </row>
    <row r="43" spans="1:23" s="589" customFormat="1" ht="19.5" customHeight="1" x14ac:dyDescent="0.25">
      <c r="A43" s="1907" t="s">
        <v>711</v>
      </c>
      <c r="B43" s="1887" t="s">
        <v>1770</v>
      </c>
      <c r="C43" s="1904"/>
      <c r="D43" s="1904"/>
      <c r="E43" s="1904"/>
      <c r="F43" s="1904">
        <f t="shared" si="14"/>
        <v>133</v>
      </c>
      <c r="G43" s="1904"/>
      <c r="H43" s="1904">
        <v>133</v>
      </c>
      <c r="I43" s="1904">
        <f t="shared" si="11"/>
        <v>114.57</v>
      </c>
      <c r="J43" s="1904"/>
      <c r="K43" s="1904">
        <v>114.57</v>
      </c>
      <c r="L43" s="1904"/>
      <c r="M43" s="1904"/>
      <c r="N43" s="1904"/>
      <c r="O43" s="1904"/>
      <c r="P43" s="1904"/>
      <c r="Q43" s="1904"/>
      <c r="R43" s="1926"/>
      <c r="S43" s="1904"/>
      <c r="T43" s="1904"/>
      <c r="U43" s="1904">
        <f t="shared" si="12"/>
        <v>18.430000000000007</v>
      </c>
      <c r="V43" s="1904">
        <f t="shared" si="13"/>
        <v>18.430000000000007</v>
      </c>
      <c r="W43" s="1904"/>
    </row>
    <row r="44" spans="1:23" s="589" customFormat="1" ht="18.75" customHeight="1" x14ac:dyDescent="0.25">
      <c r="A44" s="1907" t="s">
        <v>711</v>
      </c>
      <c r="B44" s="1911" t="s">
        <v>1771</v>
      </c>
      <c r="C44" s="1904"/>
      <c r="D44" s="1904"/>
      <c r="E44" s="1904"/>
      <c r="F44" s="1904">
        <f t="shared" si="14"/>
        <v>1200</v>
      </c>
      <c r="G44" s="1904"/>
      <c r="H44" s="1904">
        <v>1200</v>
      </c>
      <c r="I44" s="1904">
        <f t="shared" si="11"/>
        <v>1200</v>
      </c>
      <c r="J44" s="1904"/>
      <c r="K44" s="1904">
        <v>1200</v>
      </c>
      <c r="L44" s="1904"/>
      <c r="M44" s="1904"/>
      <c r="N44" s="1904"/>
      <c r="O44" s="1904"/>
      <c r="P44" s="1904"/>
      <c r="Q44" s="1904"/>
      <c r="R44" s="1926"/>
      <c r="S44" s="1904"/>
      <c r="T44" s="1904"/>
      <c r="U44" s="1904">
        <f t="shared" si="12"/>
        <v>0</v>
      </c>
      <c r="V44" s="1904">
        <f t="shared" si="13"/>
        <v>0</v>
      </c>
      <c r="W44" s="1904"/>
    </row>
    <row r="45" spans="1:23" s="589" customFormat="1" ht="21.75" customHeight="1" x14ac:dyDescent="0.25">
      <c r="A45" s="1907" t="s">
        <v>711</v>
      </c>
      <c r="B45" s="1911" t="s">
        <v>1610</v>
      </c>
      <c r="C45" s="1904"/>
      <c r="D45" s="1904"/>
      <c r="E45" s="1904"/>
      <c r="F45" s="1904" t="e">
        <f t="shared" si="14"/>
        <v>#REF!</v>
      </c>
      <c r="G45" s="1904"/>
      <c r="H45" s="1904" t="e">
        <f>'B53'!#REF!</f>
        <v>#REF!</v>
      </c>
      <c r="I45" s="1904" t="e">
        <f t="shared" si="11"/>
        <v>#REF!</v>
      </c>
      <c r="J45" s="1904"/>
      <c r="K45" s="1904" t="e">
        <f>'B53'!#REF!</f>
        <v>#REF!</v>
      </c>
      <c r="L45" s="1904"/>
      <c r="M45" s="1904"/>
      <c r="N45" s="1904"/>
      <c r="O45" s="1904"/>
      <c r="P45" s="1904"/>
      <c r="Q45" s="1904"/>
      <c r="R45" s="1926"/>
      <c r="S45" s="1904"/>
      <c r="T45" s="1904"/>
      <c r="U45" s="1904" t="e">
        <f t="shared" si="12"/>
        <v>#REF!</v>
      </c>
      <c r="V45" s="1904" t="e">
        <f>F45-I45</f>
        <v>#REF!</v>
      </c>
      <c r="W45" s="1904"/>
    </row>
    <row r="46" spans="1:23" s="589" customFormat="1" ht="36.75" customHeight="1" x14ac:dyDescent="0.25">
      <c r="A46" s="1907" t="s">
        <v>711</v>
      </c>
      <c r="B46" s="1911" t="s">
        <v>1717</v>
      </c>
      <c r="C46" s="1904"/>
      <c r="D46" s="1904"/>
      <c r="E46" s="1904"/>
      <c r="F46" s="1904">
        <f>H46</f>
        <v>202</v>
      </c>
      <c r="G46" s="1904"/>
      <c r="H46" s="1904">
        <v>202</v>
      </c>
      <c r="I46" s="1904">
        <f t="shared" si="11"/>
        <v>202</v>
      </c>
      <c r="J46" s="1904"/>
      <c r="K46" s="1904">
        <v>202</v>
      </c>
      <c r="L46" s="1904"/>
      <c r="M46" s="1904"/>
      <c r="N46" s="1904"/>
      <c r="O46" s="1904"/>
      <c r="P46" s="1904"/>
      <c r="Q46" s="1904"/>
      <c r="R46" s="1926"/>
      <c r="S46" s="1904"/>
      <c r="T46" s="1904"/>
      <c r="U46" s="1904"/>
      <c r="V46" s="1904"/>
      <c r="W46" s="1904"/>
    </row>
    <row r="47" spans="1:23" s="589" customFormat="1" ht="31.5" x14ac:dyDescent="0.25">
      <c r="A47" s="1907" t="s">
        <v>711</v>
      </c>
      <c r="B47" s="1887" t="s">
        <v>2661</v>
      </c>
      <c r="C47" s="1904"/>
      <c r="D47" s="1904"/>
      <c r="E47" s="1904"/>
      <c r="F47" s="1904">
        <f>H47</f>
        <v>316</v>
      </c>
      <c r="G47" s="1904"/>
      <c r="H47" s="1904">
        <v>316</v>
      </c>
      <c r="I47" s="1904">
        <f t="shared" si="11"/>
        <v>298.084655</v>
      </c>
      <c r="J47" s="1904"/>
      <c r="K47" s="1904">
        <v>298.084655</v>
      </c>
      <c r="L47" s="1904"/>
      <c r="M47" s="1904"/>
      <c r="N47" s="1904"/>
      <c r="O47" s="1904"/>
      <c r="P47" s="1904"/>
      <c r="Q47" s="1904"/>
      <c r="R47" s="1926"/>
      <c r="S47" s="1904"/>
      <c r="T47" s="1904"/>
      <c r="U47" s="1904">
        <f t="shared" ref="U47:U53" si="15">V47</f>
        <v>17.915345000000002</v>
      </c>
      <c r="V47" s="1904">
        <f>H47-I47</f>
        <v>17.915345000000002</v>
      </c>
      <c r="W47" s="1904"/>
    </row>
    <row r="48" spans="1:23" s="589" customFormat="1" ht="19.5" customHeight="1" x14ac:dyDescent="0.25">
      <c r="A48" s="1907" t="s">
        <v>711</v>
      </c>
      <c r="B48" s="1911" t="s">
        <v>2965</v>
      </c>
      <c r="C48" s="1904"/>
      <c r="D48" s="1904"/>
      <c r="E48" s="1904"/>
      <c r="F48" s="1904">
        <v>400</v>
      </c>
      <c r="G48" s="1904"/>
      <c r="H48" s="1904">
        <v>400</v>
      </c>
      <c r="I48" s="1904">
        <f t="shared" si="11"/>
        <v>400</v>
      </c>
      <c r="J48" s="1904"/>
      <c r="K48" s="1904">
        <v>400</v>
      </c>
      <c r="L48" s="1904"/>
      <c r="M48" s="1904"/>
      <c r="N48" s="1904"/>
      <c r="O48" s="1904"/>
      <c r="P48" s="1904"/>
      <c r="Q48" s="1904"/>
      <c r="R48" s="1926"/>
      <c r="S48" s="1904"/>
      <c r="T48" s="1904"/>
      <c r="U48" s="1904">
        <f t="shared" si="15"/>
        <v>0</v>
      </c>
      <c r="V48" s="1904"/>
      <c r="W48" s="1904"/>
    </row>
    <row r="49" spans="1:23" s="589" customFormat="1" ht="66.75" customHeight="1" x14ac:dyDescent="0.25">
      <c r="A49" s="1907" t="s">
        <v>711</v>
      </c>
      <c r="B49" s="1911" t="s">
        <v>2669</v>
      </c>
      <c r="C49" s="1904"/>
      <c r="D49" s="1904"/>
      <c r="E49" s="1904"/>
      <c r="F49" s="1904">
        <f t="shared" ref="F49:F66" si="16">H49</f>
        <v>300</v>
      </c>
      <c r="G49" s="1904"/>
      <c r="H49" s="1904">
        <v>300</v>
      </c>
      <c r="I49" s="1904">
        <f t="shared" si="11"/>
        <v>0</v>
      </c>
      <c r="J49" s="1904"/>
      <c r="K49" s="1904">
        <v>0</v>
      </c>
      <c r="L49" s="1904"/>
      <c r="M49" s="1904"/>
      <c r="N49" s="1904"/>
      <c r="O49" s="1904"/>
      <c r="P49" s="1904"/>
      <c r="Q49" s="1904"/>
      <c r="R49" s="1926"/>
      <c r="S49" s="1904"/>
      <c r="T49" s="1904"/>
      <c r="U49" s="1904">
        <f t="shared" si="15"/>
        <v>300</v>
      </c>
      <c r="V49" s="1904">
        <f>F49-I49</f>
        <v>300</v>
      </c>
      <c r="W49" s="1904"/>
    </row>
    <row r="50" spans="1:23" s="589" customFormat="1" ht="31.5" x14ac:dyDescent="0.25">
      <c r="A50" s="1907" t="s">
        <v>711</v>
      </c>
      <c r="B50" s="1911" t="s">
        <v>2322</v>
      </c>
      <c r="C50" s="1904">
        <f>E50</f>
        <v>0</v>
      </c>
      <c r="D50" s="1904"/>
      <c r="E50" s="1904"/>
      <c r="F50" s="1904">
        <f t="shared" si="16"/>
        <v>1185</v>
      </c>
      <c r="G50" s="1904"/>
      <c r="H50" s="1904">
        <v>1185</v>
      </c>
      <c r="I50" s="1904">
        <f t="shared" si="11"/>
        <v>1174.320322</v>
      </c>
      <c r="J50" s="1904"/>
      <c r="K50" s="1904">
        <v>1174.320322</v>
      </c>
      <c r="L50" s="1904"/>
      <c r="M50" s="1904"/>
      <c r="N50" s="1904"/>
      <c r="O50" s="1904"/>
      <c r="P50" s="1904"/>
      <c r="Q50" s="1904"/>
      <c r="R50" s="1926"/>
      <c r="S50" s="1904"/>
      <c r="T50" s="1904"/>
      <c r="U50" s="1904">
        <f t="shared" si="15"/>
        <v>10.679677999999967</v>
      </c>
      <c r="V50" s="1904">
        <f>F50-I50+C50</f>
        <v>10.679677999999967</v>
      </c>
      <c r="W50" s="1904"/>
    </row>
    <row r="51" spans="1:23" s="589" customFormat="1" ht="31.5" x14ac:dyDescent="0.25">
      <c r="A51" s="1907" t="s">
        <v>711</v>
      </c>
      <c r="B51" s="1911" t="s">
        <v>2323</v>
      </c>
      <c r="C51" s="1904"/>
      <c r="D51" s="1904"/>
      <c r="E51" s="1904"/>
      <c r="F51" s="1904">
        <f t="shared" si="16"/>
        <v>70</v>
      </c>
      <c r="G51" s="1904"/>
      <c r="H51" s="1904">
        <v>70</v>
      </c>
      <c r="I51" s="1904">
        <f t="shared" si="11"/>
        <v>70</v>
      </c>
      <c r="J51" s="1904"/>
      <c r="K51" s="1904">
        <v>70</v>
      </c>
      <c r="L51" s="1904"/>
      <c r="M51" s="1904"/>
      <c r="N51" s="1904"/>
      <c r="O51" s="1904"/>
      <c r="P51" s="1904"/>
      <c r="Q51" s="1904"/>
      <c r="R51" s="1926"/>
      <c r="S51" s="1904"/>
      <c r="T51" s="1904"/>
      <c r="U51" s="1904">
        <f t="shared" si="15"/>
        <v>0</v>
      </c>
      <c r="V51" s="1904">
        <f>F51-I51+C51</f>
        <v>0</v>
      </c>
      <c r="W51" s="1904"/>
    </row>
    <row r="52" spans="1:23" s="589" customFormat="1" ht="36.75" customHeight="1" x14ac:dyDescent="0.25">
      <c r="A52" s="1907" t="s">
        <v>711</v>
      </c>
      <c r="B52" s="1911" t="s">
        <v>2324</v>
      </c>
      <c r="C52" s="1904"/>
      <c r="D52" s="1904"/>
      <c r="E52" s="1904"/>
      <c r="F52" s="1904">
        <f t="shared" si="16"/>
        <v>1400</v>
      </c>
      <c r="G52" s="1904"/>
      <c r="H52" s="1904">
        <v>1400</v>
      </c>
      <c r="I52" s="1904">
        <f t="shared" si="11"/>
        <v>1395.8089689999999</v>
      </c>
      <c r="J52" s="1904"/>
      <c r="K52" s="1904">
        <v>1395.8089689999999</v>
      </c>
      <c r="L52" s="1904"/>
      <c r="M52" s="1904"/>
      <c r="N52" s="1904"/>
      <c r="O52" s="1904"/>
      <c r="P52" s="1904"/>
      <c r="Q52" s="1904"/>
      <c r="R52" s="1926"/>
      <c r="S52" s="1904"/>
      <c r="T52" s="1904"/>
      <c r="U52" s="1904">
        <f t="shared" si="15"/>
        <v>4.1910310000000663</v>
      </c>
      <c r="V52" s="1904">
        <f>F52-I52+C52</f>
        <v>4.1910310000000663</v>
      </c>
      <c r="W52" s="1904"/>
    </row>
    <row r="53" spans="1:23" s="589" customFormat="1" ht="38.25" customHeight="1" x14ac:dyDescent="0.25">
      <c r="A53" s="1907" t="s">
        <v>711</v>
      </c>
      <c r="B53" s="1911" t="s">
        <v>2648</v>
      </c>
      <c r="C53" s="1904">
        <f>E53</f>
        <v>0</v>
      </c>
      <c r="D53" s="1904"/>
      <c r="E53" s="1904"/>
      <c r="F53" s="1904">
        <f t="shared" si="16"/>
        <v>1144</v>
      </c>
      <c r="G53" s="1904"/>
      <c r="H53" s="1904">
        <v>1144</v>
      </c>
      <c r="I53" s="1904">
        <f t="shared" si="11"/>
        <v>1137.963</v>
      </c>
      <c r="J53" s="1904"/>
      <c r="K53" s="1904">
        <v>1137.963</v>
      </c>
      <c r="L53" s="1904"/>
      <c r="M53" s="1904"/>
      <c r="N53" s="1904"/>
      <c r="O53" s="1904"/>
      <c r="P53" s="1904"/>
      <c r="Q53" s="1904"/>
      <c r="R53" s="1926"/>
      <c r="S53" s="1904"/>
      <c r="T53" s="1904"/>
      <c r="U53" s="1904">
        <f t="shared" si="15"/>
        <v>6.0370000000000346</v>
      </c>
      <c r="V53" s="1904">
        <f>F53-I53+C53</f>
        <v>6.0370000000000346</v>
      </c>
      <c r="W53" s="1904"/>
    </row>
    <row r="54" spans="1:23" s="589" customFormat="1" ht="51.75" customHeight="1" x14ac:dyDescent="0.25">
      <c r="A54" s="1907" t="s">
        <v>711</v>
      </c>
      <c r="B54" s="1887" t="s">
        <v>2727</v>
      </c>
      <c r="C54" s="1904"/>
      <c r="D54" s="1904"/>
      <c r="E54" s="1904"/>
      <c r="F54" s="1904">
        <f t="shared" si="16"/>
        <v>590.97259699999995</v>
      </c>
      <c r="G54" s="1904"/>
      <c r="H54" s="1904">
        <v>590.97259699999995</v>
      </c>
      <c r="I54" s="1904">
        <f t="shared" si="11"/>
        <v>590.97259699999995</v>
      </c>
      <c r="J54" s="1904"/>
      <c r="K54" s="1904">
        <v>590.97259699999995</v>
      </c>
      <c r="L54" s="1904"/>
      <c r="M54" s="1904"/>
      <c r="N54" s="1904"/>
      <c r="O54" s="1904"/>
      <c r="P54" s="1904"/>
      <c r="Q54" s="1904"/>
      <c r="R54" s="1926"/>
      <c r="S54" s="1904"/>
      <c r="T54" s="1904"/>
      <c r="U54" s="1904"/>
      <c r="V54" s="1904"/>
      <c r="W54" s="1904"/>
    </row>
    <row r="55" spans="1:23" s="589" customFormat="1" x14ac:dyDescent="0.25">
      <c r="A55" s="1907" t="s">
        <v>711</v>
      </c>
      <c r="B55" s="1914" t="s">
        <v>1611</v>
      </c>
      <c r="C55" s="1904"/>
      <c r="D55" s="1904"/>
      <c r="E55" s="1904"/>
      <c r="F55" s="1904">
        <f t="shared" si="16"/>
        <v>590.97259699999995</v>
      </c>
      <c r="G55" s="1904"/>
      <c r="H55" s="1904">
        <v>590.97259699999995</v>
      </c>
      <c r="I55" s="1904">
        <f t="shared" si="11"/>
        <v>590.97259699999995</v>
      </c>
      <c r="J55" s="1904"/>
      <c r="K55" s="1904">
        <v>590.97259699999995</v>
      </c>
      <c r="L55" s="1904"/>
      <c r="M55" s="1904"/>
      <c r="N55" s="1904"/>
      <c r="O55" s="1904"/>
      <c r="P55" s="1904"/>
      <c r="Q55" s="1904"/>
      <c r="R55" s="1926"/>
      <c r="S55" s="1904"/>
      <c r="T55" s="1904"/>
      <c r="U55" s="1904"/>
      <c r="V55" s="1904">
        <f t="shared" ref="V55:V63" si="17">F55-I55</f>
        <v>0</v>
      </c>
      <c r="W55" s="1904"/>
    </row>
    <row r="56" spans="1:23" s="589" customFormat="1" ht="42" customHeight="1" x14ac:dyDescent="0.25">
      <c r="A56" s="1907" t="s">
        <v>711</v>
      </c>
      <c r="B56" s="1887" t="s">
        <v>2673</v>
      </c>
      <c r="C56" s="1904"/>
      <c r="D56" s="1904"/>
      <c r="E56" s="1904"/>
      <c r="F56" s="1904">
        <f t="shared" si="16"/>
        <v>727.34500000000003</v>
      </c>
      <c r="G56" s="1904"/>
      <c r="H56" s="1904">
        <f>'QT theo cơ cấu'!D8</f>
        <v>727.34500000000003</v>
      </c>
      <c r="I56" s="1904">
        <f t="shared" si="11"/>
        <v>727.34500000000003</v>
      </c>
      <c r="J56" s="1904"/>
      <c r="K56" s="1904">
        <f>H56</f>
        <v>727.34500000000003</v>
      </c>
      <c r="L56" s="1904"/>
      <c r="M56" s="1904"/>
      <c r="N56" s="1904"/>
      <c r="O56" s="1904"/>
      <c r="P56" s="1904"/>
      <c r="Q56" s="1904"/>
      <c r="R56" s="1926"/>
      <c r="S56" s="1904"/>
      <c r="T56" s="1904"/>
      <c r="U56" s="1904"/>
      <c r="V56" s="1904">
        <f t="shared" si="17"/>
        <v>0</v>
      </c>
      <c r="W56" s="1904"/>
    </row>
    <row r="57" spans="1:23" s="589" customFormat="1" ht="51.75" customHeight="1" x14ac:dyDescent="0.25">
      <c r="A57" s="1907" t="s">
        <v>711</v>
      </c>
      <c r="B57" s="1887" t="s">
        <v>2728</v>
      </c>
      <c r="C57" s="1904"/>
      <c r="D57" s="1904"/>
      <c r="E57" s="1904"/>
      <c r="F57" s="1904">
        <f t="shared" si="16"/>
        <v>48.404000000000003</v>
      </c>
      <c r="G57" s="1904"/>
      <c r="H57" s="1904">
        <f>'QT theo cơ cấu'!F9</f>
        <v>48.404000000000003</v>
      </c>
      <c r="I57" s="1904">
        <f t="shared" si="11"/>
        <v>48.404000000000003</v>
      </c>
      <c r="J57" s="1904"/>
      <c r="K57" s="1904">
        <f>H57</f>
        <v>48.404000000000003</v>
      </c>
      <c r="L57" s="1904"/>
      <c r="M57" s="1904"/>
      <c r="N57" s="1904"/>
      <c r="O57" s="1904"/>
      <c r="P57" s="1904"/>
      <c r="Q57" s="1904"/>
      <c r="R57" s="1926"/>
      <c r="S57" s="1904"/>
      <c r="T57" s="1904"/>
      <c r="U57" s="1904"/>
      <c r="V57" s="1904">
        <f t="shared" si="17"/>
        <v>0</v>
      </c>
      <c r="W57" s="1904"/>
    </row>
    <row r="58" spans="1:23" s="589" customFormat="1" ht="83.25" customHeight="1" x14ac:dyDescent="0.25">
      <c r="A58" s="1907" t="s">
        <v>711</v>
      </c>
      <c r="B58" s="1887" t="s">
        <v>2736</v>
      </c>
      <c r="C58" s="1904"/>
      <c r="D58" s="1904"/>
      <c r="E58" s="1904"/>
      <c r="F58" s="1904">
        <f t="shared" si="16"/>
        <v>2500</v>
      </c>
      <c r="G58" s="1904"/>
      <c r="H58" s="1904">
        <v>2500</v>
      </c>
      <c r="I58" s="1904">
        <f t="shared" si="11"/>
        <v>2179.5409</v>
      </c>
      <c r="J58" s="1904"/>
      <c r="K58" s="1904">
        <f>'QT theo cơ cấu'!G17</f>
        <v>2179.5409</v>
      </c>
      <c r="L58" s="1904"/>
      <c r="M58" s="1904"/>
      <c r="N58" s="1904"/>
      <c r="O58" s="1904"/>
      <c r="P58" s="1904"/>
      <c r="Q58" s="1904"/>
      <c r="R58" s="1926"/>
      <c r="S58" s="1904"/>
      <c r="T58" s="1904"/>
      <c r="U58" s="1904"/>
      <c r="V58" s="1904">
        <f t="shared" si="17"/>
        <v>320.45910000000003</v>
      </c>
      <c r="W58" s="1904"/>
    </row>
    <row r="59" spans="1:23" s="589" customFormat="1" ht="35.25" customHeight="1" x14ac:dyDescent="0.25">
      <c r="A59" s="1907" t="s">
        <v>711</v>
      </c>
      <c r="B59" s="1887" t="s">
        <v>2711</v>
      </c>
      <c r="C59" s="1904"/>
      <c r="D59" s="1904"/>
      <c r="E59" s="1904"/>
      <c r="F59" s="1904">
        <f t="shared" si="16"/>
        <v>506.06600000000003</v>
      </c>
      <c r="G59" s="1904"/>
      <c r="H59" s="1904">
        <v>506.06600000000003</v>
      </c>
      <c r="I59" s="1904">
        <f t="shared" si="11"/>
        <v>506.06600000000003</v>
      </c>
      <c r="J59" s="1904"/>
      <c r="K59" s="1904">
        <v>506.06600000000003</v>
      </c>
      <c r="L59" s="1904"/>
      <c r="M59" s="1904"/>
      <c r="N59" s="1904"/>
      <c r="O59" s="1904"/>
      <c r="P59" s="1904"/>
      <c r="Q59" s="1904"/>
      <c r="R59" s="1926"/>
      <c r="S59" s="1904"/>
      <c r="T59" s="1904"/>
      <c r="U59" s="1904"/>
      <c r="V59" s="1904">
        <f t="shared" si="17"/>
        <v>0</v>
      </c>
      <c r="W59" s="1904"/>
    </row>
    <row r="60" spans="1:23" s="589" customFormat="1" ht="66" customHeight="1" x14ac:dyDescent="0.25">
      <c r="A60" s="1907" t="s">
        <v>711</v>
      </c>
      <c r="B60" s="1887" t="s">
        <v>2966</v>
      </c>
      <c r="C60" s="1904"/>
      <c r="D60" s="1904"/>
      <c r="E60" s="1904"/>
      <c r="F60" s="1904">
        <f t="shared" si="16"/>
        <v>467.91300000000007</v>
      </c>
      <c r="G60" s="1904"/>
      <c r="H60" s="1904">
        <v>467.91300000000007</v>
      </c>
      <c r="I60" s="1904">
        <f t="shared" si="11"/>
        <v>467.91300000000007</v>
      </c>
      <c r="J60" s="1904"/>
      <c r="K60" s="1904">
        <f>190.211+'QT theo cơ cấu'!G22+'QT theo cơ cấu'!G23</f>
        <v>467.91300000000007</v>
      </c>
      <c r="L60" s="1904"/>
      <c r="M60" s="1904"/>
      <c r="N60" s="1904"/>
      <c r="O60" s="1904"/>
      <c r="P60" s="1904"/>
      <c r="Q60" s="1904"/>
      <c r="R60" s="1926"/>
      <c r="S60" s="1904"/>
      <c r="T60" s="1904"/>
      <c r="U60" s="1904"/>
      <c r="V60" s="1904">
        <f t="shared" si="17"/>
        <v>0</v>
      </c>
      <c r="W60" s="1904"/>
    </row>
    <row r="61" spans="1:23" s="1480" customFormat="1" ht="31.5" x14ac:dyDescent="0.25">
      <c r="A61" s="1918" t="s">
        <v>711</v>
      </c>
      <c r="B61" s="1919" t="s">
        <v>2753</v>
      </c>
      <c r="C61" s="1904"/>
      <c r="D61" s="1904"/>
      <c r="E61" s="1904"/>
      <c r="F61" s="1904">
        <f t="shared" si="16"/>
        <v>853</v>
      </c>
      <c r="G61" s="1904"/>
      <c r="H61" s="1904">
        <v>853</v>
      </c>
      <c r="I61" s="1904">
        <f t="shared" si="11"/>
        <v>817.89366900000005</v>
      </c>
      <c r="J61" s="1904"/>
      <c r="K61" s="1904">
        <v>817.89366900000005</v>
      </c>
      <c r="L61" s="1904"/>
      <c r="M61" s="1904"/>
      <c r="N61" s="1904"/>
      <c r="O61" s="1904"/>
      <c r="P61" s="1904"/>
      <c r="Q61" s="1904"/>
      <c r="R61" s="1926"/>
      <c r="S61" s="1904"/>
      <c r="T61" s="1904"/>
      <c r="U61" s="1904">
        <f>V61</f>
        <v>35.106330999999955</v>
      </c>
      <c r="V61" s="1904">
        <f t="shared" si="17"/>
        <v>35.106330999999955</v>
      </c>
      <c r="W61" s="1904"/>
    </row>
    <row r="62" spans="1:23" s="1480" customFormat="1" ht="31.5" x14ac:dyDescent="0.25">
      <c r="A62" s="1918" t="s">
        <v>711</v>
      </c>
      <c r="B62" s="1919" t="s">
        <v>2754</v>
      </c>
      <c r="C62" s="1904"/>
      <c r="D62" s="1904"/>
      <c r="E62" s="1904"/>
      <c r="F62" s="1904">
        <f t="shared" si="16"/>
        <v>951</v>
      </c>
      <c r="G62" s="1904"/>
      <c r="H62" s="1904">
        <v>951</v>
      </c>
      <c r="I62" s="1904">
        <f t="shared" si="11"/>
        <v>614.28092000000004</v>
      </c>
      <c r="J62" s="1904"/>
      <c r="K62" s="1904">
        <v>614.28092000000004</v>
      </c>
      <c r="L62" s="1904"/>
      <c r="M62" s="1904"/>
      <c r="N62" s="1904"/>
      <c r="O62" s="1904"/>
      <c r="P62" s="1904"/>
      <c r="Q62" s="1904"/>
      <c r="R62" s="1926"/>
      <c r="S62" s="1904"/>
      <c r="T62" s="1904"/>
      <c r="U62" s="1904">
        <f>W62+V62</f>
        <v>336.71907999999996</v>
      </c>
      <c r="V62" s="1904">
        <f t="shared" si="17"/>
        <v>336.71907999999996</v>
      </c>
      <c r="W62" s="1904"/>
    </row>
    <row r="63" spans="1:23" s="589" customFormat="1" ht="31.5" x14ac:dyDescent="0.25">
      <c r="A63" s="1907" t="s">
        <v>711</v>
      </c>
      <c r="B63" s="1906" t="s">
        <v>1768</v>
      </c>
      <c r="C63" s="1904"/>
      <c r="D63" s="1904"/>
      <c r="E63" s="1904"/>
      <c r="F63" s="1904">
        <f t="shared" si="16"/>
        <v>30</v>
      </c>
      <c r="G63" s="1904"/>
      <c r="H63" s="1904">
        <v>30</v>
      </c>
      <c r="I63" s="1904">
        <f t="shared" si="11"/>
        <v>29.837122000000001</v>
      </c>
      <c r="J63" s="1904"/>
      <c r="K63" s="1904">
        <f>'QT theo cơ cấu'!F42</f>
        <v>29.837122000000001</v>
      </c>
      <c r="L63" s="1904"/>
      <c r="M63" s="1904"/>
      <c r="N63" s="1904"/>
      <c r="O63" s="1904"/>
      <c r="P63" s="1904"/>
      <c r="Q63" s="1904"/>
      <c r="R63" s="1926"/>
      <c r="S63" s="1904"/>
      <c r="T63" s="1904"/>
      <c r="U63" s="1904">
        <f>W63+V63</f>
        <v>0.16287799999999919</v>
      </c>
      <c r="V63" s="1904">
        <f t="shared" si="17"/>
        <v>0.16287799999999919</v>
      </c>
      <c r="W63" s="1904"/>
    </row>
    <row r="64" spans="1:23" s="589" customFormat="1" ht="31.5" x14ac:dyDescent="0.25">
      <c r="A64" s="1907" t="s">
        <v>711</v>
      </c>
      <c r="B64" s="1920" t="s">
        <v>2656</v>
      </c>
      <c r="C64" s="1904"/>
      <c r="D64" s="1904"/>
      <c r="E64" s="1904"/>
      <c r="F64" s="1904">
        <f t="shared" si="16"/>
        <v>500</v>
      </c>
      <c r="G64" s="1904"/>
      <c r="H64" s="1904">
        <v>500</v>
      </c>
      <c r="I64" s="1904">
        <f t="shared" si="11"/>
        <v>495.06632300000001</v>
      </c>
      <c r="J64" s="1904"/>
      <c r="K64" s="1904">
        <v>495.06632300000001</v>
      </c>
      <c r="L64" s="1904"/>
      <c r="M64" s="1904"/>
      <c r="N64" s="1904"/>
      <c r="O64" s="1904"/>
      <c r="P64" s="1904"/>
      <c r="Q64" s="1904"/>
      <c r="R64" s="1926"/>
      <c r="S64" s="1904"/>
      <c r="T64" s="1904"/>
      <c r="U64" s="1904">
        <f>V64</f>
        <v>4.9336769999999888</v>
      </c>
      <c r="V64" s="1904">
        <f>F64-I64-M64</f>
        <v>4.9336769999999888</v>
      </c>
      <c r="W64" s="1904"/>
    </row>
    <row r="65" spans="1:24" s="589" customFormat="1" ht="47.25" x14ac:dyDescent="0.25">
      <c r="A65" s="1907" t="s">
        <v>711</v>
      </c>
      <c r="B65" s="1920" t="s">
        <v>2329</v>
      </c>
      <c r="C65" s="1904"/>
      <c r="D65" s="1904"/>
      <c r="E65" s="1904"/>
      <c r="F65" s="1904">
        <f t="shared" si="16"/>
        <v>582</v>
      </c>
      <c r="G65" s="1904"/>
      <c r="H65" s="1904">
        <v>582</v>
      </c>
      <c r="I65" s="1904">
        <f t="shared" si="11"/>
        <v>582</v>
      </c>
      <c r="J65" s="1904"/>
      <c r="K65" s="1904">
        <v>582</v>
      </c>
      <c r="L65" s="1904"/>
      <c r="M65" s="1904"/>
      <c r="N65" s="1904"/>
      <c r="O65" s="1904"/>
      <c r="P65" s="1904"/>
      <c r="Q65" s="1904"/>
      <c r="R65" s="1926"/>
      <c r="S65" s="1904"/>
      <c r="T65" s="1904"/>
      <c r="U65" s="1904">
        <f>V65</f>
        <v>0</v>
      </c>
      <c r="V65" s="1904">
        <f>F65-I65-M65</f>
        <v>0</v>
      </c>
      <c r="W65" s="1904"/>
    </row>
    <row r="66" spans="1:24" s="589" customFormat="1" ht="31.5" x14ac:dyDescent="0.25">
      <c r="A66" s="1907" t="s">
        <v>711</v>
      </c>
      <c r="B66" s="1920" t="s">
        <v>2330</v>
      </c>
      <c r="C66" s="1904"/>
      <c r="D66" s="1904"/>
      <c r="E66" s="1904"/>
      <c r="F66" s="1904">
        <f t="shared" si="16"/>
        <v>51.2</v>
      </c>
      <c r="G66" s="1904"/>
      <c r="H66" s="1904">
        <v>51.2</v>
      </c>
      <c r="I66" s="1904">
        <f t="shared" si="11"/>
        <v>51.2</v>
      </c>
      <c r="J66" s="1904"/>
      <c r="K66" s="1904">
        <v>51.2</v>
      </c>
      <c r="L66" s="1904"/>
      <c r="M66" s="1904"/>
      <c r="N66" s="1904"/>
      <c r="O66" s="1904"/>
      <c r="P66" s="1904"/>
      <c r="Q66" s="1904"/>
      <c r="R66" s="1926"/>
      <c r="S66" s="1904"/>
      <c r="T66" s="1904"/>
      <c r="U66" s="1904">
        <f>V66</f>
        <v>0</v>
      </c>
      <c r="V66" s="1904">
        <f>F66-I66-M66</f>
        <v>0</v>
      </c>
      <c r="W66" s="1904"/>
    </row>
    <row r="67" spans="1:24" s="589" customFormat="1" ht="94.5" x14ac:dyDescent="0.25">
      <c r="A67" s="1907">
        <v>1</v>
      </c>
      <c r="B67" s="1911" t="s">
        <v>2759</v>
      </c>
      <c r="C67" s="1904"/>
      <c r="D67" s="1904"/>
      <c r="E67" s="1904"/>
      <c r="F67" s="1904">
        <f>G67+H67</f>
        <v>3395.1664000000001</v>
      </c>
      <c r="G67" s="1904"/>
      <c r="H67" s="1904">
        <f>'QT theo cơ cấu'!C60</f>
        <v>3395.1664000000001</v>
      </c>
      <c r="I67" s="1904">
        <f>J67+K67</f>
        <v>2971.5332999999996</v>
      </c>
      <c r="J67" s="1904"/>
      <c r="K67" s="1904">
        <f>'QT theo cơ cấu'!G60</f>
        <v>2971.5332999999996</v>
      </c>
      <c r="L67" s="1904"/>
      <c r="M67" s="1904"/>
      <c r="N67" s="1904"/>
      <c r="O67" s="1904"/>
      <c r="P67" s="1904"/>
      <c r="Q67" s="1904"/>
      <c r="R67" s="1926"/>
      <c r="S67" s="1904"/>
      <c r="T67" s="1904"/>
      <c r="U67" s="1904">
        <f>V67+W67</f>
        <v>423.63310000000047</v>
      </c>
      <c r="V67" s="1904">
        <f>H67-K67</f>
        <v>423.63310000000047</v>
      </c>
      <c r="W67" s="1904"/>
    </row>
    <row r="68" spans="1:24" s="589" customFormat="1" x14ac:dyDescent="0.25">
      <c r="A68" s="1909" t="s">
        <v>848</v>
      </c>
      <c r="B68" s="1909" t="s">
        <v>726</v>
      </c>
      <c r="C68" s="1903" t="e">
        <f t="shared" ref="C68:W68" si="18">C69+C84+C88</f>
        <v>#REF!</v>
      </c>
      <c r="D68" s="1903" t="e">
        <f t="shared" si="18"/>
        <v>#REF!</v>
      </c>
      <c r="E68" s="1903">
        <f t="shared" si="18"/>
        <v>0</v>
      </c>
      <c r="F68" s="1903" t="e">
        <f t="shared" si="18"/>
        <v>#REF!</v>
      </c>
      <c r="G68" s="1903" t="e">
        <f t="shared" si="18"/>
        <v>#REF!</v>
      </c>
      <c r="H68" s="1903">
        <f t="shared" si="18"/>
        <v>10705.919104000001</v>
      </c>
      <c r="I68" s="1903" t="e">
        <f t="shared" si="18"/>
        <v>#REF!</v>
      </c>
      <c r="J68" s="1903" t="e">
        <f t="shared" si="18"/>
        <v>#REF!</v>
      </c>
      <c r="K68" s="1903">
        <f t="shared" si="18"/>
        <v>10424.208379</v>
      </c>
      <c r="L68" s="1903">
        <f t="shared" si="18"/>
        <v>0</v>
      </c>
      <c r="M68" s="1903">
        <f t="shared" si="18"/>
        <v>0</v>
      </c>
      <c r="N68" s="1903" t="e">
        <f t="shared" si="18"/>
        <v>#REF!</v>
      </c>
      <c r="O68" s="1903">
        <f t="shared" si="18"/>
        <v>0</v>
      </c>
      <c r="P68" s="1903">
        <f t="shared" si="18"/>
        <v>0</v>
      </c>
      <c r="Q68" s="1903">
        <f t="shared" si="18"/>
        <v>0</v>
      </c>
      <c r="R68" s="2284">
        <f t="shared" si="18"/>
        <v>0</v>
      </c>
      <c r="S68" s="1903" t="e">
        <f t="shared" si="18"/>
        <v>#REF!</v>
      </c>
      <c r="T68" s="1903">
        <f t="shared" si="18"/>
        <v>0</v>
      </c>
      <c r="U68" s="1903">
        <f t="shared" si="18"/>
        <v>281.23127499999998</v>
      </c>
      <c r="V68" s="1903">
        <f t="shared" si="18"/>
        <v>0</v>
      </c>
      <c r="W68" s="1903">
        <f t="shared" si="18"/>
        <v>281.71072500000025</v>
      </c>
    </row>
    <row r="69" spans="1:24" s="589" customFormat="1" x14ac:dyDescent="0.25">
      <c r="A69" s="1909" t="s">
        <v>849</v>
      </c>
      <c r="B69" s="1921" t="s">
        <v>1211</v>
      </c>
      <c r="C69" s="1903" t="e">
        <f t="shared" ref="C69:W69" si="19">C70+C73</f>
        <v>#REF!</v>
      </c>
      <c r="D69" s="1903" t="e">
        <f t="shared" si="19"/>
        <v>#REF!</v>
      </c>
      <c r="E69" s="1903">
        <f t="shared" si="19"/>
        <v>0</v>
      </c>
      <c r="F69" s="1903" t="e">
        <f t="shared" si="19"/>
        <v>#REF!</v>
      </c>
      <c r="G69" s="1903" t="e">
        <f t="shared" si="19"/>
        <v>#REF!</v>
      </c>
      <c r="H69" s="1903">
        <f t="shared" si="19"/>
        <v>4267.050561</v>
      </c>
      <c r="I69" s="1903" t="e">
        <f t="shared" si="19"/>
        <v>#REF!</v>
      </c>
      <c r="J69" s="1903" t="e">
        <f t="shared" si="19"/>
        <v>#REF!</v>
      </c>
      <c r="K69" s="1903">
        <f t="shared" si="19"/>
        <v>4263.3019359999998</v>
      </c>
      <c r="L69" s="1903">
        <f t="shared" si="19"/>
        <v>0</v>
      </c>
      <c r="M69" s="1903">
        <f t="shared" si="19"/>
        <v>0</v>
      </c>
      <c r="N69" s="1903" t="e">
        <f t="shared" si="19"/>
        <v>#REF!</v>
      </c>
      <c r="O69" s="1903">
        <f t="shared" si="19"/>
        <v>0</v>
      </c>
      <c r="P69" s="1903">
        <f t="shared" si="19"/>
        <v>0</v>
      </c>
      <c r="Q69" s="1903">
        <f t="shared" si="19"/>
        <v>0</v>
      </c>
      <c r="R69" s="2284">
        <f t="shared" si="19"/>
        <v>0</v>
      </c>
      <c r="S69" s="1903" t="e">
        <f t="shared" si="19"/>
        <v>#REF!</v>
      </c>
      <c r="T69" s="1903">
        <f t="shared" si="19"/>
        <v>0</v>
      </c>
      <c r="U69" s="1903">
        <f t="shared" si="19"/>
        <v>3.2691750000000184</v>
      </c>
      <c r="V69" s="1903">
        <f t="shared" si="19"/>
        <v>0</v>
      </c>
      <c r="W69" s="1903">
        <f t="shared" si="19"/>
        <v>3.7486250000002883</v>
      </c>
    </row>
    <row r="70" spans="1:24" s="583" customFormat="1" x14ac:dyDescent="0.25">
      <c r="A70" s="1909">
        <v>1</v>
      </c>
      <c r="B70" s="1910" t="s">
        <v>1212</v>
      </c>
      <c r="C70" s="1903" t="e">
        <f t="shared" ref="C70:W70" si="20">C71</f>
        <v>#REF!</v>
      </c>
      <c r="D70" s="1903" t="e">
        <f t="shared" si="20"/>
        <v>#REF!</v>
      </c>
      <c r="E70" s="1903">
        <f t="shared" si="20"/>
        <v>0</v>
      </c>
      <c r="F70" s="1903">
        <f t="shared" si="20"/>
        <v>0</v>
      </c>
      <c r="G70" s="1903">
        <f t="shared" si="20"/>
        <v>0</v>
      </c>
      <c r="H70" s="1903">
        <f t="shared" si="20"/>
        <v>0</v>
      </c>
      <c r="I70" s="1903" t="e">
        <f t="shared" si="20"/>
        <v>#REF!</v>
      </c>
      <c r="J70" s="1903" t="e">
        <f t="shared" si="20"/>
        <v>#REF!</v>
      </c>
      <c r="K70" s="1903">
        <f t="shared" si="20"/>
        <v>0</v>
      </c>
      <c r="L70" s="1903">
        <f t="shared" si="20"/>
        <v>0</v>
      </c>
      <c r="M70" s="1903">
        <f t="shared" si="20"/>
        <v>0</v>
      </c>
      <c r="N70" s="1903" t="e">
        <f t="shared" si="20"/>
        <v>#REF!</v>
      </c>
      <c r="O70" s="1903">
        <f t="shared" si="20"/>
        <v>0</v>
      </c>
      <c r="P70" s="1903">
        <f t="shared" si="20"/>
        <v>0</v>
      </c>
      <c r="Q70" s="1903">
        <f t="shared" si="20"/>
        <v>0</v>
      </c>
      <c r="R70" s="2284">
        <f t="shared" si="20"/>
        <v>0</v>
      </c>
      <c r="S70" s="1903" t="e">
        <f t="shared" si="20"/>
        <v>#REF!</v>
      </c>
      <c r="T70" s="1903">
        <f t="shared" si="20"/>
        <v>0</v>
      </c>
      <c r="U70" s="1903">
        <f t="shared" si="20"/>
        <v>0</v>
      </c>
      <c r="V70" s="1903">
        <f t="shared" si="20"/>
        <v>0</v>
      </c>
      <c r="W70" s="1903">
        <f t="shared" si="20"/>
        <v>0</v>
      </c>
    </row>
    <row r="71" spans="1:24" s="589" customFormat="1" x14ac:dyDescent="0.25">
      <c r="A71" s="1907" t="s">
        <v>851</v>
      </c>
      <c r="B71" s="1911" t="s">
        <v>170</v>
      </c>
      <c r="C71" s="1904" t="e">
        <f t="shared" ref="C71:W71" si="21">SUM(C72:C72)</f>
        <v>#REF!</v>
      </c>
      <c r="D71" s="1904" t="e">
        <f t="shared" si="21"/>
        <v>#REF!</v>
      </c>
      <c r="E71" s="1904">
        <f t="shared" si="21"/>
        <v>0</v>
      </c>
      <c r="F71" s="1904">
        <f t="shared" si="21"/>
        <v>0</v>
      </c>
      <c r="G71" s="1904">
        <f t="shared" si="21"/>
        <v>0</v>
      </c>
      <c r="H71" s="1904">
        <f t="shared" si="21"/>
        <v>0</v>
      </c>
      <c r="I71" s="1904" t="e">
        <f t="shared" si="21"/>
        <v>#REF!</v>
      </c>
      <c r="J71" s="1904" t="e">
        <f t="shared" si="21"/>
        <v>#REF!</v>
      </c>
      <c r="K71" s="1904">
        <f t="shared" si="21"/>
        <v>0</v>
      </c>
      <c r="L71" s="1904">
        <f t="shared" si="21"/>
        <v>0</v>
      </c>
      <c r="M71" s="1904">
        <f t="shared" si="21"/>
        <v>0</v>
      </c>
      <c r="N71" s="1904" t="e">
        <f t="shared" si="21"/>
        <v>#REF!</v>
      </c>
      <c r="O71" s="1904">
        <f t="shared" si="21"/>
        <v>0</v>
      </c>
      <c r="P71" s="1904">
        <f t="shared" si="21"/>
        <v>0</v>
      </c>
      <c r="Q71" s="1904">
        <f t="shared" si="21"/>
        <v>0</v>
      </c>
      <c r="R71" s="1926">
        <f t="shared" si="21"/>
        <v>0</v>
      </c>
      <c r="S71" s="1904" t="e">
        <f t="shared" si="21"/>
        <v>#REF!</v>
      </c>
      <c r="T71" s="1904">
        <f t="shared" si="21"/>
        <v>0</v>
      </c>
      <c r="U71" s="1904">
        <f t="shared" si="21"/>
        <v>0</v>
      </c>
      <c r="V71" s="1904">
        <f t="shared" si="21"/>
        <v>0</v>
      </c>
      <c r="W71" s="1904">
        <f t="shared" si="21"/>
        <v>0</v>
      </c>
    </row>
    <row r="72" spans="1:24" s="589" customFormat="1" ht="36.75" customHeight="1" x14ac:dyDescent="0.25">
      <c r="A72" s="1907" t="s">
        <v>711</v>
      </c>
      <c r="B72" s="1911" t="s">
        <v>2955</v>
      </c>
      <c r="C72" s="1904" t="e">
        <f>D72</f>
        <v>#REF!</v>
      </c>
      <c r="D72" s="1927" t="e">
        <f>'B53'!#REF!</f>
        <v>#REF!</v>
      </c>
      <c r="E72" s="1904"/>
      <c r="F72" s="1904"/>
      <c r="G72" s="1904"/>
      <c r="H72" s="1904"/>
      <c r="I72" s="1904" t="e">
        <f>J72</f>
        <v>#REF!</v>
      </c>
      <c r="J72" s="1927" t="e">
        <f>'B53'!#REF!</f>
        <v>#REF!</v>
      </c>
      <c r="K72" s="1904"/>
      <c r="L72" s="1904"/>
      <c r="M72" s="1904"/>
      <c r="N72" s="1927" t="e">
        <f>D72+G72-J72</f>
        <v>#REF!</v>
      </c>
      <c r="O72" s="1904"/>
      <c r="P72" s="1904"/>
      <c r="Q72" s="1904"/>
      <c r="R72" s="1926"/>
      <c r="S72" s="1904" t="e">
        <f>C72-I72</f>
        <v>#REF!</v>
      </c>
      <c r="T72" s="1904"/>
      <c r="U72" s="1904">
        <f>W72+V72</f>
        <v>0</v>
      </c>
      <c r="V72" s="1904">
        <f>SUM(V73:V73)</f>
        <v>0</v>
      </c>
      <c r="W72" s="1904">
        <f>H72-K72</f>
        <v>0</v>
      </c>
      <c r="X72" s="1928" t="e">
        <f>D72-J72</f>
        <v>#REF!</v>
      </c>
    </row>
    <row r="73" spans="1:24" s="583" customFormat="1" x14ac:dyDescent="0.25">
      <c r="A73" s="1909">
        <v>2</v>
      </c>
      <c r="B73" s="1909" t="s">
        <v>1528</v>
      </c>
      <c r="C73" s="1903" t="e">
        <f t="shared" ref="C73:W73" si="22">C74+C80</f>
        <v>#REF!</v>
      </c>
      <c r="D73" s="1903" t="e">
        <f t="shared" si="22"/>
        <v>#REF!</v>
      </c>
      <c r="E73" s="1903">
        <f t="shared" si="22"/>
        <v>0</v>
      </c>
      <c r="F73" s="1903" t="e">
        <f t="shared" si="22"/>
        <v>#REF!</v>
      </c>
      <c r="G73" s="1903" t="e">
        <f t="shared" si="22"/>
        <v>#REF!</v>
      </c>
      <c r="H73" s="1903">
        <f t="shared" si="22"/>
        <v>4267.050561</v>
      </c>
      <c r="I73" s="1903" t="e">
        <f t="shared" si="22"/>
        <v>#REF!</v>
      </c>
      <c r="J73" s="1903" t="e">
        <f t="shared" si="22"/>
        <v>#REF!</v>
      </c>
      <c r="K73" s="1903">
        <f t="shared" si="22"/>
        <v>4263.3019359999998</v>
      </c>
      <c r="L73" s="1903">
        <f t="shared" si="22"/>
        <v>0</v>
      </c>
      <c r="M73" s="1903">
        <f t="shared" si="22"/>
        <v>0</v>
      </c>
      <c r="N73" s="1903" t="e">
        <f t="shared" si="22"/>
        <v>#REF!</v>
      </c>
      <c r="O73" s="1903">
        <f t="shared" si="22"/>
        <v>0</v>
      </c>
      <c r="P73" s="1903">
        <f t="shared" si="22"/>
        <v>0</v>
      </c>
      <c r="Q73" s="1903">
        <f t="shared" si="22"/>
        <v>0</v>
      </c>
      <c r="R73" s="2284">
        <f t="shared" si="22"/>
        <v>0</v>
      </c>
      <c r="S73" s="1903" t="e">
        <f t="shared" si="22"/>
        <v>#REF!</v>
      </c>
      <c r="T73" s="1903">
        <f t="shared" si="22"/>
        <v>0</v>
      </c>
      <c r="U73" s="1903">
        <f t="shared" si="22"/>
        <v>3.2691750000000184</v>
      </c>
      <c r="V73" s="1903">
        <f t="shared" si="22"/>
        <v>0</v>
      </c>
      <c r="W73" s="1903">
        <f t="shared" si="22"/>
        <v>3.7486250000002883</v>
      </c>
    </row>
    <row r="74" spans="1:24" s="583" customFormat="1" x14ac:dyDescent="0.25">
      <c r="A74" s="1909" t="s">
        <v>902</v>
      </c>
      <c r="B74" s="1909" t="s">
        <v>2971</v>
      </c>
      <c r="C74" s="1903" t="e">
        <f t="shared" ref="C74:W74" si="23">SUM(C75:C79)</f>
        <v>#REF!</v>
      </c>
      <c r="D74" s="1903" t="e">
        <f t="shared" si="23"/>
        <v>#REF!</v>
      </c>
      <c r="E74" s="1903">
        <f t="shared" si="23"/>
        <v>0</v>
      </c>
      <c r="F74" s="1903" t="e">
        <f t="shared" si="23"/>
        <v>#REF!</v>
      </c>
      <c r="G74" s="1903" t="e">
        <f t="shared" si="23"/>
        <v>#REF!</v>
      </c>
      <c r="H74" s="1903">
        <f t="shared" si="23"/>
        <v>868</v>
      </c>
      <c r="I74" s="1903" t="e">
        <f t="shared" si="23"/>
        <v>#REF!</v>
      </c>
      <c r="J74" s="1903" t="e">
        <f t="shared" si="23"/>
        <v>#REF!</v>
      </c>
      <c r="K74" s="1903">
        <f t="shared" si="23"/>
        <v>864.73082499999998</v>
      </c>
      <c r="L74" s="1903">
        <f t="shared" si="23"/>
        <v>0</v>
      </c>
      <c r="M74" s="1903">
        <f t="shared" si="23"/>
        <v>0</v>
      </c>
      <c r="N74" s="1903" t="e">
        <f t="shared" si="23"/>
        <v>#REF!</v>
      </c>
      <c r="O74" s="1903">
        <f t="shared" si="23"/>
        <v>0</v>
      </c>
      <c r="P74" s="1903">
        <f t="shared" si="23"/>
        <v>0</v>
      </c>
      <c r="Q74" s="1903">
        <f t="shared" si="23"/>
        <v>0</v>
      </c>
      <c r="R74" s="2284">
        <f t="shared" si="23"/>
        <v>0</v>
      </c>
      <c r="S74" s="1903" t="e">
        <f t="shared" si="23"/>
        <v>#REF!</v>
      </c>
      <c r="T74" s="1903">
        <f t="shared" si="23"/>
        <v>0</v>
      </c>
      <c r="U74" s="1903">
        <f t="shared" si="23"/>
        <v>3.2691750000000184</v>
      </c>
      <c r="V74" s="1903">
        <f t="shared" si="23"/>
        <v>0</v>
      </c>
      <c r="W74" s="1903">
        <f t="shared" si="23"/>
        <v>3.2691750000000184</v>
      </c>
    </row>
    <row r="75" spans="1:24" s="589" customFormat="1" x14ac:dyDescent="0.25">
      <c r="A75" s="1907" t="s">
        <v>882</v>
      </c>
      <c r="B75" s="1911" t="s">
        <v>2955</v>
      </c>
      <c r="C75" s="1904" t="e">
        <f>D75+E75</f>
        <v>#REF!</v>
      </c>
      <c r="D75" s="1904" t="e">
        <f>'B53'!#REF!</f>
        <v>#REF!</v>
      </c>
      <c r="E75" s="1904"/>
      <c r="F75" s="1904"/>
      <c r="G75" s="1904"/>
      <c r="H75" s="1904"/>
      <c r="I75" s="1925" t="e">
        <f>J75+K75</f>
        <v>#REF!</v>
      </c>
      <c r="J75" s="1925" t="e">
        <f>'B53'!#REF!</f>
        <v>#REF!</v>
      </c>
      <c r="K75" s="1925"/>
      <c r="L75" s="1904"/>
      <c r="M75" s="1904"/>
      <c r="N75" s="1904" t="e">
        <f>R75+S75</f>
        <v>#REF!</v>
      </c>
      <c r="O75" s="1904"/>
      <c r="P75" s="1904"/>
      <c r="Q75" s="1904"/>
      <c r="R75" s="1926"/>
      <c r="S75" s="1926" t="e">
        <f>C75-I75</f>
        <v>#REF!</v>
      </c>
      <c r="T75" s="1904"/>
      <c r="U75" s="1904">
        <f>H75-K75</f>
        <v>0</v>
      </c>
      <c r="V75" s="1904"/>
      <c r="W75" s="1904">
        <f>U75</f>
        <v>0</v>
      </c>
    </row>
    <row r="76" spans="1:24" s="589" customFormat="1" ht="31.5" x14ac:dyDescent="0.25">
      <c r="A76" s="1907" t="s">
        <v>882</v>
      </c>
      <c r="B76" s="1911" t="s">
        <v>2735</v>
      </c>
      <c r="C76" s="1904"/>
      <c r="D76" s="1904"/>
      <c r="E76" s="1904"/>
      <c r="F76" s="1904">
        <f>G76+H76</f>
        <v>518</v>
      </c>
      <c r="G76" s="1904"/>
      <c r="H76" s="1904">
        <f>648-130</f>
        <v>518</v>
      </c>
      <c r="I76" s="1904">
        <f>J76+K76</f>
        <v>514.73082499999998</v>
      </c>
      <c r="J76" s="1904"/>
      <c r="K76" s="1904">
        <f>'QT theo cơ cấu'!F55-130</f>
        <v>514.73082499999998</v>
      </c>
      <c r="L76" s="1904"/>
      <c r="M76" s="1904"/>
      <c r="N76" s="1904">
        <f>R76+S76</f>
        <v>0</v>
      </c>
      <c r="O76" s="1904"/>
      <c r="P76" s="1904"/>
      <c r="Q76" s="1904"/>
      <c r="R76" s="1926"/>
      <c r="S76" s="1904"/>
      <c r="T76" s="1904"/>
      <c r="U76" s="1904">
        <f>H76-K76</f>
        <v>3.2691750000000184</v>
      </c>
      <c r="V76" s="1904"/>
      <c r="W76" s="1904">
        <f>U76</f>
        <v>3.2691750000000184</v>
      </c>
    </row>
    <row r="77" spans="1:24" s="589" customFormat="1" x14ac:dyDescent="0.25">
      <c r="A77" s="1907" t="s">
        <v>882</v>
      </c>
      <c r="B77" s="1911" t="s">
        <v>2960</v>
      </c>
      <c r="C77" s="1903"/>
      <c r="D77" s="1904"/>
      <c r="E77" s="1904"/>
      <c r="F77" s="1904">
        <f>G77+H77</f>
        <v>600</v>
      </c>
      <c r="G77" s="1904">
        <v>250</v>
      </c>
      <c r="H77" s="1904">
        <f>600-250</f>
        <v>350</v>
      </c>
      <c r="I77" s="1915" t="e">
        <f>J77+K77</f>
        <v>#REF!</v>
      </c>
      <c r="J77" s="1904" t="e">
        <f>'B53'!#REF!</f>
        <v>#REF!</v>
      </c>
      <c r="K77" s="1904">
        <v>350</v>
      </c>
      <c r="L77" s="1904"/>
      <c r="M77" s="1904"/>
      <c r="N77" s="1904" t="e">
        <f>R77+S77</f>
        <v>#REF!</v>
      </c>
      <c r="O77" s="1904"/>
      <c r="P77" s="1904"/>
      <c r="Q77" s="1904"/>
      <c r="R77" s="1926"/>
      <c r="S77" s="1904" t="e">
        <f>G77-J77</f>
        <v>#REF!</v>
      </c>
      <c r="T77" s="1904"/>
      <c r="U77" s="1904"/>
      <c r="V77" s="1904"/>
      <c r="W77" s="1904"/>
    </row>
    <row r="78" spans="1:24" s="589" customFormat="1" x14ac:dyDescent="0.25">
      <c r="A78" s="1907" t="s">
        <v>882</v>
      </c>
      <c r="B78" s="1911" t="s">
        <v>2962</v>
      </c>
      <c r="C78" s="1903"/>
      <c r="D78" s="1904"/>
      <c r="E78" s="1904"/>
      <c r="F78" s="1904" t="e">
        <f>G78+H78</f>
        <v>#REF!</v>
      </c>
      <c r="G78" s="1904" t="e">
        <f>'B53'!#REF!</f>
        <v>#REF!</v>
      </c>
      <c r="H78" s="1904"/>
      <c r="I78" s="1915" t="e">
        <f>J78+K78</f>
        <v>#REF!</v>
      </c>
      <c r="J78" s="1904" t="e">
        <f>'B53'!#REF!</f>
        <v>#REF!</v>
      </c>
      <c r="K78" s="1904"/>
      <c r="L78" s="1904"/>
      <c r="M78" s="1904"/>
      <c r="N78" s="1904" t="e">
        <f>R78+S78</f>
        <v>#REF!</v>
      </c>
      <c r="O78" s="1904"/>
      <c r="P78" s="1904"/>
      <c r="Q78" s="1904"/>
      <c r="R78" s="1926"/>
      <c r="S78" s="1904" t="e">
        <f>G78-J78</f>
        <v>#REF!</v>
      </c>
      <c r="T78" s="1904"/>
      <c r="U78" s="1904"/>
      <c r="V78" s="1904"/>
      <c r="W78" s="1904"/>
    </row>
    <row r="79" spans="1:24" s="589" customFormat="1" ht="31.5" x14ac:dyDescent="0.25">
      <c r="A79" s="1907" t="s">
        <v>882</v>
      </c>
      <c r="B79" s="1911" t="s">
        <v>2963</v>
      </c>
      <c r="C79" s="1903"/>
      <c r="D79" s="1904"/>
      <c r="E79" s="1904"/>
      <c r="F79" s="1904">
        <f>G79+H79</f>
        <v>1300</v>
      </c>
      <c r="G79" s="1904">
        <v>1300</v>
      </c>
      <c r="H79" s="1904"/>
      <c r="I79" s="1915">
        <f>J79+K79</f>
        <v>1300</v>
      </c>
      <c r="J79" s="1904">
        <v>1300</v>
      </c>
      <c r="K79" s="1904"/>
      <c r="L79" s="1904"/>
      <c r="M79" s="1904"/>
      <c r="N79" s="1904">
        <f>R79+S79</f>
        <v>0</v>
      </c>
      <c r="O79" s="1904"/>
      <c r="P79" s="1904"/>
      <c r="Q79" s="1904"/>
      <c r="R79" s="1926"/>
      <c r="S79" s="1904"/>
      <c r="T79" s="1904"/>
      <c r="U79" s="1904"/>
      <c r="V79" s="1904"/>
      <c r="W79" s="1904"/>
    </row>
    <row r="80" spans="1:24" s="583" customFormat="1" x14ac:dyDescent="0.25">
      <c r="A80" s="1909" t="s">
        <v>903</v>
      </c>
      <c r="B80" s="1910" t="s">
        <v>1096</v>
      </c>
      <c r="C80" s="1903"/>
      <c r="D80" s="1903"/>
      <c r="E80" s="1903"/>
      <c r="F80" s="1903">
        <f>SUM(F81:F83)</f>
        <v>3399.050561</v>
      </c>
      <c r="G80" s="1903">
        <f t="shared" ref="G80:W80" si="24">SUM(G81:G83)</f>
        <v>0</v>
      </c>
      <c r="H80" s="1903">
        <f t="shared" si="24"/>
        <v>3399.050561</v>
      </c>
      <c r="I80" s="1903">
        <f t="shared" si="24"/>
        <v>3398.5711109999997</v>
      </c>
      <c r="J80" s="1903">
        <f t="shared" si="24"/>
        <v>0</v>
      </c>
      <c r="K80" s="1903">
        <f t="shared" si="24"/>
        <v>3398.5711109999997</v>
      </c>
      <c r="L80" s="1903">
        <f t="shared" si="24"/>
        <v>0</v>
      </c>
      <c r="M80" s="1903">
        <f t="shared" si="24"/>
        <v>0</v>
      </c>
      <c r="N80" s="1903">
        <f t="shared" si="24"/>
        <v>0</v>
      </c>
      <c r="O80" s="1903">
        <f t="shared" si="24"/>
        <v>0</v>
      </c>
      <c r="P80" s="1903">
        <f t="shared" si="24"/>
        <v>0</v>
      </c>
      <c r="Q80" s="1903">
        <f t="shared" si="24"/>
        <v>0</v>
      </c>
      <c r="R80" s="2284">
        <f t="shared" si="24"/>
        <v>0</v>
      </c>
      <c r="S80" s="1903">
        <f t="shared" si="24"/>
        <v>0</v>
      </c>
      <c r="T80" s="1903">
        <f t="shared" si="24"/>
        <v>0</v>
      </c>
      <c r="U80" s="1903">
        <f t="shared" si="24"/>
        <v>0</v>
      </c>
      <c r="V80" s="1903">
        <f t="shared" si="24"/>
        <v>0</v>
      </c>
      <c r="W80" s="1903">
        <f t="shared" si="24"/>
        <v>0.47945000000026994</v>
      </c>
    </row>
    <row r="81" spans="1:23" s="589" customFormat="1" ht="31.5" x14ac:dyDescent="0.25">
      <c r="A81" s="1907"/>
      <c r="B81" s="1911" t="s">
        <v>2958</v>
      </c>
      <c r="C81" s="1904"/>
      <c r="D81" s="1904"/>
      <c r="E81" s="1904"/>
      <c r="F81" s="1904">
        <f>G81+H81</f>
        <v>1570.1976</v>
      </c>
      <c r="G81" s="1904"/>
      <c r="H81" s="1904">
        <v>1570.1976</v>
      </c>
      <c r="I81" s="1904">
        <v>1570.1976</v>
      </c>
      <c r="J81" s="1922"/>
      <c r="K81" s="1904">
        <v>1570.1976</v>
      </c>
      <c r="L81" s="1904"/>
      <c r="M81" s="1904"/>
      <c r="N81" s="1904"/>
      <c r="O81" s="1904"/>
      <c r="P81" s="1904"/>
      <c r="Q81" s="1904"/>
      <c r="R81" s="1926"/>
      <c r="S81" s="1904"/>
      <c r="T81" s="1904"/>
      <c r="U81" s="1904"/>
      <c r="V81" s="1904"/>
      <c r="W81" s="1904"/>
    </row>
    <row r="82" spans="1:23" s="589" customFormat="1" x14ac:dyDescent="0.25">
      <c r="A82" s="1907"/>
      <c r="B82" s="1887" t="s">
        <v>2956</v>
      </c>
      <c r="C82" s="1904"/>
      <c r="D82" s="1904"/>
      <c r="E82" s="1904"/>
      <c r="F82" s="1904">
        <f t="shared" ref="F82:F87" si="25">G82+H82</f>
        <v>1000</v>
      </c>
      <c r="G82" s="1904"/>
      <c r="H82" s="1904">
        <v>1000</v>
      </c>
      <c r="I82" s="1904">
        <f>K82</f>
        <v>1000</v>
      </c>
      <c r="J82" s="1904"/>
      <c r="K82" s="1922">
        <v>1000</v>
      </c>
      <c r="L82" s="1904"/>
      <c r="M82" s="1904"/>
      <c r="N82" s="1904"/>
      <c r="O82" s="1904"/>
      <c r="P82" s="1904"/>
      <c r="Q82" s="1904"/>
      <c r="R82" s="1926"/>
      <c r="S82" s="1904"/>
      <c r="T82" s="1904"/>
      <c r="U82" s="1904"/>
      <c r="V82" s="1904"/>
      <c r="W82" s="1904">
        <f>F82-K82</f>
        <v>0</v>
      </c>
    </row>
    <row r="83" spans="1:23" s="589" customFormat="1" x14ac:dyDescent="0.25">
      <c r="A83" s="1907"/>
      <c r="B83" s="1887" t="s">
        <v>2964</v>
      </c>
      <c r="C83" s="1904"/>
      <c r="D83" s="1904"/>
      <c r="E83" s="1904"/>
      <c r="F83" s="1904">
        <f t="shared" si="25"/>
        <v>828.85296100000005</v>
      </c>
      <c r="G83" s="1904"/>
      <c r="H83" s="1904">
        <v>828.85296100000005</v>
      </c>
      <c r="I83" s="1904">
        <f>K83</f>
        <v>828.37351099999978</v>
      </c>
      <c r="J83" s="1904"/>
      <c r="K83" s="1922">
        <v>828.37351099999978</v>
      </c>
      <c r="L83" s="1904"/>
      <c r="M83" s="1904"/>
      <c r="N83" s="1904"/>
      <c r="O83" s="1904"/>
      <c r="P83" s="1904"/>
      <c r="Q83" s="1904"/>
      <c r="R83" s="1926"/>
      <c r="S83" s="1904"/>
      <c r="T83" s="1904"/>
      <c r="U83" s="1904"/>
      <c r="V83" s="1904"/>
      <c r="W83" s="1904">
        <f>F83-I83</f>
        <v>0.47945000000026994</v>
      </c>
    </row>
    <row r="84" spans="1:23" s="583" customFormat="1" ht="31.5" x14ac:dyDescent="0.25">
      <c r="A84" s="1909" t="s">
        <v>866</v>
      </c>
      <c r="B84" s="1910" t="s">
        <v>2336</v>
      </c>
      <c r="C84" s="1903">
        <f>C85</f>
        <v>0</v>
      </c>
      <c r="D84" s="1903">
        <f>D85</f>
        <v>0</v>
      </c>
      <c r="E84" s="1903">
        <f>E85</f>
        <v>0</v>
      </c>
      <c r="F84" s="1903">
        <f>F85</f>
        <v>2893.027403</v>
      </c>
      <c r="G84" s="1903">
        <f t="shared" ref="G84:W84" si="26">G85</f>
        <v>0</v>
      </c>
      <c r="H84" s="1903">
        <f t="shared" si="26"/>
        <v>2893.027403</v>
      </c>
      <c r="I84" s="1903">
        <f t="shared" si="26"/>
        <v>2893.027403</v>
      </c>
      <c r="J84" s="1903">
        <f t="shared" si="26"/>
        <v>0</v>
      </c>
      <c r="K84" s="1903">
        <f t="shared" si="26"/>
        <v>2893.027403</v>
      </c>
      <c r="L84" s="1903">
        <f t="shared" si="26"/>
        <v>0</v>
      </c>
      <c r="M84" s="1903">
        <f t="shared" si="26"/>
        <v>0</v>
      </c>
      <c r="N84" s="1903">
        <f t="shared" si="26"/>
        <v>0</v>
      </c>
      <c r="O84" s="1903">
        <f t="shared" si="26"/>
        <v>0</v>
      </c>
      <c r="P84" s="1903">
        <f t="shared" si="26"/>
        <v>0</v>
      </c>
      <c r="Q84" s="1903">
        <f t="shared" si="26"/>
        <v>0</v>
      </c>
      <c r="R84" s="2284">
        <f t="shared" si="26"/>
        <v>0</v>
      </c>
      <c r="S84" s="1903">
        <f t="shared" si="26"/>
        <v>0</v>
      </c>
      <c r="T84" s="1903">
        <f t="shared" si="26"/>
        <v>0</v>
      </c>
      <c r="U84" s="1903">
        <f t="shared" si="26"/>
        <v>0</v>
      </c>
      <c r="V84" s="1903">
        <f t="shared" si="26"/>
        <v>0</v>
      </c>
      <c r="W84" s="1903">
        <f t="shared" si="26"/>
        <v>0</v>
      </c>
    </row>
    <row r="85" spans="1:23" s="589" customFormat="1" ht="47.25" x14ac:dyDescent="0.25">
      <c r="A85" s="1907"/>
      <c r="B85" s="1887" t="s">
        <v>2727</v>
      </c>
      <c r="C85" s="1904"/>
      <c r="D85" s="1904"/>
      <c r="E85" s="1904"/>
      <c r="F85" s="1904">
        <f t="shared" si="25"/>
        <v>2893.027403</v>
      </c>
      <c r="G85" s="1904"/>
      <c r="H85" s="1904">
        <v>2893.027403</v>
      </c>
      <c r="I85" s="1904">
        <f>J85+K85</f>
        <v>2893.027403</v>
      </c>
      <c r="J85" s="1904"/>
      <c r="K85" s="1904">
        <v>2893.027403</v>
      </c>
      <c r="L85" s="1904"/>
      <c r="M85" s="1904"/>
      <c r="N85" s="1904"/>
      <c r="O85" s="1904"/>
      <c r="P85" s="1904"/>
      <c r="Q85" s="1904"/>
      <c r="R85" s="1926"/>
      <c r="S85" s="1904"/>
      <c r="T85" s="1904"/>
      <c r="U85" s="1904"/>
      <c r="V85" s="1904"/>
      <c r="W85" s="1904"/>
    </row>
    <row r="86" spans="1:23" s="589" customFormat="1" x14ac:dyDescent="0.25">
      <c r="A86" s="1907"/>
      <c r="B86" s="1914" t="s">
        <v>1612</v>
      </c>
      <c r="C86" s="1904"/>
      <c r="D86" s="1904"/>
      <c r="E86" s="1904"/>
      <c r="F86" s="1904">
        <f t="shared" si="25"/>
        <v>1087</v>
      </c>
      <c r="G86" s="1904"/>
      <c r="H86" s="1904">
        <v>1087</v>
      </c>
      <c r="I86" s="1904">
        <f>J86+K86</f>
        <v>1087</v>
      </c>
      <c r="J86" s="1904"/>
      <c r="K86" s="1904">
        <v>1087</v>
      </c>
      <c r="L86" s="1904"/>
      <c r="M86" s="1904"/>
      <c r="N86" s="1904"/>
      <c r="O86" s="1904"/>
      <c r="P86" s="1904"/>
      <c r="Q86" s="1904"/>
      <c r="R86" s="1926"/>
      <c r="S86" s="1904"/>
      <c r="T86" s="1904"/>
      <c r="U86" s="1904"/>
      <c r="V86" s="1904"/>
      <c r="W86" s="1904"/>
    </row>
    <row r="87" spans="1:23" s="589" customFormat="1" x14ac:dyDescent="0.25">
      <c r="A87" s="1907"/>
      <c r="B87" s="1914" t="s">
        <v>1611</v>
      </c>
      <c r="C87" s="1904"/>
      <c r="D87" s="1904"/>
      <c r="E87" s="1904"/>
      <c r="F87" s="1904">
        <f t="shared" si="25"/>
        <v>1806</v>
      </c>
      <c r="G87" s="1904"/>
      <c r="H87" s="1904">
        <v>1806</v>
      </c>
      <c r="I87" s="1904">
        <f>J87+K87</f>
        <v>1806</v>
      </c>
      <c r="J87" s="1904"/>
      <c r="K87" s="1904">
        <f>H87</f>
        <v>1806</v>
      </c>
      <c r="L87" s="1904"/>
      <c r="M87" s="1904"/>
      <c r="N87" s="1904"/>
      <c r="O87" s="1904"/>
      <c r="P87" s="1904"/>
      <c r="Q87" s="1904"/>
      <c r="R87" s="1926"/>
      <c r="S87" s="1904"/>
      <c r="T87" s="1904"/>
      <c r="U87" s="1904"/>
      <c r="V87" s="1904"/>
      <c r="W87" s="1904"/>
    </row>
    <row r="88" spans="1:23" s="583" customFormat="1" ht="31.5" x14ac:dyDescent="0.25">
      <c r="A88" s="1909" t="s">
        <v>872</v>
      </c>
      <c r="B88" s="1910" t="s">
        <v>2339</v>
      </c>
      <c r="C88" s="1903">
        <f>SUM(C90:C96)</f>
        <v>0</v>
      </c>
      <c r="D88" s="1903">
        <f>SUM(D90:D96)</f>
        <v>0</v>
      </c>
      <c r="E88" s="1903">
        <f>SUM(E90:E96)</f>
        <v>0</v>
      </c>
      <c r="F88" s="1903">
        <f>SUM(F90:F96)</f>
        <v>3545.8411399999995</v>
      </c>
      <c r="G88" s="1903">
        <f t="shared" ref="G88:W88" si="27">SUM(G90:G96)</f>
        <v>0</v>
      </c>
      <c r="H88" s="1903">
        <f t="shared" si="27"/>
        <v>3545.8411399999995</v>
      </c>
      <c r="I88" s="1903">
        <f t="shared" si="27"/>
        <v>3267.8790399999998</v>
      </c>
      <c r="J88" s="1903">
        <f t="shared" si="27"/>
        <v>0</v>
      </c>
      <c r="K88" s="1903">
        <f t="shared" si="27"/>
        <v>3267.8790399999998</v>
      </c>
      <c r="L88" s="1903">
        <f t="shared" si="27"/>
        <v>0</v>
      </c>
      <c r="M88" s="1903">
        <f t="shared" si="27"/>
        <v>0</v>
      </c>
      <c r="N88" s="1903">
        <f t="shared" si="27"/>
        <v>0</v>
      </c>
      <c r="O88" s="1903">
        <f t="shared" si="27"/>
        <v>0</v>
      </c>
      <c r="P88" s="1903">
        <f t="shared" si="27"/>
        <v>0</v>
      </c>
      <c r="Q88" s="1903">
        <f t="shared" si="27"/>
        <v>0</v>
      </c>
      <c r="R88" s="2284">
        <f t="shared" si="27"/>
        <v>0</v>
      </c>
      <c r="S88" s="1903">
        <f t="shared" si="27"/>
        <v>0</v>
      </c>
      <c r="T88" s="1903">
        <f t="shared" si="27"/>
        <v>0</v>
      </c>
      <c r="U88" s="1903">
        <f t="shared" si="27"/>
        <v>277.96209999999996</v>
      </c>
      <c r="V88" s="1903">
        <f t="shared" si="27"/>
        <v>0</v>
      </c>
      <c r="W88" s="1903">
        <f t="shared" si="27"/>
        <v>277.96209999999996</v>
      </c>
    </row>
    <row r="89" spans="1:23" s="589" customFormat="1" ht="63" x14ac:dyDescent="0.25">
      <c r="A89" s="1907" t="s">
        <v>882</v>
      </c>
      <c r="B89" s="1887" t="s">
        <v>2465</v>
      </c>
      <c r="C89" s="1904"/>
      <c r="D89" s="1904"/>
      <c r="E89" s="1904"/>
      <c r="F89" s="1904">
        <f>G89+H89</f>
        <v>632.25700000000006</v>
      </c>
      <c r="G89" s="1904"/>
      <c r="H89" s="1904">
        <v>632.25700000000006</v>
      </c>
      <c r="I89" s="1904">
        <f>J89+K89</f>
        <v>632.25700000000006</v>
      </c>
      <c r="J89" s="1904"/>
      <c r="K89" s="1904">
        <f>'QT theo cơ cấu'!H10</f>
        <v>632.25700000000006</v>
      </c>
      <c r="L89" s="1904"/>
      <c r="M89" s="1904"/>
      <c r="N89" s="1904"/>
      <c r="O89" s="1904"/>
      <c r="P89" s="1904"/>
      <c r="Q89" s="1904"/>
      <c r="R89" s="1926"/>
      <c r="S89" s="1904"/>
      <c r="T89" s="1904"/>
      <c r="U89" s="1904">
        <f>H89-K89</f>
        <v>0</v>
      </c>
      <c r="V89" s="1904"/>
      <c r="W89" s="1904">
        <f>U89</f>
        <v>0</v>
      </c>
    </row>
    <row r="90" spans="1:23" s="589" customFormat="1" ht="54" customHeight="1" x14ac:dyDescent="0.25">
      <c r="A90" s="1907" t="s">
        <v>711</v>
      </c>
      <c r="B90" s="1923" t="s">
        <v>1765</v>
      </c>
      <c r="C90" s="1904"/>
      <c r="D90" s="1904"/>
      <c r="E90" s="1904"/>
      <c r="F90" s="1904">
        <f t="shared" ref="F90:F95" si="28">H90</f>
        <v>470</v>
      </c>
      <c r="G90" s="1904"/>
      <c r="H90" s="1904">
        <v>470</v>
      </c>
      <c r="I90" s="1904">
        <f t="shared" ref="I90:I96" si="29">K90</f>
        <v>443.495</v>
      </c>
      <c r="J90" s="1904"/>
      <c r="K90" s="1904">
        <v>443.495</v>
      </c>
      <c r="L90" s="1904"/>
      <c r="M90" s="1904"/>
      <c r="N90" s="1904"/>
      <c r="O90" s="1904"/>
      <c r="P90" s="1904"/>
      <c r="Q90" s="1904"/>
      <c r="R90" s="1926"/>
      <c r="S90" s="1904"/>
      <c r="T90" s="1904"/>
      <c r="U90" s="1904">
        <f>H90-K90-T90</f>
        <v>26.504999999999995</v>
      </c>
      <c r="V90" s="1904"/>
      <c r="W90" s="1904">
        <f>U90-V90</f>
        <v>26.504999999999995</v>
      </c>
    </row>
    <row r="91" spans="1:23" s="589" customFormat="1" ht="21" customHeight="1" x14ac:dyDescent="0.25">
      <c r="A91" s="1907" t="s">
        <v>711</v>
      </c>
      <c r="B91" s="1911" t="s">
        <v>2340</v>
      </c>
      <c r="C91" s="1904"/>
      <c r="D91" s="1904"/>
      <c r="E91" s="1904"/>
      <c r="F91" s="1904">
        <f t="shared" si="28"/>
        <v>35</v>
      </c>
      <c r="G91" s="1904"/>
      <c r="H91" s="1904">
        <v>35</v>
      </c>
      <c r="I91" s="1904">
        <f t="shared" si="29"/>
        <v>29.5639</v>
      </c>
      <c r="J91" s="1904"/>
      <c r="K91" s="1904">
        <f>'QT theo cơ cấu'!H41</f>
        <v>29.5639</v>
      </c>
      <c r="L91" s="1904"/>
      <c r="M91" s="1904"/>
      <c r="N91" s="1904"/>
      <c r="O91" s="1904"/>
      <c r="P91" s="1904"/>
      <c r="Q91" s="1904"/>
      <c r="R91" s="1926"/>
      <c r="S91" s="1904"/>
      <c r="T91" s="1904"/>
      <c r="U91" s="1904">
        <f t="shared" ref="U91:U96" si="30">H91-K91-T91</f>
        <v>5.4360999999999997</v>
      </c>
      <c r="V91" s="1904"/>
      <c r="W91" s="1904">
        <f t="shared" ref="W91:W96" si="31">U91-V91</f>
        <v>5.4360999999999997</v>
      </c>
    </row>
    <row r="92" spans="1:23" s="589" customFormat="1" ht="27" customHeight="1" x14ac:dyDescent="0.25">
      <c r="A92" s="1907" t="s">
        <v>711</v>
      </c>
      <c r="B92" s="1887" t="s">
        <v>2658</v>
      </c>
      <c r="C92" s="1904"/>
      <c r="D92" s="1904"/>
      <c r="E92" s="1904"/>
      <c r="F92" s="1904">
        <f t="shared" si="28"/>
        <v>1260</v>
      </c>
      <c r="G92" s="1904"/>
      <c r="H92" s="1904">
        <v>1260</v>
      </c>
      <c r="I92" s="1904">
        <f t="shared" si="29"/>
        <v>1013.979</v>
      </c>
      <c r="J92" s="1904"/>
      <c r="K92" s="1904">
        <f>'QT theo cơ cấu'!H36</f>
        <v>1013.979</v>
      </c>
      <c r="L92" s="1904"/>
      <c r="M92" s="1904"/>
      <c r="N92" s="1904"/>
      <c r="O92" s="1904"/>
      <c r="P92" s="1904"/>
      <c r="Q92" s="1904"/>
      <c r="R92" s="1926"/>
      <c r="S92" s="1904"/>
      <c r="T92" s="1904"/>
      <c r="U92" s="1904">
        <f t="shared" si="30"/>
        <v>246.02099999999996</v>
      </c>
      <c r="V92" s="1904"/>
      <c r="W92" s="1904">
        <f t="shared" si="31"/>
        <v>246.02099999999996</v>
      </c>
    </row>
    <row r="93" spans="1:23" s="589" customFormat="1" ht="37.5" customHeight="1" x14ac:dyDescent="0.25">
      <c r="A93" s="1907" t="s">
        <v>711</v>
      </c>
      <c r="B93" s="1887" t="s">
        <v>2711</v>
      </c>
      <c r="C93" s="1904"/>
      <c r="D93" s="1904"/>
      <c r="E93" s="1904"/>
      <c r="F93" s="1904">
        <f t="shared" si="28"/>
        <v>728.93399999999997</v>
      </c>
      <c r="G93" s="1904"/>
      <c r="H93" s="1904">
        <v>728.93399999999997</v>
      </c>
      <c r="I93" s="1904">
        <f t="shared" si="29"/>
        <v>728.93399999999997</v>
      </c>
      <c r="J93" s="1904"/>
      <c r="K93" s="1904">
        <v>728.93399999999997</v>
      </c>
      <c r="L93" s="1904"/>
      <c r="M93" s="1904"/>
      <c r="N93" s="1904"/>
      <c r="O93" s="1904"/>
      <c r="P93" s="1904"/>
      <c r="Q93" s="1904"/>
      <c r="R93" s="1926"/>
      <c r="S93" s="1904"/>
      <c r="T93" s="1904"/>
      <c r="U93" s="1904">
        <f t="shared" si="30"/>
        <v>0</v>
      </c>
      <c r="V93" s="1904"/>
      <c r="W93" s="1904">
        <f t="shared" si="31"/>
        <v>0</v>
      </c>
    </row>
    <row r="94" spans="1:23" s="589" customFormat="1" ht="68.25" customHeight="1" x14ac:dyDescent="0.25">
      <c r="A94" s="1907"/>
      <c r="B94" s="1887" t="s">
        <v>2734</v>
      </c>
      <c r="C94" s="1904"/>
      <c r="D94" s="1904"/>
      <c r="E94" s="1904"/>
      <c r="F94" s="1904">
        <f t="shared" si="28"/>
        <v>116.73314000000001</v>
      </c>
      <c r="G94" s="1904"/>
      <c r="H94" s="1904">
        <f>'QT theo cơ cấu'!E14</f>
        <v>116.73314000000001</v>
      </c>
      <c r="I94" s="1904">
        <f t="shared" si="29"/>
        <v>116.73314000000001</v>
      </c>
      <c r="J94" s="1904"/>
      <c r="K94" s="1904">
        <f>H94</f>
        <v>116.73314000000001</v>
      </c>
      <c r="L94" s="1904"/>
      <c r="M94" s="1904"/>
      <c r="N94" s="1904"/>
      <c r="O94" s="1904"/>
      <c r="P94" s="1904"/>
      <c r="Q94" s="1904"/>
      <c r="R94" s="1926"/>
      <c r="S94" s="1904"/>
      <c r="T94" s="1904"/>
      <c r="U94" s="1904"/>
      <c r="V94" s="1904"/>
      <c r="W94" s="1904"/>
    </row>
    <row r="95" spans="1:23" s="589" customFormat="1" ht="50.25" customHeight="1" x14ac:dyDescent="0.25">
      <c r="A95" s="1907"/>
      <c r="B95" s="1887" t="s">
        <v>2967</v>
      </c>
      <c r="C95" s="1904"/>
      <c r="D95" s="1904"/>
      <c r="E95" s="1904"/>
      <c r="F95" s="1904">
        <f t="shared" si="28"/>
        <v>206.23999999999998</v>
      </c>
      <c r="G95" s="1904"/>
      <c r="H95" s="1904">
        <f>K95</f>
        <v>206.23999999999998</v>
      </c>
      <c r="I95" s="1904">
        <f t="shared" si="29"/>
        <v>206.23999999999998</v>
      </c>
      <c r="J95" s="1904"/>
      <c r="K95" s="1904">
        <f>51.04+'QT theo cơ cấu'!H23+'QT theo cơ cấu'!H24</f>
        <v>206.23999999999998</v>
      </c>
      <c r="L95" s="1904"/>
      <c r="M95" s="1904"/>
      <c r="N95" s="1904"/>
      <c r="O95" s="1904"/>
      <c r="P95" s="1904"/>
      <c r="Q95" s="1904"/>
      <c r="R95" s="1926"/>
      <c r="S95" s="1904"/>
      <c r="T95" s="1904"/>
      <c r="U95" s="1904"/>
      <c r="V95" s="1904"/>
      <c r="W95" s="1904"/>
    </row>
    <row r="96" spans="1:23" s="589" customFormat="1" ht="37.5" customHeight="1" x14ac:dyDescent="0.25">
      <c r="A96" s="1907"/>
      <c r="B96" s="1906" t="s">
        <v>2711</v>
      </c>
      <c r="C96" s="1904"/>
      <c r="D96" s="1904"/>
      <c r="E96" s="1904"/>
      <c r="F96" s="1904">
        <f>G96+H96</f>
        <v>728.93399999999997</v>
      </c>
      <c r="G96" s="1904"/>
      <c r="H96" s="1904">
        <v>728.93399999999997</v>
      </c>
      <c r="I96" s="1904">
        <f t="shared" si="29"/>
        <v>728.93399999999997</v>
      </c>
      <c r="J96" s="1904"/>
      <c r="K96" s="1904">
        <v>728.93399999999997</v>
      </c>
      <c r="L96" s="1904"/>
      <c r="M96" s="1904"/>
      <c r="N96" s="1904"/>
      <c r="O96" s="1904"/>
      <c r="P96" s="1904"/>
      <c r="Q96" s="1904"/>
      <c r="R96" s="1926"/>
      <c r="S96" s="1904"/>
      <c r="T96" s="1904"/>
      <c r="U96" s="1904">
        <f t="shared" si="30"/>
        <v>0</v>
      </c>
      <c r="V96" s="1904"/>
      <c r="W96" s="1904">
        <f t="shared" si="31"/>
        <v>0</v>
      </c>
    </row>
    <row r="98" spans="10:16" x14ac:dyDescent="0.25">
      <c r="J98" s="1924"/>
      <c r="K98" s="1924"/>
      <c r="L98" s="1924"/>
      <c r="M98" s="1924"/>
      <c r="N98" s="1924"/>
    </row>
    <row r="99" spans="10:16" x14ac:dyDescent="0.25">
      <c r="J99" s="4618" t="s">
        <v>2480</v>
      </c>
      <c r="K99" s="4618"/>
      <c r="L99" s="4618"/>
      <c r="M99" s="4618"/>
      <c r="N99" s="4618"/>
      <c r="O99" s="4618"/>
      <c r="P99" s="4618"/>
    </row>
    <row r="100" spans="10:16" x14ac:dyDescent="0.25">
      <c r="J100" s="4619" t="s">
        <v>1442</v>
      </c>
      <c r="K100" s="4619"/>
      <c r="L100" s="4619"/>
      <c r="M100" s="4619"/>
      <c r="N100" s="4619"/>
      <c r="O100" s="4619"/>
      <c r="P100" s="4619"/>
    </row>
    <row r="101" spans="10:16" x14ac:dyDescent="0.25">
      <c r="J101" s="4619" t="s">
        <v>807</v>
      </c>
      <c r="K101" s="4619"/>
      <c r="L101" s="4619"/>
      <c r="M101" s="4619"/>
      <c r="N101" s="4619"/>
      <c r="O101" s="4619"/>
      <c r="P101" s="4619"/>
    </row>
    <row r="102" spans="10:16" x14ac:dyDescent="0.25">
      <c r="J102" s="1183"/>
      <c r="L102" s="716"/>
      <c r="M102" s="1924"/>
      <c r="N102" s="1924"/>
    </row>
    <row r="103" spans="10:16" x14ac:dyDescent="0.25">
      <c r="J103" s="1183"/>
      <c r="L103" s="716"/>
      <c r="M103" s="1924"/>
      <c r="N103" s="1924"/>
    </row>
    <row r="104" spans="10:16" x14ac:dyDescent="0.25">
      <c r="J104" s="1183"/>
      <c r="L104" s="716"/>
      <c r="M104" s="1924"/>
      <c r="N104" s="1924"/>
    </row>
    <row r="105" spans="10:16" x14ac:dyDescent="0.25">
      <c r="J105" s="1183"/>
      <c r="L105" s="1183"/>
      <c r="M105" s="1924"/>
      <c r="N105" s="1924"/>
    </row>
    <row r="106" spans="10:16" x14ac:dyDescent="0.25">
      <c r="J106" s="1183"/>
      <c r="L106" s="1183"/>
      <c r="M106" s="1924"/>
      <c r="N106" s="1924"/>
    </row>
    <row r="107" spans="10:16" x14ac:dyDescent="0.25">
      <c r="M107" s="1924"/>
      <c r="N107" s="1924"/>
    </row>
    <row r="108" spans="10:16" x14ac:dyDescent="0.25">
      <c r="J108" s="4620" t="s">
        <v>808</v>
      </c>
      <c r="K108" s="4620"/>
      <c r="L108" s="4620"/>
      <c r="M108" s="4620"/>
      <c r="N108" s="4620"/>
      <c r="O108" s="4620"/>
      <c r="P108" s="4620"/>
    </row>
    <row r="134" spans="1:23" ht="47.25" x14ac:dyDescent="0.25">
      <c r="A134" s="591" t="s">
        <v>711</v>
      </c>
      <c r="B134" s="1004" t="s">
        <v>2727</v>
      </c>
      <c r="F134" s="626">
        <v>590.97259699999995</v>
      </c>
      <c r="H134" s="626">
        <v>590.97259699999995</v>
      </c>
      <c r="I134" s="626">
        <v>590.97259699999995</v>
      </c>
      <c r="K134" s="626">
        <v>590.97259699999995</v>
      </c>
      <c r="W134" s="591"/>
    </row>
    <row r="135" spans="1:23" x14ac:dyDescent="0.25">
      <c r="A135" s="591" t="s">
        <v>711</v>
      </c>
      <c r="B135" s="1004" t="s">
        <v>1611</v>
      </c>
      <c r="F135" s="626">
        <v>590.97259699999995</v>
      </c>
      <c r="H135" s="626">
        <v>590.97259699999995</v>
      </c>
      <c r="I135" s="626">
        <v>590.97259699999995</v>
      </c>
      <c r="K135" s="626">
        <v>590.97259699999995</v>
      </c>
      <c r="V135" s="626">
        <v>0</v>
      </c>
      <c r="W135" s="591"/>
    </row>
    <row r="136" spans="1:23" ht="47.25" x14ac:dyDescent="0.25">
      <c r="B136" s="1004" t="s">
        <v>2727</v>
      </c>
      <c r="F136" s="626">
        <v>2893.027403</v>
      </c>
      <c r="H136" s="626">
        <v>2893.027403</v>
      </c>
      <c r="I136" s="626">
        <v>2893.027403</v>
      </c>
      <c r="K136" s="626">
        <v>2893.027403</v>
      </c>
      <c r="W136" s="591"/>
    </row>
    <row r="137" spans="1:23" x14ac:dyDescent="0.25">
      <c r="B137" s="1004" t="s">
        <v>1612</v>
      </c>
      <c r="F137" s="626">
        <v>1087</v>
      </c>
      <c r="H137" s="626">
        <v>1087</v>
      </c>
      <c r="I137" s="626">
        <v>1087</v>
      </c>
      <c r="K137" s="626">
        <v>1087</v>
      </c>
      <c r="W137" s="591"/>
    </row>
    <row r="138" spans="1:23" x14ac:dyDescent="0.25">
      <c r="B138" s="1004" t="s">
        <v>1611</v>
      </c>
      <c r="F138" s="626">
        <v>1806</v>
      </c>
      <c r="H138" s="626">
        <v>1806</v>
      </c>
      <c r="I138" s="626">
        <v>0</v>
      </c>
      <c r="W138" s="591"/>
    </row>
    <row r="139" spans="1:23" x14ac:dyDescent="0.25">
      <c r="F139" s="626">
        <f>F136+F134</f>
        <v>3484</v>
      </c>
      <c r="G139" s="626">
        <f t="shared" ref="G139:L139" si="32">G136+G134</f>
        <v>0</v>
      </c>
      <c r="H139" s="626">
        <f>H136+H134</f>
        <v>3484</v>
      </c>
      <c r="I139" s="626">
        <f>I136+I134</f>
        <v>3484</v>
      </c>
      <c r="J139" s="626">
        <f t="shared" si="32"/>
        <v>0</v>
      </c>
      <c r="K139" s="626">
        <f t="shared" si="32"/>
        <v>3484</v>
      </c>
      <c r="L139" s="626">
        <f t="shared" si="32"/>
        <v>0</v>
      </c>
      <c r="W139" s="591"/>
    </row>
  </sheetData>
  <mergeCells count="42">
    <mergeCell ref="T1:W1"/>
    <mergeCell ref="A2:W2"/>
    <mergeCell ref="A3:W3"/>
    <mergeCell ref="N4:W4"/>
    <mergeCell ref="A5:A9"/>
    <mergeCell ref="B5:B9"/>
    <mergeCell ref="C5:E5"/>
    <mergeCell ref="F5:H5"/>
    <mergeCell ref="I5:K5"/>
    <mergeCell ref="L5:L9"/>
    <mergeCell ref="C6:C9"/>
    <mergeCell ref="D6:E6"/>
    <mergeCell ref="F6:F9"/>
    <mergeCell ref="G6:H6"/>
    <mergeCell ref="I6:I9"/>
    <mergeCell ref="T6:W6"/>
    <mergeCell ref="D7:D9"/>
    <mergeCell ref="E7:E9"/>
    <mergeCell ref="G7:G9"/>
    <mergeCell ref="H7:H9"/>
    <mergeCell ref="J7:J9"/>
    <mergeCell ref="R8:R9"/>
    <mergeCell ref="S8:S9"/>
    <mergeCell ref="U8:U9"/>
    <mergeCell ref="V8:V9"/>
    <mergeCell ref="W8:W9"/>
    <mergeCell ref="J99:P99"/>
    <mergeCell ref="J100:P100"/>
    <mergeCell ref="J101:P101"/>
    <mergeCell ref="J108:P108"/>
    <mergeCell ref="R7:S7"/>
    <mergeCell ref="K7:K9"/>
    <mergeCell ref="O7:O9"/>
    <mergeCell ref="P7:P9"/>
    <mergeCell ref="Q7:Q9"/>
    <mergeCell ref="M5:M9"/>
    <mergeCell ref="N5:W5"/>
    <mergeCell ref="J6:K6"/>
    <mergeCell ref="N6:N9"/>
    <mergeCell ref="O6:S6"/>
    <mergeCell ref="T7:T9"/>
    <mergeCell ref="U7:W7"/>
  </mergeCells>
  <pageMargins left="0" right="0" top="0.39370078740157483" bottom="0.39370078740157483" header="0.31496062992125984" footer="0.31496062992125984"/>
  <pageSetup paperSize="9" scale="6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71"/>
  <sheetViews>
    <sheetView workbookViewId="0">
      <pane ySplit="9" topLeftCell="A10" activePane="bottomLeft" state="frozen"/>
      <selection activeCell="C1" sqref="C1"/>
      <selection pane="bottomLeft" sqref="A1:XFD1048576"/>
    </sheetView>
  </sheetViews>
  <sheetFormatPr defaultColWidth="9.140625" defaultRowHeight="12.75" zeroHeight="1" x14ac:dyDescent="0.2"/>
  <cols>
    <col min="1" max="1" width="9.140625" style="786"/>
    <col min="2" max="2" width="20" style="785" customWidth="1"/>
    <col min="3" max="10" width="9.140625" style="785"/>
    <col min="11" max="12" width="0" style="785" hidden="1" customWidth="1"/>
    <col min="13" max="13" width="13" style="785" customWidth="1"/>
    <col min="14" max="14" width="11.140625" style="785" customWidth="1"/>
    <col min="15" max="15" width="11.5703125" style="785" customWidth="1"/>
    <col min="16" max="17" width="9.140625" style="785"/>
    <col min="18" max="19" width="9.140625" style="785" hidden="1" customWidth="1"/>
    <col min="20" max="20" width="0" style="785" hidden="1" customWidth="1"/>
    <col min="21" max="26" width="9.140625" style="785"/>
    <col min="27" max="27" width="7.28515625" style="785" customWidth="1"/>
    <col min="28" max="16384" width="9.140625" style="785"/>
  </cols>
  <sheetData>
    <row r="1" spans="1:27" ht="27" hidden="1" customHeight="1" x14ac:dyDescent="0.3">
      <c r="A1" s="3969" t="s">
        <v>1762</v>
      </c>
      <c r="B1" s="3969"/>
      <c r="C1" s="3969"/>
      <c r="D1" s="3969"/>
      <c r="E1" s="3969"/>
      <c r="F1" s="3969"/>
      <c r="G1" s="3969"/>
      <c r="H1" s="3969"/>
      <c r="I1" s="3969"/>
      <c r="J1" s="3969"/>
      <c r="K1" s="3969"/>
      <c r="L1" s="3969"/>
      <c r="M1" s="3969"/>
      <c r="N1" s="3969"/>
      <c r="O1" s="3969"/>
      <c r="P1" s="3969"/>
      <c r="Q1" s="3969"/>
      <c r="R1" s="3969"/>
      <c r="S1" s="3969"/>
      <c r="T1" s="3969"/>
      <c r="U1" s="3969"/>
      <c r="V1" s="3969"/>
      <c r="W1" s="3969"/>
      <c r="X1" s="3969"/>
      <c r="Y1" s="3969"/>
      <c r="Z1" s="3969"/>
      <c r="AA1" s="3969"/>
    </row>
    <row r="2" spans="1:27" hidden="1" x14ac:dyDescent="0.2">
      <c r="N2" s="787"/>
      <c r="O2" s="787"/>
      <c r="P2" s="787"/>
      <c r="Q2" s="787"/>
      <c r="R2" s="787"/>
      <c r="S2" s="787"/>
      <c r="T2" s="788"/>
      <c r="U2" s="788"/>
      <c r="V2" s="788"/>
      <c r="W2" s="3970" t="s">
        <v>843</v>
      </c>
      <c r="X2" s="3970"/>
      <c r="Y2" s="3970"/>
      <c r="Z2" s="3970"/>
    </row>
    <row r="3" spans="1:27" s="789" customFormat="1" hidden="1" x14ac:dyDescent="0.25">
      <c r="A3" s="3960" t="s">
        <v>844</v>
      </c>
      <c r="B3" s="3960" t="s">
        <v>845</v>
      </c>
      <c r="C3" s="3971" t="s">
        <v>1281</v>
      </c>
      <c r="D3" s="3972"/>
      <c r="E3" s="3972"/>
      <c r="F3" s="3972"/>
      <c r="G3" s="3972"/>
      <c r="H3" s="3972"/>
      <c r="I3" s="3972"/>
      <c r="J3" s="3972"/>
      <c r="K3" s="3972"/>
      <c r="L3" s="3972"/>
      <c r="M3" s="3972"/>
      <c r="N3" s="3972"/>
      <c r="O3" s="3972"/>
      <c r="P3" s="3973"/>
      <c r="Q3" s="3974" t="s">
        <v>1282</v>
      </c>
      <c r="R3" s="3975"/>
      <c r="S3" s="3975"/>
      <c r="T3" s="3975"/>
      <c r="U3" s="3975"/>
      <c r="V3" s="3976"/>
      <c r="W3" s="3960" t="s">
        <v>1283</v>
      </c>
      <c r="X3" s="3960"/>
      <c r="Y3" s="3960"/>
      <c r="Z3" s="3960"/>
      <c r="AA3" s="3960" t="s">
        <v>1267</v>
      </c>
    </row>
    <row r="4" spans="1:27" s="789" customFormat="1" hidden="1" x14ac:dyDescent="0.25">
      <c r="A4" s="3960"/>
      <c r="B4" s="3960"/>
      <c r="C4" s="3977" t="s">
        <v>868</v>
      </c>
      <c r="D4" s="3957" t="s">
        <v>1206</v>
      </c>
      <c r="E4" s="3957"/>
      <c r="F4" s="3957"/>
      <c r="G4" s="3968" t="s">
        <v>1207</v>
      </c>
      <c r="H4" s="3962" t="s">
        <v>1284</v>
      </c>
      <c r="I4" s="3963"/>
      <c r="J4" s="3963"/>
      <c r="K4" s="3963"/>
      <c r="L4" s="3963"/>
      <c r="M4" s="3964"/>
      <c r="N4" s="3968" t="s">
        <v>1285</v>
      </c>
      <c r="O4" s="3968" t="s">
        <v>1286</v>
      </c>
      <c r="P4" s="3956" t="s">
        <v>1287</v>
      </c>
      <c r="Q4" s="3962"/>
      <c r="R4" s="3963"/>
      <c r="S4" s="3963"/>
      <c r="T4" s="3963"/>
      <c r="U4" s="3963"/>
      <c r="V4" s="3964"/>
      <c r="W4" s="3958" t="s">
        <v>868</v>
      </c>
      <c r="X4" s="3960" t="s">
        <v>907</v>
      </c>
      <c r="Y4" s="3960"/>
      <c r="Z4" s="3960"/>
      <c r="AA4" s="3960"/>
    </row>
    <row r="5" spans="1:27" s="789" customFormat="1" hidden="1" x14ac:dyDescent="0.25">
      <c r="A5" s="3960"/>
      <c r="B5" s="3960"/>
      <c r="C5" s="3977"/>
      <c r="D5" s="3961" t="s">
        <v>868</v>
      </c>
      <c r="E5" s="3961" t="s">
        <v>1271</v>
      </c>
      <c r="F5" s="3961" t="s">
        <v>34</v>
      </c>
      <c r="G5" s="3968"/>
      <c r="H5" s="3957" t="s">
        <v>1114</v>
      </c>
      <c r="I5" s="3962" t="s">
        <v>907</v>
      </c>
      <c r="J5" s="3963"/>
      <c r="K5" s="3963"/>
      <c r="L5" s="3963"/>
      <c r="M5" s="3964"/>
      <c r="N5" s="3968"/>
      <c r="O5" s="3968"/>
      <c r="P5" s="3956"/>
      <c r="Q5" s="3958" t="s">
        <v>1114</v>
      </c>
      <c r="R5" s="790"/>
      <c r="S5" s="3965" t="s">
        <v>907</v>
      </c>
      <c r="T5" s="3966"/>
      <c r="U5" s="3966"/>
      <c r="V5" s="3967"/>
      <c r="W5" s="3958"/>
      <c r="X5" s="3961" t="s">
        <v>925</v>
      </c>
      <c r="Y5" s="3961" t="s">
        <v>1312</v>
      </c>
      <c r="Z5" s="3961" t="s">
        <v>1276</v>
      </c>
      <c r="AA5" s="3960"/>
    </row>
    <row r="6" spans="1:27" s="789" customFormat="1" ht="76.5" hidden="1" x14ac:dyDescent="0.25">
      <c r="A6" s="3960"/>
      <c r="B6" s="3960"/>
      <c r="C6" s="3978"/>
      <c r="D6" s="3957"/>
      <c r="E6" s="3957"/>
      <c r="F6" s="3957"/>
      <c r="G6" s="3964"/>
      <c r="H6" s="3958"/>
      <c r="I6" s="791" t="s">
        <v>1288</v>
      </c>
      <c r="J6" s="791" t="s">
        <v>1289</v>
      </c>
      <c r="K6" s="791" t="s">
        <v>1290</v>
      </c>
      <c r="L6" s="791" t="s">
        <v>1291</v>
      </c>
      <c r="M6" s="792" t="s">
        <v>1292</v>
      </c>
      <c r="N6" s="3964"/>
      <c r="O6" s="3964"/>
      <c r="P6" s="3957"/>
      <c r="Q6" s="3958"/>
      <c r="R6" s="792" t="s">
        <v>1293</v>
      </c>
      <c r="S6" s="792" t="s">
        <v>1294</v>
      </c>
      <c r="T6" s="792" t="s">
        <v>1295</v>
      </c>
      <c r="U6" s="792" t="s">
        <v>1296</v>
      </c>
      <c r="V6" s="792" t="s">
        <v>1297</v>
      </c>
      <c r="W6" s="3958"/>
      <c r="X6" s="3957"/>
      <c r="Y6" s="3957"/>
      <c r="Z6" s="3957"/>
      <c r="AA6" s="3960"/>
    </row>
    <row r="7" spans="1:27" s="789" customFormat="1" ht="25.5" hidden="1" x14ac:dyDescent="0.25">
      <c r="A7" s="793" t="s">
        <v>847</v>
      </c>
      <c r="B7" s="793" t="s">
        <v>848</v>
      </c>
      <c r="C7" s="794" t="s">
        <v>1298</v>
      </c>
      <c r="D7" s="793" t="s">
        <v>1278</v>
      </c>
      <c r="E7" s="793">
        <v>3</v>
      </c>
      <c r="F7" s="795">
        <v>4</v>
      </c>
      <c r="G7" s="795">
        <v>5</v>
      </c>
      <c r="H7" s="796" t="s">
        <v>1299</v>
      </c>
      <c r="I7" s="795">
        <v>7</v>
      </c>
      <c r="J7" s="795">
        <v>8</v>
      </c>
      <c r="K7" s="795">
        <v>9</v>
      </c>
      <c r="L7" s="795">
        <v>10</v>
      </c>
      <c r="M7" s="795">
        <v>11</v>
      </c>
      <c r="N7" s="793">
        <v>12</v>
      </c>
      <c r="O7" s="793"/>
      <c r="P7" s="793"/>
      <c r="Q7" s="796" t="s">
        <v>1300</v>
      </c>
      <c r="R7" s="796"/>
      <c r="S7" s="793">
        <v>14</v>
      </c>
      <c r="T7" s="795">
        <v>15</v>
      </c>
      <c r="U7" s="795"/>
      <c r="V7" s="795">
        <v>16</v>
      </c>
      <c r="W7" s="795" t="s">
        <v>1301</v>
      </c>
      <c r="X7" s="793">
        <v>18</v>
      </c>
      <c r="Y7" s="793"/>
      <c r="Z7" s="793">
        <v>19</v>
      </c>
      <c r="AA7" s="793">
        <v>20</v>
      </c>
    </row>
    <row r="8" spans="1:27" s="803" customFormat="1" ht="25.5" hidden="1" x14ac:dyDescent="0.25">
      <c r="A8" s="797">
        <v>1</v>
      </c>
      <c r="B8" s="798" t="s">
        <v>1302</v>
      </c>
      <c r="C8" s="799">
        <f>D8+G8+H8+N8+P8</f>
        <v>9534.4546279999995</v>
      </c>
      <c r="D8" s="800">
        <f>SUM(E8:F8)</f>
        <v>4256.9459999999999</v>
      </c>
      <c r="E8" s="800">
        <v>4108.8459999999995</v>
      </c>
      <c r="F8" s="799">
        <v>148.1</v>
      </c>
      <c r="G8" s="799"/>
      <c r="H8" s="799">
        <f>SUM(I8:M8)</f>
        <v>4506.8366999999998</v>
      </c>
      <c r="I8" s="799">
        <v>2875</v>
      </c>
      <c r="J8" s="799">
        <v>43.256700000000002</v>
      </c>
      <c r="K8" s="799"/>
      <c r="L8" s="801"/>
      <c r="M8" s="799">
        <v>1588.58</v>
      </c>
      <c r="N8" s="799">
        <v>770.67192799999998</v>
      </c>
      <c r="O8" s="799">
        <v>119.04673600000001</v>
      </c>
      <c r="P8" s="799"/>
      <c r="Q8" s="799">
        <f>U8+S8+T8+V8</f>
        <v>8348.2737660000003</v>
      </c>
      <c r="R8" s="799"/>
      <c r="S8" s="799"/>
      <c r="T8" s="800"/>
      <c r="U8" s="800">
        <v>8348.2737660000003</v>
      </c>
      <c r="V8" s="799"/>
      <c r="W8" s="800">
        <f>C8-Q8</f>
        <v>1186.1808619999993</v>
      </c>
      <c r="X8" s="800">
        <f>64.678+25.6</f>
        <v>90.277999999999992</v>
      </c>
      <c r="Y8" s="800">
        <v>35.193857000000001</v>
      </c>
      <c r="Z8" s="800">
        <f>W8-X8-Y8</f>
        <v>1060.7090049999993</v>
      </c>
      <c r="AA8" s="802"/>
    </row>
    <row r="9" spans="1:27" s="803" customFormat="1" hidden="1" x14ac:dyDescent="0.25">
      <c r="A9" s="804"/>
      <c r="B9" s="805"/>
      <c r="C9" s="806"/>
      <c r="D9" s="807"/>
      <c r="E9" s="807"/>
      <c r="F9" s="806"/>
      <c r="G9" s="806"/>
      <c r="H9" s="806"/>
      <c r="I9" s="806"/>
      <c r="J9" s="806"/>
      <c r="K9" s="806"/>
      <c r="L9" s="808"/>
      <c r="M9" s="806"/>
      <c r="N9" s="806"/>
      <c r="O9" s="806"/>
      <c r="P9" s="806"/>
      <c r="Q9" s="806"/>
      <c r="R9" s="806"/>
      <c r="S9" s="806"/>
      <c r="T9" s="807"/>
      <c r="U9" s="807"/>
      <c r="V9" s="806"/>
      <c r="W9" s="807"/>
      <c r="X9" s="807"/>
      <c r="Y9" s="807"/>
      <c r="Z9" s="807"/>
      <c r="AA9" s="809"/>
    </row>
    <row r="10" spans="1:27" s="811" customFormat="1" ht="33" hidden="1" customHeight="1" x14ac:dyDescent="0.25">
      <c r="A10" s="810"/>
      <c r="E10" s="812"/>
      <c r="F10" s="813"/>
      <c r="G10" s="813"/>
      <c r="H10" s="813"/>
      <c r="I10" s="813"/>
      <c r="J10" s="813"/>
      <c r="K10" s="813"/>
      <c r="L10" s="814"/>
      <c r="M10" s="813"/>
      <c r="N10" s="813"/>
      <c r="O10" s="813"/>
      <c r="P10" s="813"/>
      <c r="V10" s="3953" t="s">
        <v>104</v>
      </c>
      <c r="W10" s="3953"/>
      <c r="X10" s="3953"/>
      <c r="Y10" s="3953"/>
      <c r="Z10" s="3953"/>
      <c r="AA10" s="815"/>
    </row>
    <row r="11" spans="1:27" s="811" customFormat="1" ht="16.5" hidden="1" x14ac:dyDescent="0.25">
      <c r="A11" s="810"/>
      <c r="B11" s="3954" t="s">
        <v>1303</v>
      </c>
      <c r="C11" s="3954"/>
      <c r="D11" s="3954"/>
      <c r="E11" s="812"/>
      <c r="F11" s="813"/>
      <c r="G11" s="813"/>
      <c r="H11" s="813"/>
      <c r="I11" s="813"/>
      <c r="J11" s="813"/>
      <c r="K11" s="813"/>
      <c r="L11" s="814"/>
      <c r="M11" s="813"/>
      <c r="N11" s="813"/>
      <c r="O11" s="813"/>
      <c r="P11" s="813"/>
      <c r="V11" s="3955" t="s">
        <v>1441</v>
      </c>
      <c r="W11" s="3955"/>
      <c r="X11" s="3955"/>
      <c r="Y11" s="3955"/>
      <c r="Z11" s="3955"/>
      <c r="AA11" s="815"/>
    </row>
    <row r="12" spans="1:27" s="811" customFormat="1" ht="16.5" hidden="1" x14ac:dyDescent="0.25">
      <c r="A12" s="810"/>
      <c r="B12" s="816"/>
      <c r="C12" s="816"/>
      <c r="D12" s="816"/>
      <c r="E12" s="812"/>
      <c r="F12" s="813"/>
      <c r="G12" s="813"/>
      <c r="H12" s="813"/>
      <c r="I12" s="813"/>
      <c r="J12" s="813"/>
      <c r="K12" s="813"/>
      <c r="L12" s="814"/>
      <c r="M12" s="813"/>
      <c r="N12" s="813"/>
      <c r="O12" s="813"/>
      <c r="P12" s="813"/>
      <c r="V12" s="817"/>
      <c r="W12" s="817"/>
      <c r="X12" s="817"/>
      <c r="Y12" s="817"/>
      <c r="Z12" s="817"/>
      <c r="AA12" s="815"/>
    </row>
    <row r="13" spans="1:27" s="811" customFormat="1" ht="16.5" hidden="1" x14ac:dyDescent="0.25">
      <c r="A13" s="810"/>
      <c r="B13" s="816"/>
      <c r="C13" s="816"/>
      <c r="D13" s="816"/>
      <c r="E13" s="812"/>
      <c r="F13" s="813"/>
      <c r="G13" s="813"/>
      <c r="H13" s="813"/>
      <c r="I13" s="813"/>
      <c r="J13" s="813"/>
      <c r="K13" s="813"/>
      <c r="L13" s="814"/>
      <c r="M13" s="813"/>
      <c r="N13" s="813"/>
      <c r="O13" s="813"/>
      <c r="P13" s="813"/>
      <c r="V13" s="817"/>
      <c r="W13" s="817"/>
      <c r="X13" s="817"/>
      <c r="Y13" s="817"/>
      <c r="Z13" s="817"/>
      <c r="AA13" s="815"/>
    </row>
    <row r="14" spans="1:27" s="811" customFormat="1" ht="16.5" hidden="1" x14ac:dyDescent="0.25">
      <c r="A14" s="810"/>
      <c r="B14" s="816"/>
      <c r="C14" s="816"/>
      <c r="D14" s="816"/>
      <c r="E14" s="812"/>
      <c r="F14" s="813"/>
      <c r="G14" s="813"/>
      <c r="H14" s="813"/>
      <c r="I14" s="813"/>
      <c r="J14" s="813"/>
      <c r="K14" s="813"/>
      <c r="L14" s="814"/>
      <c r="M14" s="813"/>
      <c r="N14" s="813"/>
      <c r="O14" s="813"/>
      <c r="P14" s="813"/>
      <c r="V14" s="817"/>
      <c r="W14" s="817"/>
      <c r="X14" s="817"/>
      <c r="Y14" s="817"/>
      <c r="Z14" s="817"/>
      <c r="AA14" s="815"/>
    </row>
    <row r="15" spans="1:27" s="811" customFormat="1" ht="16.5" hidden="1" x14ac:dyDescent="0.25">
      <c r="A15" s="810"/>
      <c r="B15" s="818"/>
      <c r="C15" s="815"/>
      <c r="D15" s="819"/>
      <c r="E15" s="812"/>
      <c r="F15" s="813"/>
      <c r="G15" s="813"/>
      <c r="H15" s="813"/>
      <c r="I15" s="813"/>
      <c r="J15" s="813"/>
      <c r="K15" s="813"/>
      <c r="L15" s="814"/>
      <c r="M15" s="813"/>
      <c r="N15" s="813"/>
      <c r="O15" s="813"/>
      <c r="P15" s="813"/>
      <c r="V15" s="3953"/>
      <c r="W15" s="3953"/>
      <c r="X15" s="3953"/>
      <c r="Y15" s="3953"/>
      <c r="Z15" s="3953"/>
      <c r="AA15" s="815"/>
    </row>
    <row r="16" spans="1:27" s="811" customFormat="1" ht="16.5" hidden="1" x14ac:dyDescent="0.25">
      <c r="A16" s="810"/>
      <c r="B16" s="818"/>
      <c r="C16" s="815"/>
      <c r="D16" s="819"/>
      <c r="E16" s="812"/>
      <c r="F16" s="813"/>
      <c r="G16" s="813"/>
      <c r="H16" s="813"/>
      <c r="I16" s="813"/>
      <c r="J16" s="813"/>
      <c r="K16" s="813"/>
      <c r="L16" s="814"/>
      <c r="M16" s="813"/>
      <c r="N16" s="813"/>
      <c r="O16" s="813"/>
      <c r="P16" s="813"/>
      <c r="V16" s="813"/>
      <c r="W16" s="813"/>
      <c r="X16" s="820"/>
      <c r="Y16" s="821"/>
      <c r="Z16" s="822"/>
      <c r="AA16" s="815"/>
    </row>
    <row r="17" spans="1:27" s="811" customFormat="1" ht="16.5" hidden="1" x14ac:dyDescent="0.25">
      <c r="A17" s="810"/>
      <c r="B17" s="3954" t="s">
        <v>1304</v>
      </c>
      <c r="C17" s="3954"/>
      <c r="D17" s="3954"/>
      <c r="E17" s="812"/>
      <c r="F17" s="813"/>
      <c r="G17" s="813"/>
      <c r="H17" s="813"/>
      <c r="I17" s="813"/>
      <c r="J17" s="813"/>
      <c r="K17" s="813"/>
      <c r="L17" s="814"/>
      <c r="M17" s="813"/>
      <c r="N17" s="813"/>
      <c r="O17" s="813"/>
      <c r="P17" s="813"/>
      <c r="Q17" s="813"/>
      <c r="R17" s="813"/>
      <c r="S17" s="813"/>
      <c r="T17" s="812"/>
      <c r="U17" s="812"/>
      <c r="V17" s="3959" t="s">
        <v>808</v>
      </c>
      <c r="W17" s="3959"/>
      <c r="X17" s="3959"/>
      <c r="Y17" s="3959"/>
      <c r="Z17" s="3959"/>
      <c r="AA17" s="815"/>
    </row>
    <row r="18" spans="1:27" s="811" customFormat="1" ht="16.5" hidden="1" x14ac:dyDescent="0.25">
      <c r="A18" s="810"/>
      <c r="B18" s="823"/>
      <c r="C18" s="813"/>
      <c r="D18" s="812"/>
      <c r="E18" s="812"/>
      <c r="F18" s="813"/>
      <c r="G18" s="813"/>
      <c r="H18" s="813"/>
      <c r="I18" s="813"/>
      <c r="J18" s="813"/>
      <c r="K18" s="813"/>
      <c r="L18" s="814"/>
      <c r="M18" s="813"/>
      <c r="N18" s="813"/>
      <c r="O18" s="813"/>
      <c r="P18" s="813"/>
      <c r="Q18" s="813"/>
      <c r="R18" s="813"/>
      <c r="S18" s="813"/>
      <c r="T18" s="812"/>
      <c r="U18" s="812"/>
      <c r="V18" s="813"/>
      <c r="W18" s="812"/>
      <c r="X18" s="812"/>
      <c r="Y18" s="812"/>
      <c r="Z18" s="812"/>
      <c r="AA18" s="815"/>
    </row>
    <row r="19" spans="1:27" s="803" customFormat="1" hidden="1" x14ac:dyDescent="0.25">
      <c r="A19" s="804"/>
      <c r="B19" s="805"/>
      <c r="C19" s="806"/>
      <c r="D19" s="807"/>
      <c r="E19" s="807"/>
      <c r="F19" s="806"/>
      <c r="G19" s="806"/>
      <c r="H19" s="806"/>
      <c r="I19" s="806"/>
      <c r="J19" s="806"/>
      <c r="K19" s="806"/>
      <c r="L19" s="808"/>
      <c r="M19" s="806"/>
      <c r="N19" s="806"/>
      <c r="O19" s="806"/>
      <c r="P19" s="806"/>
      <c r="Q19" s="806"/>
      <c r="R19" s="806"/>
      <c r="S19" s="806"/>
      <c r="T19" s="807"/>
      <c r="U19" s="807"/>
      <c r="V19" s="806"/>
      <c r="W19" s="807"/>
      <c r="X19" s="807"/>
      <c r="Y19" s="807"/>
      <c r="Z19" s="807"/>
      <c r="AA19" s="809"/>
    </row>
    <row r="20" spans="1:27" s="803" customFormat="1" hidden="1" x14ac:dyDescent="0.25">
      <c r="A20" s="804"/>
      <c r="B20" s="805"/>
      <c r="C20" s="806"/>
      <c r="D20" s="807"/>
      <c r="E20" s="807"/>
      <c r="F20" s="806"/>
      <c r="G20" s="806"/>
      <c r="H20" s="806"/>
      <c r="I20" s="806"/>
      <c r="J20" s="806"/>
      <c r="K20" s="806"/>
      <c r="L20" s="808"/>
      <c r="M20" s="806"/>
      <c r="N20" s="806"/>
      <c r="O20" s="806"/>
      <c r="P20" s="806"/>
      <c r="Q20" s="806"/>
      <c r="R20" s="806"/>
      <c r="S20" s="806"/>
      <c r="T20" s="807"/>
      <c r="U20" s="807"/>
      <c r="V20" s="806"/>
      <c r="W20" s="807"/>
      <c r="X20" s="807"/>
      <c r="Y20" s="807"/>
      <c r="Z20" s="807"/>
      <c r="AA20" s="809"/>
    </row>
    <row r="21" spans="1:27" s="803" customFormat="1" hidden="1" x14ac:dyDescent="0.25">
      <c r="A21" s="804"/>
      <c r="B21" s="805"/>
      <c r="C21" s="806"/>
      <c r="D21" s="807"/>
      <c r="E21" s="807"/>
      <c r="F21" s="806"/>
      <c r="G21" s="806"/>
      <c r="H21" s="806"/>
      <c r="I21" s="806"/>
      <c r="J21" s="806"/>
      <c r="K21" s="806"/>
      <c r="L21" s="808"/>
      <c r="M21" s="806"/>
      <c r="N21" s="806"/>
      <c r="O21" s="806"/>
      <c r="P21" s="806"/>
      <c r="Q21" s="806"/>
      <c r="R21" s="806"/>
      <c r="S21" s="806"/>
      <c r="T21" s="807"/>
      <c r="U21" s="807"/>
      <c r="V21" s="806"/>
      <c r="W21" s="807"/>
      <c r="X21" s="807"/>
      <c r="Y21" s="807"/>
      <c r="Z21" s="807"/>
      <c r="AA21" s="809"/>
    </row>
    <row r="22" spans="1:27" s="803" customFormat="1" hidden="1" x14ac:dyDescent="0.25">
      <c r="A22" s="804"/>
      <c r="B22" s="805"/>
      <c r="C22" s="806"/>
      <c r="D22" s="807"/>
      <c r="E22" s="807"/>
      <c r="F22" s="806"/>
      <c r="G22" s="806"/>
      <c r="H22" s="806"/>
      <c r="I22" s="806"/>
      <c r="J22" s="806"/>
      <c r="K22" s="806"/>
      <c r="L22" s="808"/>
      <c r="M22" s="806"/>
      <c r="N22" s="806"/>
      <c r="O22" s="806"/>
      <c r="P22" s="806"/>
      <c r="Q22" s="806"/>
      <c r="R22" s="806"/>
      <c r="S22" s="806"/>
      <c r="T22" s="807"/>
      <c r="U22" s="807"/>
      <c r="V22" s="806"/>
      <c r="W22" s="807"/>
      <c r="X22" s="807"/>
      <c r="Y22" s="807"/>
      <c r="Z22" s="807"/>
      <c r="AA22" s="809"/>
    </row>
    <row r="23" spans="1:27" s="803" customFormat="1" hidden="1" x14ac:dyDescent="0.25">
      <c r="A23" s="804"/>
      <c r="B23" s="805"/>
      <c r="C23" s="806"/>
      <c r="D23" s="807"/>
      <c r="E23" s="807"/>
      <c r="F23" s="806"/>
      <c r="G23" s="806"/>
      <c r="H23" s="806"/>
      <c r="I23" s="806"/>
      <c r="J23" s="806"/>
      <c r="K23" s="806"/>
      <c r="L23" s="808"/>
      <c r="M23" s="806"/>
      <c r="N23" s="806"/>
      <c r="O23" s="806"/>
      <c r="P23" s="806"/>
      <c r="Q23" s="806"/>
      <c r="R23" s="806"/>
      <c r="S23" s="806"/>
      <c r="T23" s="807"/>
      <c r="U23" s="807"/>
      <c r="V23" s="806"/>
      <c r="W23" s="807"/>
      <c r="X23" s="807"/>
      <c r="Y23" s="807"/>
      <c r="Z23" s="807"/>
      <c r="AA23" s="809"/>
    </row>
    <row r="24" spans="1:27" s="803" customFormat="1" hidden="1" x14ac:dyDescent="0.25">
      <c r="A24" s="804"/>
      <c r="B24" s="805"/>
      <c r="C24" s="806"/>
      <c r="D24" s="807"/>
      <c r="E24" s="807"/>
      <c r="F24" s="806"/>
      <c r="G24" s="806"/>
      <c r="H24" s="806"/>
      <c r="I24" s="806"/>
      <c r="J24" s="806"/>
      <c r="K24" s="806"/>
      <c r="L24" s="808"/>
      <c r="M24" s="806"/>
      <c r="N24" s="806"/>
      <c r="O24" s="806"/>
      <c r="P24" s="806"/>
      <c r="Q24" s="806"/>
      <c r="R24" s="806"/>
      <c r="S24" s="806"/>
      <c r="T24" s="807"/>
      <c r="U24" s="807"/>
      <c r="V24" s="806"/>
      <c r="W24" s="807"/>
      <c r="X24" s="807"/>
      <c r="Y24" s="807"/>
      <c r="Z24" s="807"/>
      <c r="AA24" s="809"/>
    </row>
    <row r="25" spans="1:27" s="803" customFormat="1" hidden="1" x14ac:dyDescent="0.25">
      <c r="A25" s="804"/>
      <c r="B25" s="805"/>
      <c r="C25" s="806"/>
      <c r="D25" s="807"/>
      <c r="E25" s="807"/>
      <c r="F25" s="806"/>
      <c r="G25" s="806"/>
      <c r="H25" s="806"/>
      <c r="I25" s="806"/>
      <c r="J25" s="806"/>
      <c r="K25" s="806"/>
      <c r="L25" s="808"/>
      <c r="M25" s="806"/>
      <c r="N25" s="806"/>
      <c r="O25" s="806"/>
      <c r="P25" s="806"/>
      <c r="Q25" s="806"/>
      <c r="R25" s="806"/>
      <c r="S25" s="806"/>
      <c r="T25" s="807"/>
      <c r="U25" s="807"/>
      <c r="V25" s="806"/>
      <c r="W25" s="807"/>
      <c r="X25" s="807"/>
      <c r="Y25" s="807"/>
      <c r="Z25" s="807"/>
      <c r="AA25" s="809"/>
    </row>
    <row r="26" spans="1:27" s="803" customFormat="1" hidden="1" x14ac:dyDescent="0.25">
      <c r="A26" s="804"/>
      <c r="B26" s="805"/>
      <c r="C26" s="806"/>
      <c r="D26" s="807"/>
      <c r="E26" s="807"/>
      <c r="F26" s="806"/>
      <c r="G26" s="806"/>
      <c r="H26" s="806"/>
      <c r="I26" s="806"/>
      <c r="J26" s="806"/>
      <c r="K26" s="806"/>
      <c r="L26" s="808"/>
      <c r="M26" s="806"/>
      <c r="N26" s="806"/>
      <c r="O26" s="806"/>
      <c r="P26" s="806"/>
      <c r="Q26" s="806"/>
      <c r="R26" s="806"/>
      <c r="S26" s="806"/>
      <c r="T26" s="807"/>
      <c r="U26" s="807"/>
      <c r="V26" s="806"/>
      <c r="W26" s="807"/>
      <c r="X26" s="807"/>
      <c r="Y26" s="807"/>
      <c r="Z26" s="807"/>
      <c r="AA26" s="809"/>
    </row>
    <row r="27" spans="1:27" s="803" customFormat="1" hidden="1" x14ac:dyDescent="0.25">
      <c r="A27" s="804"/>
      <c r="B27" s="805"/>
      <c r="C27" s="806"/>
      <c r="D27" s="807"/>
      <c r="E27" s="807"/>
      <c r="F27" s="806"/>
      <c r="G27" s="806"/>
      <c r="H27" s="806"/>
      <c r="I27" s="806"/>
      <c r="J27" s="806"/>
      <c r="K27" s="806"/>
      <c r="L27" s="808"/>
      <c r="M27" s="806"/>
      <c r="N27" s="806"/>
      <c r="O27" s="806"/>
      <c r="P27" s="806"/>
      <c r="Q27" s="806"/>
      <c r="R27" s="806"/>
      <c r="S27" s="806"/>
      <c r="T27" s="807"/>
      <c r="U27" s="807"/>
      <c r="V27" s="806"/>
      <c r="W27" s="807"/>
      <c r="X27" s="807"/>
      <c r="Y27" s="807"/>
      <c r="Z27" s="807"/>
      <c r="AA27" s="809"/>
    </row>
    <row r="28" spans="1:27" s="803" customFormat="1" hidden="1" x14ac:dyDescent="0.25">
      <c r="A28" s="804"/>
      <c r="B28" s="805"/>
      <c r="C28" s="806"/>
      <c r="D28" s="807"/>
      <c r="E28" s="807"/>
      <c r="F28" s="806"/>
      <c r="G28" s="806"/>
      <c r="H28" s="806"/>
      <c r="I28" s="806"/>
      <c r="J28" s="806"/>
      <c r="K28" s="806"/>
      <c r="L28" s="808"/>
      <c r="M28" s="806"/>
      <c r="N28" s="806"/>
      <c r="O28" s="806"/>
      <c r="P28" s="806"/>
      <c r="Q28" s="806"/>
      <c r="R28" s="806"/>
      <c r="S28" s="806"/>
      <c r="T28" s="807"/>
      <c r="U28" s="807"/>
      <c r="V28" s="806"/>
      <c r="W28" s="807"/>
      <c r="X28" s="807"/>
      <c r="Y28" s="807"/>
      <c r="Z28" s="807"/>
      <c r="AA28" s="809"/>
    </row>
    <row r="29" spans="1:27" s="803" customFormat="1" hidden="1" x14ac:dyDescent="0.25">
      <c r="A29" s="804"/>
      <c r="B29" s="805"/>
      <c r="C29" s="806"/>
      <c r="D29" s="807"/>
      <c r="E29" s="807"/>
      <c r="F29" s="806"/>
      <c r="G29" s="806"/>
      <c r="H29" s="806"/>
      <c r="I29" s="806"/>
      <c r="J29" s="806"/>
      <c r="K29" s="806"/>
      <c r="L29" s="808"/>
      <c r="M29" s="806"/>
      <c r="N29" s="806"/>
      <c r="O29" s="806"/>
      <c r="P29" s="806"/>
      <c r="Q29" s="806"/>
      <c r="R29" s="806"/>
      <c r="S29" s="806"/>
      <c r="T29" s="807"/>
      <c r="U29" s="807"/>
      <c r="V29" s="806"/>
      <c r="W29" s="807"/>
      <c r="X29" s="807"/>
      <c r="Y29" s="807"/>
      <c r="Z29" s="807"/>
      <c r="AA29" s="809"/>
    </row>
    <row r="30" spans="1:27" s="803" customFormat="1" hidden="1" x14ac:dyDescent="0.25">
      <c r="A30" s="804"/>
      <c r="B30" s="805"/>
      <c r="C30" s="806"/>
      <c r="D30" s="807"/>
      <c r="E30" s="807"/>
      <c r="F30" s="806"/>
      <c r="G30" s="806"/>
      <c r="H30" s="806"/>
      <c r="I30" s="806"/>
      <c r="J30" s="806"/>
      <c r="K30" s="806"/>
      <c r="L30" s="808"/>
      <c r="M30" s="806"/>
      <c r="N30" s="806"/>
      <c r="O30" s="806"/>
      <c r="P30" s="806"/>
      <c r="Q30" s="806"/>
      <c r="R30" s="806"/>
      <c r="S30" s="806"/>
      <c r="T30" s="807"/>
      <c r="U30" s="807"/>
      <c r="V30" s="806"/>
      <c r="W30" s="807"/>
      <c r="X30" s="807"/>
      <c r="Y30" s="807"/>
      <c r="Z30" s="807"/>
      <c r="AA30" s="809"/>
    </row>
    <row r="31" spans="1:27" s="803" customFormat="1" hidden="1" x14ac:dyDescent="0.25">
      <c r="A31" s="804"/>
      <c r="B31" s="805"/>
      <c r="C31" s="806"/>
      <c r="D31" s="807"/>
      <c r="E31" s="807"/>
      <c r="F31" s="806"/>
      <c r="G31" s="806"/>
      <c r="H31" s="806"/>
      <c r="I31" s="806"/>
      <c r="J31" s="806"/>
      <c r="K31" s="806"/>
      <c r="L31" s="808"/>
      <c r="M31" s="806"/>
      <c r="N31" s="806"/>
      <c r="O31" s="806"/>
      <c r="P31" s="806"/>
      <c r="Q31" s="806"/>
      <c r="R31" s="806"/>
      <c r="S31" s="806"/>
      <c r="T31" s="807"/>
      <c r="U31" s="807"/>
      <c r="V31" s="806"/>
      <c r="W31" s="807"/>
      <c r="X31" s="807"/>
      <c r="Y31" s="807"/>
      <c r="Z31" s="807"/>
      <c r="AA31" s="809"/>
    </row>
    <row r="32" spans="1:27" s="803" customFormat="1" hidden="1" x14ac:dyDescent="0.25">
      <c r="A32" s="804"/>
      <c r="B32" s="805"/>
      <c r="C32" s="806"/>
      <c r="D32" s="807"/>
      <c r="E32" s="807"/>
      <c r="F32" s="806"/>
      <c r="G32" s="806"/>
      <c r="H32" s="806"/>
      <c r="I32" s="806"/>
      <c r="J32" s="806"/>
      <c r="K32" s="806"/>
      <c r="L32" s="808"/>
      <c r="M32" s="806"/>
      <c r="N32" s="806"/>
      <c r="O32" s="806"/>
      <c r="P32" s="806"/>
      <c r="Q32" s="806"/>
      <c r="R32" s="806"/>
      <c r="S32" s="806"/>
      <c r="T32" s="807"/>
      <c r="U32" s="807"/>
      <c r="V32" s="806"/>
      <c r="W32" s="807"/>
      <c r="X32" s="807"/>
      <c r="Y32" s="807"/>
      <c r="Z32" s="807"/>
      <c r="AA32" s="809"/>
    </row>
    <row r="33" spans="1:27" s="803" customFormat="1" hidden="1" x14ac:dyDescent="0.25">
      <c r="A33" s="804"/>
      <c r="B33" s="805"/>
      <c r="C33" s="806"/>
      <c r="D33" s="807"/>
      <c r="E33" s="807"/>
      <c r="F33" s="806"/>
      <c r="G33" s="806"/>
      <c r="H33" s="806"/>
      <c r="I33" s="806"/>
      <c r="J33" s="806"/>
      <c r="K33" s="806"/>
      <c r="L33" s="808"/>
      <c r="M33" s="806"/>
      <c r="N33" s="806"/>
      <c r="O33" s="806"/>
      <c r="P33" s="806"/>
      <c r="Q33" s="806"/>
      <c r="R33" s="806"/>
      <c r="S33" s="806"/>
      <c r="T33" s="807"/>
      <c r="U33" s="807"/>
      <c r="V33" s="806"/>
      <c r="W33" s="807"/>
      <c r="X33" s="807"/>
      <c r="Y33" s="807"/>
      <c r="Z33" s="807"/>
      <c r="AA33" s="809"/>
    </row>
    <row r="34" spans="1:27" s="803" customFormat="1" hidden="1" x14ac:dyDescent="0.25">
      <c r="A34" s="804"/>
      <c r="B34" s="805"/>
      <c r="C34" s="806"/>
      <c r="D34" s="807"/>
      <c r="E34" s="807"/>
      <c r="F34" s="806"/>
      <c r="G34" s="806"/>
      <c r="H34" s="806"/>
      <c r="I34" s="806"/>
      <c r="J34" s="806"/>
      <c r="K34" s="806"/>
      <c r="L34" s="808"/>
      <c r="M34" s="806"/>
      <c r="N34" s="806"/>
      <c r="O34" s="806"/>
      <c r="P34" s="806"/>
      <c r="Q34" s="806"/>
      <c r="R34" s="806"/>
      <c r="S34" s="806"/>
      <c r="T34" s="807"/>
      <c r="U34" s="807"/>
      <c r="V34" s="806"/>
      <c r="W34" s="807"/>
      <c r="X34" s="807"/>
      <c r="Y34" s="807"/>
      <c r="Z34" s="807"/>
      <c r="AA34" s="809"/>
    </row>
    <row r="35" spans="1:27" s="803" customFormat="1" hidden="1" x14ac:dyDescent="0.25">
      <c r="A35" s="804"/>
      <c r="B35" s="805"/>
      <c r="C35" s="806"/>
      <c r="D35" s="807"/>
      <c r="E35" s="807"/>
      <c r="F35" s="806"/>
      <c r="G35" s="806"/>
      <c r="H35" s="806"/>
      <c r="I35" s="806"/>
      <c r="J35" s="806"/>
      <c r="K35" s="806"/>
      <c r="L35" s="808"/>
      <c r="M35" s="806"/>
      <c r="N35" s="806"/>
      <c r="O35" s="806"/>
      <c r="P35" s="806"/>
      <c r="Q35" s="806"/>
      <c r="R35" s="806"/>
      <c r="S35" s="806"/>
      <c r="T35" s="807"/>
      <c r="U35" s="807"/>
      <c r="V35" s="806"/>
      <c r="W35" s="807"/>
      <c r="X35" s="807"/>
      <c r="Y35" s="807"/>
      <c r="Z35" s="807"/>
      <c r="AA35" s="809"/>
    </row>
    <row r="36" spans="1:27" s="803" customFormat="1" hidden="1" x14ac:dyDescent="0.25">
      <c r="A36" s="804"/>
      <c r="B36" s="805"/>
      <c r="C36" s="806"/>
      <c r="D36" s="807"/>
      <c r="E36" s="807"/>
      <c r="F36" s="806"/>
      <c r="G36" s="806"/>
      <c r="H36" s="806"/>
      <c r="I36" s="806"/>
      <c r="J36" s="806"/>
      <c r="K36" s="806"/>
      <c r="L36" s="808"/>
      <c r="M36" s="806"/>
      <c r="N36" s="806"/>
      <c r="O36" s="806"/>
      <c r="P36" s="806"/>
      <c r="Q36" s="806"/>
      <c r="R36" s="806"/>
      <c r="S36" s="806"/>
      <c r="T36" s="807"/>
      <c r="U36" s="807"/>
      <c r="V36" s="806"/>
      <c r="W36" s="807"/>
      <c r="X36" s="807"/>
      <c r="Y36" s="807"/>
      <c r="Z36" s="807"/>
      <c r="AA36" s="809"/>
    </row>
    <row r="37" spans="1:27" s="803" customFormat="1" hidden="1" x14ac:dyDescent="0.25">
      <c r="A37" s="804"/>
      <c r="B37" s="805"/>
      <c r="C37" s="806"/>
      <c r="D37" s="807"/>
      <c r="E37" s="807"/>
      <c r="F37" s="806"/>
      <c r="G37" s="806"/>
      <c r="H37" s="806"/>
      <c r="I37" s="806"/>
      <c r="J37" s="806"/>
      <c r="K37" s="806"/>
      <c r="L37" s="808"/>
      <c r="M37" s="806"/>
      <c r="N37" s="806"/>
      <c r="O37" s="806"/>
      <c r="P37" s="806"/>
      <c r="Q37" s="806"/>
      <c r="R37" s="806"/>
      <c r="S37" s="806"/>
      <c r="T37" s="807"/>
      <c r="U37" s="807"/>
      <c r="V37" s="806"/>
      <c r="W37" s="807"/>
      <c r="X37" s="807"/>
      <c r="Y37" s="807"/>
      <c r="Z37" s="807"/>
      <c r="AA37" s="809"/>
    </row>
    <row r="38" spans="1:27" s="803" customFormat="1" hidden="1" x14ac:dyDescent="0.25">
      <c r="A38" s="804"/>
      <c r="B38" s="805"/>
      <c r="C38" s="806"/>
      <c r="D38" s="807"/>
      <c r="E38" s="807"/>
      <c r="F38" s="806"/>
      <c r="G38" s="806"/>
      <c r="H38" s="806"/>
      <c r="I38" s="806"/>
      <c r="J38" s="806"/>
      <c r="K38" s="806"/>
      <c r="L38" s="808"/>
      <c r="M38" s="806"/>
      <c r="N38" s="806"/>
      <c r="O38" s="806"/>
      <c r="P38" s="806"/>
      <c r="Q38" s="806"/>
      <c r="R38" s="806"/>
      <c r="S38" s="806"/>
      <c r="T38" s="807"/>
      <c r="U38" s="807"/>
      <c r="V38" s="806"/>
      <c r="W38" s="807"/>
      <c r="X38" s="807"/>
      <c r="Y38" s="807"/>
      <c r="Z38" s="807"/>
      <c r="AA38" s="809"/>
    </row>
    <row r="39" spans="1:27" s="803" customFormat="1" hidden="1" x14ac:dyDescent="0.25">
      <c r="A39" s="804"/>
      <c r="B39" s="805"/>
      <c r="C39" s="806"/>
      <c r="D39" s="807"/>
      <c r="E39" s="807"/>
      <c r="F39" s="806"/>
      <c r="G39" s="806"/>
      <c r="H39" s="806"/>
      <c r="I39" s="806"/>
      <c r="J39" s="806"/>
      <c r="K39" s="806"/>
      <c r="L39" s="808"/>
      <c r="M39" s="806"/>
      <c r="N39" s="806"/>
      <c r="O39" s="806"/>
      <c r="P39" s="806"/>
      <c r="Q39" s="806"/>
      <c r="R39" s="806"/>
      <c r="S39" s="806"/>
      <c r="T39" s="807"/>
      <c r="U39" s="807"/>
      <c r="V39" s="806"/>
      <c r="W39" s="807"/>
      <c r="X39" s="807"/>
      <c r="Y39" s="807"/>
      <c r="Z39" s="807"/>
      <c r="AA39" s="809"/>
    </row>
    <row r="40" spans="1:27" s="803" customFormat="1" hidden="1" x14ac:dyDescent="0.25">
      <c r="A40" s="804"/>
      <c r="B40" s="805"/>
      <c r="C40" s="806"/>
      <c r="D40" s="807"/>
      <c r="E40" s="807"/>
      <c r="F40" s="806"/>
      <c r="G40" s="806"/>
      <c r="H40" s="806"/>
      <c r="I40" s="806"/>
      <c r="J40" s="806"/>
      <c r="K40" s="806"/>
      <c r="L40" s="808"/>
      <c r="M40" s="806"/>
      <c r="N40" s="806"/>
      <c r="O40" s="806"/>
      <c r="P40" s="806"/>
      <c r="Q40" s="806"/>
      <c r="R40" s="806"/>
      <c r="S40" s="806"/>
      <c r="T40" s="807"/>
      <c r="U40" s="807"/>
      <c r="V40" s="806"/>
      <c r="W40" s="807"/>
      <c r="X40" s="807"/>
      <c r="Y40" s="807"/>
      <c r="Z40" s="807"/>
      <c r="AA40" s="809"/>
    </row>
    <row r="41" spans="1:27" s="803" customFormat="1" hidden="1" x14ac:dyDescent="0.25">
      <c r="A41" s="804"/>
      <c r="B41" s="805"/>
      <c r="C41" s="806"/>
      <c r="D41" s="807"/>
      <c r="E41" s="807"/>
      <c r="F41" s="806"/>
      <c r="G41" s="806"/>
      <c r="H41" s="806"/>
      <c r="I41" s="806"/>
      <c r="J41" s="806"/>
      <c r="K41" s="806"/>
      <c r="L41" s="808"/>
      <c r="M41" s="806"/>
      <c r="N41" s="806"/>
      <c r="O41" s="806"/>
      <c r="P41" s="806"/>
      <c r="Q41" s="806"/>
      <c r="R41" s="806"/>
      <c r="S41" s="806"/>
      <c r="T41" s="807"/>
      <c r="U41" s="807"/>
      <c r="V41" s="806"/>
      <c r="W41" s="807"/>
      <c r="X41" s="807"/>
      <c r="Y41" s="807"/>
      <c r="Z41" s="807"/>
      <c r="AA41" s="809"/>
    </row>
    <row r="42" spans="1:27" s="803" customFormat="1" hidden="1" x14ac:dyDescent="0.25">
      <c r="A42" s="804"/>
      <c r="B42" s="805"/>
      <c r="C42" s="806"/>
      <c r="D42" s="807"/>
      <c r="E42" s="807"/>
      <c r="F42" s="806"/>
      <c r="G42" s="806"/>
      <c r="H42" s="806"/>
      <c r="I42" s="806"/>
      <c r="J42" s="806"/>
      <c r="K42" s="806"/>
      <c r="L42" s="808"/>
      <c r="M42" s="806"/>
      <c r="N42" s="806"/>
      <c r="O42" s="806"/>
      <c r="P42" s="806"/>
      <c r="Q42" s="806"/>
      <c r="R42" s="806"/>
      <c r="S42" s="806"/>
      <c r="T42" s="807"/>
      <c r="U42" s="807"/>
      <c r="V42" s="806"/>
      <c r="W42" s="807"/>
      <c r="X42" s="807"/>
      <c r="Y42" s="807"/>
      <c r="Z42" s="807"/>
      <c r="AA42" s="809"/>
    </row>
    <row r="43" spans="1:27" s="803" customFormat="1" hidden="1" x14ac:dyDescent="0.25">
      <c r="A43" s="804"/>
      <c r="B43" s="805"/>
      <c r="C43" s="806"/>
      <c r="D43" s="807"/>
      <c r="E43" s="807"/>
      <c r="F43" s="806"/>
      <c r="G43" s="806"/>
      <c r="H43" s="806"/>
      <c r="I43" s="806"/>
      <c r="J43" s="806"/>
      <c r="K43" s="806"/>
      <c r="L43" s="808"/>
      <c r="M43" s="806"/>
      <c r="N43" s="806"/>
      <c r="O43" s="806"/>
      <c r="P43" s="806"/>
      <c r="Q43" s="806"/>
      <c r="R43" s="806"/>
      <c r="S43" s="806"/>
      <c r="T43" s="807"/>
      <c r="U43" s="807"/>
      <c r="V43" s="806"/>
      <c r="W43" s="807"/>
      <c r="X43" s="807"/>
      <c r="Y43" s="807"/>
      <c r="Z43" s="807"/>
      <c r="AA43" s="809"/>
    </row>
    <row r="44" spans="1:27" s="803" customFormat="1" hidden="1" x14ac:dyDescent="0.25">
      <c r="A44" s="804"/>
      <c r="B44" s="805"/>
      <c r="C44" s="806"/>
      <c r="D44" s="807"/>
      <c r="E44" s="807"/>
      <c r="F44" s="806"/>
      <c r="G44" s="806"/>
      <c r="H44" s="806"/>
      <c r="I44" s="806"/>
      <c r="J44" s="806"/>
      <c r="K44" s="806"/>
      <c r="L44" s="808"/>
      <c r="M44" s="806"/>
      <c r="N44" s="806"/>
      <c r="O44" s="806"/>
      <c r="P44" s="806"/>
      <c r="Q44" s="806"/>
      <c r="R44" s="806"/>
      <c r="S44" s="806"/>
      <c r="T44" s="807"/>
      <c r="U44" s="807"/>
      <c r="V44" s="806"/>
      <c r="W44" s="807"/>
      <c r="X44" s="807"/>
      <c r="Y44" s="807"/>
      <c r="Z44" s="807"/>
      <c r="AA44" s="809"/>
    </row>
    <row r="45" spans="1:27" s="803" customFormat="1" hidden="1" x14ac:dyDescent="0.25">
      <c r="A45" s="804"/>
      <c r="B45" s="805"/>
      <c r="C45" s="806"/>
      <c r="D45" s="807"/>
      <c r="E45" s="807"/>
      <c r="F45" s="806"/>
      <c r="G45" s="806"/>
      <c r="H45" s="806"/>
      <c r="I45" s="806"/>
      <c r="J45" s="806"/>
      <c r="K45" s="806"/>
      <c r="L45" s="808"/>
      <c r="M45" s="806"/>
      <c r="N45" s="806"/>
      <c r="O45" s="806"/>
      <c r="P45" s="806"/>
      <c r="Q45" s="806"/>
      <c r="R45" s="806"/>
      <c r="S45" s="806"/>
      <c r="T45" s="807"/>
      <c r="U45" s="807"/>
      <c r="V45" s="806"/>
      <c r="W45" s="807"/>
      <c r="X45" s="807"/>
      <c r="Y45" s="807"/>
      <c r="Z45" s="807"/>
      <c r="AA45" s="809"/>
    </row>
    <row r="46" spans="1:27" hidden="1" x14ac:dyDescent="0.2">
      <c r="C46" s="824"/>
      <c r="D46" s="824"/>
      <c r="E46" s="824"/>
      <c r="F46" s="824"/>
      <c r="G46" s="824"/>
      <c r="H46" s="824"/>
      <c r="I46" s="824"/>
      <c r="J46" s="824"/>
      <c r="K46" s="824"/>
      <c r="L46" s="824"/>
      <c r="M46" s="824"/>
      <c r="N46" s="824">
        <v>324499720</v>
      </c>
      <c r="O46" s="824"/>
      <c r="P46" s="824"/>
      <c r="Q46" s="824"/>
      <c r="R46" s="824"/>
      <c r="S46" s="824"/>
      <c r="T46" s="824"/>
      <c r="U46" s="824"/>
      <c r="V46" s="824"/>
      <c r="W46" s="825"/>
      <c r="X46" s="826"/>
      <c r="Y46" s="826"/>
      <c r="Z46" s="827"/>
    </row>
    <row r="47" spans="1:27" hidden="1" x14ac:dyDescent="0.2">
      <c r="D47" s="824"/>
      <c r="E47" s="824"/>
      <c r="F47" s="824"/>
      <c r="G47" s="824"/>
      <c r="H47" s="824"/>
      <c r="I47" s="824"/>
      <c r="J47" s="824"/>
      <c r="K47" s="824"/>
      <c r="L47" s="824"/>
      <c r="M47" s="824"/>
      <c r="N47" s="824">
        <v>399974131</v>
      </c>
      <c r="O47" s="824">
        <f>N46+N47</f>
        <v>724473851</v>
      </c>
      <c r="P47" s="824"/>
      <c r="Q47" s="824"/>
      <c r="R47" s="824"/>
      <c r="S47" s="824"/>
      <c r="T47" s="824"/>
      <c r="U47" s="824"/>
      <c r="V47" s="824"/>
      <c r="W47" s="824"/>
      <c r="X47" s="824"/>
      <c r="Y47" s="824"/>
      <c r="Z47" s="828"/>
    </row>
    <row r="48" spans="1:27" hidden="1" x14ac:dyDescent="0.2">
      <c r="D48" s="824"/>
      <c r="E48" s="829"/>
      <c r="F48" s="824"/>
      <c r="G48" s="824"/>
      <c r="H48" s="824"/>
      <c r="I48" s="824"/>
      <c r="J48" s="824"/>
      <c r="K48" s="824"/>
      <c r="L48" s="824"/>
      <c r="M48" s="824"/>
      <c r="N48" s="824">
        <f>1115430522*40%</f>
        <v>446172208.80000001</v>
      </c>
      <c r="O48" s="824">
        <f>N50-O47</f>
        <v>46198077.799999952</v>
      </c>
      <c r="P48" s="824"/>
      <c r="Q48" s="824"/>
      <c r="R48" s="824"/>
      <c r="S48" s="824"/>
      <c r="T48" s="824" t="s">
        <v>163</v>
      </c>
      <c r="U48" s="824"/>
      <c r="V48" s="824"/>
      <c r="W48" s="824"/>
      <c r="X48" s="824"/>
      <c r="Y48" s="824"/>
    </row>
    <row r="49" spans="4:25" hidden="1" x14ac:dyDescent="0.2">
      <c r="D49" s="824"/>
      <c r="E49" s="824"/>
      <c r="F49" s="824"/>
      <c r="G49" s="824"/>
      <c r="H49" s="824"/>
      <c r="I49" s="824"/>
      <c r="J49" s="824"/>
      <c r="K49" s="824"/>
      <c r="L49" s="824"/>
      <c r="M49" s="824" t="s">
        <v>1305</v>
      </c>
      <c r="N49" s="824">
        <v>35193857</v>
      </c>
      <c r="O49" s="824">
        <f>O48-N49</f>
        <v>11004220.799999952</v>
      </c>
      <c r="P49" s="824"/>
      <c r="Q49" s="824"/>
      <c r="R49" s="824"/>
      <c r="S49" s="824"/>
      <c r="T49" s="824"/>
      <c r="U49" s="824"/>
      <c r="V49" s="824"/>
      <c r="W49" s="824"/>
      <c r="X49" s="824"/>
      <c r="Y49" s="824"/>
    </row>
    <row r="50" spans="4:25" hidden="1" x14ac:dyDescent="0.2">
      <c r="D50" s="824"/>
      <c r="E50" s="824"/>
      <c r="F50" s="824"/>
      <c r="G50" s="824"/>
      <c r="I50" s="824"/>
      <c r="J50" s="824"/>
      <c r="K50" s="824"/>
      <c r="L50" s="824"/>
      <c r="M50" s="824"/>
      <c r="N50" s="824">
        <f>N46+N48</f>
        <v>770671928.79999995</v>
      </c>
      <c r="O50" s="824">
        <v>770.67192880000005</v>
      </c>
      <c r="P50" s="824"/>
      <c r="Q50" s="824"/>
      <c r="R50" s="824"/>
      <c r="S50" s="824"/>
      <c r="T50" s="824"/>
      <c r="U50" s="824"/>
      <c r="V50" s="824"/>
      <c r="W50" s="824"/>
      <c r="X50" s="824"/>
      <c r="Y50" s="824"/>
    </row>
    <row r="51" spans="4:25" hidden="1" x14ac:dyDescent="0.2">
      <c r="D51" s="824"/>
      <c r="E51" s="824"/>
      <c r="F51" s="824"/>
      <c r="G51" s="824"/>
      <c r="H51" s="824"/>
      <c r="I51" s="824"/>
      <c r="J51" s="824"/>
      <c r="K51" s="824"/>
      <c r="L51" s="824"/>
      <c r="M51" s="824"/>
      <c r="N51" s="824">
        <f>N50+O8</f>
        <v>770672047.84673595</v>
      </c>
      <c r="O51" s="824"/>
      <c r="P51" s="824"/>
      <c r="Q51" s="824"/>
      <c r="R51" s="824"/>
      <c r="S51" s="824"/>
      <c r="T51" s="824"/>
      <c r="U51" s="824"/>
      <c r="V51" s="824"/>
      <c r="W51" s="824"/>
      <c r="X51" s="824"/>
      <c r="Y51" s="824"/>
    </row>
    <row r="52" spans="4:25" hidden="1" x14ac:dyDescent="0.2">
      <c r="D52" s="824"/>
      <c r="E52" s="824"/>
      <c r="F52" s="824" t="s">
        <v>1306</v>
      </c>
      <c r="G52" s="824"/>
      <c r="H52" s="824" t="s">
        <v>1307</v>
      </c>
      <c r="I52" s="824"/>
      <c r="J52" s="824"/>
      <c r="K52" s="824"/>
      <c r="L52" s="824"/>
      <c r="M52" s="824">
        <f>7021147546</f>
        <v>7021147546</v>
      </c>
      <c r="N52" s="824" t="s">
        <v>1308</v>
      </c>
      <c r="O52" s="824"/>
      <c r="P52" s="824"/>
      <c r="Q52" s="824"/>
      <c r="R52" s="824"/>
      <c r="S52" s="824"/>
      <c r="T52" s="824"/>
      <c r="U52" s="824"/>
      <c r="V52" s="824"/>
      <c r="W52" s="824"/>
      <c r="X52" s="824"/>
      <c r="Y52" s="824"/>
    </row>
    <row r="53" spans="4:25" hidden="1" x14ac:dyDescent="0.2">
      <c r="D53" s="824"/>
      <c r="E53" s="824"/>
      <c r="F53" s="824"/>
      <c r="G53" s="824"/>
      <c r="H53" s="824" t="s">
        <v>1309</v>
      </c>
      <c r="I53" s="824"/>
      <c r="J53" s="824"/>
      <c r="K53" s="824"/>
      <c r="L53" s="824"/>
      <c r="M53" s="824">
        <v>64678000</v>
      </c>
      <c r="N53" s="824"/>
      <c r="O53" s="824"/>
      <c r="P53" s="824"/>
      <c r="Q53" s="824"/>
      <c r="R53" s="824"/>
      <c r="S53" s="824"/>
      <c r="T53" s="824"/>
      <c r="U53" s="824"/>
      <c r="V53" s="824"/>
      <c r="W53" s="824"/>
      <c r="X53" s="824"/>
      <c r="Y53" s="824"/>
    </row>
    <row r="54" spans="4:25" hidden="1" x14ac:dyDescent="0.2">
      <c r="D54" s="824"/>
      <c r="E54" s="824"/>
      <c r="F54" s="824"/>
      <c r="G54" s="824"/>
      <c r="H54" s="824" t="s">
        <v>1310</v>
      </c>
      <c r="I54" s="824"/>
      <c r="J54" s="824"/>
      <c r="K54" s="824"/>
      <c r="L54" s="824"/>
      <c r="M54" s="824">
        <v>25600000</v>
      </c>
      <c r="N54" s="824"/>
      <c r="O54" s="824"/>
      <c r="P54" s="824"/>
      <c r="Q54" s="824"/>
      <c r="R54" s="824"/>
      <c r="S54" s="824"/>
      <c r="T54" s="824"/>
      <c r="U54" s="824"/>
      <c r="V54" s="824"/>
      <c r="W54" s="824"/>
      <c r="X54" s="824"/>
      <c r="Y54" s="824"/>
    </row>
    <row r="55" spans="4:25" hidden="1" x14ac:dyDescent="0.2">
      <c r="D55" s="824"/>
      <c r="E55" s="824"/>
      <c r="F55" s="824"/>
      <c r="G55" s="824"/>
      <c r="H55" s="824"/>
      <c r="I55" s="824"/>
      <c r="J55" s="824"/>
      <c r="K55" s="824"/>
      <c r="L55" s="824"/>
      <c r="M55" s="824">
        <f>M52-M53-M54</f>
        <v>6930869546</v>
      </c>
      <c r="N55" s="824">
        <f>O49</f>
        <v>11004220.799999952</v>
      </c>
      <c r="O55" s="824"/>
      <c r="P55" s="824"/>
      <c r="Q55" s="824"/>
      <c r="R55" s="824"/>
      <c r="S55" s="824"/>
      <c r="T55" s="824"/>
      <c r="U55" s="824"/>
      <c r="V55" s="824"/>
      <c r="W55" s="824"/>
      <c r="X55" s="824"/>
      <c r="Y55" s="824"/>
    </row>
    <row r="56" spans="4:25" hidden="1" x14ac:dyDescent="0.2">
      <c r="D56" s="824"/>
      <c r="E56" s="824"/>
      <c r="F56" s="824"/>
      <c r="G56" s="824"/>
      <c r="H56" s="824" t="s">
        <v>1311</v>
      </c>
      <c r="I56" s="824"/>
      <c r="J56" s="824"/>
      <c r="K56" s="824"/>
      <c r="L56" s="824"/>
      <c r="M56" s="824"/>
      <c r="N56" s="824">
        <f>M55+N55</f>
        <v>6941873766.8000002</v>
      </c>
      <c r="O56" s="824"/>
      <c r="P56" s="824"/>
      <c r="Q56" s="824"/>
      <c r="R56" s="824"/>
      <c r="S56" s="824"/>
      <c r="T56" s="824"/>
      <c r="U56" s="824"/>
      <c r="V56" s="824"/>
      <c r="W56" s="824"/>
      <c r="X56" s="824"/>
      <c r="Y56" s="824"/>
    </row>
    <row r="57" spans="4:25" hidden="1" x14ac:dyDescent="0.2">
      <c r="D57" s="824"/>
      <c r="E57" s="824"/>
      <c r="F57" s="824"/>
      <c r="G57" s="824"/>
      <c r="H57" s="824"/>
      <c r="I57" s="824"/>
      <c r="J57" s="824"/>
      <c r="K57" s="824"/>
      <c r="L57" s="824"/>
      <c r="M57" s="824"/>
      <c r="N57" s="824">
        <v>628100000</v>
      </c>
      <c r="O57" s="824"/>
      <c r="P57" s="824"/>
      <c r="Q57" s="824"/>
      <c r="R57" s="824"/>
      <c r="S57" s="824"/>
      <c r="T57" s="824"/>
      <c r="U57" s="824"/>
      <c r="V57" s="824"/>
      <c r="W57" s="824"/>
      <c r="X57" s="824"/>
      <c r="Y57" s="824"/>
    </row>
    <row r="58" spans="4:25" hidden="1" x14ac:dyDescent="0.2">
      <c r="D58" s="824"/>
      <c r="E58" s="824"/>
      <c r="F58" s="824"/>
      <c r="G58" s="824"/>
      <c r="H58" s="824"/>
      <c r="I58" s="824"/>
      <c r="J58" s="824"/>
      <c r="K58" s="824"/>
      <c r="L58" s="824"/>
      <c r="M58" s="824"/>
      <c r="N58" s="824">
        <v>225600000</v>
      </c>
      <c r="O58" s="824"/>
      <c r="P58" s="824"/>
      <c r="Q58" s="824"/>
      <c r="R58" s="824"/>
      <c r="S58" s="824"/>
      <c r="T58" s="824"/>
      <c r="U58" s="824"/>
      <c r="V58" s="824"/>
      <c r="W58" s="824"/>
      <c r="X58" s="824"/>
      <c r="Y58" s="824"/>
    </row>
    <row r="59" spans="4:25" hidden="1" x14ac:dyDescent="0.2">
      <c r="D59" s="824"/>
      <c r="E59" s="824"/>
      <c r="F59" s="824"/>
      <c r="G59" s="824"/>
      <c r="H59" s="824"/>
      <c r="I59" s="824"/>
      <c r="J59" s="824"/>
      <c r="K59" s="824"/>
      <c r="L59" s="824"/>
      <c r="M59" s="824"/>
      <c r="N59" s="824">
        <v>67800000</v>
      </c>
      <c r="O59" s="824"/>
      <c r="P59" s="824"/>
      <c r="Q59" s="824"/>
      <c r="R59" s="824"/>
      <c r="S59" s="824"/>
      <c r="T59" s="824"/>
      <c r="U59" s="824"/>
      <c r="V59" s="824"/>
      <c r="W59" s="824"/>
      <c r="X59" s="824"/>
      <c r="Y59" s="824"/>
    </row>
    <row r="60" spans="4:25" hidden="1" x14ac:dyDescent="0.2">
      <c r="D60" s="824"/>
      <c r="E60" s="824"/>
      <c r="F60" s="824"/>
      <c r="G60" s="824"/>
      <c r="H60" s="824"/>
      <c r="I60" s="824"/>
      <c r="J60" s="824"/>
      <c r="K60" s="824"/>
      <c r="L60" s="824"/>
      <c r="M60" s="824"/>
      <c r="N60" s="824">
        <v>484900000</v>
      </c>
      <c r="O60" s="824"/>
      <c r="P60" s="824"/>
      <c r="Q60" s="824"/>
      <c r="R60" s="824"/>
      <c r="S60" s="824"/>
      <c r="T60" s="824"/>
      <c r="U60" s="824"/>
      <c r="V60" s="824"/>
      <c r="W60" s="824"/>
      <c r="X60" s="824"/>
      <c r="Y60" s="824"/>
    </row>
    <row r="61" spans="4:25" hidden="1" x14ac:dyDescent="0.2">
      <c r="D61" s="824"/>
      <c r="E61" s="824"/>
      <c r="F61" s="824"/>
      <c r="G61" s="824"/>
      <c r="H61" s="824"/>
      <c r="I61" s="824"/>
      <c r="J61" s="824"/>
      <c r="K61" s="824"/>
      <c r="L61" s="824"/>
      <c r="M61" s="824"/>
      <c r="N61" s="824"/>
      <c r="O61" s="824"/>
      <c r="P61" s="824"/>
      <c r="Q61" s="824"/>
      <c r="R61" s="824"/>
      <c r="S61" s="824"/>
      <c r="T61" s="824"/>
      <c r="U61" s="824"/>
      <c r="V61" s="824"/>
      <c r="W61" s="824"/>
      <c r="X61" s="824"/>
      <c r="Y61" s="824"/>
    </row>
    <row r="62" spans="4:25" hidden="1" x14ac:dyDescent="0.2">
      <c r="D62" s="824"/>
      <c r="E62" s="824"/>
      <c r="F62" s="824"/>
      <c r="G62" s="824"/>
      <c r="H62" s="824"/>
      <c r="I62" s="824"/>
      <c r="J62" s="824"/>
      <c r="K62" s="824"/>
      <c r="L62" s="824"/>
      <c r="M62" s="824"/>
      <c r="N62" s="824">
        <f>SUM(N56:N61)</f>
        <v>8348273766.8000002</v>
      </c>
      <c r="O62" s="824"/>
      <c r="P62" s="824"/>
      <c r="Q62" s="824"/>
      <c r="R62" s="824"/>
      <c r="S62" s="824"/>
      <c r="T62" s="824"/>
      <c r="U62" s="824"/>
      <c r="V62" s="824"/>
      <c r="W62" s="824"/>
      <c r="X62" s="824"/>
      <c r="Y62" s="824"/>
    </row>
    <row r="63" spans="4:25" hidden="1" x14ac:dyDescent="0.2">
      <c r="D63" s="824"/>
      <c r="E63" s="824"/>
      <c r="F63" s="824"/>
      <c r="G63" s="824"/>
      <c r="H63" s="824"/>
      <c r="I63" s="824"/>
      <c r="J63" s="824"/>
      <c r="K63" s="824"/>
      <c r="L63" s="824"/>
      <c r="M63" s="824"/>
      <c r="N63" s="824"/>
      <c r="O63" s="824"/>
      <c r="P63" s="824"/>
      <c r="Q63" s="824"/>
      <c r="R63" s="824"/>
      <c r="S63" s="824"/>
      <c r="T63" s="824"/>
      <c r="U63" s="824"/>
      <c r="V63" s="824"/>
      <c r="W63" s="824"/>
      <c r="X63" s="824"/>
      <c r="Y63" s="824"/>
    </row>
    <row r="64" spans="4:25" hidden="1" x14ac:dyDescent="0.2">
      <c r="D64" s="824"/>
      <c r="E64" s="824"/>
      <c r="F64" s="824"/>
      <c r="G64" s="824"/>
      <c r="H64" s="824"/>
      <c r="I64" s="824"/>
      <c r="J64" s="824"/>
      <c r="K64" s="824"/>
      <c r="L64" s="824"/>
      <c r="M64" s="824"/>
      <c r="N64" s="824"/>
      <c r="O64" s="824"/>
      <c r="P64" s="824"/>
      <c r="Q64" s="824"/>
      <c r="R64" s="824"/>
      <c r="S64" s="824"/>
      <c r="T64" s="824"/>
      <c r="U64" s="824"/>
      <c r="V64" s="824"/>
      <c r="W64" s="824"/>
      <c r="X64" s="824"/>
      <c r="Y64" s="824"/>
    </row>
    <row r="65" spans="4:25" hidden="1" x14ac:dyDescent="0.2">
      <c r="D65" s="824"/>
      <c r="E65" s="824"/>
      <c r="F65" s="824"/>
      <c r="G65" s="824"/>
      <c r="H65" s="824"/>
      <c r="I65" s="824"/>
      <c r="J65" s="824"/>
      <c r="K65" s="824"/>
      <c r="L65" s="824"/>
      <c r="M65" s="824"/>
      <c r="N65" s="824"/>
      <c r="O65" s="824"/>
      <c r="P65" s="824"/>
      <c r="Q65" s="824"/>
      <c r="R65" s="824"/>
      <c r="S65" s="824"/>
      <c r="T65" s="824"/>
      <c r="U65" s="824"/>
      <c r="V65" s="824"/>
      <c r="W65" s="824"/>
      <c r="X65" s="824"/>
      <c r="Y65" s="824"/>
    </row>
    <row r="66" spans="4:25" hidden="1" x14ac:dyDescent="0.2">
      <c r="D66" s="824"/>
      <c r="E66" s="824"/>
      <c r="F66" s="824"/>
      <c r="G66" s="824"/>
      <c r="H66" s="824"/>
      <c r="I66" s="824"/>
      <c r="J66" s="824"/>
      <c r="K66" s="824"/>
      <c r="L66" s="824"/>
      <c r="M66" s="824"/>
      <c r="N66" s="824"/>
      <c r="O66" s="824"/>
      <c r="P66" s="824"/>
      <c r="Q66" s="824"/>
      <c r="R66" s="824"/>
      <c r="S66" s="824"/>
      <c r="T66" s="824"/>
      <c r="U66" s="824"/>
      <c r="V66" s="824"/>
      <c r="W66" s="824"/>
      <c r="X66" s="824"/>
      <c r="Y66" s="824"/>
    </row>
    <row r="67" spans="4:25" hidden="1" x14ac:dyDescent="0.2">
      <c r="D67" s="824"/>
      <c r="E67" s="824"/>
      <c r="F67" s="824"/>
      <c r="G67" s="824"/>
      <c r="H67" s="824"/>
      <c r="I67" s="824"/>
      <c r="J67" s="824"/>
      <c r="K67" s="824"/>
      <c r="L67" s="824"/>
      <c r="M67" s="824"/>
      <c r="N67" s="824"/>
      <c r="O67" s="824"/>
      <c r="P67" s="824"/>
      <c r="Q67" s="824"/>
      <c r="R67" s="824"/>
      <c r="S67" s="824"/>
      <c r="T67" s="824"/>
      <c r="U67" s="824"/>
      <c r="V67" s="824"/>
      <c r="W67" s="824"/>
      <c r="X67" s="824"/>
      <c r="Y67" s="824"/>
    </row>
    <row r="68" spans="4:25" hidden="1" x14ac:dyDescent="0.2">
      <c r="D68" s="824"/>
      <c r="E68" s="824"/>
      <c r="F68" s="824"/>
      <c r="G68" s="824"/>
      <c r="H68" s="824"/>
      <c r="I68" s="824"/>
      <c r="J68" s="824"/>
      <c r="K68" s="824"/>
      <c r="L68" s="824"/>
      <c r="M68" s="824"/>
      <c r="N68" s="824"/>
      <c r="O68" s="824"/>
      <c r="P68" s="824"/>
      <c r="Q68" s="824"/>
      <c r="R68" s="824"/>
      <c r="S68" s="824"/>
      <c r="T68" s="824"/>
      <c r="U68" s="824"/>
      <c r="V68" s="824"/>
      <c r="W68" s="824"/>
      <c r="X68" s="824"/>
      <c r="Y68" s="824"/>
    </row>
    <row r="69" spans="4:25" hidden="1" x14ac:dyDescent="0.2">
      <c r="D69" s="824"/>
      <c r="E69" s="824"/>
      <c r="F69" s="824"/>
      <c r="G69" s="824"/>
      <c r="H69" s="824"/>
      <c r="I69" s="824"/>
      <c r="J69" s="824"/>
      <c r="K69" s="824"/>
      <c r="L69" s="824"/>
      <c r="M69" s="824"/>
      <c r="N69" s="824"/>
      <c r="O69" s="824"/>
      <c r="P69" s="824"/>
      <c r="Q69" s="824"/>
      <c r="R69" s="824"/>
      <c r="S69" s="824"/>
      <c r="T69" s="824"/>
      <c r="U69" s="824"/>
      <c r="V69" s="824"/>
      <c r="W69" s="824"/>
      <c r="X69" s="824"/>
      <c r="Y69" s="824"/>
    </row>
    <row r="70" spans="4:25" hidden="1" x14ac:dyDescent="0.2">
      <c r="D70" s="824"/>
      <c r="E70" s="824"/>
      <c r="F70" s="824"/>
      <c r="G70" s="824"/>
      <c r="H70" s="824"/>
      <c r="I70" s="824"/>
      <c r="J70" s="824"/>
      <c r="K70" s="824"/>
      <c r="L70" s="824"/>
      <c r="M70" s="824"/>
      <c r="N70" s="824"/>
      <c r="O70" s="824"/>
      <c r="P70" s="824"/>
      <c r="Q70" s="824"/>
      <c r="R70" s="824"/>
      <c r="S70" s="824"/>
      <c r="T70" s="824"/>
      <c r="U70" s="824"/>
      <c r="V70" s="824"/>
      <c r="W70" s="824"/>
      <c r="X70" s="824"/>
      <c r="Y70" s="824"/>
    </row>
    <row r="71" spans="4:25" hidden="1" x14ac:dyDescent="0.2">
      <c r="D71" s="824"/>
      <c r="E71" s="824"/>
      <c r="F71" s="824"/>
      <c r="G71" s="824"/>
      <c r="H71" s="824"/>
      <c r="I71" s="824"/>
      <c r="J71" s="824"/>
      <c r="K71" s="824"/>
      <c r="L71" s="824"/>
      <c r="M71" s="824"/>
      <c r="N71" s="824"/>
      <c r="O71" s="824"/>
      <c r="P71" s="824"/>
      <c r="Q71" s="824"/>
      <c r="R71" s="824"/>
      <c r="S71" s="824"/>
      <c r="T71" s="824"/>
      <c r="U71" s="824"/>
      <c r="V71" s="824"/>
      <c r="W71" s="824"/>
      <c r="X71" s="824"/>
      <c r="Y71" s="824"/>
    </row>
  </sheetData>
  <mergeCells count="33">
    <mergeCell ref="A1:AA1"/>
    <mergeCell ref="W4:W6"/>
    <mergeCell ref="X4:Z4"/>
    <mergeCell ref="W2:Z2"/>
    <mergeCell ref="A3:A6"/>
    <mergeCell ref="B3:B6"/>
    <mergeCell ref="C4:C6"/>
    <mergeCell ref="D4:F4"/>
    <mergeCell ref="G4:G6"/>
    <mergeCell ref="C3:P3"/>
    <mergeCell ref="D5:D6"/>
    <mergeCell ref="X5:X6"/>
    <mergeCell ref="O4:O6"/>
    <mergeCell ref="Q3:V4"/>
    <mergeCell ref="W3:Z3"/>
    <mergeCell ref="H4:M4"/>
    <mergeCell ref="AA3:AA6"/>
    <mergeCell ref="P4:P6"/>
    <mergeCell ref="E5:E6"/>
    <mergeCell ref="F5:F6"/>
    <mergeCell ref="N4:N6"/>
    <mergeCell ref="Z5:Z6"/>
    <mergeCell ref="B11:D11"/>
    <mergeCell ref="V11:Z11"/>
    <mergeCell ref="V15:Z15"/>
    <mergeCell ref="B17:D17"/>
    <mergeCell ref="Y5:Y6"/>
    <mergeCell ref="H5:H6"/>
    <mergeCell ref="I5:M5"/>
    <mergeCell ref="Q5:Q6"/>
    <mergeCell ref="S5:V5"/>
    <mergeCell ref="V17:Z17"/>
    <mergeCell ref="V10:Z10"/>
  </mergeCells>
  <phoneticPr fontId="70" type="noConversion"/>
  <pageMargins left="0.7" right="0.7" top="0.75" bottom="0.75" header="0.3" footer="0.3"/>
  <pageSetup paperSize="9" scale="6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C48"/>
  <sheetViews>
    <sheetView workbookViewId="0">
      <selection activeCell="A10" sqref="A10:XFD13"/>
    </sheetView>
  </sheetViews>
  <sheetFormatPr defaultColWidth="9.140625" defaultRowHeight="18.75" x14ac:dyDescent="0.3"/>
  <cols>
    <col min="1" max="1" width="5" style="475" customWidth="1"/>
    <col min="2" max="2" width="69.140625" style="476" customWidth="1"/>
    <col min="3" max="3" width="8.28515625" style="475" customWidth="1"/>
    <col min="4" max="4" width="16.7109375" style="477" customWidth="1"/>
    <col min="5" max="5" width="13" style="478" customWidth="1"/>
    <col min="6" max="6" width="12.85546875" style="478" customWidth="1"/>
    <col min="7" max="7" width="24.28515625" style="479" customWidth="1"/>
    <col min="8" max="8" width="15.7109375" style="475" hidden="1" customWidth="1"/>
    <col min="9" max="16" width="0" style="475" hidden="1" customWidth="1"/>
    <col min="17" max="17" width="36.140625" style="475" hidden="1" customWidth="1"/>
    <col min="18" max="18" width="15.28515625" style="475" hidden="1" customWidth="1"/>
    <col min="19" max="24" width="0" style="475" hidden="1" customWidth="1"/>
    <col min="25" max="25" width="25.28515625" style="475" customWidth="1"/>
    <col min="26" max="26" width="20.7109375" style="475" customWidth="1"/>
    <col min="27" max="27" width="9.140625" style="475" hidden="1" customWidth="1"/>
    <col min="28" max="28" width="0" style="475" hidden="1" customWidth="1"/>
    <col min="29" max="29" width="25.28515625" style="475" hidden="1" customWidth="1"/>
    <col min="30" max="31" width="0" style="475" hidden="1" customWidth="1"/>
    <col min="32" max="16384" width="9.140625" style="475"/>
  </cols>
  <sheetData>
    <row r="1" spans="1:29" x14ac:dyDescent="0.3">
      <c r="Z1" s="475" t="s">
        <v>1613</v>
      </c>
    </row>
    <row r="2" spans="1:29" x14ac:dyDescent="0.3">
      <c r="A2" s="4079" t="s">
        <v>1614</v>
      </c>
      <c r="B2" s="4079"/>
      <c r="C2" s="4079"/>
      <c r="D2" s="4079"/>
      <c r="E2" s="4079"/>
      <c r="F2" s="4079"/>
      <c r="G2" s="4079"/>
      <c r="H2" s="4079"/>
      <c r="I2" s="4079"/>
      <c r="J2" s="4079"/>
      <c r="K2" s="4079"/>
      <c r="L2" s="4079"/>
      <c r="M2" s="4079"/>
      <c r="N2" s="4079"/>
      <c r="O2" s="4079"/>
      <c r="P2" s="4079"/>
      <c r="Q2" s="4079"/>
      <c r="R2" s="4079"/>
      <c r="S2" s="4079"/>
      <c r="T2" s="4079"/>
      <c r="U2" s="4079"/>
      <c r="V2" s="4079"/>
      <c r="W2" s="4079"/>
      <c r="X2" s="4079"/>
      <c r="Y2" s="4079"/>
      <c r="Z2" s="4079"/>
    </row>
    <row r="3" spans="1:29" x14ac:dyDescent="0.3">
      <c r="A3" s="4621" t="s">
        <v>1615</v>
      </c>
      <c r="B3" s="4621"/>
      <c r="C3" s="4621"/>
      <c r="D3" s="4621"/>
      <c r="E3" s="4621"/>
      <c r="F3" s="4621"/>
      <c r="G3" s="4621"/>
      <c r="H3" s="4621"/>
      <c r="I3" s="4621"/>
      <c r="J3" s="4621"/>
      <c r="K3" s="4621"/>
      <c r="L3" s="4621"/>
      <c r="M3" s="4621"/>
      <c r="N3" s="4621"/>
      <c r="O3" s="4621"/>
      <c r="P3" s="4621"/>
      <c r="Q3" s="4621"/>
      <c r="R3" s="4621"/>
      <c r="S3" s="4621"/>
      <c r="T3" s="4621"/>
      <c r="U3" s="4621"/>
      <c r="V3" s="4621"/>
      <c r="W3" s="4621"/>
      <c r="X3" s="4621"/>
      <c r="Y3" s="4621"/>
      <c r="Z3" s="4621"/>
    </row>
    <row r="5" spans="1:29" s="484" customFormat="1" ht="112.5" x14ac:dyDescent="0.25">
      <c r="A5" s="480" t="s">
        <v>844</v>
      </c>
      <c r="B5" s="480" t="s">
        <v>845</v>
      </c>
      <c r="C5" s="480" t="s">
        <v>1616</v>
      </c>
      <c r="D5" s="481" t="s">
        <v>1617</v>
      </c>
      <c r="E5" s="480" t="s">
        <v>1618</v>
      </c>
      <c r="F5" s="480" t="s">
        <v>1619</v>
      </c>
      <c r="G5" s="482" t="s">
        <v>706</v>
      </c>
      <c r="H5" s="483" t="s">
        <v>1620</v>
      </c>
      <c r="I5" s="483" t="s">
        <v>1621</v>
      </c>
      <c r="J5" s="483" t="s">
        <v>1622</v>
      </c>
      <c r="K5" s="483" t="s">
        <v>1623</v>
      </c>
      <c r="L5" s="483" t="s">
        <v>1624</v>
      </c>
      <c r="M5" s="483" t="s">
        <v>1625</v>
      </c>
      <c r="N5" s="483" t="s">
        <v>1626</v>
      </c>
      <c r="O5" s="483" t="s">
        <v>1627</v>
      </c>
      <c r="P5" s="483" t="s">
        <v>1628</v>
      </c>
      <c r="Q5" s="483" t="s">
        <v>915</v>
      </c>
      <c r="R5" s="480" t="s">
        <v>1629</v>
      </c>
      <c r="S5" s="480"/>
      <c r="T5" s="480"/>
      <c r="U5" s="480"/>
      <c r="V5" s="480"/>
      <c r="W5" s="480"/>
      <c r="X5" s="480"/>
      <c r="Y5" s="480" t="s">
        <v>1630</v>
      </c>
      <c r="Z5" s="480" t="s">
        <v>1631</v>
      </c>
    </row>
    <row r="6" spans="1:29" s="490" customFormat="1" x14ac:dyDescent="0.3">
      <c r="A6" s="485"/>
      <c r="B6" s="486" t="s">
        <v>1632</v>
      </c>
      <c r="C6" s="485"/>
      <c r="D6" s="487"/>
      <c r="E6" s="486"/>
      <c r="F6" s="485"/>
      <c r="G6" s="488"/>
      <c r="H6" s="489"/>
      <c r="I6" s="489"/>
      <c r="J6" s="489"/>
      <c r="K6" s="489"/>
      <c r="L6" s="489"/>
      <c r="M6" s="489"/>
      <c r="N6" s="489"/>
      <c r="O6" s="489"/>
      <c r="P6" s="489"/>
      <c r="Q6" s="489"/>
      <c r="R6" s="486"/>
      <c r="S6" s="485"/>
      <c r="T6" s="485"/>
      <c r="U6" s="485"/>
      <c r="V6" s="485"/>
      <c r="W6" s="485"/>
      <c r="X6" s="485"/>
      <c r="Y6" s="485"/>
      <c r="Z6" s="485"/>
    </row>
    <row r="7" spans="1:29" s="490" customFormat="1" x14ac:dyDescent="0.3">
      <c r="A7" s="491"/>
      <c r="B7" s="492" t="s">
        <v>1633</v>
      </c>
      <c r="C7" s="491"/>
      <c r="D7" s="493"/>
      <c r="E7" s="494" t="e">
        <f>#REF!</f>
        <v>#REF!</v>
      </c>
      <c r="F7" s="494" t="e">
        <f>#REF!</f>
        <v>#REF!</v>
      </c>
      <c r="G7" s="495" t="e">
        <f>#REF!</f>
        <v>#REF!</v>
      </c>
      <c r="H7" s="496"/>
      <c r="I7" s="496"/>
      <c r="J7" s="496"/>
      <c r="K7" s="496"/>
      <c r="L7" s="496"/>
      <c r="M7" s="496"/>
      <c r="N7" s="496"/>
      <c r="O7" s="496"/>
      <c r="P7" s="496"/>
      <c r="Q7" s="496"/>
      <c r="R7" s="494"/>
      <c r="S7" s="491"/>
      <c r="T7" s="491"/>
      <c r="U7" s="491"/>
      <c r="V7" s="491"/>
      <c r="W7" s="491"/>
      <c r="X7" s="491"/>
      <c r="Y7" s="497" t="e">
        <f>G7</f>
        <v>#REF!</v>
      </c>
      <c r="Z7" s="497" t="e">
        <f>G7-Y7</f>
        <v>#REF!</v>
      </c>
      <c r="AC7" s="498">
        <v>35723261263</v>
      </c>
    </row>
    <row r="8" spans="1:29" s="490" customFormat="1" x14ac:dyDescent="0.3">
      <c r="A8" s="491"/>
      <c r="B8" s="492" t="s">
        <v>1634</v>
      </c>
      <c r="C8" s="491"/>
      <c r="D8" s="493"/>
      <c r="E8" s="494">
        <v>432</v>
      </c>
      <c r="F8" s="494" t="e">
        <f>#REF!</f>
        <v>#REF!</v>
      </c>
      <c r="G8" s="499">
        <f>SUM(G9:G48)</f>
        <v>21116582035</v>
      </c>
      <c r="H8" s="496"/>
      <c r="I8" s="496"/>
      <c r="J8" s="496"/>
      <c r="K8" s="496"/>
      <c r="L8" s="496"/>
      <c r="M8" s="496"/>
      <c r="N8" s="496"/>
      <c r="O8" s="496"/>
      <c r="P8" s="496"/>
      <c r="Q8" s="496"/>
      <c r="R8" s="494"/>
      <c r="S8" s="491"/>
      <c r="T8" s="491"/>
      <c r="U8" s="491"/>
      <c r="V8" s="491"/>
      <c r="W8" s="491"/>
      <c r="X8" s="491"/>
      <c r="Y8" s="497">
        <f t="shared" ref="Y8:Y48" si="0">G8</f>
        <v>21116582035</v>
      </c>
      <c r="Z8" s="497">
        <f t="shared" ref="Z8:Z48" si="1">G8-Y8</f>
        <v>0</v>
      </c>
      <c r="AC8" s="498">
        <v>31103805339</v>
      </c>
    </row>
    <row r="9" spans="1:29" ht="56.25" x14ac:dyDescent="0.3">
      <c r="A9" s="506">
        <v>6</v>
      </c>
      <c r="B9" s="515" t="s">
        <v>1648</v>
      </c>
      <c r="C9" s="506">
        <v>300</v>
      </c>
      <c r="D9" s="519">
        <v>43159</v>
      </c>
      <c r="E9" s="506">
        <v>432</v>
      </c>
      <c r="F9" s="507" t="s">
        <v>1638</v>
      </c>
      <c r="G9" s="517">
        <v>140536713</v>
      </c>
      <c r="H9" s="518">
        <f>97641068+281157444+70592955+199548350</f>
        <v>648939817</v>
      </c>
      <c r="I9" s="518"/>
      <c r="J9" s="518">
        <v>199548350</v>
      </c>
      <c r="K9" s="518"/>
      <c r="L9" s="518"/>
      <c r="M9" s="518"/>
      <c r="N9" s="518">
        <v>70592955</v>
      </c>
      <c r="O9" s="518">
        <v>281157444</v>
      </c>
      <c r="P9" s="518">
        <v>97641068</v>
      </c>
      <c r="Q9" s="503"/>
      <c r="R9" s="503"/>
      <c r="S9" s="503"/>
      <c r="T9" s="503"/>
      <c r="U9" s="503"/>
      <c r="V9" s="503"/>
      <c r="W9" s="503"/>
      <c r="X9" s="503"/>
      <c r="Y9" s="501">
        <f t="shared" si="0"/>
        <v>140536713</v>
      </c>
      <c r="Z9" s="497">
        <f t="shared" si="1"/>
        <v>0</v>
      </c>
      <c r="AC9" s="514" t="e">
        <f>#REF!-#REF!</f>
        <v>#REF!</v>
      </c>
    </row>
    <row r="10" spans="1:29" ht="93.75" x14ac:dyDescent="0.3">
      <c r="A10" s="506">
        <v>8</v>
      </c>
      <c r="B10" s="515" t="s">
        <v>1649</v>
      </c>
      <c r="C10" s="506">
        <v>1167</v>
      </c>
      <c r="D10" s="519">
        <v>43287</v>
      </c>
      <c r="E10" s="506">
        <v>432</v>
      </c>
      <c r="F10" s="516" t="s">
        <v>1650</v>
      </c>
      <c r="G10" s="517">
        <v>56560000</v>
      </c>
      <c r="H10" s="518"/>
      <c r="I10" s="518"/>
      <c r="J10" s="518"/>
      <c r="K10" s="518"/>
      <c r="L10" s="518"/>
      <c r="M10" s="518"/>
      <c r="N10" s="518"/>
      <c r="O10" s="518"/>
      <c r="P10" s="518"/>
      <c r="Q10" s="503"/>
      <c r="R10" s="503"/>
      <c r="S10" s="503"/>
      <c r="T10" s="503"/>
      <c r="U10" s="503"/>
      <c r="V10" s="503"/>
      <c r="W10" s="503"/>
      <c r="X10" s="503"/>
      <c r="Y10" s="501">
        <f t="shared" si="0"/>
        <v>56560000</v>
      </c>
      <c r="Z10" s="497">
        <f t="shared" si="1"/>
        <v>0</v>
      </c>
    </row>
    <row r="11" spans="1:29" ht="56.25" x14ac:dyDescent="0.3">
      <c r="A11" s="506">
        <v>9</v>
      </c>
      <c r="B11" s="515" t="s">
        <v>1651</v>
      </c>
      <c r="C11" s="506">
        <v>299</v>
      </c>
      <c r="D11" s="519">
        <v>43159</v>
      </c>
      <c r="E11" s="506">
        <v>432</v>
      </c>
      <c r="F11" s="516" t="s">
        <v>1652</v>
      </c>
      <c r="G11" s="517">
        <v>60000000</v>
      </c>
      <c r="H11" s="518">
        <f>1160000000+80000000</f>
        <v>1240000000</v>
      </c>
      <c r="I11" s="518"/>
      <c r="J11" s="518"/>
      <c r="K11" s="518"/>
      <c r="L11" s="518"/>
      <c r="M11" s="518"/>
      <c r="N11" s="518"/>
      <c r="O11" s="518"/>
      <c r="P11" s="518"/>
      <c r="Q11" s="503" t="s">
        <v>1653</v>
      </c>
      <c r="R11" s="503"/>
      <c r="S11" s="503"/>
      <c r="T11" s="503"/>
      <c r="U11" s="503"/>
      <c r="V11" s="503"/>
      <c r="W11" s="503"/>
      <c r="X11" s="503"/>
      <c r="Y11" s="501">
        <f t="shared" si="0"/>
        <v>60000000</v>
      </c>
      <c r="Z11" s="497">
        <f t="shared" si="1"/>
        <v>0</v>
      </c>
    </row>
    <row r="12" spans="1:29" ht="75" x14ac:dyDescent="0.3">
      <c r="A12" s="506">
        <v>13</v>
      </c>
      <c r="B12" s="515" t="s">
        <v>1655</v>
      </c>
      <c r="C12" s="506">
        <v>438</v>
      </c>
      <c r="D12" s="519">
        <v>43182</v>
      </c>
      <c r="E12" s="506">
        <v>432</v>
      </c>
      <c r="F12" s="516" t="s">
        <v>1652</v>
      </c>
      <c r="G12" s="517">
        <f>(10+30+60)*1000000</f>
        <v>100000000</v>
      </c>
      <c r="H12" s="518">
        <v>1685000000</v>
      </c>
      <c r="I12" s="503"/>
      <c r="J12" s="503"/>
      <c r="K12" s="503"/>
      <c r="L12" s="503"/>
      <c r="M12" s="503"/>
      <c r="N12" s="503"/>
      <c r="O12" s="503"/>
      <c r="P12" s="503"/>
      <c r="Q12" s="503"/>
      <c r="R12" s="503"/>
      <c r="S12" s="503"/>
      <c r="T12" s="503"/>
      <c r="U12" s="503"/>
      <c r="V12" s="503"/>
      <c r="W12" s="503"/>
      <c r="X12" s="503"/>
      <c r="Y12" s="501">
        <f t="shared" si="0"/>
        <v>100000000</v>
      </c>
      <c r="Z12" s="497">
        <f t="shared" si="1"/>
        <v>0</v>
      </c>
    </row>
    <row r="13" spans="1:29" ht="56.25" x14ac:dyDescent="0.3">
      <c r="A13" s="506">
        <v>17</v>
      </c>
      <c r="B13" s="515" t="s">
        <v>1656</v>
      </c>
      <c r="C13" s="506">
        <v>477</v>
      </c>
      <c r="D13" s="519">
        <v>43188</v>
      </c>
      <c r="E13" s="506">
        <v>432</v>
      </c>
      <c r="F13" s="507" t="s">
        <v>1638</v>
      </c>
      <c r="G13" s="517">
        <v>1257720000</v>
      </c>
      <c r="H13" s="503"/>
      <c r="I13" s="503"/>
      <c r="J13" s="503"/>
      <c r="K13" s="503"/>
      <c r="L13" s="503"/>
      <c r="M13" s="503"/>
      <c r="N13" s="503"/>
      <c r="O13" s="503"/>
      <c r="P13" s="503"/>
      <c r="Q13" s="503"/>
      <c r="R13" s="503"/>
      <c r="S13" s="503"/>
      <c r="T13" s="503"/>
      <c r="U13" s="503"/>
      <c r="V13" s="503"/>
      <c r="W13" s="503"/>
      <c r="X13" s="503"/>
      <c r="Y13" s="501">
        <f t="shared" si="0"/>
        <v>1257720000</v>
      </c>
      <c r="Z13" s="497">
        <f t="shared" si="1"/>
        <v>0</v>
      </c>
    </row>
    <row r="14" spans="1:29" ht="56.25" x14ac:dyDescent="0.3">
      <c r="A14" s="506">
        <v>18</v>
      </c>
      <c r="B14" s="515" t="s">
        <v>1657</v>
      </c>
      <c r="C14" s="506">
        <v>504</v>
      </c>
      <c r="D14" s="519">
        <v>43193</v>
      </c>
      <c r="E14" s="506">
        <v>432</v>
      </c>
      <c r="F14" s="507" t="s">
        <v>1638</v>
      </c>
      <c r="G14" s="517">
        <v>1846000</v>
      </c>
      <c r="H14" s="503"/>
      <c r="I14" s="503"/>
      <c r="J14" s="503"/>
      <c r="K14" s="503"/>
      <c r="L14" s="503"/>
      <c r="M14" s="503"/>
      <c r="N14" s="503"/>
      <c r="O14" s="503"/>
      <c r="P14" s="503"/>
      <c r="Q14" s="503"/>
      <c r="R14" s="503"/>
      <c r="S14" s="503"/>
      <c r="T14" s="503"/>
      <c r="U14" s="503"/>
      <c r="V14" s="503"/>
      <c r="W14" s="503"/>
      <c r="X14" s="503"/>
      <c r="Y14" s="501">
        <f t="shared" si="0"/>
        <v>1846000</v>
      </c>
      <c r="Z14" s="497">
        <f t="shared" si="1"/>
        <v>0</v>
      </c>
    </row>
    <row r="15" spans="1:29" ht="93.75" x14ac:dyDescent="0.3">
      <c r="A15" s="506">
        <v>19</v>
      </c>
      <c r="B15" s="515" t="s">
        <v>1658</v>
      </c>
      <c r="C15" s="506">
        <v>437</v>
      </c>
      <c r="D15" s="519">
        <v>43182</v>
      </c>
      <c r="E15" s="506">
        <v>432</v>
      </c>
      <c r="F15" s="507" t="s">
        <v>1638</v>
      </c>
      <c r="G15" s="517">
        <v>120000000</v>
      </c>
      <c r="H15" s="503"/>
      <c r="I15" s="503"/>
      <c r="J15" s="503"/>
      <c r="K15" s="503"/>
      <c r="L15" s="503"/>
      <c r="M15" s="503"/>
      <c r="N15" s="503"/>
      <c r="O15" s="503"/>
      <c r="P15" s="503"/>
      <c r="Q15" s="503"/>
      <c r="R15" s="503"/>
      <c r="S15" s="503"/>
      <c r="T15" s="503"/>
      <c r="U15" s="503"/>
      <c r="V15" s="503"/>
      <c r="W15" s="503"/>
      <c r="X15" s="503"/>
      <c r="Y15" s="501">
        <f t="shared" si="0"/>
        <v>120000000</v>
      </c>
      <c r="Z15" s="497">
        <f t="shared" si="1"/>
        <v>0</v>
      </c>
    </row>
    <row r="16" spans="1:29" ht="37.5" x14ac:dyDescent="0.3">
      <c r="A16" s="506">
        <v>20</v>
      </c>
      <c r="B16" s="515" t="s">
        <v>1659</v>
      </c>
      <c r="C16" s="506">
        <v>500</v>
      </c>
      <c r="D16" s="513">
        <v>43193</v>
      </c>
      <c r="E16" s="506">
        <v>432</v>
      </c>
      <c r="F16" s="507" t="s">
        <v>329</v>
      </c>
      <c r="G16" s="517">
        <v>310000000</v>
      </c>
      <c r="H16" s="520">
        <f>(527+20+20+335+15)*1000000</f>
        <v>917000000</v>
      </c>
      <c r="I16" s="503"/>
      <c r="J16" s="503"/>
      <c r="K16" s="503"/>
      <c r="L16" s="503"/>
      <c r="M16" s="503"/>
      <c r="N16" s="503"/>
      <c r="O16" s="503"/>
      <c r="P16" s="503"/>
      <c r="Q16" s="503"/>
      <c r="R16" s="503"/>
      <c r="S16" s="503"/>
      <c r="T16" s="503"/>
      <c r="U16" s="503"/>
      <c r="V16" s="503"/>
      <c r="W16" s="503"/>
      <c r="X16" s="503"/>
      <c r="Y16" s="501">
        <f t="shared" si="0"/>
        <v>310000000</v>
      </c>
      <c r="Z16" s="497">
        <f t="shared" si="1"/>
        <v>0</v>
      </c>
    </row>
    <row r="17" spans="1:28" ht="56.25" x14ac:dyDescent="0.3">
      <c r="A17" s="506">
        <v>23</v>
      </c>
      <c r="B17" s="515" t="s">
        <v>1660</v>
      </c>
      <c r="C17" s="506">
        <v>563</v>
      </c>
      <c r="D17" s="513">
        <v>43201</v>
      </c>
      <c r="E17" s="506">
        <v>432</v>
      </c>
      <c r="F17" s="507" t="s">
        <v>1647</v>
      </c>
      <c r="G17" s="517">
        <v>2600000000</v>
      </c>
      <c r="H17" s="518">
        <v>400000000</v>
      </c>
      <c r="I17" s="503"/>
      <c r="J17" s="503"/>
      <c r="K17" s="503"/>
      <c r="L17" s="503"/>
      <c r="M17" s="503"/>
      <c r="N17" s="503"/>
      <c r="O17" s="503"/>
      <c r="P17" s="503"/>
      <c r="Q17" s="503"/>
      <c r="R17" s="503"/>
      <c r="S17" s="503"/>
      <c r="T17" s="503"/>
      <c r="U17" s="503"/>
      <c r="V17" s="503"/>
      <c r="W17" s="503"/>
      <c r="X17" s="503"/>
      <c r="Y17" s="501">
        <f t="shared" si="0"/>
        <v>2600000000</v>
      </c>
      <c r="Z17" s="497">
        <f t="shared" si="1"/>
        <v>0</v>
      </c>
    </row>
    <row r="18" spans="1:28" ht="68.45" customHeight="1" x14ac:dyDescent="0.3">
      <c r="A18" s="506">
        <v>24</v>
      </c>
      <c r="B18" s="515" t="s">
        <v>1661</v>
      </c>
      <c r="C18" s="506">
        <v>544</v>
      </c>
      <c r="D18" s="513">
        <v>43200</v>
      </c>
      <c r="E18" s="506">
        <v>432</v>
      </c>
      <c r="F18" s="506"/>
      <c r="G18" s="517">
        <v>2661000000</v>
      </c>
      <c r="H18" s="503"/>
      <c r="I18" s="503"/>
      <c r="J18" s="503"/>
      <c r="K18" s="503"/>
      <c r="L18" s="503"/>
      <c r="M18" s="503"/>
      <c r="N18" s="503"/>
      <c r="O18" s="503"/>
      <c r="P18" s="503"/>
      <c r="Q18" s="503"/>
      <c r="R18" s="503"/>
      <c r="S18" s="503"/>
      <c r="T18" s="503"/>
      <c r="U18" s="503"/>
      <c r="V18" s="503"/>
      <c r="W18" s="503"/>
      <c r="X18" s="503"/>
      <c r="Y18" s="501">
        <f t="shared" si="0"/>
        <v>2661000000</v>
      </c>
      <c r="Z18" s="497">
        <f t="shared" si="1"/>
        <v>0</v>
      </c>
      <c r="AA18" s="476" t="s">
        <v>1662</v>
      </c>
    </row>
    <row r="19" spans="1:28" ht="37.5" x14ac:dyDescent="0.3">
      <c r="A19" s="506">
        <v>29</v>
      </c>
      <c r="B19" s="515" t="s">
        <v>1663</v>
      </c>
      <c r="C19" s="506">
        <v>506</v>
      </c>
      <c r="D19" s="513">
        <v>43193</v>
      </c>
      <c r="E19" s="521">
        <v>432</v>
      </c>
      <c r="F19" s="521" t="s">
        <v>1664</v>
      </c>
      <c r="G19" s="517">
        <v>1546000000</v>
      </c>
      <c r="H19" s="518"/>
      <c r="I19" s="503"/>
      <c r="J19" s="503"/>
      <c r="K19" s="503"/>
      <c r="L19" s="503"/>
      <c r="M19" s="503"/>
      <c r="N19" s="503"/>
      <c r="O19" s="503"/>
      <c r="P19" s="503"/>
      <c r="Q19" s="503"/>
      <c r="R19" s="503"/>
      <c r="S19" s="503"/>
      <c r="T19" s="503"/>
      <c r="U19" s="503"/>
      <c r="V19" s="503"/>
      <c r="W19" s="503"/>
      <c r="X19" s="503"/>
      <c r="Y19" s="501">
        <f t="shared" si="0"/>
        <v>1546000000</v>
      </c>
      <c r="Z19" s="497">
        <f t="shared" si="1"/>
        <v>0</v>
      </c>
    </row>
    <row r="20" spans="1:28" ht="55.9" customHeight="1" x14ac:dyDescent="0.3">
      <c r="A20" s="506">
        <v>32</v>
      </c>
      <c r="B20" s="515" t="s">
        <v>1667</v>
      </c>
      <c r="C20" s="506">
        <v>725</v>
      </c>
      <c r="D20" s="513">
        <v>43229</v>
      </c>
      <c r="E20" s="521" t="s">
        <v>1666</v>
      </c>
      <c r="F20" s="522" t="s">
        <v>1668</v>
      </c>
      <c r="G20" s="517">
        <v>284286000</v>
      </c>
      <c r="H20" s="518"/>
      <c r="I20" s="503"/>
      <c r="J20" s="503"/>
      <c r="K20" s="503"/>
      <c r="L20" s="503"/>
      <c r="M20" s="503"/>
      <c r="N20" s="503"/>
      <c r="O20" s="503"/>
      <c r="P20" s="503"/>
      <c r="Q20" s="503"/>
      <c r="R20" s="503"/>
      <c r="S20" s="503"/>
      <c r="T20" s="503"/>
      <c r="U20" s="503"/>
      <c r="V20" s="503"/>
      <c r="W20" s="503"/>
      <c r="X20" s="503"/>
      <c r="Y20" s="501">
        <f t="shared" si="0"/>
        <v>284286000</v>
      </c>
      <c r="Z20" s="497">
        <f t="shared" si="1"/>
        <v>0</v>
      </c>
      <c r="AA20" s="476" t="s">
        <v>1669</v>
      </c>
      <c r="AB20" s="476"/>
    </row>
    <row r="21" spans="1:28" ht="37.5" x14ac:dyDescent="0.3">
      <c r="A21" s="506">
        <v>34</v>
      </c>
      <c r="B21" s="515" t="s">
        <v>1670</v>
      </c>
      <c r="C21" s="506">
        <v>773</v>
      </c>
      <c r="D21" s="513">
        <v>43235</v>
      </c>
      <c r="E21" s="521"/>
      <c r="F21" s="522"/>
      <c r="G21" s="517">
        <v>25000000</v>
      </c>
      <c r="H21" s="518">
        <f>1246400000+1032399000</f>
        <v>2278799000</v>
      </c>
      <c r="I21" s="503"/>
      <c r="J21" s="503"/>
      <c r="K21" s="503"/>
      <c r="L21" s="503"/>
      <c r="M21" s="503"/>
      <c r="N21" s="503"/>
      <c r="O21" s="503"/>
      <c r="P21" s="503"/>
      <c r="Q21" s="503"/>
      <c r="R21" s="503"/>
      <c r="S21" s="503"/>
      <c r="T21" s="503"/>
      <c r="U21" s="503"/>
      <c r="V21" s="503"/>
      <c r="W21" s="503"/>
      <c r="X21" s="503"/>
      <c r="Y21" s="501">
        <f t="shared" si="0"/>
        <v>25000000</v>
      </c>
      <c r="Z21" s="497">
        <f t="shared" si="1"/>
        <v>0</v>
      </c>
    </row>
    <row r="22" spans="1:28" ht="56.25" x14ac:dyDescent="0.3">
      <c r="A22" s="506">
        <v>38</v>
      </c>
      <c r="B22" s="515" t="s">
        <v>1671</v>
      </c>
      <c r="C22" s="506">
        <v>911</v>
      </c>
      <c r="D22" s="513">
        <v>43255</v>
      </c>
      <c r="E22" s="521">
        <v>432</v>
      </c>
      <c r="F22" s="522"/>
      <c r="G22" s="517">
        <v>809360000</v>
      </c>
      <c r="H22" s="518"/>
      <c r="I22" s="503"/>
      <c r="J22" s="503"/>
      <c r="K22" s="503"/>
      <c r="L22" s="503"/>
      <c r="M22" s="503"/>
      <c r="N22" s="503"/>
      <c r="O22" s="503"/>
      <c r="P22" s="503"/>
      <c r="Q22" s="503"/>
      <c r="R22" s="503"/>
      <c r="S22" s="503"/>
      <c r="T22" s="503"/>
      <c r="U22" s="503"/>
      <c r="V22" s="503"/>
      <c r="W22" s="503"/>
      <c r="X22" s="503"/>
      <c r="Y22" s="501">
        <f t="shared" si="0"/>
        <v>809360000</v>
      </c>
      <c r="Z22" s="497">
        <f t="shared" si="1"/>
        <v>0</v>
      </c>
    </row>
    <row r="23" spans="1:28" ht="56.25" x14ac:dyDescent="0.3">
      <c r="A23" s="506">
        <v>49</v>
      </c>
      <c r="B23" s="515" t="s">
        <v>1672</v>
      </c>
      <c r="C23" s="506">
        <v>984</v>
      </c>
      <c r="D23" s="513">
        <v>43264</v>
      </c>
      <c r="E23" s="506">
        <v>432</v>
      </c>
      <c r="F23" s="522" t="s">
        <v>1647</v>
      </c>
      <c r="G23" s="517">
        <v>305000000</v>
      </c>
      <c r="H23" s="518">
        <f>12965000000-46000000</f>
        <v>12919000000</v>
      </c>
      <c r="I23" s="503"/>
      <c r="J23" s="503"/>
      <c r="K23" s="503"/>
      <c r="L23" s="503"/>
      <c r="M23" s="503"/>
      <c r="N23" s="503"/>
      <c r="O23" s="503"/>
      <c r="P23" s="503"/>
      <c r="Q23" s="503"/>
      <c r="R23" s="503"/>
      <c r="S23" s="503"/>
      <c r="T23" s="503"/>
      <c r="U23" s="503"/>
      <c r="V23" s="503"/>
      <c r="W23" s="503"/>
      <c r="X23" s="503"/>
      <c r="Y23" s="501">
        <f t="shared" si="0"/>
        <v>305000000</v>
      </c>
      <c r="Z23" s="497">
        <f t="shared" si="1"/>
        <v>0</v>
      </c>
    </row>
    <row r="24" spans="1:28" ht="37.5" x14ac:dyDescent="0.3">
      <c r="A24" s="506">
        <v>50</v>
      </c>
      <c r="B24" s="515" t="s">
        <v>1673</v>
      </c>
      <c r="C24" s="506">
        <v>1161</v>
      </c>
      <c r="D24" s="513">
        <v>43285</v>
      </c>
      <c r="E24" s="506">
        <v>432</v>
      </c>
      <c r="F24" s="522" t="s">
        <v>1647</v>
      </c>
      <c r="G24" s="517">
        <v>7000000</v>
      </c>
      <c r="H24" s="518"/>
      <c r="I24" s="503"/>
      <c r="J24" s="503"/>
      <c r="K24" s="503"/>
      <c r="L24" s="503"/>
      <c r="M24" s="503"/>
      <c r="N24" s="503"/>
      <c r="O24" s="503"/>
      <c r="P24" s="503"/>
      <c r="Q24" s="503"/>
      <c r="R24" s="503"/>
      <c r="S24" s="503"/>
      <c r="T24" s="503"/>
      <c r="U24" s="503"/>
      <c r="V24" s="503"/>
      <c r="W24" s="503"/>
      <c r="X24" s="503"/>
      <c r="Y24" s="501">
        <f t="shared" si="0"/>
        <v>7000000</v>
      </c>
      <c r="Z24" s="497">
        <f t="shared" si="1"/>
        <v>0</v>
      </c>
    </row>
    <row r="25" spans="1:28" ht="56.25" x14ac:dyDescent="0.3">
      <c r="A25" s="506">
        <v>58</v>
      </c>
      <c r="B25" s="515" t="s">
        <v>1674</v>
      </c>
      <c r="C25" s="506">
        <v>937</v>
      </c>
      <c r="D25" s="513">
        <v>43258</v>
      </c>
      <c r="E25" s="506">
        <v>432</v>
      </c>
      <c r="F25" s="506"/>
      <c r="G25" s="517">
        <v>800000</v>
      </c>
      <c r="H25" s="503"/>
      <c r="I25" s="503"/>
      <c r="J25" s="503"/>
      <c r="K25" s="503"/>
      <c r="L25" s="503"/>
      <c r="M25" s="503"/>
      <c r="N25" s="503"/>
      <c r="O25" s="503"/>
      <c r="P25" s="503"/>
      <c r="Q25" s="503"/>
      <c r="R25" s="503"/>
      <c r="S25" s="503"/>
      <c r="T25" s="503"/>
      <c r="U25" s="503"/>
      <c r="V25" s="503"/>
      <c r="W25" s="503"/>
      <c r="X25" s="503"/>
      <c r="Y25" s="501">
        <f t="shared" si="0"/>
        <v>800000</v>
      </c>
      <c r="Z25" s="497">
        <f t="shared" si="1"/>
        <v>0</v>
      </c>
    </row>
    <row r="26" spans="1:28" ht="37.5" x14ac:dyDescent="0.3">
      <c r="A26" s="506">
        <v>60</v>
      </c>
      <c r="B26" s="515" t="s">
        <v>1675</v>
      </c>
      <c r="C26" s="506">
        <v>1175</v>
      </c>
      <c r="D26" s="513">
        <v>43290</v>
      </c>
      <c r="E26" s="506">
        <v>432</v>
      </c>
      <c r="F26" s="506"/>
      <c r="G26" s="517">
        <v>64000000</v>
      </c>
      <c r="H26" s="503"/>
      <c r="I26" s="503"/>
      <c r="J26" s="503"/>
      <c r="K26" s="503"/>
      <c r="L26" s="503"/>
      <c r="M26" s="503"/>
      <c r="N26" s="503"/>
      <c r="O26" s="503"/>
      <c r="P26" s="503"/>
      <c r="Q26" s="503"/>
      <c r="R26" s="503"/>
      <c r="S26" s="503"/>
      <c r="T26" s="503"/>
      <c r="U26" s="503"/>
      <c r="V26" s="503"/>
      <c r="W26" s="503"/>
      <c r="X26" s="503"/>
      <c r="Y26" s="501">
        <f t="shared" si="0"/>
        <v>64000000</v>
      </c>
      <c r="Z26" s="497">
        <f t="shared" si="1"/>
        <v>0</v>
      </c>
    </row>
    <row r="27" spans="1:28" ht="37.5" x14ac:dyDescent="0.3">
      <c r="A27" s="506">
        <v>66</v>
      </c>
      <c r="B27" s="515" t="s">
        <v>1676</v>
      </c>
      <c r="C27" s="506">
        <v>1291</v>
      </c>
      <c r="D27" s="513">
        <v>43307</v>
      </c>
      <c r="E27" s="506">
        <v>432</v>
      </c>
      <c r="F27" s="506"/>
      <c r="G27" s="517">
        <v>3771210000</v>
      </c>
      <c r="H27" s="518">
        <v>3557470000</v>
      </c>
      <c r="I27" s="503"/>
      <c r="J27" s="503"/>
      <c r="K27" s="503"/>
      <c r="L27" s="503"/>
      <c r="M27" s="503"/>
      <c r="N27" s="503"/>
      <c r="O27" s="503"/>
      <c r="P27" s="503"/>
      <c r="Q27" s="503"/>
      <c r="R27" s="503"/>
      <c r="S27" s="503"/>
      <c r="T27" s="503"/>
      <c r="U27" s="503"/>
      <c r="V27" s="503"/>
      <c r="W27" s="503"/>
      <c r="X27" s="503"/>
      <c r="Y27" s="501">
        <f t="shared" si="0"/>
        <v>3771210000</v>
      </c>
      <c r="Z27" s="497">
        <f t="shared" si="1"/>
        <v>0</v>
      </c>
    </row>
    <row r="28" spans="1:28" ht="37.5" x14ac:dyDescent="0.3">
      <c r="A28" s="506">
        <v>67</v>
      </c>
      <c r="B28" s="515" t="s">
        <v>1677</v>
      </c>
      <c r="C28" s="506">
        <v>1290</v>
      </c>
      <c r="D28" s="513">
        <v>43307</v>
      </c>
      <c r="E28" s="506">
        <v>432</v>
      </c>
      <c r="F28" s="506"/>
      <c r="G28" s="517">
        <v>120000000</v>
      </c>
      <c r="H28" s="518">
        <v>7967000000</v>
      </c>
      <c r="I28" s="503"/>
      <c r="J28" s="503"/>
      <c r="K28" s="503"/>
      <c r="L28" s="503"/>
      <c r="M28" s="503"/>
      <c r="N28" s="503"/>
      <c r="O28" s="503"/>
      <c r="P28" s="503"/>
      <c r="Q28" s="503"/>
      <c r="R28" s="503"/>
      <c r="S28" s="503"/>
      <c r="T28" s="503"/>
      <c r="U28" s="503"/>
      <c r="V28" s="503"/>
      <c r="W28" s="503"/>
      <c r="X28" s="503"/>
      <c r="Y28" s="501">
        <f t="shared" si="0"/>
        <v>120000000</v>
      </c>
      <c r="Z28" s="497">
        <f t="shared" si="1"/>
        <v>0</v>
      </c>
    </row>
    <row r="29" spans="1:28" ht="56.25" x14ac:dyDescent="0.3">
      <c r="A29" s="506">
        <v>71</v>
      </c>
      <c r="B29" s="515" t="s">
        <v>1678</v>
      </c>
      <c r="C29" s="506">
        <v>1379</v>
      </c>
      <c r="D29" s="513">
        <v>43327</v>
      </c>
      <c r="E29" s="523">
        <v>432</v>
      </c>
      <c r="F29" s="506"/>
      <c r="G29" s="517">
        <v>202000000</v>
      </c>
      <c r="H29" s="518"/>
      <c r="I29" s="503"/>
      <c r="J29" s="503"/>
      <c r="K29" s="503"/>
      <c r="L29" s="503"/>
      <c r="M29" s="503"/>
      <c r="N29" s="503"/>
      <c r="O29" s="503"/>
      <c r="P29" s="503"/>
      <c r="Q29" s="503"/>
      <c r="R29" s="503"/>
      <c r="S29" s="503"/>
      <c r="T29" s="503"/>
      <c r="U29" s="503"/>
      <c r="V29" s="503"/>
      <c r="W29" s="503"/>
      <c r="X29" s="503"/>
      <c r="Y29" s="501">
        <f t="shared" si="0"/>
        <v>202000000</v>
      </c>
      <c r="Z29" s="497">
        <f t="shared" si="1"/>
        <v>0</v>
      </c>
    </row>
    <row r="30" spans="1:28" ht="56.25" x14ac:dyDescent="0.3">
      <c r="A30" s="506">
        <v>73</v>
      </c>
      <c r="B30" s="515" t="s">
        <v>1679</v>
      </c>
      <c r="C30" s="506">
        <v>1381</v>
      </c>
      <c r="D30" s="513">
        <v>43327</v>
      </c>
      <c r="E30" s="506">
        <v>432</v>
      </c>
      <c r="F30" s="506"/>
      <c r="G30" s="517">
        <v>22532000</v>
      </c>
      <c r="H30" s="518">
        <v>20660000</v>
      </c>
      <c r="I30" s="503"/>
      <c r="J30" s="503"/>
      <c r="K30" s="503"/>
      <c r="L30" s="503"/>
      <c r="M30" s="503"/>
      <c r="N30" s="503"/>
      <c r="O30" s="503"/>
      <c r="P30" s="503"/>
      <c r="Q30" s="503"/>
      <c r="R30" s="503"/>
      <c r="S30" s="503"/>
      <c r="T30" s="503"/>
      <c r="U30" s="503"/>
      <c r="V30" s="503"/>
      <c r="W30" s="503"/>
      <c r="X30" s="503"/>
      <c r="Y30" s="501">
        <f t="shared" si="0"/>
        <v>22532000</v>
      </c>
      <c r="Z30" s="497">
        <f t="shared" si="1"/>
        <v>0</v>
      </c>
    </row>
    <row r="31" spans="1:28" ht="56.25" x14ac:dyDescent="0.3">
      <c r="A31" s="506">
        <v>76</v>
      </c>
      <c r="B31" s="515" t="s">
        <v>1680</v>
      </c>
      <c r="C31" s="506">
        <v>1382</v>
      </c>
      <c r="D31" s="513">
        <v>43327</v>
      </c>
      <c r="E31" s="506">
        <v>432</v>
      </c>
      <c r="F31" s="506"/>
      <c r="G31" s="517">
        <v>320940000</v>
      </c>
      <c r="H31" s="518"/>
      <c r="I31" s="503"/>
      <c r="J31" s="503"/>
      <c r="K31" s="503"/>
      <c r="L31" s="503"/>
      <c r="M31" s="503"/>
      <c r="N31" s="503"/>
      <c r="O31" s="503"/>
      <c r="P31" s="503"/>
      <c r="Q31" s="503"/>
      <c r="R31" s="503"/>
      <c r="S31" s="503"/>
      <c r="T31" s="503"/>
      <c r="U31" s="503"/>
      <c r="V31" s="503"/>
      <c r="W31" s="503"/>
      <c r="X31" s="503"/>
      <c r="Y31" s="501">
        <f t="shared" si="0"/>
        <v>320940000</v>
      </c>
      <c r="Z31" s="497">
        <f t="shared" si="1"/>
        <v>0</v>
      </c>
    </row>
    <row r="32" spans="1:28" ht="37.5" x14ac:dyDescent="0.3">
      <c r="A32" s="506">
        <v>78</v>
      </c>
      <c r="B32" s="515" t="s">
        <v>1681</v>
      </c>
      <c r="C32" s="506">
        <v>176</v>
      </c>
      <c r="D32" s="513">
        <v>43311</v>
      </c>
      <c r="E32" s="506">
        <v>432</v>
      </c>
      <c r="F32" s="506"/>
      <c r="G32" s="517">
        <v>233000000</v>
      </c>
      <c r="H32" s="518">
        <v>437000000</v>
      </c>
      <c r="I32" s="503"/>
      <c r="J32" s="503"/>
      <c r="K32" s="503"/>
      <c r="L32" s="503"/>
      <c r="M32" s="503"/>
      <c r="N32" s="503"/>
      <c r="O32" s="503"/>
      <c r="P32" s="503"/>
      <c r="Q32" s="503"/>
      <c r="R32" s="503"/>
      <c r="S32" s="503"/>
      <c r="T32" s="503"/>
      <c r="U32" s="503"/>
      <c r="V32" s="503"/>
      <c r="W32" s="503"/>
      <c r="X32" s="503"/>
      <c r="Y32" s="501">
        <f t="shared" si="0"/>
        <v>233000000</v>
      </c>
      <c r="Z32" s="497">
        <f t="shared" si="1"/>
        <v>0</v>
      </c>
    </row>
    <row r="33" spans="1:29" ht="56.25" x14ac:dyDescent="0.3">
      <c r="A33" s="506">
        <v>80</v>
      </c>
      <c r="B33" s="515" t="s">
        <v>1682</v>
      </c>
      <c r="C33" s="506">
        <v>1486</v>
      </c>
      <c r="D33" s="513">
        <v>43347</v>
      </c>
      <c r="E33" s="506">
        <v>432</v>
      </c>
      <c r="F33" s="506"/>
      <c r="G33" s="517">
        <v>345122182</v>
      </c>
      <c r="H33" s="518">
        <v>1491432666</v>
      </c>
      <c r="I33" s="503"/>
      <c r="J33" s="503"/>
      <c r="K33" s="503"/>
      <c r="L33" s="503"/>
      <c r="M33" s="503"/>
      <c r="N33" s="503"/>
      <c r="O33" s="503"/>
      <c r="P33" s="503"/>
      <c r="Q33" s="503" t="s">
        <v>1683</v>
      </c>
      <c r="R33" s="503"/>
      <c r="S33" s="503"/>
      <c r="T33" s="503"/>
      <c r="U33" s="503"/>
      <c r="V33" s="503"/>
      <c r="W33" s="503"/>
      <c r="X33" s="503"/>
      <c r="Y33" s="501">
        <f t="shared" si="0"/>
        <v>345122182</v>
      </c>
      <c r="Z33" s="497">
        <f t="shared" si="1"/>
        <v>0</v>
      </c>
    </row>
    <row r="34" spans="1:29" ht="37.5" x14ac:dyDescent="0.3">
      <c r="A34" s="506">
        <v>85</v>
      </c>
      <c r="B34" s="504" t="s">
        <v>1684</v>
      </c>
      <c r="C34" s="506">
        <v>1573</v>
      </c>
      <c r="D34" s="513">
        <v>43363</v>
      </c>
      <c r="E34" s="506">
        <v>432</v>
      </c>
      <c r="F34" s="506"/>
      <c r="G34" s="517">
        <v>131000000</v>
      </c>
      <c r="H34" s="518">
        <v>842000000</v>
      </c>
      <c r="I34" s="503"/>
      <c r="J34" s="503"/>
      <c r="K34" s="503"/>
      <c r="L34" s="503"/>
      <c r="M34" s="503"/>
      <c r="N34" s="503"/>
      <c r="O34" s="503"/>
      <c r="P34" s="503"/>
      <c r="Q34" s="503"/>
      <c r="R34" s="503"/>
      <c r="S34" s="503"/>
      <c r="T34" s="503"/>
      <c r="U34" s="503"/>
      <c r="V34" s="503"/>
      <c r="W34" s="503"/>
      <c r="X34" s="503"/>
      <c r="Y34" s="501">
        <f t="shared" si="0"/>
        <v>131000000</v>
      </c>
      <c r="Z34" s="497">
        <f t="shared" si="1"/>
        <v>0</v>
      </c>
    </row>
    <row r="35" spans="1:29" ht="56.25" x14ac:dyDescent="0.3">
      <c r="A35" s="506">
        <v>93</v>
      </c>
      <c r="B35" s="515" t="s">
        <v>1685</v>
      </c>
      <c r="C35" s="506">
        <v>1581</v>
      </c>
      <c r="D35" s="513">
        <v>43363</v>
      </c>
      <c r="E35" s="506">
        <v>432</v>
      </c>
      <c r="F35" s="506"/>
      <c r="G35" s="517">
        <v>12306000</v>
      </c>
      <c r="H35" s="518"/>
      <c r="I35" s="503"/>
      <c r="J35" s="503"/>
      <c r="K35" s="503"/>
      <c r="L35" s="503"/>
      <c r="M35" s="503"/>
      <c r="N35" s="503"/>
      <c r="O35" s="503"/>
      <c r="P35" s="503"/>
      <c r="Q35" s="503"/>
      <c r="R35" s="503"/>
      <c r="S35" s="503"/>
      <c r="T35" s="503"/>
      <c r="U35" s="503"/>
      <c r="V35" s="503"/>
      <c r="W35" s="503"/>
      <c r="X35" s="503"/>
      <c r="Y35" s="501">
        <f t="shared" si="0"/>
        <v>12306000</v>
      </c>
      <c r="Z35" s="497">
        <f t="shared" si="1"/>
        <v>0</v>
      </c>
      <c r="AC35" s="514">
        <f>G35+G14+G48</f>
        <v>16613140</v>
      </c>
    </row>
    <row r="36" spans="1:29" ht="37.5" x14ac:dyDescent="0.3">
      <c r="A36" s="506">
        <v>96</v>
      </c>
      <c r="B36" s="515" t="s">
        <v>1686</v>
      </c>
      <c r="C36" s="506">
        <v>1585</v>
      </c>
      <c r="D36" s="513">
        <v>43364</v>
      </c>
      <c r="E36" s="506"/>
      <c r="F36" s="506"/>
      <c r="G36" s="517">
        <v>12588000</v>
      </c>
      <c r="H36" s="518">
        <v>24150000</v>
      </c>
      <c r="I36" s="503"/>
      <c r="J36" s="503"/>
      <c r="K36" s="503"/>
      <c r="L36" s="503"/>
      <c r="M36" s="503"/>
      <c r="N36" s="503"/>
      <c r="O36" s="503"/>
      <c r="P36" s="503"/>
      <c r="Q36" s="503"/>
      <c r="R36" s="503"/>
      <c r="S36" s="503"/>
      <c r="T36" s="503"/>
      <c r="U36" s="503"/>
      <c r="V36" s="503"/>
      <c r="W36" s="503"/>
      <c r="X36" s="503"/>
      <c r="Y36" s="501">
        <f t="shared" si="0"/>
        <v>12588000</v>
      </c>
      <c r="Z36" s="497">
        <f t="shared" si="1"/>
        <v>0</v>
      </c>
    </row>
    <row r="37" spans="1:29" ht="56.25" x14ac:dyDescent="0.3">
      <c r="A37" s="506">
        <v>97</v>
      </c>
      <c r="B37" s="515" t="s">
        <v>1687</v>
      </c>
      <c r="C37" s="506">
        <v>1586</v>
      </c>
      <c r="D37" s="513">
        <v>43364</v>
      </c>
      <c r="E37" s="506">
        <v>432</v>
      </c>
      <c r="F37" s="506"/>
      <c r="G37" s="517">
        <v>505000000</v>
      </c>
      <c r="H37" s="518"/>
      <c r="I37" s="503"/>
      <c r="J37" s="503"/>
      <c r="K37" s="503"/>
      <c r="L37" s="503"/>
      <c r="M37" s="503"/>
      <c r="N37" s="503"/>
      <c r="O37" s="503"/>
      <c r="P37" s="503"/>
      <c r="Q37" s="503"/>
      <c r="R37" s="503"/>
      <c r="S37" s="503"/>
      <c r="T37" s="503"/>
      <c r="U37" s="503"/>
      <c r="V37" s="503"/>
      <c r="W37" s="503"/>
      <c r="X37" s="503"/>
      <c r="Y37" s="501">
        <f t="shared" si="0"/>
        <v>505000000</v>
      </c>
      <c r="Z37" s="497">
        <f t="shared" si="1"/>
        <v>0</v>
      </c>
    </row>
    <row r="38" spans="1:29" x14ac:dyDescent="0.3">
      <c r="A38" s="506">
        <v>98</v>
      </c>
      <c r="B38" s="515" t="s">
        <v>1688</v>
      </c>
      <c r="C38" s="506">
        <v>1776</v>
      </c>
      <c r="D38" s="513" t="s">
        <v>1689</v>
      </c>
      <c r="E38" s="506">
        <v>432</v>
      </c>
      <c r="F38" s="506"/>
      <c r="G38" s="517">
        <v>849360000</v>
      </c>
      <c r="H38" s="518"/>
      <c r="I38" s="503"/>
      <c r="J38" s="503"/>
      <c r="K38" s="503"/>
      <c r="L38" s="503"/>
      <c r="M38" s="503"/>
      <c r="N38" s="503"/>
      <c r="O38" s="503"/>
      <c r="P38" s="503"/>
      <c r="Q38" s="503"/>
      <c r="R38" s="503"/>
      <c r="S38" s="503"/>
      <c r="T38" s="503"/>
      <c r="U38" s="503"/>
      <c r="V38" s="503"/>
      <c r="W38" s="503"/>
      <c r="X38" s="503"/>
      <c r="Y38" s="501">
        <f t="shared" si="0"/>
        <v>849360000</v>
      </c>
      <c r="Z38" s="497">
        <f t="shared" si="1"/>
        <v>0</v>
      </c>
    </row>
    <row r="39" spans="1:29" ht="37.5" x14ac:dyDescent="0.3">
      <c r="A39" s="506">
        <v>115</v>
      </c>
      <c r="B39" s="515" t="s">
        <v>1690</v>
      </c>
      <c r="C39" s="506">
        <v>1939</v>
      </c>
      <c r="D39" s="513">
        <v>43418</v>
      </c>
      <c r="E39" s="506">
        <v>432</v>
      </c>
      <c r="F39" s="506"/>
      <c r="G39" s="517">
        <v>4144000</v>
      </c>
      <c r="H39" s="518">
        <v>8175000</v>
      </c>
      <c r="I39" s="503"/>
      <c r="J39" s="503"/>
      <c r="K39" s="503"/>
      <c r="L39" s="503"/>
      <c r="M39" s="503"/>
      <c r="N39" s="503"/>
      <c r="O39" s="503"/>
      <c r="P39" s="503"/>
      <c r="Q39" s="503"/>
      <c r="R39" s="503"/>
      <c r="S39" s="503"/>
      <c r="T39" s="503"/>
      <c r="U39" s="503"/>
      <c r="V39" s="503"/>
      <c r="W39" s="503"/>
      <c r="X39" s="503"/>
      <c r="Y39" s="501">
        <f t="shared" si="0"/>
        <v>4144000</v>
      </c>
      <c r="Z39" s="497">
        <f t="shared" si="1"/>
        <v>0</v>
      </c>
    </row>
    <row r="40" spans="1:29" ht="56.25" x14ac:dyDescent="0.3">
      <c r="A40" s="506">
        <v>117</v>
      </c>
      <c r="B40" s="515" t="s">
        <v>1691</v>
      </c>
      <c r="C40" s="506">
        <v>1942</v>
      </c>
      <c r="D40" s="513">
        <v>43418</v>
      </c>
      <c r="E40" s="506">
        <v>432</v>
      </c>
      <c r="F40" s="506"/>
      <c r="G40" s="517">
        <v>19720000</v>
      </c>
      <c r="H40" s="518"/>
      <c r="I40" s="503"/>
      <c r="J40" s="503"/>
      <c r="K40" s="503"/>
      <c r="L40" s="503"/>
      <c r="M40" s="503"/>
      <c r="N40" s="503"/>
      <c r="O40" s="503"/>
      <c r="P40" s="503"/>
      <c r="Q40" s="503"/>
      <c r="R40" s="503"/>
      <c r="S40" s="503"/>
      <c r="T40" s="503"/>
      <c r="U40" s="503"/>
      <c r="V40" s="503"/>
      <c r="W40" s="503"/>
      <c r="X40" s="503"/>
      <c r="Y40" s="501">
        <f t="shared" si="0"/>
        <v>19720000</v>
      </c>
      <c r="Z40" s="497">
        <f t="shared" si="1"/>
        <v>0</v>
      </c>
    </row>
    <row r="41" spans="1:29" ht="37.5" x14ac:dyDescent="0.3">
      <c r="A41" s="506">
        <v>122</v>
      </c>
      <c r="B41" s="515" t="s">
        <v>1692</v>
      </c>
      <c r="C41" s="506">
        <v>2032</v>
      </c>
      <c r="D41" s="513">
        <v>43433</v>
      </c>
      <c r="E41" s="506">
        <v>432</v>
      </c>
      <c r="F41" s="506"/>
      <c r="G41" s="517">
        <v>1600000000</v>
      </c>
      <c r="H41" s="518"/>
      <c r="I41" s="503"/>
      <c r="J41" s="503"/>
      <c r="K41" s="503"/>
      <c r="L41" s="503"/>
      <c r="M41" s="503"/>
      <c r="N41" s="503"/>
      <c r="O41" s="503"/>
      <c r="P41" s="503"/>
      <c r="Q41" s="503"/>
      <c r="R41" s="503"/>
      <c r="S41" s="503"/>
      <c r="T41" s="503"/>
      <c r="U41" s="503"/>
      <c r="V41" s="503"/>
      <c r="W41" s="503"/>
      <c r="X41" s="503"/>
      <c r="Y41" s="501">
        <f t="shared" si="0"/>
        <v>1600000000</v>
      </c>
      <c r="Z41" s="497">
        <f t="shared" si="1"/>
        <v>0</v>
      </c>
    </row>
    <row r="42" spans="1:29" x14ac:dyDescent="0.3">
      <c r="A42" s="506">
        <v>149</v>
      </c>
      <c r="B42" s="524" t="s">
        <v>1693</v>
      </c>
      <c r="C42" s="503">
        <v>2363</v>
      </c>
      <c r="D42" s="513">
        <v>43462</v>
      </c>
      <c r="E42" s="506"/>
      <c r="F42" s="506"/>
      <c r="G42" s="517">
        <v>2544380000</v>
      </c>
      <c r="H42" s="525">
        <v>9345180000</v>
      </c>
      <c r="I42" s="503"/>
      <c r="J42" s="503"/>
      <c r="K42" s="503"/>
      <c r="L42" s="503"/>
      <c r="M42" s="503"/>
      <c r="N42" s="503"/>
      <c r="O42" s="503"/>
      <c r="P42" s="503"/>
      <c r="Q42" s="503"/>
      <c r="R42" s="503"/>
      <c r="S42" s="503"/>
      <c r="T42" s="503"/>
      <c r="U42" s="503"/>
      <c r="V42" s="503"/>
      <c r="W42" s="503"/>
      <c r="X42" s="503"/>
      <c r="Y42" s="501">
        <f t="shared" si="0"/>
        <v>2544380000</v>
      </c>
      <c r="Z42" s="497">
        <f t="shared" si="1"/>
        <v>0</v>
      </c>
    </row>
    <row r="43" spans="1:29" x14ac:dyDescent="0.3">
      <c r="A43" s="506">
        <v>152</v>
      </c>
      <c r="B43" s="524" t="s">
        <v>1694</v>
      </c>
      <c r="C43" s="503">
        <v>2371</v>
      </c>
      <c r="D43" s="513">
        <v>43462</v>
      </c>
      <c r="E43" s="506"/>
      <c r="F43" s="526" t="s">
        <v>1647</v>
      </c>
      <c r="G43" s="517">
        <v>100000000</v>
      </c>
      <c r="H43" s="525">
        <v>1480000000</v>
      </c>
      <c r="I43" s="503"/>
      <c r="J43" s="503"/>
      <c r="K43" s="503"/>
      <c r="L43" s="503"/>
      <c r="M43" s="503"/>
      <c r="N43" s="503"/>
      <c r="O43" s="503"/>
      <c r="P43" s="503"/>
      <c r="Q43" s="503"/>
      <c r="R43" s="503"/>
      <c r="S43" s="503"/>
      <c r="T43" s="503"/>
      <c r="U43" s="503"/>
      <c r="V43" s="503"/>
      <c r="W43" s="503"/>
      <c r="X43" s="503"/>
      <c r="Y43" s="501">
        <f t="shared" si="0"/>
        <v>100000000</v>
      </c>
      <c r="Z43" s="497">
        <f t="shared" si="1"/>
        <v>0</v>
      </c>
    </row>
    <row r="44" spans="1:29" x14ac:dyDescent="0.3">
      <c r="A44" s="506">
        <v>153</v>
      </c>
      <c r="B44" s="504" t="s">
        <v>1695</v>
      </c>
      <c r="C44" s="503">
        <v>341</v>
      </c>
      <c r="D44" s="513">
        <v>43462</v>
      </c>
      <c r="E44" s="506"/>
      <c r="F44" s="506"/>
      <c r="G44" s="517">
        <v>190000000</v>
      </c>
      <c r="H44" s="525">
        <v>1430000000</v>
      </c>
      <c r="I44" s="503"/>
      <c r="J44" s="503"/>
      <c r="K44" s="503"/>
      <c r="L44" s="503"/>
      <c r="M44" s="503"/>
      <c r="N44" s="503"/>
      <c r="O44" s="503"/>
      <c r="P44" s="503"/>
      <c r="Q44" s="503"/>
      <c r="R44" s="503"/>
      <c r="S44" s="503"/>
      <c r="T44" s="503"/>
      <c r="U44" s="503"/>
      <c r="V44" s="503"/>
      <c r="W44" s="503"/>
      <c r="X44" s="503"/>
      <c r="Y44" s="501">
        <f t="shared" si="0"/>
        <v>190000000</v>
      </c>
      <c r="Z44" s="497">
        <f t="shared" si="1"/>
        <v>0</v>
      </c>
    </row>
    <row r="45" spans="1:29" x14ac:dyDescent="0.3">
      <c r="A45" s="506">
        <v>156</v>
      </c>
      <c r="B45" s="524" t="s">
        <v>1696</v>
      </c>
      <c r="C45" s="503">
        <v>2372</v>
      </c>
      <c r="D45" s="513">
        <v>43462</v>
      </c>
      <c r="E45" s="506"/>
      <c r="F45" s="527" t="s">
        <v>1697</v>
      </c>
      <c r="G45" s="517">
        <v>125560000</v>
      </c>
      <c r="H45" s="525">
        <v>819960000</v>
      </c>
      <c r="I45" s="503"/>
      <c r="J45" s="503"/>
      <c r="K45" s="503"/>
      <c r="L45" s="503"/>
      <c r="M45" s="503"/>
      <c r="N45" s="503"/>
      <c r="O45" s="503"/>
      <c r="P45" s="503"/>
      <c r="Q45" s="503"/>
      <c r="R45" s="503"/>
      <c r="S45" s="503"/>
      <c r="T45" s="503"/>
      <c r="U45" s="503"/>
      <c r="V45" s="503"/>
      <c r="W45" s="503"/>
      <c r="X45" s="503"/>
      <c r="Y45" s="501">
        <f t="shared" si="0"/>
        <v>125560000</v>
      </c>
      <c r="Z45" s="497">
        <f t="shared" si="1"/>
        <v>0</v>
      </c>
    </row>
    <row r="46" spans="1:29" ht="37.5" x14ac:dyDescent="0.3">
      <c r="A46" s="506"/>
      <c r="B46" s="524" t="s">
        <v>1698</v>
      </c>
      <c r="C46" s="503">
        <v>2372</v>
      </c>
      <c r="D46" s="513">
        <v>43462</v>
      </c>
      <c r="E46" s="506"/>
      <c r="F46" s="527" t="s">
        <v>1697</v>
      </c>
      <c r="G46" s="517">
        <v>-350850000</v>
      </c>
      <c r="H46" s="525"/>
      <c r="I46" s="503"/>
      <c r="J46" s="503"/>
      <c r="K46" s="503"/>
      <c r="L46" s="503"/>
      <c r="M46" s="503"/>
      <c r="N46" s="503"/>
      <c r="O46" s="503"/>
      <c r="P46" s="503"/>
      <c r="Q46" s="503"/>
      <c r="R46" s="503"/>
      <c r="S46" s="503"/>
      <c r="T46" s="503"/>
      <c r="U46" s="503"/>
      <c r="V46" s="503"/>
      <c r="W46" s="503"/>
      <c r="X46" s="503"/>
      <c r="Y46" s="501">
        <f t="shared" si="0"/>
        <v>-350850000</v>
      </c>
      <c r="Z46" s="497">
        <f t="shared" si="1"/>
        <v>0</v>
      </c>
    </row>
    <row r="47" spans="1:29" x14ac:dyDescent="0.3">
      <c r="A47" s="506">
        <v>158</v>
      </c>
      <c r="B47" s="524" t="s">
        <v>1699</v>
      </c>
      <c r="C47" s="503">
        <v>2374</v>
      </c>
      <c r="D47" s="513">
        <v>43462</v>
      </c>
      <c r="E47" s="506"/>
      <c r="F47" s="527"/>
      <c r="G47" s="517">
        <v>7000000</v>
      </c>
      <c r="H47" s="520"/>
      <c r="I47" s="503"/>
      <c r="J47" s="503"/>
      <c r="K47" s="503"/>
      <c r="L47" s="503"/>
      <c r="M47" s="503"/>
      <c r="N47" s="503"/>
      <c r="O47" s="503"/>
      <c r="P47" s="503"/>
      <c r="Q47" s="503"/>
      <c r="R47" s="503"/>
      <c r="S47" s="503"/>
      <c r="T47" s="503"/>
      <c r="U47" s="503"/>
      <c r="V47" s="503"/>
      <c r="W47" s="503"/>
      <c r="X47" s="503"/>
      <c r="Y47" s="501">
        <f t="shared" si="0"/>
        <v>7000000</v>
      </c>
      <c r="Z47" s="497">
        <f t="shared" si="1"/>
        <v>0</v>
      </c>
    </row>
    <row r="48" spans="1:29" x14ac:dyDescent="0.3">
      <c r="A48" s="528">
        <v>159</v>
      </c>
      <c r="B48" s="529" t="s">
        <v>1700</v>
      </c>
      <c r="C48" s="530">
        <v>2376</v>
      </c>
      <c r="D48" s="531">
        <v>43462</v>
      </c>
      <c r="E48" s="528"/>
      <c r="F48" s="532"/>
      <c r="G48" s="533">
        <v>2461140</v>
      </c>
      <c r="H48" s="534"/>
      <c r="I48" s="530"/>
      <c r="J48" s="530"/>
      <c r="K48" s="530"/>
      <c r="L48" s="530"/>
      <c r="M48" s="530"/>
      <c r="N48" s="530"/>
      <c r="O48" s="530"/>
      <c r="P48" s="530"/>
      <c r="Q48" s="530"/>
      <c r="R48" s="530"/>
      <c r="S48" s="530"/>
      <c r="T48" s="530"/>
      <c r="U48" s="530"/>
      <c r="V48" s="530"/>
      <c r="W48" s="530"/>
      <c r="X48" s="530"/>
      <c r="Y48" s="535">
        <f t="shared" si="0"/>
        <v>2461140</v>
      </c>
      <c r="Z48" s="536">
        <f t="shared" si="1"/>
        <v>0</v>
      </c>
    </row>
  </sheetData>
  <mergeCells count="2">
    <mergeCell ref="A2:Z2"/>
    <mergeCell ref="A3:Z3"/>
  </mergeCells>
  <hyperlinks>
    <hyperlink ref="B21" r:id="rId1" display="http://hscvsotc.backan.gov.vn/sotaichinh/VBden.nsf/str/551CA1B2AE5AFEA54725828F000C7D5B?OpenDocument"/>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2:AK25"/>
  <sheetViews>
    <sheetView workbookViewId="0">
      <selection activeCell="G11" sqref="G11"/>
    </sheetView>
  </sheetViews>
  <sheetFormatPr defaultColWidth="9.140625" defaultRowHeight="18.75" x14ac:dyDescent="0.3"/>
  <cols>
    <col min="1" max="1" width="5" style="475" customWidth="1"/>
    <col min="2" max="2" width="69.140625" style="476" customWidth="1"/>
    <col min="3" max="3" width="8.28515625" style="475" hidden="1" customWidth="1"/>
    <col min="4" max="4" width="16.7109375" style="477" hidden="1" customWidth="1"/>
    <col min="5" max="5" width="13" style="478" hidden="1" customWidth="1"/>
    <col min="6" max="6" width="12.85546875" style="478" hidden="1" customWidth="1"/>
    <col min="7" max="7" width="24.28515625" style="580" customWidth="1"/>
    <col min="8" max="8" width="15.7109375" style="580" hidden="1" customWidth="1"/>
    <col min="9" max="16" width="0" style="580" hidden="1" customWidth="1"/>
    <col min="17" max="17" width="36.140625" style="580" hidden="1" customWidth="1"/>
    <col min="18" max="18" width="15.28515625" style="580" hidden="1" customWidth="1"/>
    <col min="19" max="24" width="0" style="580" hidden="1" customWidth="1"/>
    <col min="25" max="25" width="19.5703125" style="580" customWidth="1"/>
    <col min="26" max="26" width="18.42578125" style="580" bestFit="1" customWidth="1"/>
    <col min="27" max="29" width="21.85546875" style="580" customWidth="1"/>
    <col min="30" max="30" width="20.7109375" style="475" customWidth="1"/>
    <col min="31" max="31" width="9.140625" style="475" hidden="1" customWidth="1"/>
    <col min="32" max="32" width="0" style="475" hidden="1" customWidth="1"/>
    <col min="33" max="34" width="25.28515625" style="475" hidden="1" customWidth="1"/>
    <col min="35" max="35" width="0" style="475" hidden="1" customWidth="1"/>
    <col min="36" max="36" width="9.140625" style="475"/>
    <col min="37" max="37" width="15.28515625" style="475" bestFit="1" customWidth="1"/>
    <col min="38" max="16384" width="9.140625" style="475"/>
  </cols>
  <sheetData>
    <row r="2" spans="1:37" x14ac:dyDescent="0.3">
      <c r="AD2" s="475" t="s">
        <v>1613</v>
      </c>
    </row>
    <row r="3" spans="1:37" x14ac:dyDescent="0.3">
      <c r="A3" s="4079" t="s">
        <v>1614</v>
      </c>
      <c r="B3" s="4079"/>
      <c r="C3" s="4079"/>
      <c r="D3" s="4079"/>
      <c r="E3" s="4079"/>
      <c r="F3" s="4079"/>
      <c r="G3" s="4079"/>
      <c r="H3" s="4079"/>
      <c r="I3" s="4079"/>
      <c r="J3" s="4079"/>
      <c r="K3" s="4079"/>
      <c r="L3" s="4079"/>
      <c r="M3" s="4079"/>
      <c r="N3" s="4079"/>
      <c r="O3" s="4079"/>
      <c r="P3" s="4079"/>
      <c r="Q3" s="4079"/>
      <c r="R3" s="4079"/>
      <c r="S3" s="4079"/>
      <c r="T3" s="4079"/>
      <c r="U3" s="4079"/>
      <c r="V3" s="4079"/>
      <c r="W3" s="4079"/>
      <c r="X3" s="4079"/>
      <c r="Y3" s="4079"/>
      <c r="Z3" s="4079"/>
      <c r="AA3" s="4079"/>
      <c r="AB3" s="4079"/>
      <c r="AC3" s="4079"/>
      <c r="AD3" s="4079"/>
    </row>
    <row r="4" spans="1:37" x14ac:dyDescent="0.3">
      <c r="A4" s="4621" t="s">
        <v>1615</v>
      </c>
      <c r="B4" s="4621"/>
      <c r="C4" s="4621"/>
      <c r="D4" s="4621"/>
      <c r="E4" s="4621"/>
      <c r="F4" s="4621"/>
      <c r="G4" s="4621"/>
      <c r="H4" s="4621"/>
      <c r="I4" s="4621"/>
      <c r="J4" s="4621"/>
      <c r="K4" s="4621"/>
      <c r="L4" s="4621"/>
      <c r="M4" s="4621"/>
      <c r="N4" s="4621"/>
      <c r="O4" s="4621"/>
      <c r="P4" s="4621"/>
      <c r="Q4" s="4621"/>
      <c r="R4" s="4621"/>
      <c r="S4" s="4621"/>
      <c r="T4" s="4621"/>
      <c r="U4" s="4621"/>
      <c r="V4" s="4621"/>
      <c r="W4" s="4621"/>
      <c r="X4" s="4621"/>
      <c r="Y4" s="4621"/>
      <c r="Z4" s="4621"/>
      <c r="AA4" s="4621"/>
      <c r="AB4" s="4621"/>
      <c r="AC4" s="4621"/>
      <c r="AD4" s="4621"/>
    </row>
    <row r="6" spans="1:37" s="484" customFormat="1" ht="27" customHeight="1" x14ac:dyDescent="0.25">
      <c r="A6" s="480" t="s">
        <v>844</v>
      </c>
      <c r="B6" s="480" t="s">
        <v>845</v>
      </c>
      <c r="C6" s="480" t="s">
        <v>1616</v>
      </c>
      <c r="D6" s="481" t="s">
        <v>1617</v>
      </c>
      <c r="E6" s="480" t="s">
        <v>1618</v>
      </c>
      <c r="F6" s="480" t="s">
        <v>1619</v>
      </c>
      <c r="G6" s="607" t="s">
        <v>706</v>
      </c>
      <c r="H6" s="607" t="s">
        <v>1620</v>
      </c>
      <c r="I6" s="607" t="s">
        <v>1621</v>
      </c>
      <c r="J6" s="607" t="s">
        <v>1622</v>
      </c>
      <c r="K6" s="607" t="s">
        <v>1623</v>
      </c>
      <c r="L6" s="607" t="s">
        <v>1624</v>
      </c>
      <c r="M6" s="607" t="s">
        <v>1625</v>
      </c>
      <c r="N6" s="607" t="s">
        <v>1626</v>
      </c>
      <c r="O6" s="607" t="s">
        <v>1627</v>
      </c>
      <c r="P6" s="607" t="s">
        <v>1628</v>
      </c>
      <c r="Q6" s="607" t="s">
        <v>915</v>
      </c>
      <c r="R6" s="607" t="s">
        <v>1629</v>
      </c>
      <c r="S6" s="607"/>
      <c r="T6" s="607"/>
      <c r="U6" s="607"/>
      <c r="V6" s="607"/>
      <c r="W6" s="607"/>
      <c r="X6" s="607"/>
      <c r="Y6" s="607"/>
      <c r="Z6" s="607"/>
      <c r="AA6" s="581" t="s">
        <v>13</v>
      </c>
      <c r="AB6" s="581" t="s">
        <v>1711</v>
      </c>
      <c r="AC6" s="581" t="s">
        <v>1712</v>
      </c>
      <c r="AD6" s="541" t="s">
        <v>1631</v>
      </c>
    </row>
    <row r="7" spans="1:37" s="490" customFormat="1" ht="26.45" customHeight="1" x14ac:dyDescent="0.3">
      <c r="A7" s="602"/>
      <c r="B7" s="603" t="s">
        <v>1632</v>
      </c>
      <c r="C7" s="602"/>
      <c r="D7" s="604"/>
      <c r="E7" s="603"/>
      <c r="F7" s="602"/>
      <c r="G7" s="608">
        <f>SUM(G8:G25)</f>
        <v>8939474035</v>
      </c>
      <c r="H7" s="608">
        <f t="shared" ref="H7:Z7" si="0">SUM(H8:H25)</f>
        <v>28021971483</v>
      </c>
      <c r="I7" s="608">
        <f t="shared" si="0"/>
        <v>0</v>
      </c>
      <c r="J7" s="608">
        <f t="shared" si="0"/>
        <v>199548350</v>
      </c>
      <c r="K7" s="608">
        <f t="shared" si="0"/>
        <v>0</v>
      </c>
      <c r="L7" s="608">
        <f t="shared" si="0"/>
        <v>0</v>
      </c>
      <c r="M7" s="608">
        <f t="shared" si="0"/>
        <v>0</v>
      </c>
      <c r="N7" s="608">
        <f t="shared" si="0"/>
        <v>70592955</v>
      </c>
      <c r="O7" s="608">
        <f t="shared" si="0"/>
        <v>281157444</v>
      </c>
      <c r="P7" s="608">
        <f t="shared" si="0"/>
        <v>97641068</v>
      </c>
      <c r="Q7" s="608">
        <f t="shared" si="0"/>
        <v>0</v>
      </c>
      <c r="R7" s="608">
        <f t="shared" si="0"/>
        <v>0</v>
      </c>
      <c r="S7" s="608">
        <f t="shared" si="0"/>
        <v>0</v>
      </c>
      <c r="T7" s="608">
        <f t="shared" si="0"/>
        <v>0</v>
      </c>
      <c r="U7" s="608">
        <f t="shared" si="0"/>
        <v>0</v>
      </c>
      <c r="V7" s="608">
        <f t="shared" si="0"/>
        <v>0</v>
      </c>
      <c r="W7" s="608">
        <f t="shared" si="0"/>
        <v>0</v>
      </c>
      <c r="X7" s="608">
        <f t="shared" si="0"/>
        <v>0</v>
      </c>
      <c r="Y7" s="608">
        <f t="shared" si="0"/>
        <v>5140885493</v>
      </c>
      <c r="Z7" s="608">
        <f t="shared" si="0"/>
        <v>3798588542</v>
      </c>
      <c r="AA7" s="606">
        <f>SUM(AA8:AA25)</f>
        <v>8716956231</v>
      </c>
      <c r="AB7" s="606">
        <f>SUM(AB8:AB25)</f>
        <v>5094137689</v>
      </c>
      <c r="AC7" s="606">
        <f>SUM(AC8:AC25)</f>
        <v>3622818542</v>
      </c>
      <c r="AD7" s="605">
        <f>SUM(AD8:AD25)</f>
        <v>222517804</v>
      </c>
    </row>
    <row r="8" spans="1:37" ht="56.25" x14ac:dyDescent="0.3">
      <c r="A8" s="596">
        <v>6</v>
      </c>
      <c r="B8" s="597" t="s">
        <v>1648</v>
      </c>
      <c r="C8" s="596">
        <v>300</v>
      </c>
      <c r="D8" s="598">
        <v>43159</v>
      </c>
      <c r="E8" s="596">
        <v>432</v>
      </c>
      <c r="F8" s="599" t="s">
        <v>1638</v>
      </c>
      <c r="G8" s="600">
        <v>140536713</v>
      </c>
      <c r="H8" s="600">
        <f>97641068+281157444+70592955+199548350</f>
        <v>648939817</v>
      </c>
      <c r="I8" s="600"/>
      <c r="J8" s="600">
        <v>199548350</v>
      </c>
      <c r="K8" s="600"/>
      <c r="L8" s="600"/>
      <c r="M8" s="600"/>
      <c r="N8" s="600">
        <v>70592955</v>
      </c>
      <c r="O8" s="600">
        <v>281157444</v>
      </c>
      <c r="P8" s="600">
        <v>97641068</v>
      </c>
      <c r="Q8" s="600"/>
      <c r="R8" s="600"/>
      <c r="S8" s="600"/>
      <c r="T8" s="600"/>
      <c r="U8" s="600"/>
      <c r="V8" s="600"/>
      <c r="W8" s="600"/>
      <c r="X8" s="600"/>
      <c r="Y8" s="600"/>
      <c r="Z8" s="600">
        <f>G8</f>
        <v>140536713</v>
      </c>
      <c r="AA8" s="600">
        <f t="shared" ref="AA8:AA13" si="1">G8</f>
        <v>140536713</v>
      </c>
      <c r="AB8" s="600"/>
      <c r="AC8" s="600">
        <f>AA8</f>
        <v>140536713</v>
      </c>
      <c r="AD8" s="601">
        <f>G8-AA8</f>
        <v>0</v>
      </c>
      <c r="AG8" s="514" t="e">
        <f>#REF!-#REF!</f>
        <v>#REF!</v>
      </c>
    </row>
    <row r="9" spans="1:37" ht="56.25" x14ac:dyDescent="0.3">
      <c r="A9" s="506">
        <v>80</v>
      </c>
      <c r="B9" s="515" t="s">
        <v>1682</v>
      </c>
      <c r="C9" s="506">
        <v>1486</v>
      </c>
      <c r="D9" s="513">
        <v>43347</v>
      </c>
      <c r="E9" s="506">
        <v>432</v>
      </c>
      <c r="F9" s="506"/>
      <c r="G9" s="539">
        <v>345122182</v>
      </c>
      <c r="H9" s="539">
        <v>1491432666</v>
      </c>
      <c r="I9" s="539"/>
      <c r="J9" s="539"/>
      <c r="K9" s="539"/>
      <c r="L9" s="539"/>
      <c r="M9" s="539"/>
      <c r="N9" s="539"/>
      <c r="O9" s="539"/>
      <c r="P9" s="539"/>
      <c r="Q9" s="539" t="s">
        <v>1683</v>
      </c>
      <c r="R9" s="539"/>
      <c r="S9" s="539"/>
      <c r="T9" s="539"/>
      <c r="U9" s="539"/>
      <c r="V9" s="539"/>
      <c r="W9" s="539"/>
      <c r="X9" s="539"/>
      <c r="Y9" s="539"/>
      <c r="Z9" s="539">
        <f>G9</f>
        <v>345122182</v>
      </c>
      <c r="AA9" s="539">
        <f t="shared" si="1"/>
        <v>345122182</v>
      </c>
      <c r="AB9" s="539"/>
      <c r="AC9" s="539">
        <f>AA9</f>
        <v>345122182</v>
      </c>
      <c r="AD9" s="501">
        <f>G9-AA9</f>
        <v>0</v>
      </c>
      <c r="AK9" s="612">
        <f>AA8+AA9</f>
        <v>485658895</v>
      </c>
    </row>
    <row r="10" spans="1:37" ht="56.25" x14ac:dyDescent="0.3">
      <c r="A10" s="506">
        <v>18</v>
      </c>
      <c r="B10" s="515" t="s">
        <v>1657</v>
      </c>
      <c r="C10" s="506">
        <v>504</v>
      </c>
      <c r="D10" s="519">
        <v>43193</v>
      </c>
      <c r="E10" s="506">
        <v>432</v>
      </c>
      <c r="F10" s="507" t="s">
        <v>1638</v>
      </c>
      <c r="G10" s="539">
        <v>1846000</v>
      </c>
      <c r="H10" s="539"/>
      <c r="I10" s="539"/>
      <c r="J10" s="539"/>
      <c r="K10" s="539"/>
      <c r="L10" s="539"/>
      <c r="M10" s="539"/>
      <c r="N10" s="539"/>
      <c r="O10" s="539"/>
      <c r="P10" s="539"/>
      <c r="Q10" s="539"/>
      <c r="R10" s="539"/>
      <c r="S10" s="539"/>
      <c r="T10" s="539"/>
      <c r="U10" s="539"/>
      <c r="V10" s="539"/>
      <c r="W10" s="539"/>
      <c r="X10" s="539"/>
      <c r="Y10" s="539">
        <f>G10</f>
        <v>1846000</v>
      </c>
      <c r="Z10" s="539"/>
      <c r="AA10" s="539">
        <f t="shared" si="1"/>
        <v>1846000</v>
      </c>
      <c r="AB10" s="539">
        <f>AA10</f>
        <v>1846000</v>
      </c>
      <c r="AC10" s="539"/>
      <c r="AD10" s="501">
        <f>AB7+AC7-AA7</f>
        <v>0</v>
      </c>
    </row>
    <row r="11" spans="1:37" ht="56.25" x14ac:dyDescent="0.3">
      <c r="A11" s="506">
        <v>93</v>
      </c>
      <c r="B11" s="515" t="s">
        <v>1685</v>
      </c>
      <c r="C11" s="506">
        <v>1581</v>
      </c>
      <c r="D11" s="513">
        <v>43363</v>
      </c>
      <c r="E11" s="506">
        <v>432</v>
      </c>
      <c r="F11" s="506"/>
      <c r="G11" s="539">
        <v>12306000</v>
      </c>
      <c r="H11" s="539"/>
      <c r="I11" s="539"/>
      <c r="J11" s="539"/>
      <c r="K11" s="539"/>
      <c r="L11" s="539"/>
      <c r="M11" s="539"/>
      <c r="N11" s="539"/>
      <c r="O11" s="539"/>
      <c r="P11" s="539"/>
      <c r="Q11" s="539"/>
      <c r="R11" s="539"/>
      <c r="S11" s="539"/>
      <c r="T11" s="539"/>
      <c r="U11" s="539"/>
      <c r="V11" s="539"/>
      <c r="W11" s="539"/>
      <c r="X11" s="539"/>
      <c r="Y11" s="539">
        <f>G11</f>
        <v>12306000</v>
      </c>
      <c r="Z11" s="539"/>
      <c r="AA11" s="539">
        <f t="shared" si="1"/>
        <v>12306000</v>
      </c>
      <c r="AB11" s="539">
        <f>AA11</f>
        <v>12306000</v>
      </c>
      <c r="AC11" s="539"/>
      <c r="AD11" s="501">
        <f>G11-AA11</f>
        <v>0</v>
      </c>
      <c r="AG11" s="514">
        <f>G11+G10+G12</f>
        <v>16613140</v>
      </c>
    </row>
    <row r="12" spans="1:37" x14ac:dyDescent="0.3">
      <c r="A12" s="506">
        <v>159</v>
      </c>
      <c r="B12" s="524" t="s">
        <v>1700</v>
      </c>
      <c r="C12" s="503">
        <v>2376</v>
      </c>
      <c r="D12" s="513">
        <v>43462</v>
      </c>
      <c r="E12" s="506"/>
      <c r="F12" s="527"/>
      <c r="G12" s="539">
        <v>2461140</v>
      </c>
      <c r="H12" s="609"/>
      <c r="I12" s="539"/>
      <c r="J12" s="539"/>
      <c r="K12" s="539"/>
      <c r="L12" s="539"/>
      <c r="M12" s="539"/>
      <c r="N12" s="539"/>
      <c r="O12" s="539"/>
      <c r="P12" s="539"/>
      <c r="Q12" s="539"/>
      <c r="R12" s="539"/>
      <c r="S12" s="539"/>
      <c r="T12" s="539"/>
      <c r="U12" s="539"/>
      <c r="V12" s="539"/>
      <c r="W12" s="539"/>
      <c r="X12" s="539"/>
      <c r="Y12" s="539">
        <f>G12</f>
        <v>2461140</v>
      </c>
      <c r="Z12" s="539"/>
      <c r="AA12" s="539">
        <f t="shared" si="1"/>
        <v>2461140</v>
      </c>
      <c r="AB12" s="539">
        <f>AA12</f>
        <v>2461140</v>
      </c>
      <c r="AC12" s="539"/>
      <c r="AD12" s="501">
        <f>G12-AA12</f>
        <v>0</v>
      </c>
    </row>
    <row r="13" spans="1:37" ht="37.5" x14ac:dyDescent="0.3">
      <c r="A13" s="506">
        <v>34</v>
      </c>
      <c r="B13" s="515" t="s">
        <v>1670</v>
      </c>
      <c r="C13" s="506">
        <v>773</v>
      </c>
      <c r="D13" s="513">
        <v>43235</v>
      </c>
      <c r="E13" s="521"/>
      <c r="F13" s="522"/>
      <c r="G13" s="539">
        <v>25000000</v>
      </c>
      <c r="H13" s="539">
        <f>1246400000+1032399000</f>
        <v>2278799000</v>
      </c>
      <c r="I13" s="539"/>
      <c r="J13" s="539"/>
      <c r="K13" s="539"/>
      <c r="L13" s="539"/>
      <c r="M13" s="539"/>
      <c r="N13" s="539"/>
      <c r="O13" s="539"/>
      <c r="P13" s="539"/>
      <c r="Q13" s="539"/>
      <c r="R13" s="539"/>
      <c r="S13" s="539"/>
      <c r="T13" s="539"/>
      <c r="U13" s="539"/>
      <c r="V13" s="539"/>
      <c r="W13" s="539"/>
      <c r="X13" s="539"/>
      <c r="Y13" s="539">
        <f>G13</f>
        <v>25000000</v>
      </c>
      <c r="Z13" s="539"/>
      <c r="AA13" s="539">
        <f t="shared" si="1"/>
        <v>25000000</v>
      </c>
      <c r="AB13" s="539">
        <f>AA13</f>
        <v>25000000</v>
      </c>
      <c r="AC13" s="539"/>
      <c r="AD13" s="501">
        <f>G13-AA13</f>
        <v>0</v>
      </c>
    </row>
    <row r="14" spans="1:37" ht="56.25" x14ac:dyDescent="0.3">
      <c r="A14" s="506">
        <v>38</v>
      </c>
      <c r="B14" s="515" t="s">
        <v>1671</v>
      </c>
      <c r="C14" s="506">
        <v>911</v>
      </c>
      <c r="D14" s="513">
        <v>43255</v>
      </c>
      <c r="E14" s="521">
        <v>432</v>
      </c>
      <c r="F14" s="522"/>
      <c r="G14" s="539">
        <f>809360000+800000</f>
        <v>810160000</v>
      </c>
      <c r="H14" s="539"/>
      <c r="I14" s="539"/>
      <c r="J14" s="539"/>
      <c r="K14" s="539"/>
      <c r="L14" s="539"/>
      <c r="M14" s="539"/>
      <c r="N14" s="539"/>
      <c r="O14" s="539"/>
      <c r="P14" s="539"/>
      <c r="Q14" s="539"/>
      <c r="R14" s="539"/>
      <c r="S14" s="539"/>
      <c r="T14" s="539"/>
      <c r="U14" s="539"/>
      <c r="V14" s="539"/>
      <c r="W14" s="539"/>
      <c r="X14" s="539"/>
      <c r="Y14" s="539"/>
      <c r="Z14" s="539">
        <f>G14</f>
        <v>810160000</v>
      </c>
      <c r="AA14" s="539">
        <v>852240000</v>
      </c>
      <c r="AB14" s="539"/>
      <c r="AC14" s="539">
        <f>AA14</f>
        <v>852240000</v>
      </c>
      <c r="AD14" s="501">
        <f>G14-AA14</f>
        <v>-42080000</v>
      </c>
    </row>
    <row r="15" spans="1:37" ht="37.5" x14ac:dyDescent="0.3">
      <c r="A15" s="506">
        <v>60</v>
      </c>
      <c r="B15" s="515" t="s">
        <v>1675</v>
      </c>
      <c r="C15" s="506">
        <v>1175</v>
      </c>
      <c r="D15" s="513">
        <v>43290</v>
      </c>
      <c r="E15" s="506">
        <v>432</v>
      </c>
      <c r="F15" s="506"/>
      <c r="G15" s="539">
        <v>64000000</v>
      </c>
      <c r="H15" s="539"/>
      <c r="I15" s="539"/>
      <c r="J15" s="539"/>
      <c r="K15" s="539"/>
      <c r="L15" s="539"/>
      <c r="M15" s="539"/>
      <c r="N15" s="539"/>
      <c r="O15" s="539"/>
      <c r="P15" s="539"/>
      <c r="Q15" s="539"/>
      <c r="R15" s="539"/>
      <c r="S15" s="539"/>
      <c r="T15" s="539"/>
      <c r="U15" s="539"/>
      <c r="V15" s="539"/>
      <c r="W15" s="539"/>
      <c r="X15" s="539"/>
      <c r="Y15" s="539"/>
      <c r="Z15" s="539">
        <f>G15</f>
        <v>64000000</v>
      </c>
      <c r="AA15" s="539">
        <v>58243000</v>
      </c>
      <c r="AB15" s="539"/>
      <c r="AC15" s="539">
        <f>AA15</f>
        <v>58243000</v>
      </c>
      <c r="AD15" s="501">
        <f>G15-AA15</f>
        <v>5757000</v>
      </c>
    </row>
    <row r="16" spans="1:37" ht="37.5" x14ac:dyDescent="0.3">
      <c r="A16" s="506">
        <v>66</v>
      </c>
      <c r="B16" s="515" t="s">
        <v>1676</v>
      </c>
      <c r="C16" s="506">
        <v>1291</v>
      </c>
      <c r="D16" s="513">
        <v>43307</v>
      </c>
      <c r="E16" s="506">
        <v>432</v>
      </c>
      <c r="F16" s="506"/>
      <c r="G16" s="539">
        <v>3771210000</v>
      </c>
      <c r="H16" s="539">
        <v>3557470000</v>
      </c>
      <c r="I16" s="539"/>
      <c r="J16" s="539"/>
      <c r="K16" s="539"/>
      <c r="L16" s="539"/>
      <c r="M16" s="539"/>
      <c r="N16" s="539"/>
      <c r="O16" s="539"/>
      <c r="P16" s="539"/>
      <c r="Q16" s="539"/>
      <c r="R16" s="539"/>
      <c r="S16" s="539"/>
      <c r="T16" s="539"/>
      <c r="U16" s="539"/>
      <c r="V16" s="539"/>
      <c r="W16" s="539"/>
      <c r="X16" s="539"/>
      <c r="Y16" s="539">
        <v>1957440353</v>
      </c>
      <c r="Z16" s="539">
        <v>1813769647</v>
      </c>
      <c r="AA16" s="539">
        <f>G16</f>
        <v>3771210000</v>
      </c>
      <c r="AB16" s="539">
        <f>AA16-AC16</f>
        <v>1957440353</v>
      </c>
      <c r="AC16" s="539">
        <v>1813769647</v>
      </c>
      <c r="AD16" s="501">
        <f t="shared" ref="AD16:AD25" si="2">G16-AA16</f>
        <v>0</v>
      </c>
    </row>
    <row r="17" spans="1:30" x14ac:dyDescent="0.3">
      <c r="A17" s="506">
        <v>149</v>
      </c>
      <c r="B17" s="524" t="s">
        <v>1693</v>
      </c>
      <c r="C17" s="503">
        <v>2363</v>
      </c>
      <c r="D17" s="513">
        <v>43462</v>
      </c>
      <c r="E17" s="506"/>
      <c r="F17" s="506"/>
      <c r="G17" s="539">
        <v>2544380000</v>
      </c>
      <c r="H17" s="539">
        <v>9345180000</v>
      </c>
      <c r="I17" s="539"/>
      <c r="J17" s="539"/>
      <c r="K17" s="539"/>
      <c r="L17" s="539"/>
      <c r="M17" s="539"/>
      <c r="N17" s="539"/>
      <c r="O17" s="539"/>
      <c r="P17" s="539"/>
      <c r="Q17" s="539"/>
      <c r="R17" s="539"/>
      <c r="S17" s="539"/>
      <c r="T17" s="539"/>
      <c r="U17" s="539"/>
      <c r="V17" s="539"/>
      <c r="W17" s="539"/>
      <c r="X17" s="539"/>
      <c r="Y17" s="539">
        <f>G17</f>
        <v>2544380000</v>
      </c>
      <c r="Z17" s="539"/>
      <c r="AA17" s="539">
        <v>2523687196</v>
      </c>
      <c r="AB17" s="539">
        <f>AA17</f>
        <v>2523687196</v>
      </c>
      <c r="AC17" s="539"/>
      <c r="AD17" s="501">
        <f t="shared" si="2"/>
        <v>20692804</v>
      </c>
    </row>
    <row r="18" spans="1:30" ht="37.5" x14ac:dyDescent="0.3">
      <c r="A18" s="506">
        <v>67</v>
      </c>
      <c r="B18" s="515" t="s">
        <v>1677</v>
      </c>
      <c r="C18" s="506">
        <v>1290</v>
      </c>
      <c r="D18" s="513">
        <v>43307</v>
      </c>
      <c r="E18" s="506">
        <v>432</v>
      </c>
      <c r="F18" s="506"/>
      <c r="G18" s="539">
        <v>120000000</v>
      </c>
      <c r="H18" s="539">
        <v>7967000000</v>
      </c>
      <c r="I18" s="539"/>
      <c r="J18" s="539"/>
      <c r="K18" s="539"/>
      <c r="L18" s="539"/>
      <c r="M18" s="539"/>
      <c r="N18" s="539"/>
      <c r="O18" s="539"/>
      <c r="P18" s="539"/>
      <c r="Q18" s="539"/>
      <c r="R18" s="539"/>
      <c r="S18" s="539"/>
      <c r="T18" s="539"/>
      <c r="U18" s="539"/>
      <c r="V18" s="539"/>
      <c r="W18" s="539"/>
      <c r="X18" s="539"/>
      <c r="Y18" s="539"/>
      <c r="Z18" s="539">
        <f>G18</f>
        <v>120000000</v>
      </c>
      <c r="AA18" s="539">
        <v>80800000</v>
      </c>
      <c r="AB18" s="539"/>
      <c r="AC18" s="539">
        <f>AA18</f>
        <v>80800000</v>
      </c>
      <c r="AD18" s="501">
        <f t="shared" si="2"/>
        <v>39200000</v>
      </c>
    </row>
    <row r="19" spans="1:30" ht="37.5" x14ac:dyDescent="0.3">
      <c r="A19" s="506">
        <v>78</v>
      </c>
      <c r="B19" s="515" t="s">
        <v>1681</v>
      </c>
      <c r="C19" s="506">
        <v>176</v>
      </c>
      <c r="D19" s="513">
        <v>43311</v>
      </c>
      <c r="E19" s="506">
        <v>432</v>
      </c>
      <c r="F19" s="506"/>
      <c r="G19" s="539">
        <v>233000000</v>
      </c>
      <c r="H19" s="539">
        <v>437000000</v>
      </c>
      <c r="I19" s="539"/>
      <c r="J19" s="539"/>
      <c r="K19" s="539"/>
      <c r="L19" s="539"/>
      <c r="M19" s="539"/>
      <c r="N19" s="539"/>
      <c r="O19" s="539"/>
      <c r="P19" s="539"/>
      <c r="Q19" s="539"/>
      <c r="R19" s="539"/>
      <c r="S19" s="539"/>
      <c r="T19" s="539"/>
      <c r="U19" s="539"/>
      <c r="V19" s="539"/>
      <c r="W19" s="539"/>
      <c r="X19" s="539"/>
      <c r="Y19" s="539">
        <f>G19</f>
        <v>233000000</v>
      </c>
      <c r="Z19" s="539"/>
      <c r="AA19" s="539">
        <f>G19</f>
        <v>233000000</v>
      </c>
      <c r="AB19" s="539">
        <f>AA19</f>
        <v>233000000</v>
      </c>
      <c r="AC19" s="539"/>
      <c r="AD19" s="501">
        <f t="shared" si="2"/>
        <v>0</v>
      </c>
    </row>
    <row r="20" spans="1:30" x14ac:dyDescent="0.3">
      <c r="A20" s="506">
        <v>153</v>
      </c>
      <c r="B20" s="504" t="s">
        <v>1695</v>
      </c>
      <c r="C20" s="503">
        <v>341</v>
      </c>
      <c r="D20" s="513">
        <v>43462</v>
      </c>
      <c r="E20" s="506"/>
      <c r="F20" s="506"/>
      <c r="G20" s="539">
        <v>190000000</v>
      </c>
      <c r="H20" s="539">
        <v>1430000000</v>
      </c>
      <c r="I20" s="539"/>
      <c r="J20" s="539"/>
      <c r="K20" s="539"/>
      <c r="L20" s="539"/>
      <c r="M20" s="539"/>
      <c r="N20" s="539"/>
      <c r="O20" s="539"/>
      <c r="P20" s="539"/>
      <c r="Q20" s="539"/>
      <c r="R20" s="539"/>
      <c r="S20" s="539"/>
      <c r="T20" s="539"/>
      <c r="U20" s="539"/>
      <c r="V20" s="539"/>
      <c r="W20" s="539"/>
      <c r="X20" s="539"/>
      <c r="Y20" s="539">
        <f>G20</f>
        <v>190000000</v>
      </c>
      <c r="Z20" s="539"/>
      <c r="AA20" s="539">
        <f>G20</f>
        <v>190000000</v>
      </c>
      <c r="AB20" s="539">
        <f>AA20</f>
        <v>190000000</v>
      </c>
      <c r="AC20" s="539"/>
      <c r="AD20" s="501">
        <f t="shared" si="2"/>
        <v>0</v>
      </c>
    </row>
    <row r="21" spans="1:30" ht="37.5" x14ac:dyDescent="0.3">
      <c r="A21" s="506">
        <v>85</v>
      </c>
      <c r="B21" s="504" t="s">
        <v>1684</v>
      </c>
      <c r="C21" s="506">
        <v>1573</v>
      </c>
      <c r="D21" s="513">
        <v>43363</v>
      </c>
      <c r="E21" s="506">
        <v>432</v>
      </c>
      <c r="F21" s="506"/>
      <c r="G21" s="539">
        <v>131000000</v>
      </c>
      <c r="H21" s="539">
        <v>842000000</v>
      </c>
      <c r="I21" s="539"/>
      <c r="J21" s="539"/>
      <c r="K21" s="539"/>
      <c r="L21" s="539"/>
      <c r="M21" s="539"/>
      <c r="N21" s="539"/>
      <c r="O21" s="539"/>
      <c r="P21" s="539"/>
      <c r="Q21" s="539"/>
      <c r="R21" s="539"/>
      <c r="S21" s="539"/>
      <c r="T21" s="539"/>
      <c r="U21" s="539"/>
      <c r="V21" s="539"/>
      <c r="W21" s="539"/>
      <c r="X21" s="539"/>
      <c r="Y21" s="539">
        <f>G21</f>
        <v>131000000</v>
      </c>
      <c r="Z21" s="539"/>
      <c r="AA21" s="539">
        <f>G21</f>
        <v>131000000</v>
      </c>
      <c r="AB21" s="539">
        <f>AA21</f>
        <v>131000000</v>
      </c>
      <c r="AC21" s="539"/>
      <c r="AD21" s="501">
        <f t="shared" si="2"/>
        <v>0</v>
      </c>
    </row>
    <row r="22" spans="1:30" ht="37.5" x14ac:dyDescent="0.3">
      <c r="A22" s="506">
        <v>96</v>
      </c>
      <c r="B22" s="515" t="s">
        <v>1686</v>
      </c>
      <c r="C22" s="506">
        <v>1585</v>
      </c>
      <c r="D22" s="513">
        <v>43364</v>
      </c>
      <c r="E22" s="506"/>
      <c r="F22" s="506"/>
      <c r="G22" s="539">
        <f>12588000+4144000</f>
        <v>16732000</v>
      </c>
      <c r="H22" s="539">
        <v>24150000</v>
      </c>
      <c r="I22" s="539"/>
      <c r="J22" s="539"/>
      <c r="K22" s="539"/>
      <c r="L22" s="539"/>
      <c r="M22" s="539"/>
      <c r="N22" s="539"/>
      <c r="O22" s="539"/>
      <c r="P22" s="539"/>
      <c r="Q22" s="539"/>
      <c r="R22" s="539"/>
      <c r="S22" s="539"/>
      <c r="T22" s="539"/>
      <c r="U22" s="539"/>
      <c r="V22" s="539"/>
      <c r="W22" s="539"/>
      <c r="X22" s="539"/>
      <c r="Y22" s="539">
        <f>G22</f>
        <v>16732000</v>
      </c>
      <c r="Z22" s="539"/>
      <c r="AA22" s="539">
        <v>10397000</v>
      </c>
      <c r="AB22" s="539">
        <f>AA22</f>
        <v>10397000</v>
      </c>
      <c r="AC22" s="539"/>
      <c r="AD22" s="501">
        <f t="shared" si="2"/>
        <v>6335000</v>
      </c>
    </row>
    <row r="23" spans="1:30" ht="56.25" x14ac:dyDescent="0.3">
      <c r="A23" s="506">
        <v>97</v>
      </c>
      <c r="B23" s="515" t="s">
        <v>1687</v>
      </c>
      <c r="C23" s="506">
        <v>1586</v>
      </c>
      <c r="D23" s="513">
        <v>43364</v>
      </c>
      <c r="E23" s="506">
        <v>432</v>
      </c>
      <c r="F23" s="506"/>
      <c r="G23" s="539">
        <v>505000000</v>
      </c>
      <c r="H23" s="539"/>
      <c r="I23" s="539"/>
      <c r="J23" s="539"/>
      <c r="K23" s="539"/>
      <c r="L23" s="539"/>
      <c r="M23" s="539"/>
      <c r="N23" s="539"/>
      <c r="O23" s="539"/>
      <c r="P23" s="539"/>
      <c r="Q23" s="539"/>
      <c r="R23" s="539"/>
      <c r="S23" s="539"/>
      <c r="T23" s="539"/>
      <c r="U23" s="539"/>
      <c r="V23" s="539"/>
      <c r="W23" s="539"/>
      <c r="X23" s="539"/>
      <c r="Y23" s="539"/>
      <c r="Z23" s="539">
        <f>G23</f>
        <v>505000000</v>
      </c>
      <c r="AA23" s="539">
        <v>332107000</v>
      </c>
      <c r="AB23" s="539"/>
      <c r="AC23" s="539">
        <f>AA23</f>
        <v>332107000</v>
      </c>
      <c r="AD23" s="501">
        <f t="shared" si="2"/>
        <v>172893000</v>
      </c>
    </row>
    <row r="24" spans="1:30" ht="56.25" x14ac:dyDescent="0.3">
      <c r="A24" s="506">
        <v>117</v>
      </c>
      <c r="B24" s="515" t="s">
        <v>1691</v>
      </c>
      <c r="C24" s="506">
        <v>1942</v>
      </c>
      <c r="D24" s="513">
        <v>43418</v>
      </c>
      <c r="E24" s="506">
        <v>432</v>
      </c>
      <c r="F24" s="506"/>
      <c r="G24" s="539">
        <v>19720000</v>
      </c>
      <c r="H24" s="539"/>
      <c r="I24" s="539"/>
      <c r="J24" s="539"/>
      <c r="K24" s="539"/>
      <c r="L24" s="539"/>
      <c r="M24" s="539"/>
      <c r="N24" s="539"/>
      <c r="O24" s="539"/>
      <c r="P24" s="539"/>
      <c r="Q24" s="539"/>
      <c r="R24" s="539"/>
      <c r="S24" s="539"/>
      <c r="T24" s="539"/>
      <c r="U24" s="539"/>
      <c r="V24" s="539"/>
      <c r="W24" s="539"/>
      <c r="X24" s="539"/>
      <c r="Y24" s="539">
        <f>G24</f>
        <v>19720000</v>
      </c>
      <c r="Z24" s="539"/>
      <c r="AA24" s="539">
        <v>0</v>
      </c>
      <c r="AB24" s="539"/>
      <c r="AC24" s="539"/>
      <c r="AD24" s="501">
        <f t="shared" si="2"/>
        <v>19720000</v>
      </c>
    </row>
    <row r="25" spans="1:30" x14ac:dyDescent="0.3">
      <c r="A25" s="528">
        <v>158</v>
      </c>
      <c r="B25" s="529" t="s">
        <v>1699</v>
      </c>
      <c r="C25" s="530">
        <v>2374</v>
      </c>
      <c r="D25" s="531">
        <v>43462</v>
      </c>
      <c r="E25" s="528"/>
      <c r="F25" s="532"/>
      <c r="G25" s="540">
        <v>7000000</v>
      </c>
      <c r="H25" s="610"/>
      <c r="I25" s="540"/>
      <c r="J25" s="540"/>
      <c r="K25" s="540"/>
      <c r="L25" s="540"/>
      <c r="M25" s="540"/>
      <c r="N25" s="540"/>
      <c r="O25" s="540"/>
      <c r="P25" s="540"/>
      <c r="Q25" s="540"/>
      <c r="R25" s="540"/>
      <c r="S25" s="540"/>
      <c r="T25" s="540"/>
      <c r="U25" s="540"/>
      <c r="V25" s="540"/>
      <c r="W25" s="540"/>
      <c r="X25" s="540"/>
      <c r="Y25" s="540">
        <f>G25</f>
        <v>7000000</v>
      </c>
      <c r="Z25" s="540"/>
      <c r="AA25" s="540">
        <v>7000000</v>
      </c>
      <c r="AB25" s="540">
        <f>AA25</f>
        <v>7000000</v>
      </c>
      <c r="AC25" s="540"/>
      <c r="AD25" s="535">
        <f t="shared" si="2"/>
        <v>0</v>
      </c>
    </row>
  </sheetData>
  <mergeCells count="2">
    <mergeCell ref="A3:AD3"/>
    <mergeCell ref="A4:AD4"/>
  </mergeCells>
  <hyperlinks>
    <hyperlink ref="B13" r:id="rId1" display="http://hscvsotc.backan.gov.vn/sotaichinh/VBden.nsf/str/551CA1B2AE5AFEA54725828F000C7D5B?OpenDocument"/>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H57"/>
  <sheetViews>
    <sheetView topLeftCell="A52" workbookViewId="0">
      <selection activeCell="G56" sqref="G56"/>
    </sheetView>
  </sheetViews>
  <sheetFormatPr defaultColWidth="9.140625" defaultRowHeight="18.75" x14ac:dyDescent="0.3"/>
  <cols>
    <col min="1" max="1" width="5" style="475" customWidth="1"/>
    <col min="2" max="2" width="69.140625" style="476" customWidth="1"/>
    <col min="3" max="3" width="8.28515625" style="475" customWidth="1"/>
    <col min="4" max="4" width="16.7109375" style="477" customWidth="1"/>
    <col min="5" max="5" width="13" style="478" customWidth="1"/>
    <col min="6" max="6" width="12.85546875" style="478" customWidth="1"/>
    <col min="7" max="7" width="24.28515625" style="479" customWidth="1"/>
    <col min="8" max="8" width="15.7109375" style="475" hidden="1" customWidth="1"/>
    <col min="9" max="16" width="0" style="475" hidden="1" customWidth="1"/>
    <col min="17" max="17" width="36.140625" style="475" hidden="1" customWidth="1"/>
    <col min="18" max="18" width="15.28515625" style="475" hidden="1" customWidth="1"/>
    <col min="19" max="24" width="0" style="475" hidden="1" customWidth="1"/>
    <col min="25" max="25" width="25.28515625" style="475" customWidth="1"/>
    <col min="26" max="26" width="20.7109375" style="475" customWidth="1"/>
    <col min="27" max="27" width="9.140625" style="475" hidden="1" customWidth="1"/>
    <col min="28" max="28" width="0" style="475" hidden="1" customWidth="1"/>
    <col min="29" max="29" width="25.28515625" style="475" hidden="1" customWidth="1"/>
    <col min="30" max="31" width="0" style="475" hidden="1" customWidth="1"/>
    <col min="32" max="32" width="9.140625" style="475"/>
    <col min="33" max="33" width="18.42578125" style="580" bestFit="1" customWidth="1"/>
    <col min="34" max="34" width="19.28515625" style="475" bestFit="1" customWidth="1"/>
    <col min="35" max="16384" width="9.140625" style="475"/>
  </cols>
  <sheetData>
    <row r="1" spans="1:33" x14ac:dyDescent="0.3">
      <c r="Z1" s="475" t="s">
        <v>1613</v>
      </c>
    </row>
    <row r="2" spans="1:33" x14ac:dyDescent="0.3">
      <c r="A2" s="4079" t="s">
        <v>1614</v>
      </c>
      <c r="B2" s="4079"/>
      <c r="C2" s="4079"/>
      <c r="D2" s="4079"/>
      <c r="E2" s="4079"/>
      <c r="F2" s="4079"/>
      <c r="G2" s="4079"/>
      <c r="H2" s="4079"/>
      <c r="I2" s="4079"/>
      <c r="J2" s="4079"/>
      <c r="K2" s="4079"/>
      <c r="L2" s="4079"/>
      <c r="M2" s="4079"/>
      <c r="N2" s="4079"/>
      <c r="O2" s="4079"/>
      <c r="P2" s="4079"/>
      <c r="Q2" s="4079"/>
      <c r="R2" s="4079"/>
      <c r="S2" s="4079"/>
      <c r="T2" s="4079"/>
      <c r="U2" s="4079"/>
      <c r="V2" s="4079"/>
      <c r="W2" s="4079"/>
      <c r="X2" s="4079"/>
      <c r="Y2" s="4079"/>
      <c r="Z2" s="4079"/>
    </row>
    <row r="3" spans="1:33" x14ac:dyDescent="0.3">
      <c r="A3" s="4621" t="s">
        <v>1615</v>
      </c>
      <c r="B3" s="4621"/>
      <c r="C3" s="4621"/>
      <c r="D3" s="4621"/>
      <c r="E3" s="4621"/>
      <c r="F3" s="4621"/>
      <c r="G3" s="4621"/>
      <c r="H3" s="4621"/>
      <c r="I3" s="4621"/>
      <c r="J3" s="4621"/>
      <c r="K3" s="4621"/>
      <c r="L3" s="4621"/>
      <c r="M3" s="4621"/>
      <c r="N3" s="4621"/>
      <c r="O3" s="4621"/>
      <c r="P3" s="4621"/>
      <c r="Q3" s="4621"/>
      <c r="R3" s="4621"/>
      <c r="S3" s="4621"/>
      <c r="T3" s="4621"/>
      <c r="U3" s="4621"/>
      <c r="V3" s="4621"/>
      <c r="W3" s="4621"/>
      <c r="X3" s="4621"/>
      <c r="Y3" s="4621"/>
      <c r="Z3" s="4621"/>
    </row>
    <row r="5" spans="1:33" s="484" customFormat="1" ht="112.5" x14ac:dyDescent="0.25">
      <c r="A5" s="480" t="s">
        <v>844</v>
      </c>
      <c r="B5" s="480" t="s">
        <v>845</v>
      </c>
      <c r="C5" s="480" t="s">
        <v>1616</v>
      </c>
      <c r="D5" s="481" t="s">
        <v>1617</v>
      </c>
      <c r="E5" s="480" t="s">
        <v>1618</v>
      </c>
      <c r="F5" s="480" t="s">
        <v>1619</v>
      </c>
      <c r="G5" s="482" t="s">
        <v>706</v>
      </c>
      <c r="H5" s="483" t="s">
        <v>1620</v>
      </c>
      <c r="I5" s="483" t="s">
        <v>1621</v>
      </c>
      <c r="J5" s="483" t="s">
        <v>1622</v>
      </c>
      <c r="K5" s="483" t="s">
        <v>1623</v>
      </c>
      <c r="L5" s="483" t="s">
        <v>1624</v>
      </c>
      <c r="M5" s="483" t="s">
        <v>1625</v>
      </c>
      <c r="N5" s="483" t="s">
        <v>1626</v>
      </c>
      <c r="O5" s="483" t="s">
        <v>1627</v>
      </c>
      <c r="P5" s="483" t="s">
        <v>1628</v>
      </c>
      <c r="Q5" s="483" t="s">
        <v>915</v>
      </c>
      <c r="R5" s="480" t="s">
        <v>1629</v>
      </c>
      <c r="S5" s="480"/>
      <c r="T5" s="480"/>
      <c r="U5" s="480"/>
      <c r="V5" s="480"/>
      <c r="W5" s="480"/>
      <c r="X5" s="480"/>
      <c r="Y5" s="480" t="s">
        <v>1630</v>
      </c>
      <c r="Z5" s="480" t="s">
        <v>1631</v>
      </c>
      <c r="AG5" s="663"/>
    </row>
    <row r="6" spans="1:33" s="490" customFormat="1" x14ac:dyDescent="0.3">
      <c r="A6" s="485"/>
      <c r="B6" s="486" t="s">
        <v>1632</v>
      </c>
      <c r="C6" s="485"/>
      <c r="D6" s="487"/>
      <c r="E6" s="486"/>
      <c r="F6" s="485"/>
      <c r="G6" s="488"/>
      <c r="H6" s="489"/>
      <c r="I6" s="489"/>
      <c r="J6" s="489"/>
      <c r="K6" s="489"/>
      <c r="L6" s="489"/>
      <c r="M6" s="489"/>
      <c r="N6" s="489"/>
      <c r="O6" s="489"/>
      <c r="P6" s="489"/>
      <c r="Q6" s="489"/>
      <c r="R6" s="486"/>
      <c r="S6" s="485"/>
      <c r="T6" s="485"/>
      <c r="U6" s="485"/>
      <c r="V6" s="485"/>
      <c r="W6" s="485"/>
      <c r="X6" s="485"/>
      <c r="Y6" s="485"/>
      <c r="Z6" s="485"/>
      <c r="AG6" s="664"/>
    </row>
    <row r="7" spans="1:33" s="490" customFormat="1" x14ac:dyDescent="0.3">
      <c r="A7" s="491"/>
      <c r="B7" s="492" t="s">
        <v>1633</v>
      </c>
      <c r="C7" s="491"/>
      <c r="D7" s="493"/>
      <c r="E7" s="494">
        <f>E10</f>
        <v>431</v>
      </c>
      <c r="F7" s="494" t="str">
        <f>F10</f>
        <v>00000</v>
      </c>
      <c r="G7" s="495">
        <f>G10</f>
        <v>190577000000</v>
      </c>
      <c r="H7" s="496"/>
      <c r="I7" s="496"/>
      <c r="J7" s="496"/>
      <c r="K7" s="496"/>
      <c r="L7" s="496"/>
      <c r="M7" s="496"/>
      <c r="N7" s="496"/>
      <c r="O7" s="496"/>
      <c r="P7" s="496"/>
      <c r="Q7" s="496"/>
      <c r="R7" s="494"/>
      <c r="S7" s="491"/>
      <c r="T7" s="491"/>
      <c r="U7" s="491"/>
      <c r="V7" s="491"/>
      <c r="W7" s="491"/>
      <c r="X7" s="491"/>
      <c r="Y7" s="497">
        <f>G7</f>
        <v>190577000000</v>
      </c>
      <c r="Z7" s="497">
        <f>G7-Y7</f>
        <v>0</v>
      </c>
      <c r="AC7" s="498">
        <v>35723261263</v>
      </c>
      <c r="AG7" s="664"/>
    </row>
    <row r="8" spans="1:33" s="490" customFormat="1" x14ac:dyDescent="0.3">
      <c r="A8" s="491"/>
      <c r="B8" s="492" t="s">
        <v>1634</v>
      </c>
      <c r="C8" s="491"/>
      <c r="D8" s="493"/>
      <c r="E8" s="494">
        <v>432</v>
      </c>
      <c r="F8" s="494" t="str">
        <f>F11</f>
        <v>00000</v>
      </c>
      <c r="G8" s="499">
        <f>SUM(G11:G57)</f>
        <v>71801582035</v>
      </c>
      <c r="H8" s="496"/>
      <c r="I8" s="496"/>
      <c r="J8" s="496"/>
      <c r="K8" s="496"/>
      <c r="L8" s="496"/>
      <c r="M8" s="496"/>
      <c r="N8" s="496"/>
      <c r="O8" s="496"/>
      <c r="P8" s="496"/>
      <c r="Q8" s="496"/>
      <c r="R8" s="494"/>
      <c r="S8" s="491"/>
      <c r="T8" s="491"/>
      <c r="U8" s="491"/>
      <c r="V8" s="491"/>
      <c r="W8" s="491"/>
      <c r="X8" s="491"/>
      <c r="Y8" s="497">
        <f t="shared" ref="Y8:Y57" si="0">G8</f>
        <v>71801582035</v>
      </c>
      <c r="Z8" s="497">
        <f t="shared" ref="Z8:Z57" si="1">G8-Y8</f>
        <v>0</v>
      </c>
      <c r="AC8" s="498">
        <v>31103805339</v>
      </c>
      <c r="AG8" s="664"/>
    </row>
    <row r="9" spans="1:33" s="490" customFormat="1" x14ac:dyDescent="0.3">
      <c r="A9" s="491"/>
      <c r="B9" s="492" t="s">
        <v>1635</v>
      </c>
      <c r="C9" s="491"/>
      <c r="D9" s="493"/>
      <c r="E9" s="494"/>
      <c r="F9" s="491"/>
      <c r="G9" s="500"/>
      <c r="H9" s="496"/>
      <c r="I9" s="496"/>
      <c r="J9" s="496"/>
      <c r="K9" s="496"/>
      <c r="L9" s="496"/>
      <c r="M9" s="496"/>
      <c r="N9" s="496"/>
      <c r="O9" s="496"/>
      <c r="P9" s="496"/>
      <c r="Q9" s="496"/>
      <c r="R9" s="494"/>
      <c r="S9" s="491"/>
      <c r="T9" s="491"/>
      <c r="U9" s="491"/>
      <c r="V9" s="491"/>
      <c r="W9" s="491"/>
      <c r="X9" s="491"/>
      <c r="Y9" s="501">
        <f t="shared" si="0"/>
        <v>0</v>
      </c>
      <c r="Z9" s="497">
        <f t="shared" si="1"/>
        <v>0</v>
      </c>
      <c r="AC9" s="502">
        <f>AC7+AC8</f>
        <v>66827066602</v>
      </c>
      <c r="AG9" s="664"/>
    </row>
    <row r="10" spans="1:33" x14ac:dyDescent="0.3">
      <c r="A10" s="503">
        <v>1</v>
      </c>
      <c r="B10" s="504" t="s">
        <v>1636</v>
      </c>
      <c r="C10" s="503">
        <v>2088</v>
      </c>
      <c r="D10" s="505" t="s">
        <v>1637</v>
      </c>
      <c r="E10" s="506">
        <v>431</v>
      </c>
      <c r="F10" s="507" t="s">
        <v>1638</v>
      </c>
      <c r="G10" s="508">
        <v>190577000000</v>
      </c>
      <c r="H10" s="509"/>
      <c r="I10" s="509"/>
      <c r="J10" s="509"/>
      <c r="K10" s="509"/>
      <c r="L10" s="509"/>
      <c r="M10" s="509"/>
      <c r="N10" s="509"/>
      <c r="O10" s="509"/>
      <c r="P10" s="509"/>
      <c r="Q10" s="503"/>
      <c r="R10" s="503"/>
      <c r="S10" s="503"/>
      <c r="T10" s="503"/>
      <c r="U10" s="503"/>
      <c r="V10" s="503"/>
      <c r="W10" s="503"/>
      <c r="X10" s="503"/>
      <c r="Y10" s="501">
        <f t="shared" si="0"/>
        <v>190577000000</v>
      </c>
      <c r="Z10" s="497">
        <f t="shared" si="1"/>
        <v>0</v>
      </c>
    </row>
    <row r="11" spans="1:33" x14ac:dyDescent="0.3">
      <c r="A11" s="503"/>
      <c r="B11" s="504" t="s">
        <v>1636</v>
      </c>
      <c r="C11" s="503">
        <v>2088</v>
      </c>
      <c r="D11" s="505" t="s">
        <v>1637</v>
      </c>
      <c r="E11" s="506">
        <v>432</v>
      </c>
      <c r="F11" s="507" t="s">
        <v>1638</v>
      </c>
      <c r="G11" s="508">
        <v>9172000000</v>
      </c>
      <c r="H11" s="509"/>
      <c r="I11" s="509"/>
      <c r="J11" s="509"/>
      <c r="K11" s="509"/>
      <c r="L11" s="509"/>
      <c r="M11" s="509"/>
      <c r="N11" s="509"/>
      <c r="O11" s="509"/>
      <c r="P11" s="509"/>
      <c r="Q11" s="503" t="s">
        <v>1639</v>
      </c>
      <c r="R11" s="510" t="e">
        <f>800000000-#REF!</f>
        <v>#REF!</v>
      </c>
      <c r="S11" s="503"/>
      <c r="T11" s="503"/>
      <c r="U11" s="503"/>
      <c r="V11" s="503"/>
      <c r="W11" s="503"/>
      <c r="X11" s="503"/>
      <c r="Y11" s="501">
        <f t="shared" si="0"/>
        <v>9172000000</v>
      </c>
      <c r="Z11" s="497">
        <f t="shared" si="1"/>
        <v>0</v>
      </c>
      <c r="AC11" s="511">
        <f>24327000000-9972000000</f>
        <v>14355000000</v>
      </c>
    </row>
    <row r="12" spans="1:33" ht="37.5" x14ac:dyDescent="0.3">
      <c r="A12" s="503"/>
      <c r="B12" s="504" t="s">
        <v>1636</v>
      </c>
      <c r="C12" s="503">
        <v>2088</v>
      </c>
      <c r="D12" s="505" t="s">
        <v>1637</v>
      </c>
      <c r="E12" s="506"/>
      <c r="F12" s="512" t="s">
        <v>1640</v>
      </c>
      <c r="G12" s="508">
        <v>400000000</v>
      </c>
      <c r="H12" s="509"/>
      <c r="I12" s="509"/>
      <c r="J12" s="509"/>
      <c r="K12" s="509"/>
      <c r="L12" s="509"/>
      <c r="M12" s="509"/>
      <c r="N12" s="509"/>
      <c r="O12" s="509"/>
      <c r="P12" s="509"/>
      <c r="Q12" s="503"/>
      <c r="R12" s="503"/>
      <c r="S12" s="503"/>
      <c r="T12" s="503"/>
      <c r="U12" s="503"/>
      <c r="V12" s="503"/>
      <c r="W12" s="503"/>
      <c r="X12" s="503"/>
      <c r="Y12" s="501">
        <f t="shared" si="0"/>
        <v>400000000</v>
      </c>
      <c r="Z12" s="497">
        <f t="shared" si="1"/>
        <v>0</v>
      </c>
      <c r="AB12" s="475">
        <f>9972-9172</f>
        <v>800</v>
      </c>
    </row>
    <row r="13" spans="1:33" x14ac:dyDescent="0.3">
      <c r="A13" s="503"/>
      <c r="B13" s="504" t="s">
        <v>1636</v>
      </c>
      <c r="C13" s="503"/>
      <c r="D13" s="513"/>
      <c r="E13" s="506"/>
      <c r="F13" s="506" t="s">
        <v>1641</v>
      </c>
      <c r="G13" s="508">
        <v>4783000000</v>
      </c>
      <c r="H13" s="509"/>
      <c r="I13" s="509"/>
      <c r="J13" s="509"/>
      <c r="K13" s="509"/>
      <c r="L13" s="509"/>
      <c r="M13" s="509"/>
      <c r="N13" s="509"/>
      <c r="O13" s="509"/>
      <c r="P13" s="509"/>
      <c r="Q13" s="503"/>
      <c r="R13" s="503"/>
      <c r="S13" s="503"/>
      <c r="T13" s="503" t="s">
        <v>1642</v>
      </c>
      <c r="U13" s="503"/>
      <c r="V13" s="503"/>
      <c r="W13" s="503"/>
      <c r="X13" s="503"/>
      <c r="Y13" s="501">
        <f t="shared" si="0"/>
        <v>4783000000</v>
      </c>
      <c r="Z13" s="497">
        <f t="shared" si="1"/>
        <v>0</v>
      </c>
      <c r="AC13" s="514">
        <f>G8</f>
        <v>71801582035</v>
      </c>
    </row>
    <row r="14" spans="1:33" x14ac:dyDescent="0.3">
      <c r="A14" s="506">
        <v>2</v>
      </c>
      <c r="B14" s="515" t="s">
        <v>1643</v>
      </c>
      <c r="C14" s="506">
        <v>262</v>
      </c>
      <c r="D14" s="513"/>
      <c r="E14" s="506">
        <v>432</v>
      </c>
      <c r="F14" s="507" t="s">
        <v>329</v>
      </c>
      <c r="G14" s="508">
        <v>13664000000</v>
      </c>
      <c r="H14" s="509"/>
      <c r="I14" s="509"/>
      <c r="J14" s="509"/>
      <c r="K14" s="509"/>
      <c r="L14" s="509"/>
      <c r="M14" s="509"/>
      <c r="N14" s="509"/>
      <c r="O14" s="509"/>
      <c r="P14" s="509"/>
      <c r="Q14" s="503"/>
      <c r="R14" s="503"/>
      <c r="S14" s="503"/>
      <c r="T14" s="503" t="s">
        <v>1644</v>
      </c>
      <c r="U14" s="503"/>
      <c r="V14" s="503" t="s">
        <v>1645</v>
      </c>
      <c r="W14" s="503"/>
      <c r="X14" s="503"/>
      <c r="Y14" s="501">
        <f t="shared" si="0"/>
        <v>13664000000</v>
      </c>
      <c r="Z14" s="497">
        <f t="shared" si="1"/>
        <v>0</v>
      </c>
      <c r="AC14" s="475">
        <v>71801582035</v>
      </c>
    </row>
    <row r="15" spans="1:33" x14ac:dyDescent="0.3">
      <c r="A15" s="506">
        <v>4</v>
      </c>
      <c r="B15" s="515" t="s">
        <v>1646</v>
      </c>
      <c r="C15" s="506">
        <v>303</v>
      </c>
      <c r="D15" s="513">
        <v>43159</v>
      </c>
      <c r="E15" s="506">
        <v>432</v>
      </c>
      <c r="F15" s="516" t="s">
        <v>1647</v>
      </c>
      <c r="G15" s="517">
        <v>16697000000</v>
      </c>
      <c r="H15" s="518"/>
      <c r="I15" s="518"/>
      <c r="J15" s="518"/>
      <c r="K15" s="518"/>
      <c r="L15" s="518"/>
      <c r="M15" s="518"/>
      <c r="N15" s="518"/>
      <c r="O15" s="518"/>
      <c r="P15" s="518"/>
      <c r="Q15" s="503"/>
      <c r="R15" s="503"/>
      <c r="S15" s="503"/>
      <c r="T15" s="503">
        <v>88253398</v>
      </c>
      <c r="U15" s="503"/>
      <c r="V15" s="503"/>
      <c r="W15" s="503"/>
      <c r="X15" s="503"/>
      <c r="Y15" s="501">
        <f t="shared" si="0"/>
        <v>16697000000</v>
      </c>
      <c r="Z15" s="497">
        <f t="shared" si="1"/>
        <v>0</v>
      </c>
    </row>
    <row r="16" spans="1:33" ht="56.25" x14ac:dyDescent="0.3">
      <c r="A16" s="506">
        <v>6</v>
      </c>
      <c r="B16" s="515" t="s">
        <v>1648</v>
      </c>
      <c r="C16" s="506">
        <v>300</v>
      </c>
      <c r="D16" s="519">
        <v>43159</v>
      </c>
      <c r="E16" s="506">
        <v>432</v>
      </c>
      <c r="F16" s="507" t="s">
        <v>1638</v>
      </c>
      <c r="G16" s="517">
        <v>140536713</v>
      </c>
      <c r="H16" s="518">
        <f>97641068+281157444+70592955+199548350</f>
        <v>648939817</v>
      </c>
      <c r="I16" s="518"/>
      <c r="J16" s="518">
        <v>199548350</v>
      </c>
      <c r="K16" s="518"/>
      <c r="L16" s="518"/>
      <c r="M16" s="518"/>
      <c r="N16" s="518">
        <v>70592955</v>
      </c>
      <c r="O16" s="518">
        <v>281157444</v>
      </c>
      <c r="P16" s="518">
        <v>97641068</v>
      </c>
      <c r="Q16" s="503"/>
      <c r="R16" s="503"/>
      <c r="S16" s="503"/>
      <c r="T16" s="503"/>
      <c r="U16" s="503"/>
      <c r="V16" s="503"/>
      <c r="W16" s="503"/>
      <c r="X16" s="503"/>
      <c r="Y16" s="501">
        <f t="shared" si="0"/>
        <v>140536713</v>
      </c>
      <c r="Z16" s="497">
        <f t="shared" si="1"/>
        <v>0</v>
      </c>
      <c r="AC16" s="514" t="e">
        <f>#REF!-#REF!</f>
        <v>#REF!</v>
      </c>
    </row>
    <row r="17" spans="1:34" ht="93.75" x14ac:dyDescent="0.3">
      <c r="A17" s="506">
        <v>8</v>
      </c>
      <c r="B17" s="515" t="s">
        <v>1649</v>
      </c>
      <c r="C17" s="506">
        <v>1167</v>
      </c>
      <c r="D17" s="519">
        <v>43287</v>
      </c>
      <c r="E17" s="506">
        <v>432</v>
      </c>
      <c r="F17" s="516" t="s">
        <v>1650</v>
      </c>
      <c r="G17" s="517">
        <v>56560000</v>
      </c>
      <c r="H17" s="518"/>
      <c r="I17" s="518"/>
      <c r="J17" s="518"/>
      <c r="K17" s="518"/>
      <c r="L17" s="518"/>
      <c r="M17" s="518"/>
      <c r="N17" s="518"/>
      <c r="O17" s="518"/>
      <c r="P17" s="518"/>
      <c r="Q17" s="503"/>
      <c r="R17" s="503"/>
      <c r="S17" s="503"/>
      <c r="T17" s="503"/>
      <c r="U17" s="503"/>
      <c r="V17" s="503"/>
      <c r="W17" s="503"/>
      <c r="X17" s="503"/>
      <c r="Y17" s="501">
        <f t="shared" si="0"/>
        <v>56560000</v>
      </c>
      <c r="Z17" s="497">
        <f t="shared" si="1"/>
        <v>0</v>
      </c>
    </row>
    <row r="18" spans="1:34" ht="56.25" x14ac:dyDescent="0.3">
      <c r="A18" s="506">
        <v>9</v>
      </c>
      <c r="B18" s="515" t="s">
        <v>1651</v>
      </c>
      <c r="C18" s="506">
        <v>299</v>
      </c>
      <c r="D18" s="519">
        <v>43159</v>
      </c>
      <c r="E18" s="506">
        <v>432</v>
      </c>
      <c r="F18" s="516" t="s">
        <v>1652</v>
      </c>
      <c r="G18" s="517">
        <v>60000000</v>
      </c>
      <c r="H18" s="518">
        <f>1160000000+80000000</f>
        <v>1240000000</v>
      </c>
      <c r="I18" s="518"/>
      <c r="J18" s="518"/>
      <c r="K18" s="518"/>
      <c r="L18" s="518"/>
      <c r="M18" s="518"/>
      <c r="N18" s="518"/>
      <c r="O18" s="518"/>
      <c r="P18" s="518"/>
      <c r="Q18" s="503" t="s">
        <v>1653</v>
      </c>
      <c r="R18" s="503"/>
      <c r="S18" s="503"/>
      <c r="T18" s="503"/>
      <c r="U18" s="503"/>
      <c r="V18" s="503"/>
      <c r="W18" s="503"/>
      <c r="X18" s="503"/>
      <c r="Y18" s="501">
        <f t="shared" si="0"/>
        <v>60000000</v>
      </c>
      <c r="Z18" s="497">
        <f t="shared" si="1"/>
        <v>0</v>
      </c>
    </row>
    <row r="19" spans="1:34" ht="56.25" x14ac:dyDescent="0.3">
      <c r="A19" s="506">
        <v>12</v>
      </c>
      <c r="B19" s="515" t="s">
        <v>1654</v>
      </c>
      <c r="C19" s="506">
        <v>393</v>
      </c>
      <c r="D19" s="519">
        <v>43174</v>
      </c>
      <c r="E19" s="506">
        <v>432</v>
      </c>
      <c r="F19" s="507" t="s">
        <v>1638</v>
      </c>
      <c r="G19" s="517">
        <v>1500000000</v>
      </c>
      <c r="H19" s="503"/>
      <c r="I19" s="503"/>
      <c r="J19" s="503"/>
      <c r="K19" s="503"/>
      <c r="L19" s="503"/>
      <c r="M19" s="503"/>
      <c r="N19" s="503"/>
      <c r="O19" s="503"/>
      <c r="P19" s="503"/>
      <c r="Q19" s="503"/>
      <c r="R19" s="503"/>
      <c r="S19" s="503"/>
      <c r="T19" s="503"/>
      <c r="U19" s="503"/>
      <c r="V19" s="503"/>
      <c r="W19" s="503"/>
      <c r="X19" s="503"/>
      <c r="Y19" s="501">
        <f t="shared" si="0"/>
        <v>1500000000</v>
      </c>
      <c r="Z19" s="497">
        <f t="shared" si="1"/>
        <v>0</v>
      </c>
    </row>
    <row r="20" spans="1:34" ht="75" x14ac:dyDescent="0.3">
      <c r="A20" s="506">
        <v>13</v>
      </c>
      <c r="B20" s="515" t="s">
        <v>1655</v>
      </c>
      <c r="C20" s="506">
        <v>438</v>
      </c>
      <c r="D20" s="519">
        <v>43182</v>
      </c>
      <c r="E20" s="506">
        <v>432</v>
      </c>
      <c r="F20" s="516" t="s">
        <v>1652</v>
      </c>
      <c r="G20" s="517">
        <f>(10+30+60)*1000000</f>
        <v>100000000</v>
      </c>
      <c r="H20" s="518">
        <v>1685000000</v>
      </c>
      <c r="I20" s="503"/>
      <c r="J20" s="503"/>
      <c r="K20" s="503"/>
      <c r="L20" s="503"/>
      <c r="M20" s="503"/>
      <c r="N20" s="503"/>
      <c r="O20" s="503"/>
      <c r="P20" s="503"/>
      <c r="Q20" s="503"/>
      <c r="R20" s="503"/>
      <c r="S20" s="503"/>
      <c r="T20" s="503"/>
      <c r="U20" s="503"/>
      <c r="V20" s="503"/>
      <c r="W20" s="503"/>
      <c r="X20" s="503"/>
      <c r="Y20" s="501">
        <f t="shared" si="0"/>
        <v>100000000</v>
      </c>
      <c r="Z20" s="497">
        <f t="shared" si="1"/>
        <v>0</v>
      </c>
    </row>
    <row r="21" spans="1:34" ht="56.25" x14ac:dyDescent="0.3">
      <c r="A21" s="506">
        <v>17</v>
      </c>
      <c r="B21" s="515" t="s">
        <v>1656</v>
      </c>
      <c r="C21" s="506">
        <v>477</v>
      </c>
      <c r="D21" s="519">
        <v>43188</v>
      </c>
      <c r="E21" s="506">
        <v>432</v>
      </c>
      <c r="F21" s="507" t="s">
        <v>1638</v>
      </c>
      <c r="G21" s="517">
        <v>1257720000</v>
      </c>
      <c r="H21" s="503"/>
      <c r="I21" s="503"/>
      <c r="J21" s="503"/>
      <c r="K21" s="503"/>
      <c r="L21" s="503"/>
      <c r="M21" s="503"/>
      <c r="N21" s="503"/>
      <c r="O21" s="503"/>
      <c r="P21" s="503"/>
      <c r="Q21" s="503"/>
      <c r="R21" s="503"/>
      <c r="S21" s="503"/>
      <c r="T21" s="503"/>
      <c r="U21" s="503"/>
      <c r="V21" s="503"/>
      <c r="W21" s="503"/>
      <c r="X21" s="503"/>
      <c r="Y21" s="501">
        <f t="shared" si="0"/>
        <v>1257720000</v>
      </c>
      <c r="Z21" s="497">
        <f t="shared" si="1"/>
        <v>0</v>
      </c>
      <c r="AG21" s="580">
        <v>136733850</v>
      </c>
      <c r="AH21" s="612">
        <f>AG21*80%</f>
        <v>109387080</v>
      </c>
    </row>
    <row r="22" spans="1:34" ht="56.25" x14ac:dyDescent="0.3">
      <c r="A22" s="506">
        <v>18</v>
      </c>
      <c r="B22" s="515" t="s">
        <v>1657</v>
      </c>
      <c r="C22" s="506">
        <v>504</v>
      </c>
      <c r="D22" s="519">
        <v>43193</v>
      </c>
      <c r="E22" s="506">
        <v>432</v>
      </c>
      <c r="F22" s="507" t="s">
        <v>1638</v>
      </c>
      <c r="G22" s="517">
        <v>1846000</v>
      </c>
      <c r="H22" s="503"/>
      <c r="I22" s="503"/>
      <c r="J22" s="503"/>
      <c r="K22" s="503"/>
      <c r="L22" s="503"/>
      <c r="M22" s="503"/>
      <c r="N22" s="503"/>
      <c r="O22" s="503"/>
      <c r="P22" s="503"/>
      <c r="Q22" s="503"/>
      <c r="R22" s="503"/>
      <c r="S22" s="503"/>
      <c r="T22" s="503"/>
      <c r="U22" s="503"/>
      <c r="V22" s="503"/>
      <c r="W22" s="503"/>
      <c r="X22" s="503"/>
      <c r="Y22" s="501">
        <f t="shared" si="0"/>
        <v>1846000</v>
      </c>
      <c r="Z22" s="497">
        <f t="shared" si="1"/>
        <v>0</v>
      </c>
      <c r="AG22" s="580">
        <f>114373696</f>
        <v>114373696</v>
      </c>
      <c r="AH22" s="667">
        <f>G21-AG22</f>
        <v>1143346304</v>
      </c>
    </row>
    <row r="23" spans="1:34" s="625" customFormat="1" ht="93.75" x14ac:dyDescent="0.3">
      <c r="A23" s="617">
        <v>19</v>
      </c>
      <c r="B23" s="538" t="s">
        <v>1658</v>
      </c>
      <c r="C23" s="617">
        <v>437</v>
      </c>
      <c r="D23" s="661">
        <v>43182</v>
      </c>
      <c r="E23" s="617">
        <v>432</v>
      </c>
      <c r="F23" s="662" t="s">
        <v>1638</v>
      </c>
      <c r="G23" s="620">
        <v>120000000</v>
      </c>
      <c r="H23" s="622"/>
      <c r="I23" s="622"/>
      <c r="J23" s="622"/>
      <c r="K23" s="622"/>
      <c r="L23" s="622"/>
      <c r="M23" s="622"/>
      <c r="N23" s="622"/>
      <c r="O23" s="622"/>
      <c r="P23" s="622"/>
      <c r="Q23" s="622"/>
      <c r="R23" s="622"/>
      <c r="S23" s="622"/>
      <c r="T23" s="622"/>
      <c r="U23" s="622"/>
      <c r="V23" s="622"/>
      <c r="W23" s="622"/>
      <c r="X23" s="622"/>
      <c r="Y23" s="623">
        <f t="shared" si="0"/>
        <v>120000000</v>
      </c>
      <c r="Z23" s="624">
        <f t="shared" si="1"/>
        <v>0</v>
      </c>
      <c r="AG23" s="665">
        <v>19720000</v>
      </c>
      <c r="AH23" s="666">
        <f>AH21+AH22</f>
        <v>1252733384</v>
      </c>
    </row>
    <row r="24" spans="1:34" ht="37.5" x14ac:dyDescent="0.3">
      <c r="A24" s="506">
        <v>20</v>
      </c>
      <c r="B24" s="515" t="s">
        <v>1659</v>
      </c>
      <c r="C24" s="506">
        <v>500</v>
      </c>
      <c r="D24" s="513">
        <v>43193</v>
      </c>
      <c r="E24" s="506">
        <v>432</v>
      </c>
      <c r="F24" s="507" t="s">
        <v>329</v>
      </c>
      <c r="G24" s="517">
        <v>310000000</v>
      </c>
      <c r="H24" s="520">
        <f>(527+20+20+335+15)*1000000</f>
        <v>917000000</v>
      </c>
      <c r="I24" s="503"/>
      <c r="J24" s="503"/>
      <c r="K24" s="503"/>
      <c r="L24" s="503"/>
      <c r="M24" s="503"/>
      <c r="N24" s="503"/>
      <c r="O24" s="503"/>
      <c r="P24" s="503"/>
      <c r="Q24" s="503"/>
      <c r="R24" s="503"/>
      <c r="S24" s="503"/>
      <c r="T24" s="503"/>
      <c r="U24" s="503"/>
      <c r="V24" s="503"/>
      <c r="W24" s="503"/>
      <c r="X24" s="503"/>
      <c r="Y24" s="501">
        <f t="shared" si="0"/>
        <v>310000000</v>
      </c>
      <c r="Z24" s="497">
        <f t="shared" si="1"/>
        <v>0</v>
      </c>
      <c r="AG24" s="580">
        <f>AG23+Y21</f>
        <v>1277440000</v>
      </c>
      <c r="AH24" s="612">
        <f>AG24-AH23</f>
        <v>24706616</v>
      </c>
    </row>
    <row r="25" spans="1:34" ht="56.25" x14ac:dyDescent="0.3">
      <c r="A25" s="506">
        <v>23</v>
      </c>
      <c r="B25" s="515" t="s">
        <v>1660</v>
      </c>
      <c r="C25" s="506">
        <v>563</v>
      </c>
      <c r="D25" s="513">
        <v>43201</v>
      </c>
      <c r="E25" s="506">
        <v>432</v>
      </c>
      <c r="F25" s="507" t="s">
        <v>1647</v>
      </c>
      <c r="G25" s="517">
        <v>2600000000</v>
      </c>
      <c r="H25" s="518">
        <v>400000000</v>
      </c>
      <c r="I25" s="503"/>
      <c r="J25" s="503"/>
      <c r="K25" s="503"/>
      <c r="L25" s="503"/>
      <c r="M25" s="503"/>
      <c r="N25" s="503"/>
      <c r="O25" s="503"/>
      <c r="P25" s="503"/>
      <c r="Q25" s="503"/>
      <c r="R25" s="503"/>
      <c r="S25" s="503"/>
      <c r="T25" s="503"/>
      <c r="U25" s="503"/>
      <c r="V25" s="503"/>
      <c r="W25" s="503"/>
      <c r="X25" s="503"/>
      <c r="Y25" s="501">
        <f t="shared" si="0"/>
        <v>2600000000</v>
      </c>
      <c r="Z25" s="497">
        <f t="shared" si="1"/>
        <v>0</v>
      </c>
      <c r="AG25" s="580">
        <f>Y21+AG23</f>
        <v>1277440000</v>
      </c>
    </row>
    <row r="26" spans="1:34" ht="67.900000000000006" customHeight="1" x14ac:dyDescent="0.3">
      <c r="A26" s="506">
        <v>24</v>
      </c>
      <c r="B26" s="515" t="s">
        <v>1661</v>
      </c>
      <c r="C26" s="506">
        <v>544</v>
      </c>
      <c r="D26" s="513">
        <v>43200</v>
      </c>
      <c r="E26" s="506">
        <v>432</v>
      </c>
      <c r="F26" s="506"/>
      <c r="G26" s="517">
        <v>2661000000</v>
      </c>
      <c r="H26" s="503"/>
      <c r="I26" s="503"/>
      <c r="J26" s="503"/>
      <c r="K26" s="503"/>
      <c r="L26" s="503"/>
      <c r="M26" s="503"/>
      <c r="N26" s="503"/>
      <c r="O26" s="503"/>
      <c r="P26" s="503"/>
      <c r="Q26" s="503"/>
      <c r="R26" s="503"/>
      <c r="S26" s="503"/>
      <c r="T26" s="503"/>
      <c r="U26" s="503"/>
      <c r="V26" s="503"/>
      <c r="W26" s="503"/>
      <c r="X26" s="503"/>
      <c r="Y26" s="501">
        <f t="shared" si="0"/>
        <v>2661000000</v>
      </c>
      <c r="Z26" s="497">
        <f t="shared" si="1"/>
        <v>0</v>
      </c>
      <c r="AA26" s="476" t="s">
        <v>1662</v>
      </c>
    </row>
    <row r="27" spans="1:34" ht="37.5" x14ac:dyDescent="0.3">
      <c r="A27" s="506">
        <v>29</v>
      </c>
      <c r="B27" s="515" t="s">
        <v>1663</v>
      </c>
      <c r="C27" s="506">
        <v>506</v>
      </c>
      <c r="D27" s="513">
        <v>43193</v>
      </c>
      <c r="E27" s="521">
        <v>432</v>
      </c>
      <c r="F27" s="521" t="s">
        <v>1664</v>
      </c>
      <c r="G27" s="517">
        <v>1546000000</v>
      </c>
      <c r="H27" s="518"/>
      <c r="I27" s="503"/>
      <c r="J27" s="503"/>
      <c r="K27" s="503"/>
      <c r="L27" s="503"/>
      <c r="M27" s="503"/>
      <c r="N27" s="503"/>
      <c r="O27" s="503"/>
      <c r="P27" s="503"/>
      <c r="Q27" s="503"/>
      <c r="R27" s="503"/>
      <c r="S27" s="503"/>
      <c r="T27" s="503"/>
      <c r="U27" s="503"/>
      <c r="V27" s="503"/>
      <c r="W27" s="503"/>
      <c r="X27" s="503"/>
      <c r="Y27" s="501">
        <f t="shared" si="0"/>
        <v>1546000000</v>
      </c>
      <c r="Z27" s="497">
        <f t="shared" si="1"/>
        <v>0</v>
      </c>
    </row>
    <row r="28" spans="1:34" ht="56.25" x14ac:dyDescent="0.3">
      <c r="A28" s="506">
        <v>31</v>
      </c>
      <c r="B28" s="515" t="s">
        <v>1665</v>
      </c>
      <c r="C28" s="506">
        <v>732</v>
      </c>
      <c r="D28" s="513">
        <v>43229</v>
      </c>
      <c r="E28" s="521" t="s">
        <v>1666</v>
      </c>
      <c r="F28" s="522" t="s">
        <v>329</v>
      </c>
      <c r="G28" s="517">
        <v>4469000000</v>
      </c>
      <c r="H28" s="518">
        <v>5225000000</v>
      </c>
      <c r="I28" s="503"/>
      <c r="J28" s="503"/>
      <c r="K28" s="503"/>
      <c r="L28" s="503"/>
      <c r="M28" s="503"/>
      <c r="N28" s="503"/>
      <c r="O28" s="503"/>
      <c r="P28" s="503"/>
      <c r="Q28" s="503"/>
      <c r="R28" s="503"/>
      <c r="S28" s="503"/>
      <c r="T28" s="503"/>
      <c r="U28" s="503"/>
      <c r="V28" s="503"/>
      <c r="W28" s="503"/>
      <c r="X28" s="503"/>
      <c r="Y28" s="501">
        <f t="shared" si="0"/>
        <v>4469000000</v>
      </c>
      <c r="Z28" s="497">
        <f t="shared" si="1"/>
        <v>0</v>
      </c>
    </row>
    <row r="29" spans="1:34" ht="52.15" customHeight="1" x14ac:dyDescent="0.3">
      <c r="A29" s="506">
        <v>32</v>
      </c>
      <c r="B29" s="515" t="s">
        <v>1667</v>
      </c>
      <c r="C29" s="506">
        <v>725</v>
      </c>
      <c r="D29" s="513">
        <v>43229</v>
      </c>
      <c r="E29" s="521" t="s">
        <v>1666</v>
      </c>
      <c r="F29" s="522" t="s">
        <v>1668</v>
      </c>
      <c r="G29" s="517">
        <v>284286000</v>
      </c>
      <c r="H29" s="518"/>
      <c r="I29" s="503"/>
      <c r="J29" s="503"/>
      <c r="K29" s="503"/>
      <c r="L29" s="503"/>
      <c r="M29" s="503"/>
      <c r="N29" s="503"/>
      <c r="O29" s="503"/>
      <c r="P29" s="503"/>
      <c r="Q29" s="503"/>
      <c r="R29" s="503"/>
      <c r="S29" s="503"/>
      <c r="T29" s="503"/>
      <c r="U29" s="503"/>
      <c r="V29" s="503"/>
      <c r="W29" s="503"/>
      <c r="X29" s="503"/>
      <c r="Y29" s="501">
        <f t="shared" si="0"/>
        <v>284286000</v>
      </c>
      <c r="Z29" s="497">
        <f t="shared" si="1"/>
        <v>0</v>
      </c>
      <c r="AA29" s="476" t="s">
        <v>1669</v>
      </c>
      <c r="AB29" s="476"/>
    </row>
    <row r="30" spans="1:34" ht="37.5" x14ac:dyDescent="0.3">
      <c r="A30" s="506">
        <v>34</v>
      </c>
      <c r="B30" s="515" t="s">
        <v>1670</v>
      </c>
      <c r="C30" s="506">
        <v>773</v>
      </c>
      <c r="D30" s="513">
        <v>43235</v>
      </c>
      <c r="E30" s="521"/>
      <c r="F30" s="522"/>
      <c r="G30" s="517">
        <v>25000000</v>
      </c>
      <c r="H30" s="518">
        <f>1246400000+1032399000</f>
        <v>2278799000</v>
      </c>
      <c r="I30" s="503"/>
      <c r="J30" s="503"/>
      <c r="K30" s="503"/>
      <c r="L30" s="503"/>
      <c r="M30" s="503"/>
      <c r="N30" s="503"/>
      <c r="O30" s="503"/>
      <c r="P30" s="503"/>
      <c r="Q30" s="503"/>
      <c r="R30" s="503"/>
      <c r="S30" s="503"/>
      <c r="T30" s="503"/>
      <c r="U30" s="503"/>
      <c r="V30" s="503"/>
      <c r="W30" s="503"/>
      <c r="X30" s="503"/>
      <c r="Y30" s="501">
        <f t="shared" si="0"/>
        <v>25000000</v>
      </c>
      <c r="Z30" s="497">
        <f t="shared" si="1"/>
        <v>0</v>
      </c>
    </row>
    <row r="31" spans="1:34" ht="56.25" x14ac:dyDescent="0.3">
      <c r="A31" s="506">
        <v>38</v>
      </c>
      <c r="B31" s="515" t="s">
        <v>1671</v>
      </c>
      <c r="C31" s="506">
        <v>911</v>
      </c>
      <c r="D31" s="513">
        <v>43255</v>
      </c>
      <c r="E31" s="521">
        <v>432</v>
      </c>
      <c r="F31" s="522"/>
      <c r="G31" s="517">
        <v>809360000</v>
      </c>
      <c r="H31" s="518"/>
      <c r="I31" s="503"/>
      <c r="J31" s="503"/>
      <c r="K31" s="503"/>
      <c r="L31" s="503"/>
      <c r="M31" s="503"/>
      <c r="N31" s="503"/>
      <c r="O31" s="503"/>
      <c r="P31" s="503"/>
      <c r="Q31" s="503"/>
      <c r="R31" s="503"/>
      <c r="S31" s="503"/>
      <c r="T31" s="503"/>
      <c r="U31" s="503"/>
      <c r="V31" s="503"/>
      <c r="W31" s="503"/>
      <c r="X31" s="503"/>
      <c r="Y31" s="501">
        <f t="shared" si="0"/>
        <v>809360000</v>
      </c>
      <c r="Z31" s="497">
        <f t="shared" si="1"/>
        <v>0</v>
      </c>
    </row>
    <row r="32" spans="1:34" ht="56.25" x14ac:dyDescent="0.3">
      <c r="A32" s="506">
        <v>49</v>
      </c>
      <c r="B32" s="515" t="s">
        <v>1672</v>
      </c>
      <c r="C32" s="506">
        <v>984</v>
      </c>
      <c r="D32" s="513">
        <v>43264</v>
      </c>
      <c r="E32" s="506">
        <v>432</v>
      </c>
      <c r="F32" s="522" t="s">
        <v>1647</v>
      </c>
      <c r="G32" s="517">
        <v>305000000</v>
      </c>
      <c r="H32" s="518">
        <f>12965000000-46000000</f>
        <v>12919000000</v>
      </c>
      <c r="I32" s="503"/>
      <c r="J32" s="503"/>
      <c r="K32" s="503"/>
      <c r="L32" s="503"/>
      <c r="M32" s="503"/>
      <c r="N32" s="503"/>
      <c r="O32" s="503"/>
      <c r="P32" s="503"/>
      <c r="Q32" s="503"/>
      <c r="R32" s="503"/>
      <c r="S32" s="503"/>
      <c r="T32" s="503"/>
      <c r="U32" s="503"/>
      <c r="V32" s="503"/>
      <c r="W32" s="503"/>
      <c r="X32" s="503"/>
      <c r="Y32" s="501">
        <f t="shared" si="0"/>
        <v>305000000</v>
      </c>
      <c r="Z32" s="497">
        <f t="shared" si="1"/>
        <v>0</v>
      </c>
    </row>
    <row r="33" spans="1:33" ht="37.5" x14ac:dyDescent="0.3">
      <c r="A33" s="506">
        <v>50</v>
      </c>
      <c r="B33" s="515" t="s">
        <v>1673</v>
      </c>
      <c r="C33" s="506">
        <v>1161</v>
      </c>
      <c r="D33" s="513">
        <v>43285</v>
      </c>
      <c r="E33" s="506">
        <v>432</v>
      </c>
      <c r="F33" s="522" t="s">
        <v>1647</v>
      </c>
      <c r="G33" s="517">
        <v>7000000</v>
      </c>
      <c r="H33" s="518"/>
      <c r="I33" s="503"/>
      <c r="J33" s="503"/>
      <c r="K33" s="503"/>
      <c r="L33" s="503"/>
      <c r="M33" s="503"/>
      <c r="N33" s="503"/>
      <c r="O33" s="503"/>
      <c r="P33" s="503"/>
      <c r="Q33" s="503"/>
      <c r="R33" s="503"/>
      <c r="S33" s="503"/>
      <c r="T33" s="503"/>
      <c r="U33" s="503"/>
      <c r="V33" s="503"/>
      <c r="W33" s="503"/>
      <c r="X33" s="503"/>
      <c r="Y33" s="501">
        <f t="shared" si="0"/>
        <v>7000000</v>
      </c>
      <c r="Z33" s="497">
        <f t="shared" si="1"/>
        <v>0</v>
      </c>
    </row>
    <row r="34" spans="1:33" ht="56.25" x14ac:dyDescent="0.3">
      <c r="A34" s="506">
        <v>58</v>
      </c>
      <c r="B34" s="515" t="s">
        <v>1674</v>
      </c>
      <c r="C34" s="506">
        <v>937</v>
      </c>
      <c r="D34" s="513">
        <v>43258</v>
      </c>
      <c r="E34" s="506">
        <v>432</v>
      </c>
      <c r="F34" s="506"/>
      <c r="G34" s="517">
        <v>800000</v>
      </c>
      <c r="H34" s="503"/>
      <c r="I34" s="503"/>
      <c r="J34" s="503"/>
      <c r="K34" s="503"/>
      <c r="L34" s="503"/>
      <c r="M34" s="503"/>
      <c r="N34" s="503"/>
      <c r="O34" s="503"/>
      <c r="P34" s="503"/>
      <c r="Q34" s="503"/>
      <c r="R34" s="503"/>
      <c r="S34" s="503"/>
      <c r="T34" s="503"/>
      <c r="U34" s="503"/>
      <c r="V34" s="503"/>
      <c r="W34" s="503"/>
      <c r="X34" s="503"/>
      <c r="Y34" s="501">
        <f t="shared" si="0"/>
        <v>800000</v>
      </c>
      <c r="Z34" s="497">
        <f t="shared" si="1"/>
        <v>0</v>
      </c>
    </row>
    <row r="35" spans="1:33" ht="37.5" x14ac:dyDescent="0.3">
      <c r="A35" s="506">
        <v>60</v>
      </c>
      <c r="B35" s="515" t="s">
        <v>1675</v>
      </c>
      <c r="C35" s="506">
        <v>1175</v>
      </c>
      <c r="D35" s="513">
        <v>43290</v>
      </c>
      <c r="E35" s="506">
        <v>432</v>
      </c>
      <c r="F35" s="506"/>
      <c r="G35" s="517">
        <v>64000000</v>
      </c>
      <c r="H35" s="503"/>
      <c r="I35" s="503"/>
      <c r="J35" s="503"/>
      <c r="K35" s="503"/>
      <c r="L35" s="503"/>
      <c r="M35" s="503"/>
      <c r="N35" s="503"/>
      <c r="O35" s="503"/>
      <c r="P35" s="503"/>
      <c r="Q35" s="503"/>
      <c r="R35" s="503"/>
      <c r="S35" s="503"/>
      <c r="T35" s="503"/>
      <c r="U35" s="503"/>
      <c r="V35" s="503"/>
      <c r="W35" s="503"/>
      <c r="X35" s="503"/>
      <c r="Y35" s="501">
        <f t="shared" si="0"/>
        <v>64000000</v>
      </c>
      <c r="Z35" s="497">
        <f t="shared" si="1"/>
        <v>0</v>
      </c>
    </row>
    <row r="36" spans="1:33" s="625" customFormat="1" ht="37.5" x14ac:dyDescent="0.3">
      <c r="A36" s="617">
        <v>66</v>
      </c>
      <c r="B36" s="538" t="s">
        <v>1676</v>
      </c>
      <c r="C36" s="617">
        <v>1291</v>
      </c>
      <c r="D36" s="618">
        <v>43307</v>
      </c>
      <c r="E36" s="617">
        <v>432</v>
      </c>
      <c r="F36" s="617"/>
      <c r="G36" s="620">
        <v>3771210000</v>
      </c>
      <c r="H36" s="621">
        <v>3557470000</v>
      </c>
      <c r="I36" s="622"/>
      <c r="J36" s="622"/>
      <c r="K36" s="622"/>
      <c r="L36" s="622"/>
      <c r="M36" s="622"/>
      <c r="N36" s="622"/>
      <c r="O36" s="622"/>
      <c r="P36" s="622"/>
      <c r="Q36" s="622"/>
      <c r="R36" s="622"/>
      <c r="S36" s="622"/>
      <c r="T36" s="622"/>
      <c r="U36" s="622"/>
      <c r="V36" s="622"/>
      <c r="W36" s="622"/>
      <c r="X36" s="622"/>
      <c r="Y36" s="623">
        <f t="shared" si="0"/>
        <v>3771210000</v>
      </c>
      <c r="Z36" s="624">
        <f t="shared" si="1"/>
        <v>0</v>
      </c>
      <c r="AG36" s="665"/>
    </row>
    <row r="37" spans="1:33" ht="37.5" x14ac:dyDescent="0.3">
      <c r="A37" s="506">
        <v>67</v>
      </c>
      <c r="B37" s="515" t="s">
        <v>1677</v>
      </c>
      <c r="C37" s="506">
        <v>1290</v>
      </c>
      <c r="D37" s="513">
        <v>43307</v>
      </c>
      <c r="E37" s="506">
        <v>432</v>
      </c>
      <c r="F37" s="506"/>
      <c r="G37" s="517">
        <v>120000000</v>
      </c>
      <c r="H37" s="518">
        <v>7967000000</v>
      </c>
      <c r="I37" s="503"/>
      <c r="J37" s="503"/>
      <c r="K37" s="503"/>
      <c r="L37" s="503"/>
      <c r="M37" s="503"/>
      <c r="N37" s="503"/>
      <c r="O37" s="503"/>
      <c r="P37" s="503"/>
      <c r="Q37" s="503"/>
      <c r="R37" s="503"/>
      <c r="S37" s="503"/>
      <c r="T37" s="503"/>
      <c r="U37" s="503"/>
      <c r="V37" s="503"/>
      <c r="W37" s="503"/>
      <c r="X37" s="503"/>
      <c r="Y37" s="501">
        <f t="shared" si="0"/>
        <v>120000000</v>
      </c>
      <c r="Z37" s="497">
        <f t="shared" si="1"/>
        <v>0</v>
      </c>
    </row>
    <row r="38" spans="1:33" s="625" customFormat="1" ht="56.25" x14ac:dyDescent="0.3">
      <c r="A38" s="617">
        <v>71</v>
      </c>
      <c r="B38" s="538" t="s">
        <v>1678</v>
      </c>
      <c r="C38" s="617">
        <v>1379</v>
      </c>
      <c r="D38" s="618">
        <v>43327</v>
      </c>
      <c r="E38" s="619">
        <v>432</v>
      </c>
      <c r="F38" s="617"/>
      <c r="G38" s="620">
        <v>202000000</v>
      </c>
      <c r="H38" s="621"/>
      <c r="I38" s="622"/>
      <c r="J38" s="622"/>
      <c r="K38" s="622"/>
      <c r="L38" s="622"/>
      <c r="M38" s="622"/>
      <c r="N38" s="622"/>
      <c r="O38" s="622"/>
      <c r="P38" s="622"/>
      <c r="Q38" s="622"/>
      <c r="R38" s="622"/>
      <c r="S38" s="622"/>
      <c r="T38" s="622"/>
      <c r="U38" s="622"/>
      <c r="V38" s="622"/>
      <c r="W38" s="622"/>
      <c r="X38" s="622"/>
      <c r="Y38" s="623">
        <f t="shared" si="0"/>
        <v>202000000</v>
      </c>
      <c r="Z38" s="624">
        <f t="shared" si="1"/>
        <v>0</v>
      </c>
      <c r="AG38" s="665"/>
    </row>
    <row r="39" spans="1:33" s="625" customFormat="1" ht="56.25" x14ac:dyDescent="0.3">
      <c r="A39" s="617">
        <v>73</v>
      </c>
      <c r="B39" s="538" t="s">
        <v>1679</v>
      </c>
      <c r="C39" s="617">
        <v>1381</v>
      </c>
      <c r="D39" s="618">
        <v>43327</v>
      </c>
      <c r="E39" s="617">
        <v>432</v>
      </c>
      <c r="F39" s="617"/>
      <c r="G39" s="620">
        <v>22532000</v>
      </c>
      <c r="H39" s="621">
        <v>20660000</v>
      </c>
      <c r="I39" s="622"/>
      <c r="J39" s="622"/>
      <c r="K39" s="622"/>
      <c r="L39" s="622"/>
      <c r="M39" s="622"/>
      <c r="N39" s="622"/>
      <c r="O39" s="622"/>
      <c r="P39" s="622"/>
      <c r="Q39" s="622"/>
      <c r="R39" s="622"/>
      <c r="S39" s="622"/>
      <c r="T39" s="622"/>
      <c r="U39" s="622"/>
      <c r="V39" s="622"/>
      <c r="W39" s="622"/>
      <c r="X39" s="622"/>
      <c r="Y39" s="623">
        <f t="shared" si="0"/>
        <v>22532000</v>
      </c>
      <c r="Z39" s="624">
        <f t="shared" si="1"/>
        <v>0</v>
      </c>
      <c r="AG39" s="665"/>
    </row>
    <row r="40" spans="1:33" ht="56.25" x14ac:dyDescent="0.3">
      <c r="A40" s="506">
        <v>76</v>
      </c>
      <c r="B40" s="515" t="s">
        <v>1680</v>
      </c>
      <c r="C40" s="506">
        <v>1382</v>
      </c>
      <c r="D40" s="513">
        <v>43327</v>
      </c>
      <c r="E40" s="506">
        <v>432</v>
      </c>
      <c r="F40" s="506"/>
      <c r="G40" s="517">
        <v>320940000</v>
      </c>
      <c r="H40" s="518"/>
      <c r="I40" s="503"/>
      <c r="J40" s="503"/>
      <c r="K40" s="503"/>
      <c r="L40" s="503"/>
      <c r="M40" s="503"/>
      <c r="N40" s="503"/>
      <c r="O40" s="503"/>
      <c r="P40" s="503"/>
      <c r="Q40" s="503"/>
      <c r="R40" s="503"/>
      <c r="S40" s="503"/>
      <c r="T40" s="503"/>
      <c r="U40" s="503"/>
      <c r="V40" s="503"/>
      <c r="W40" s="503"/>
      <c r="X40" s="503"/>
      <c r="Y40" s="501">
        <f t="shared" si="0"/>
        <v>320940000</v>
      </c>
      <c r="Z40" s="497">
        <f t="shared" si="1"/>
        <v>0</v>
      </c>
    </row>
    <row r="41" spans="1:33" ht="37.5" x14ac:dyDescent="0.3">
      <c r="A41" s="506">
        <v>78</v>
      </c>
      <c r="B41" s="515" t="s">
        <v>1681</v>
      </c>
      <c r="C41" s="506">
        <v>176</v>
      </c>
      <c r="D41" s="513">
        <v>43311</v>
      </c>
      <c r="E41" s="506">
        <v>432</v>
      </c>
      <c r="F41" s="506"/>
      <c r="G41" s="517">
        <v>233000000</v>
      </c>
      <c r="H41" s="518">
        <v>437000000</v>
      </c>
      <c r="I41" s="503"/>
      <c r="J41" s="503"/>
      <c r="K41" s="503"/>
      <c r="L41" s="503"/>
      <c r="M41" s="503"/>
      <c r="N41" s="503"/>
      <c r="O41" s="503"/>
      <c r="P41" s="503"/>
      <c r="Q41" s="503"/>
      <c r="R41" s="503"/>
      <c r="S41" s="503"/>
      <c r="T41" s="503"/>
      <c r="U41" s="503"/>
      <c r="V41" s="503"/>
      <c r="W41" s="503"/>
      <c r="X41" s="503"/>
      <c r="Y41" s="501">
        <f t="shared" si="0"/>
        <v>233000000</v>
      </c>
      <c r="Z41" s="497">
        <f t="shared" si="1"/>
        <v>0</v>
      </c>
    </row>
    <row r="42" spans="1:33" ht="56.25" x14ac:dyDescent="0.3">
      <c r="A42" s="506">
        <v>80</v>
      </c>
      <c r="B42" s="515" t="s">
        <v>1682</v>
      </c>
      <c r="C42" s="506">
        <v>1486</v>
      </c>
      <c r="D42" s="513">
        <v>43347</v>
      </c>
      <c r="E42" s="506">
        <v>432</v>
      </c>
      <c r="F42" s="506"/>
      <c r="G42" s="517">
        <v>345122182</v>
      </c>
      <c r="H42" s="518">
        <v>1491432666</v>
      </c>
      <c r="I42" s="503"/>
      <c r="J42" s="503"/>
      <c r="K42" s="503"/>
      <c r="L42" s="503"/>
      <c r="M42" s="503"/>
      <c r="N42" s="503"/>
      <c r="O42" s="503"/>
      <c r="P42" s="503"/>
      <c r="Q42" s="503" t="s">
        <v>1683</v>
      </c>
      <c r="R42" s="503"/>
      <c r="S42" s="503"/>
      <c r="T42" s="503"/>
      <c r="U42" s="503"/>
      <c r="V42" s="503"/>
      <c r="W42" s="503"/>
      <c r="X42" s="503"/>
      <c r="Y42" s="501">
        <f t="shared" si="0"/>
        <v>345122182</v>
      </c>
      <c r="Z42" s="497">
        <f t="shared" si="1"/>
        <v>0</v>
      </c>
    </row>
    <row r="43" spans="1:33" s="625" customFormat="1" ht="37.5" x14ac:dyDescent="0.3">
      <c r="A43" s="617">
        <v>85</v>
      </c>
      <c r="B43" s="660" t="s">
        <v>1684</v>
      </c>
      <c r="C43" s="617">
        <v>1573</v>
      </c>
      <c r="D43" s="618">
        <v>43363</v>
      </c>
      <c r="E43" s="617">
        <v>432</v>
      </c>
      <c r="F43" s="617"/>
      <c r="G43" s="620">
        <v>131000000</v>
      </c>
      <c r="H43" s="621">
        <v>842000000</v>
      </c>
      <c r="I43" s="622"/>
      <c r="J43" s="622"/>
      <c r="K43" s="622"/>
      <c r="L43" s="622"/>
      <c r="M43" s="622"/>
      <c r="N43" s="622"/>
      <c r="O43" s="622"/>
      <c r="P43" s="622"/>
      <c r="Q43" s="622"/>
      <c r="R43" s="622"/>
      <c r="S43" s="622"/>
      <c r="T43" s="622"/>
      <c r="U43" s="622"/>
      <c r="V43" s="622"/>
      <c r="W43" s="622"/>
      <c r="X43" s="622"/>
      <c r="Y43" s="623">
        <f t="shared" si="0"/>
        <v>131000000</v>
      </c>
      <c r="Z43" s="624">
        <f t="shared" si="1"/>
        <v>0</v>
      </c>
      <c r="AG43" s="665"/>
    </row>
    <row r="44" spans="1:33" ht="56.25" x14ac:dyDescent="0.3">
      <c r="A44" s="506">
        <v>93</v>
      </c>
      <c r="B44" s="515" t="s">
        <v>1685</v>
      </c>
      <c r="C44" s="506">
        <v>1581</v>
      </c>
      <c r="D44" s="513">
        <v>43363</v>
      </c>
      <c r="E44" s="506">
        <v>432</v>
      </c>
      <c r="F44" s="506"/>
      <c r="G44" s="517">
        <v>12306000</v>
      </c>
      <c r="H44" s="518"/>
      <c r="I44" s="503"/>
      <c r="J44" s="503"/>
      <c r="K44" s="503"/>
      <c r="L44" s="503"/>
      <c r="M44" s="503"/>
      <c r="N44" s="503"/>
      <c r="O44" s="503"/>
      <c r="P44" s="503"/>
      <c r="Q44" s="503"/>
      <c r="R44" s="503"/>
      <c r="S44" s="503"/>
      <c r="T44" s="503"/>
      <c r="U44" s="503"/>
      <c r="V44" s="503"/>
      <c r="W44" s="503"/>
      <c r="X44" s="503"/>
      <c r="Y44" s="501">
        <f t="shared" si="0"/>
        <v>12306000</v>
      </c>
      <c r="Z44" s="497">
        <f t="shared" si="1"/>
        <v>0</v>
      </c>
      <c r="AC44" s="514">
        <f>G44+G22+G57</f>
        <v>16613140</v>
      </c>
    </row>
    <row r="45" spans="1:33" ht="37.5" x14ac:dyDescent="0.3">
      <c r="A45" s="506">
        <v>96</v>
      </c>
      <c r="B45" s="515" t="s">
        <v>1686</v>
      </c>
      <c r="C45" s="506">
        <v>1585</v>
      </c>
      <c r="D45" s="513">
        <v>43364</v>
      </c>
      <c r="E45" s="506"/>
      <c r="F45" s="506"/>
      <c r="G45" s="517">
        <v>12588000</v>
      </c>
      <c r="H45" s="518">
        <v>24150000</v>
      </c>
      <c r="I45" s="503"/>
      <c r="J45" s="503"/>
      <c r="K45" s="503"/>
      <c r="L45" s="503"/>
      <c r="M45" s="503"/>
      <c r="N45" s="503"/>
      <c r="O45" s="503"/>
      <c r="P45" s="503"/>
      <c r="Q45" s="503"/>
      <c r="R45" s="503"/>
      <c r="S45" s="503"/>
      <c r="T45" s="503"/>
      <c r="U45" s="503"/>
      <c r="V45" s="503"/>
      <c r="W45" s="503"/>
      <c r="X45" s="503"/>
      <c r="Y45" s="501">
        <f t="shared" si="0"/>
        <v>12588000</v>
      </c>
      <c r="Z45" s="497">
        <f t="shared" si="1"/>
        <v>0</v>
      </c>
    </row>
    <row r="46" spans="1:33" ht="56.25" x14ac:dyDescent="0.3">
      <c r="A46" s="506">
        <v>97</v>
      </c>
      <c r="B46" s="515" t="s">
        <v>1687</v>
      </c>
      <c r="C46" s="506">
        <v>1586</v>
      </c>
      <c r="D46" s="513">
        <v>43364</v>
      </c>
      <c r="E46" s="506">
        <v>432</v>
      </c>
      <c r="F46" s="506"/>
      <c r="G46" s="517">
        <v>505000000</v>
      </c>
      <c r="H46" s="518"/>
      <c r="I46" s="503"/>
      <c r="J46" s="503"/>
      <c r="K46" s="503"/>
      <c r="L46" s="503"/>
      <c r="M46" s="503"/>
      <c r="N46" s="503"/>
      <c r="O46" s="503"/>
      <c r="P46" s="503"/>
      <c r="Q46" s="503"/>
      <c r="R46" s="503"/>
      <c r="S46" s="503"/>
      <c r="T46" s="503"/>
      <c r="U46" s="503"/>
      <c r="V46" s="503"/>
      <c r="W46" s="503"/>
      <c r="X46" s="503"/>
      <c r="Y46" s="501">
        <f t="shared" si="0"/>
        <v>505000000</v>
      </c>
      <c r="Z46" s="497">
        <f t="shared" si="1"/>
        <v>0</v>
      </c>
    </row>
    <row r="47" spans="1:33" x14ac:dyDescent="0.3">
      <c r="A47" s="506">
        <v>98</v>
      </c>
      <c r="B47" s="515" t="s">
        <v>1688</v>
      </c>
      <c r="C47" s="506">
        <v>1776</v>
      </c>
      <c r="D47" s="513" t="s">
        <v>1689</v>
      </c>
      <c r="E47" s="506">
        <v>432</v>
      </c>
      <c r="F47" s="506"/>
      <c r="G47" s="517">
        <v>849360000</v>
      </c>
      <c r="H47" s="518"/>
      <c r="I47" s="503"/>
      <c r="J47" s="503"/>
      <c r="K47" s="503"/>
      <c r="L47" s="503"/>
      <c r="M47" s="503"/>
      <c r="N47" s="503"/>
      <c r="O47" s="503"/>
      <c r="P47" s="503"/>
      <c r="Q47" s="503"/>
      <c r="R47" s="503"/>
      <c r="S47" s="503"/>
      <c r="T47" s="503"/>
      <c r="U47" s="503"/>
      <c r="V47" s="503"/>
      <c r="W47" s="503"/>
      <c r="X47" s="503"/>
      <c r="Y47" s="501">
        <f t="shared" si="0"/>
        <v>849360000</v>
      </c>
      <c r="Z47" s="497">
        <f t="shared" si="1"/>
        <v>0</v>
      </c>
    </row>
    <row r="48" spans="1:33" ht="37.5" x14ac:dyDescent="0.3">
      <c r="A48" s="506">
        <v>115</v>
      </c>
      <c r="B48" s="515" t="s">
        <v>1690</v>
      </c>
      <c r="C48" s="506">
        <v>1939</v>
      </c>
      <c r="D48" s="513">
        <v>43418</v>
      </c>
      <c r="E48" s="506">
        <v>432</v>
      </c>
      <c r="F48" s="506"/>
      <c r="G48" s="517">
        <v>4144000</v>
      </c>
      <c r="H48" s="518">
        <v>8175000</v>
      </c>
      <c r="I48" s="503"/>
      <c r="J48" s="503"/>
      <c r="K48" s="503"/>
      <c r="L48" s="503"/>
      <c r="M48" s="503"/>
      <c r="N48" s="503"/>
      <c r="O48" s="503"/>
      <c r="P48" s="503"/>
      <c r="Q48" s="503"/>
      <c r="R48" s="503"/>
      <c r="S48" s="503"/>
      <c r="T48" s="503"/>
      <c r="U48" s="503"/>
      <c r="V48" s="503"/>
      <c r="W48" s="503"/>
      <c r="X48" s="503"/>
      <c r="Y48" s="501">
        <f t="shared" si="0"/>
        <v>4144000</v>
      </c>
      <c r="Z48" s="497">
        <f t="shared" si="1"/>
        <v>0</v>
      </c>
    </row>
    <row r="49" spans="1:33" ht="56.25" x14ac:dyDescent="0.3">
      <c r="A49" s="506">
        <v>117</v>
      </c>
      <c r="B49" s="515" t="s">
        <v>1691</v>
      </c>
      <c r="C49" s="506">
        <v>1942</v>
      </c>
      <c r="D49" s="513">
        <v>43418</v>
      </c>
      <c r="E49" s="506">
        <v>432</v>
      </c>
      <c r="F49" s="506"/>
      <c r="G49" s="517">
        <v>19720000</v>
      </c>
      <c r="H49" s="518"/>
      <c r="I49" s="503"/>
      <c r="J49" s="503"/>
      <c r="K49" s="503"/>
      <c r="L49" s="503"/>
      <c r="M49" s="503"/>
      <c r="N49" s="503"/>
      <c r="O49" s="503"/>
      <c r="P49" s="503"/>
      <c r="Q49" s="503"/>
      <c r="R49" s="503"/>
      <c r="S49" s="503"/>
      <c r="T49" s="503"/>
      <c r="U49" s="503"/>
      <c r="V49" s="503"/>
      <c r="W49" s="503"/>
      <c r="X49" s="503"/>
      <c r="Y49" s="501">
        <f t="shared" si="0"/>
        <v>19720000</v>
      </c>
      <c r="Z49" s="497">
        <f t="shared" si="1"/>
        <v>0</v>
      </c>
    </row>
    <row r="50" spans="1:33" ht="37.5" x14ac:dyDescent="0.3">
      <c r="A50" s="506">
        <v>122</v>
      </c>
      <c r="B50" s="515" t="s">
        <v>1692</v>
      </c>
      <c r="C50" s="506">
        <v>2032</v>
      </c>
      <c r="D50" s="513">
        <v>43433</v>
      </c>
      <c r="E50" s="506">
        <v>432</v>
      </c>
      <c r="F50" s="506"/>
      <c r="G50" s="517">
        <v>1600000000</v>
      </c>
      <c r="H50" s="518"/>
      <c r="I50" s="503"/>
      <c r="J50" s="503"/>
      <c r="K50" s="503"/>
      <c r="L50" s="503"/>
      <c r="M50" s="503"/>
      <c r="N50" s="503"/>
      <c r="O50" s="503"/>
      <c r="P50" s="503"/>
      <c r="Q50" s="503"/>
      <c r="R50" s="503"/>
      <c r="S50" s="503"/>
      <c r="T50" s="503"/>
      <c r="U50" s="503"/>
      <c r="V50" s="503"/>
      <c r="W50" s="503"/>
      <c r="X50" s="503"/>
      <c r="Y50" s="501">
        <f t="shared" si="0"/>
        <v>1600000000</v>
      </c>
      <c r="Z50" s="497">
        <f t="shared" si="1"/>
        <v>0</v>
      </c>
    </row>
    <row r="51" spans="1:33" s="625" customFormat="1" x14ac:dyDescent="0.3">
      <c r="A51" s="617">
        <v>149</v>
      </c>
      <c r="B51" s="641" t="s">
        <v>1693</v>
      </c>
      <c r="C51" s="622">
        <v>2363</v>
      </c>
      <c r="D51" s="618">
        <v>43462</v>
      </c>
      <c r="E51" s="617"/>
      <c r="F51" s="617"/>
      <c r="G51" s="620">
        <v>2544380000</v>
      </c>
      <c r="H51" s="642">
        <v>9345180000</v>
      </c>
      <c r="I51" s="622"/>
      <c r="J51" s="622"/>
      <c r="K51" s="622"/>
      <c r="L51" s="622"/>
      <c r="M51" s="622"/>
      <c r="N51" s="622"/>
      <c r="O51" s="622"/>
      <c r="P51" s="622"/>
      <c r="Q51" s="622"/>
      <c r="R51" s="622"/>
      <c r="S51" s="622"/>
      <c r="T51" s="622"/>
      <c r="U51" s="622"/>
      <c r="V51" s="622"/>
      <c r="W51" s="622"/>
      <c r="X51" s="622"/>
      <c r="Y51" s="623">
        <f t="shared" si="0"/>
        <v>2544380000</v>
      </c>
      <c r="Z51" s="624">
        <f t="shared" si="1"/>
        <v>0</v>
      </c>
      <c r="AG51" s="665"/>
    </row>
    <row r="52" spans="1:33" x14ac:dyDescent="0.3">
      <c r="A52" s="506">
        <v>152</v>
      </c>
      <c r="B52" s="524" t="s">
        <v>1694</v>
      </c>
      <c r="C52" s="503">
        <v>2371</v>
      </c>
      <c r="D52" s="513">
        <v>43462</v>
      </c>
      <c r="E52" s="506"/>
      <c r="F52" s="526" t="s">
        <v>1647</v>
      </c>
      <c r="G52" s="517">
        <v>100000000</v>
      </c>
      <c r="H52" s="525">
        <v>1480000000</v>
      </c>
      <c r="I52" s="503"/>
      <c r="J52" s="503"/>
      <c r="K52" s="503"/>
      <c r="L52" s="503"/>
      <c r="M52" s="503"/>
      <c r="N52" s="503"/>
      <c r="O52" s="503"/>
      <c r="P52" s="503"/>
      <c r="Q52" s="503"/>
      <c r="R52" s="503"/>
      <c r="S52" s="503"/>
      <c r="T52" s="503"/>
      <c r="U52" s="503"/>
      <c r="V52" s="503"/>
      <c r="W52" s="503"/>
      <c r="X52" s="503"/>
      <c r="Y52" s="501">
        <f t="shared" si="0"/>
        <v>100000000</v>
      </c>
      <c r="Z52" s="497">
        <f t="shared" si="1"/>
        <v>0</v>
      </c>
    </row>
    <row r="53" spans="1:33" x14ac:dyDescent="0.3">
      <c r="A53" s="506">
        <v>153</v>
      </c>
      <c r="B53" s="504" t="s">
        <v>1695</v>
      </c>
      <c r="C53" s="503">
        <v>341</v>
      </c>
      <c r="D53" s="513">
        <v>43462</v>
      </c>
      <c r="E53" s="506"/>
      <c r="F53" s="506"/>
      <c r="G53" s="517">
        <v>190000000</v>
      </c>
      <c r="H53" s="525">
        <v>1430000000</v>
      </c>
      <c r="I53" s="503"/>
      <c r="J53" s="503"/>
      <c r="K53" s="503"/>
      <c r="L53" s="503"/>
      <c r="M53" s="503"/>
      <c r="N53" s="503"/>
      <c r="O53" s="503"/>
      <c r="P53" s="503"/>
      <c r="Q53" s="503"/>
      <c r="R53" s="503"/>
      <c r="S53" s="503"/>
      <c r="T53" s="503"/>
      <c r="U53" s="503"/>
      <c r="V53" s="503"/>
      <c r="W53" s="503"/>
      <c r="X53" s="503"/>
      <c r="Y53" s="501">
        <f t="shared" si="0"/>
        <v>190000000</v>
      </c>
      <c r="Z53" s="497">
        <f t="shared" si="1"/>
        <v>0</v>
      </c>
    </row>
    <row r="54" spans="1:33" x14ac:dyDescent="0.3">
      <c r="A54" s="506">
        <v>156</v>
      </c>
      <c r="B54" s="524" t="s">
        <v>1696</v>
      </c>
      <c r="C54" s="503">
        <v>2372</v>
      </c>
      <c r="D54" s="513">
        <v>43462</v>
      </c>
      <c r="E54" s="506"/>
      <c r="F54" s="527" t="s">
        <v>1697</v>
      </c>
      <c r="G54" s="517">
        <v>125560000</v>
      </c>
      <c r="H54" s="525">
        <v>819960000</v>
      </c>
      <c r="I54" s="503"/>
      <c r="J54" s="503"/>
      <c r="K54" s="503"/>
      <c r="L54" s="503"/>
      <c r="M54" s="503"/>
      <c r="N54" s="503"/>
      <c r="O54" s="503"/>
      <c r="P54" s="503"/>
      <c r="Q54" s="503"/>
      <c r="R54" s="503"/>
      <c r="S54" s="503"/>
      <c r="T54" s="503"/>
      <c r="U54" s="503"/>
      <c r="V54" s="503"/>
      <c r="W54" s="503"/>
      <c r="X54" s="503"/>
      <c r="Y54" s="501">
        <f t="shared" si="0"/>
        <v>125560000</v>
      </c>
      <c r="Z54" s="497">
        <f t="shared" si="1"/>
        <v>0</v>
      </c>
    </row>
    <row r="55" spans="1:33" ht="37.5" x14ac:dyDescent="0.3">
      <c r="A55" s="506"/>
      <c r="B55" s="524" t="s">
        <v>1698</v>
      </c>
      <c r="C55" s="503">
        <v>2372</v>
      </c>
      <c r="D55" s="513">
        <v>43462</v>
      </c>
      <c r="E55" s="506"/>
      <c r="F55" s="527" t="s">
        <v>1697</v>
      </c>
      <c r="G55" s="517">
        <v>-350850000</v>
      </c>
      <c r="H55" s="525"/>
      <c r="I55" s="503"/>
      <c r="J55" s="503"/>
      <c r="K55" s="503"/>
      <c r="L55" s="503"/>
      <c r="M55" s="503"/>
      <c r="N55" s="503"/>
      <c r="O55" s="503"/>
      <c r="P55" s="503"/>
      <c r="Q55" s="503"/>
      <c r="R55" s="503"/>
      <c r="S55" s="503"/>
      <c r="T55" s="503"/>
      <c r="U55" s="503"/>
      <c r="V55" s="503"/>
      <c r="W55" s="503"/>
      <c r="X55" s="503"/>
      <c r="Y55" s="501">
        <f t="shared" si="0"/>
        <v>-350850000</v>
      </c>
      <c r="Z55" s="497">
        <f t="shared" si="1"/>
        <v>0</v>
      </c>
    </row>
    <row r="56" spans="1:33" x14ac:dyDescent="0.3">
      <c r="A56" s="506">
        <v>158</v>
      </c>
      <c r="B56" s="524" t="s">
        <v>1699</v>
      </c>
      <c r="C56" s="503">
        <v>2374</v>
      </c>
      <c r="D56" s="513">
        <v>43462</v>
      </c>
      <c r="E56" s="506"/>
      <c r="F56" s="527"/>
      <c r="G56" s="517">
        <v>7000000</v>
      </c>
      <c r="H56" s="520"/>
      <c r="I56" s="503"/>
      <c r="J56" s="503"/>
      <c r="K56" s="503"/>
      <c r="L56" s="503"/>
      <c r="M56" s="503"/>
      <c r="N56" s="503"/>
      <c r="O56" s="503"/>
      <c r="P56" s="503"/>
      <c r="Q56" s="503"/>
      <c r="R56" s="503"/>
      <c r="S56" s="503"/>
      <c r="T56" s="503"/>
      <c r="U56" s="503"/>
      <c r="V56" s="503"/>
      <c r="W56" s="503"/>
      <c r="X56" s="503"/>
      <c r="Y56" s="501">
        <f t="shared" si="0"/>
        <v>7000000</v>
      </c>
      <c r="Z56" s="497">
        <f t="shared" si="1"/>
        <v>0</v>
      </c>
    </row>
    <row r="57" spans="1:33" x14ac:dyDescent="0.3">
      <c r="A57" s="528">
        <v>159</v>
      </c>
      <c r="B57" s="529" t="s">
        <v>1700</v>
      </c>
      <c r="C57" s="530">
        <v>2376</v>
      </c>
      <c r="D57" s="531">
        <v>43462</v>
      </c>
      <c r="E57" s="528"/>
      <c r="F57" s="532"/>
      <c r="G57" s="533">
        <v>2461140</v>
      </c>
      <c r="H57" s="534"/>
      <c r="I57" s="530"/>
      <c r="J57" s="530"/>
      <c r="K57" s="530"/>
      <c r="L57" s="530"/>
      <c r="M57" s="530"/>
      <c r="N57" s="530"/>
      <c r="O57" s="530"/>
      <c r="P57" s="530"/>
      <c r="Q57" s="530"/>
      <c r="R57" s="530"/>
      <c r="S57" s="530"/>
      <c r="T57" s="530"/>
      <c r="U57" s="530"/>
      <c r="V57" s="530"/>
      <c r="W57" s="530"/>
      <c r="X57" s="530"/>
      <c r="Y57" s="535">
        <f t="shared" si="0"/>
        <v>2461140</v>
      </c>
      <c r="Z57" s="536">
        <f t="shared" si="1"/>
        <v>0</v>
      </c>
    </row>
  </sheetData>
  <mergeCells count="2">
    <mergeCell ref="A2:Z2"/>
    <mergeCell ref="A3:Z3"/>
  </mergeCells>
  <hyperlinks>
    <hyperlink ref="B30" r:id="rId1" display="http://hscvsotc.backan.gov.vn/sotaichinh/VBden.nsf/str/551CA1B2AE5AFEA54725828F000C7D5B?OpenDocument"/>
  </hyperlinks>
  <pageMargins left="0.7" right="0.7" top="0.75" bottom="0.75" header="0.3" footer="0.3"/>
  <pageSetup paperSize="9" orientation="portrait" verticalDpi="0"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R105"/>
  <sheetViews>
    <sheetView workbookViewId="0">
      <selection activeCell="L12" sqref="L12"/>
    </sheetView>
  </sheetViews>
  <sheetFormatPr defaultColWidth="9.140625" defaultRowHeight="15.75" x14ac:dyDescent="0.25"/>
  <cols>
    <col min="1" max="1" width="6.42578125" style="420" customWidth="1"/>
    <col min="2" max="2" width="40.7109375" style="421" customWidth="1"/>
    <col min="3" max="3" width="16.85546875" style="409" hidden="1" customWidth="1"/>
    <col min="4" max="4" width="16.85546875" style="409" customWidth="1"/>
    <col min="5" max="5" width="16.85546875" style="409" hidden="1" customWidth="1"/>
    <col min="6" max="11" width="0" style="411" hidden="1" customWidth="1"/>
    <col min="12" max="12" width="15.140625" style="412" customWidth="1"/>
    <col min="13" max="13" width="11.140625" style="411" customWidth="1"/>
    <col min="14" max="14" width="13.5703125" style="409" customWidth="1"/>
    <col min="15" max="15" width="27.7109375" style="411" customWidth="1"/>
    <col min="16" max="17" width="22.28515625" style="413" customWidth="1"/>
    <col min="18" max="18" width="15.140625" style="413" bestFit="1" customWidth="1"/>
    <col min="19" max="16384" width="9.140625" style="411"/>
  </cols>
  <sheetData>
    <row r="1" spans="1:18" x14ac:dyDescent="0.25">
      <c r="A1" s="408"/>
      <c r="B1" s="408"/>
      <c r="E1" s="410"/>
    </row>
    <row r="2" spans="1:18" s="415" customFormat="1" ht="20.25" customHeight="1" x14ac:dyDescent="0.25">
      <c r="A2" s="4622" t="s">
        <v>1587</v>
      </c>
      <c r="B2" s="4622"/>
      <c r="C2" s="4622"/>
      <c r="D2" s="4622"/>
      <c r="E2" s="4622"/>
      <c r="F2" s="4622"/>
      <c r="G2" s="4622"/>
      <c r="H2" s="4622"/>
      <c r="I2" s="4622"/>
      <c r="J2" s="4622"/>
      <c r="K2" s="4622"/>
      <c r="L2" s="4622"/>
      <c r="M2" s="4622"/>
      <c r="N2" s="4622"/>
      <c r="O2" s="4622"/>
      <c r="P2" s="414"/>
      <c r="Q2" s="414"/>
      <c r="R2" s="414"/>
    </row>
    <row r="3" spans="1:18" s="415" customFormat="1" ht="16.5" customHeight="1" x14ac:dyDescent="0.25">
      <c r="A3" s="416"/>
      <c r="B3" s="416"/>
      <c r="C3" s="417"/>
      <c r="D3" s="417"/>
      <c r="E3" s="417"/>
      <c r="L3" s="418"/>
      <c r="N3" s="419"/>
      <c r="P3" s="414"/>
      <c r="Q3" s="414"/>
      <c r="R3" s="414"/>
    </row>
    <row r="4" spans="1:18" ht="18" customHeight="1" x14ac:dyDescent="0.25">
      <c r="C4" s="422"/>
      <c r="D4" s="422"/>
      <c r="E4" s="422"/>
      <c r="N4" s="423" t="s">
        <v>147</v>
      </c>
    </row>
    <row r="5" spans="1:18" s="426" customFormat="1" ht="44.45" customHeight="1" x14ac:dyDescent="0.25">
      <c r="A5" s="4625" t="s">
        <v>844</v>
      </c>
      <c r="B5" s="4627" t="s">
        <v>845</v>
      </c>
      <c r="C5" s="4623" t="s">
        <v>1582</v>
      </c>
      <c r="D5" s="4623"/>
      <c r="E5" s="4623"/>
      <c r="F5" s="424"/>
      <c r="G5" s="424"/>
      <c r="H5" s="424"/>
      <c r="I5" s="424"/>
      <c r="J5" s="424"/>
      <c r="K5" s="424"/>
      <c r="L5" s="4632" t="s">
        <v>1581</v>
      </c>
      <c r="M5" s="4623" t="s">
        <v>1583</v>
      </c>
      <c r="N5" s="4623" t="s">
        <v>1584</v>
      </c>
      <c r="O5" s="4623" t="s">
        <v>915</v>
      </c>
      <c r="P5" s="425"/>
      <c r="Q5" s="425"/>
      <c r="R5" s="425"/>
    </row>
    <row r="6" spans="1:18" s="426" customFormat="1" ht="60.6" customHeight="1" x14ac:dyDescent="0.25">
      <c r="A6" s="4626"/>
      <c r="B6" s="4628"/>
      <c r="C6" s="4624"/>
      <c r="D6" s="4624"/>
      <c r="E6" s="4624"/>
      <c r="F6" s="427">
        <f>F8-F21</f>
        <v>0</v>
      </c>
      <c r="G6" s="428">
        <f>F6*50%</f>
        <v>0</v>
      </c>
      <c r="H6" s="427">
        <v>-11839</v>
      </c>
      <c r="I6" s="427"/>
      <c r="J6" s="427"/>
      <c r="K6" s="427"/>
      <c r="L6" s="4633"/>
      <c r="M6" s="4624"/>
      <c r="N6" s="4624"/>
      <c r="O6" s="4624"/>
      <c r="P6" s="425"/>
      <c r="Q6" s="425"/>
      <c r="R6" s="425"/>
    </row>
    <row r="7" spans="1:18" s="433" customFormat="1" ht="22.5" customHeight="1" x14ac:dyDescent="0.25">
      <c r="A7" s="429"/>
      <c r="B7" s="430" t="s">
        <v>1516</v>
      </c>
      <c r="C7" s="431" t="e">
        <f>C8+C31</f>
        <v>#REF!</v>
      </c>
      <c r="D7" s="431" t="e">
        <f>D8+D31</f>
        <v>#REF!</v>
      </c>
      <c r="E7" s="431">
        <f t="shared" ref="E7:N7" si="0">E8+E31</f>
        <v>8272.4831110000086</v>
      </c>
      <c r="F7" s="431">
        <f t="shared" si="0"/>
        <v>0.9425</v>
      </c>
      <c r="G7" s="431">
        <f t="shared" si="0"/>
        <v>0.9425</v>
      </c>
      <c r="H7" s="431">
        <f t="shared" si="0"/>
        <v>0.9425</v>
      </c>
      <c r="I7" s="431">
        <f t="shared" si="0"/>
        <v>0.9425</v>
      </c>
      <c r="J7" s="431">
        <f t="shared" si="0"/>
        <v>0.9425</v>
      </c>
      <c r="K7" s="431">
        <f t="shared" si="0"/>
        <v>0.9425</v>
      </c>
      <c r="L7" s="431">
        <f t="shared" si="0"/>
        <v>399.47806099999997</v>
      </c>
      <c r="M7" s="431">
        <f t="shared" si="0"/>
        <v>399.47806099999997</v>
      </c>
      <c r="N7" s="431" t="e">
        <f t="shared" si="0"/>
        <v>#REF!</v>
      </c>
      <c r="O7" s="429"/>
      <c r="P7" s="432">
        <f>Q9</f>
        <v>13282.207279000024</v>
      </c>
      <c r="Q7" s="432">
        <f>R9</f>
        <v>8271.840961000009</v>
      </c>
      <c r="R7" s="432"/>
    </row>
    <row r="8" spans="1:18" s="415" customFormat="1" ht="20.25" customHeight="1" x14ac:dyDescent="0.25">
      <c r="A8" s="429" t="s">
        <v>849</v>
      </c>
      <c r="B8" s="434" t="s">
        <v>707</v>
      </c>
      <c r="C8" s="435" t="e">
        <f>C9+C21</f>
        <v>#REF!</v>
      </c>
      <c r="D8" s="435" t="e">
        <f>D9+D21</f>
        <v>#REF!</v>
      </c>
      <c r="E8" s="435">
        <f t="shared" ref="E8:N8" si="1">E9+E21</f>
        <v>109.55177400000014</v>
      </c>
      <c r="F8" s="435">
        <f t="shared" si="1"/>
        <v>0</v>
      </c>
      <c r="G8" s="435">
        <f t="shared" si="1"/>
        <v>0</v>
      </c>
      <c r="H8" s="435">
        <f t="shared" si="1"/>
        <v>0</v>
      </c>
      <c r="I8" s="435">
        <f t="shared" si="1"/>
        <v>0</v>
      </c>
      <c r="J8" s="435">
        <f t="shared" si="1"/>
        <v>0</v>
      </c>
      <c r="K8" s="435">
        <f t="shared" si="1"/>
        <v>0</v>
      </c>
      <c r="L8" s="435">
        <f t="shared" si="1"/>
        <v>0</v>
      </c>
      <c r="M8" s="435">
        <f t="shared" si="1"/>
        <v>0</v>
      </c>
      <c r="N8" s="435" t="e">
        <f t="shared" si="1"/>
        <v>#REF!</v>
      </c>
      <c r="O8" s="436"/>
      <c r="P8" s="414" t="e">
        <f>P7-D7</f>
        <v>#REF!</v>
      </c>
      <c r="Q8" s="414">
        <f>Q7-E7</f>
        <v>-0.64214999999967404</v>
      </c>
      <c r="R8" s="414"/>
    </row>
    <row r="9" spans="1:18" s="415" customFormat="1" ht="21.75" customHeight="1" x14ac:dyDescent="0.25">
      <c r="A9" s="429">
        <v>1</v>
      </c>
      <c r="B9" s="434" t="s">
        <v>723</v>
      </c>
      <c r="C9" s="435" t="e">
        <f>C10+C19</f>
        <v>#REF!</v>
      </c>
      <c r="D9" s="435" t="e">
        <f>D10+D19</f>
        <v>#REF!</v>
      </c>
      <c r="E9" s="435">
        <f t="shared" ref="E9:N9" si="2">E10+E19</f>
        <v>32.212022000000132</v>
      </c>
      <c r="F9" s="435">
        <f t="shared" si="2"/>
        <v>0</v>
      </c>
      <c r="G9" s="435">
        <f t="shared" si="2"/>
        <v>0</v>
      </c>
      <c r="H9" s="435">
        <f t="shared" si="2"/>
        <v>0</v>
      </c>
      <c r="I9" s="435">
        <f t="shared" si="2"/>
        <v>0</v>
      </c>
      <c r="J9" s="435">
        <f t="shared" si="2"/>
        <v>0</v>
      </c>
      <c r="K9" s="435">
        <f t="shared" si="2"/>
        <v>0</v>
      </c>
      <c r="L9" s="435">
        <f t="shared" si="2"/>
        <v>0</v>
      </c>
      <c r="M9" s="435">
        <f t="shared" si="2"/>
        <v>0</v>
      </c>
      <c r="N9" s="435" t="e">
        <f t="shared" si="2"/>
        <v>#REF!</v>
      </c>
      <c r="O9" s="436"/>
      <c r="P9" s="414">
        <v>21554.048240000033</v>
      </c>
      <c r="Q9" s="414">
        <v>13282.207279000024</v>
      </c>
      <c r="R9" s="414">
        <v>8271.840961000009</v>
      </c>
    </row>
    <row r="10" spans="1:18" ht="39.75" customHeight="1" x14ac:dyDescent="0.25">
      <c r="A10" s="437" t="s">
        <v>851</v>
      </c>
      <c r="B10" s="438" t="s">
        <v>713</v>
      </c>
      <c r="C10" s="439" t="e">
        <f>C11+C14+C16</f>
        <v>#REF!</v>
      </c>
      <c r="D10" s="439" t="e">
        <f>D11+D14+D16</f>
        <v>#REF!</v>
      </c>
      <c r="E10" s="439">
        <f>E11+E14+E16</f>
        <v>32.212022000000132</v>
      </c>
      <c r="F10" s="440"/>
      <c r="G10" s="440"/>
      <c r="H10" s="440"/>
      <c r="I10" s="440"/>
      <c r="J10" s="440"/>
      <c r="K10" s="440"/>
      <c r="L10" s="441"/>
      <c r="M10" s="440"/>
      <c r="N10" s="439" t="e">
        <f t="shared" ref="N10:N70" si="3">D10+L10-M10</f>
        <v>#REF!</v>
      </c>
      <c r="O10" s="440"/>
      <c r="P10" s="413" t="e">
        <f>P8</f>
        <v>#REF!</v>
      </c>
    </row>
    <row r="11" spans="1:18" ht="21.75" customHeight="1" x14ac:dyDescent="0.25">
      <c r="A11" s="437" t="s">
        <v>175</v>
      </c>
      <c r="B11" s="438" t="s">
        <v>1528</v>
      </c>
      <c r="C11" s="439">
        <f>SUM(C12:C13)</f>
        <v>32.212022000000132</v>
      </c>
      <c r="D11" s="439">
        <f>SUM(D12:D13)</f>
        <v>0</v>
      </c>
      <c r="E11" s="439">
        <f>SUM(E12:E13)</f>
        <v>32.212022000000132</v>
      </c>
      <c r="F11" s="440"/>
      <c r="G11" s="440"/>
      <c r="H11" s="440"/>
      <c r="I11" s="440"/>
      <c r="J11" s="440"/>
      <c r="K11" s="440"/>
      <c r="L11" s="441"/>
      <c r="M11" s="440"/>
      <c r="N11" s="439">
        <f t="shared" si="3"/>
        <v>0</v>
      </c>
      <c r="O11" s="440"/>
    </row>
    <row r="12" spans="1:18" ht="21.75" customHeight="1" x14ac:dyDescent="0.25">
      <c r="A12" s="437" t="s">
        <v>1529</v>
      </c>
      <c r="B12" s="438" t="s">
        <v>1530</v>
      </c>
      <c r="C12" s="439">
        <f>D12+E12</f>
        <v>32.088609000000133</v>
      </c>
      <c r="D12" s="439"/>
      <c r="E12" s="442">
        <f>1168.76701-1136.678401</f>
        <v>32.088609000000133</v>
      </c>
      <c r="F12" s="440"/>
      <c r="G12" s="440"/>
      <c r="H12" s="440"/>
      <c r="I12" s="440"/>
      <c r="J12" s="440"/>
      <c r="K12" s="440"/>
      <c r="L12" s="441"/>
      <c r="M12" s="440"/>
      <c r="N12" s="439">
        <f t="shared" si="3"/>
        <v>0</v>
      </c>
      <c r="O12" s="440"/>
    </row>
    <row r="13" spans="1:18" ht="21.75" customHeight="1" x14ac:dyDescent="0.25">
      <c r="A13" s="437" t="s">
        <v>1529</v>
      </c>
      <c r="B13" s="438" t="s">
        <v>1531</v>
      </c>
      <c r="C13" s="439">
        <f t="shared" ref="C13:C30" si="4">D13+E13</f>
        <v>0.12341299999999999</v>
      </c>
      <c r="D13" s="439"/>
      <c r="E13" s="439">
        <v>0.12341299999999999</v>
      </c>
      <c r="F13" s="440"/>
      <c r="G13" s="440"/>
      <c r="H13" s="440"/>
      <c r="I13" s="440"/>
      <c r="J13" s="440"/>
      <c r="K13" s="440"/>
      <c r="L13" s="441"/>
      <c r="M13" s="440"/>
      <c r="N13" s="439">
        <f t="shared" si="3"/>
        <v>0</v>
      </c>
      <c r="O13" s="440"/>
    </row>
    <row r="14" spans="1:18" s="415" customFormat="1" ht="34.5" customHeight="1" x14ac:dyDescent="0.25">
      <c r="A14" s="429" t="s">
        <v>177</v>
      </c>
      <c r="B14" s="434" t="s">
        <v>1532</v>
      </c>
      <c r="C14" s="435">
        <f>C15</f>
        <v>165.18893299999999</v>
      </c>
      <c r="D14" s="435">
        <f>D15</f>
        <v>165.18893299999999</v>
      </c>
      <c r="E14" s="435">
        <f t="shared" ref="E14:N14" si="5">E15</f>
        <v>0</v>
      </c>
      <c r="F14" s="435">
        <f t="shared" si="5"/>
        <v>0</v>
      </c>
      <c r="G14" s="435">
        <f t="shared" si="5"/>
        <v>0</v>
      </c>
      <c r="H14" s="435">
        <f t="shared" si="5"/>
        <v>0</v>
      </c>
      <c r="I14" s="435">
        <f t="shared" si="5"/>
        <v>0</v>
      </c>
      <c r="J14" s="435">
        <f t="shared" si="5"/>
        <v>0</v>
      </c>
      <c r="K14" s="435">
        <f t="shared" si="5"/>
        <v>0</v>
      </c>
      <c r="L14" s="435">
        <f t="shared" si="5"/>
        <v>0</v>
      </c>
      <c r="M14" s="435">
        <f t="shared" si="5"/>
        <v>0</v>
      </c>
      <c r="N14" s="435">
        <f t="shared" si="5"/>
        <v>165.18893299999999</v>
      </c>
      <c r="O14" s="443"/>
      <c r="P14" s="414"/>
      <c r="Q14" s="414"/>
      <c r="R14" s="414"/>
    </row>
    <row r="15" spans="1:18" ht="21.75" customHeight="1" x14ac:dyDescent="0.25">
      <c r="A15" s="437" t="s">
        <v>1529</v>
      </c>
      <c r="B15" s="438" t="s">
        <v>1533</v>
      </c>
      <c r="C15" s="439">
        <f t="shared" si="4"/>
        <v>165.18893299999999</v>
      </c>
      <c r="D15" s="439">
        <v>165.18893299999999</v>
      </c>
      <c r="E15" s="439"/>
      <c r="F15" s="440"/>
      <c r="G15" s="440"/>
      <c r="H15" s="440"/>
      <c r="I15" s="440"/>
      <c r="J15" s="440"/>
      <c r="K15" s="440"/>
      <c r="L15" s="441"/>
      <c r="M15" s="440"/>
      <c r="N15" s="439">
        <f t="shared" si="3"/>
        <v>165.18893299999999</v>
      </c>
      <c r="O15" s="440"/>
    </row>
    <row r="16" spans="1:18" s="415" customFormat="1" ht="21.75" customHeight="1" x14ac:dyDescent="0.25">
      <c r="A16" s="429" t="s">
        <v>165</v>
      </c>
      <c r="B16" s="434" t="s">
        <v>1263</v>
      </c>
      <c r="C16" s="435" t="e">
        <f>C17+C18</f>
        <v>#REF!</v>
      </c>
      <c r="D16" s="435" t="e">
        <f>D17+D18</f>
        <v>#REF!</v>
      </c>
      <c r="E16" s="435">
        <f t="shared" ref="E16:N16" si="6">E17+E18</f>
        <v>0</v>
      </c>
      <c r="F16" s="435">
        <f t="shared" si="6"/>
        <v>0</v>
      </c>
      <c r="G16" s="435">
        <f t="shared" si="6"/>
        <v>0</v>
      </c>
      <c r="H16" s="435">
        <f t="shared" si="6"/>
        <v>0</v>
      </c>
      <c r="I16" s="435">
        <f t="shared" si="6"/>
        <v>0</v>
      </c>
      <c r="J16" s="435">
        <f t="shared" si="6"/>
        <v>0</v>
      </c>
      <c r="K16" s="435">
        <f t="shared" si="6"/>
        <v>0</v>
      </c>
      <c r="L16" s="435">
        <f t="shared" si="6"/>
        <v>0</v>
      </c>
      <c r="M16" s="435">
        <f t="shared" si="6"/>
        <v>0</v>
      </c>
      <c r="N16" s="435" t="e">
        <f t="shared" si="6"/>
        <v>#REF!</v>
      </c>
      <c r="O16" s="436"/>
      <c r="P16" s="414"/>
      <c r="Q16" s="414"/>
      <c r="R16" s="414"/>
    </row>
    <row r="17" spans="1:18" ht="21.75" customHeight="1" x14ac:dyDescent="0.25">
      <c r="A17" s="437" t="s">
        <v>1529</v>
      </c>
      <c r="B17" s="438" t="s">
        <v>1534</v>
      </c>
      <c r="C17" s="439">
        <f t="shared" si="4"/>
        <v>76.756480999999994</v>
      </c>
      <c r="D17" s="439">
        <v>76.756480999999994</v>
      </c>
      <c r="E17" s="439"/>
      <c r="F17" s="440"/>
      <c r="G17" s="440"/>
      <c r="H17" s="440"/>
      <c r="I17" s="440"/>
      <c r="J17" s="440"/>
      <c r="K17" s="440"/>
      <c r="L17" s="441"/>
      <c r="M17" s="440"/>
      <c r="N17" s="439">
        <f t="shared" si="3"/>
        <v>76.756480999999994</v>
      </c>
      <c r="O17" s="440"/>
    </row>
    <row r="18" spans="1:18" ht="21.75" customHeight="1" x14ac:dyDescent="0.25">
      <c r="A18" s="437"/>
      <c r="B18" s="438" t="s">
        <v>1264</v>
      </c>
      <c r="C18" s="439" t="e">
        <f t="shared" si="4"/>
        <v>#REF!</v>
      </c>
      <c r="D18" s="439" t="e">
        <f>'Biêu so 01 2020'!#REF!</f>
        <v>#REF!</v>
      </c>
      <c r="E18" s="439"/>
      <c r="F18" s="440"/>
      <c r="G18" s="440"/>
      <c r="H18" s="440"/>
      <c r="I18" s="440"/>
      <c r="J18" s="440"/>
      <c r="K18" s="440"/>
      <c r="L18" s="441"/>
      <c r="M18" s="440"/>
      <c r="N18" s="439" t="e">
        <f t="shared" si="3"/>
        <v>#REF!</v>
      </c>
      <c r="O18" s="440"/>
    </row>
    <row r="19" spans="1:18" s="415" customFormat="1" ht="24.75" customHeight="1" x14ac:dyDescent="0.25">
      <c r="A19" s="429" t="s">
        <v>897</v>
      </c>
      <c r="B19" s="434" t="s">
        <v>716</v>
      </c>
      <c r="C19" s="435">
        <f>C20</f>
        <v>1300</v>
      </c>
      <c r="D19" s="435">
        <f>D20</f>
        <v>1300</v>
      </c>
      <c r="E19" s="435">
        <f t="shared" ref="E19:N19" si="7">E20</f>
        <v>0</v>
      </c>
      <c r="F19" s="435">
        <f t="shared" si="7"/>
        <v>0</v>
      </c>
      <c r="G19" s="435">
        <f t="shared" si="7"/>
        <v>0</v>
      </c>
      <c r="H19" s="435">
        <f t="shared" si="7"/>
        <v>0</v>
      </c>
      <c r="I19" s="435">
        <f t="shared" si="7"/>
        <v>0</v>
      </c>
      <c r="J19" s="435">
        <f t="shared" si="7"/>
        <v>0</v>
      </c>
      <c r="K19" s="435">
        <f t="shared" si="7"/>
        <v>0</v>
      </c>
      <c r="L19" s="435">
        <f t="shared" si="7"/>
        <v>0</v>
      </c>
      <c r="M19" s="435">
        <f t="shared" si="7"/>
        <v>0</v>
      </c>
      <c r="N19" s="435">
        <f t="shared" si="7"/>
        <v>1300</v>
      </c>
      <c r="O19" s="436"/>
      <c r="P19" s="414"/>
      <c r="Q19" s="414"/>
      <c r="R19" s="414"/>
    </row>
    <row r="20" spans="1:18" ht="33.75" customHeight="1" x14ac:dyDescent="0.25">
      <c r="A20" s="437"/>
      <c r="B20" s="438" t="s">
        <v>1330</v>
      </c>
      <c r="C20" s="439">
        <f t="shared" si="4"/>
        <v>1300</v>
      </c>
      <c r="D20" s="439">
        <v>1300</v>
      </c>
      <c r="E20" s="439"/>
      <c r="F20" s="440"/>
      <c r="G20" s="440"/>
      <c r="H20" s="440"/>
      <c r="I20" s="440"/>
      <c r="J20" s="440"/>
      <c r="K20" s="440"/>
      <c r="L20" s="441"/>
      <c r="M20" s="440"/>
      <c r="N20" s="439">
        <f t="shared" si="3"/>
        <v>1300</v>
      </c>
      <c r="O20" s="440"/>
    </row>
    <row r="21" spans="1:18" s="415" customFormat="1" ht="24.75" customHeight="1" x14ac:dyDescent="0.25">
      <c r="A21" s="429">
        <v>2</v>
      </c>
      <c r="B21" s="444" t="s">
        <v>708</v>
      </c>
      <c r="C21" s="435" t="e">
        <f>SUM(C22:C30)</f>
        <v>#REF!</v>
      </c>
      <c r="D21" s="435" t="e">
        <f>SUM(D22:D30)</f>
        <v>#REF!</v>
      </c>
      <c r="E21" s="435">
        <f t="shared" ref="E21:N21" si="8">SUM(E22:E30)</f>
        <v>77.339752000000004</v>
      </c>
      <c r="F21" s="435">
        <f t="shared" si="8"/>
        <v>0</v>
      </c>
      <c r="G21" s="435">
        <f t="shared" si="8"/>
        <v>0</v>
      </c>
      <c r="H21" s="435">
        <f t="shared" si="8"/>
        <v>0</v>
      </c>
      <c r="I21" s="435">
        <f t="shared" si="8"/>
        <v>0</v>
      </c>
      <c r="J21" s="435">
        <f t="shared" si="8"/>
        <v>0</v>
      </c>
      <c r="K21" s="435">
        <f t="shared" si="8"/>
        <v>0</v>
      </c>
      <c r="L21" s="435">
        <f t="shared" si="8"/>
        <v>0</v>
      </c>
      <c r="M21" s="435">
        <f t="shared" si="8"/>
        <v>0</v>
      </c>
      <c r="N21" s="435" t="e">
        <f t="shared" si="8"/>
        <v>#REF!</v>
      </c>
      <c r="O21" s="436"/>
      <c r="P21" s="414"/>
      <c r="Q21" s="414"/>
      <c r="R21" s="414"/>
    </row>
    <row r="22" spans="1:18" ht="24.75" customHeight="1" x14ac:dyDescent="0.25">
      <c r="A22" s="437">
        <v>1</v>
      </c>
      <c r="B22" s="445" t="s">
        <v>717</v>
      </c>
      <c r="C22" s="439">
        <f t="shared" si="4"/>
        <v>0</v>
      </c>
      <c r="D22" s="446"/>
      <c r="E22" s="447"/>
      <c r="F22" s="440"/>
      <c r="G22" s="440"/>
      <c r="H22" s="440"/>
      <c r="I22" s="440"/>
      <c r="J22" s="440"/>
      <c r="K22" s="440"/>
      <c r="L22" s="441"/>
      <c r="M22" s="440"/>
      <c r="N22" s="439">
        <f t="shared" si="3"/>
        <v>0</v>
      </c>
      <c r="O22" s="440"/>
    </row>
    <row r="23" spans="1:18" ht="24.75" customHeight="1" x14ac:dyDescent="0.25">
      <c r="A23" s="437">
        <v>2</v>
      </c>
      <c r="B23" s="445" t="s">
        <v>876</v>
      </c>
      <c r="C23" s="439">
        <f t="shared" si="4"/>
        <v>609.20835000000034</v>
      </c>
      <c r="D23" s="446">
        <v>609.20835000000034</v>
      </c>
      <c r="E23" s="447"/>
      <c r="F23" s="440"/>
      <c r="G23" s="440"/>
      <c r="H23" s="440"/>
      <c r="I23" s="440"/>
      <c r="J23" s="440"/>
      <c r="K23" s="440"/>
      <c r="L23" s="441"/>
      <c r="M23" s="440"/>
      <c r="N23" s="439">
        <f t="shared" si="3"/>
        <v>609.20835000000034</v>
      </c>
      <c r="O23" s="440"/>
    </row>
    <row r="24" spans="1:18" ht="33" customHeight="1" x14ac:dyDescent="0.25">
      <c r="A24" s="437">
        <v>3</v>
      </c>
      <c r="B24" s="445" t="s">
        <v>721</v>
      </c>
      <c r="C24" s="439">
        <f t="shared" si="4"/>
        <v>0</v>
      </c>
      <c r="D24" s="446"/>
      <c r="E24" s="447"/>
      <c r="F24" s="440"/>
      <c r="G24" s="440"/>
      <c r="H24" s="440"/>
      <c r="I24" s="440"/>
      <c r="J24" s="440"/>
      <c r="K24" s="440"/>
      <c r="L24" s="441"/>
      <c r="M24" s="440"/>
      <c r="N24" s="439">
        <f t="shared" si="3"/>
        <v>0</v>
      </c>
      <c r="O24" s="440"/>
    </row>
    <row r="25" spans="1:18" ht="24.75" customHeight="1" x14ac:dyDescent="0.25">
      <c r="A25" s="437">
        <v>4</v>
      </c>
      <c r="B25" s="445" t="s">
        <v>720</v>
      </c>
      <c r="C25" s="439">
        <f t="shared" si="4"/>
        <v>0</v>
      </c>
      <c r="D25" s="446"/>
      <c r="E25" s="447"/>
      <c r="F25" s="440"/>
      <c r="G25" s="440"/>
      <c r="H25" s="440"/>
      <c r="I25" s="440"/>
      <c r="J25" s="440"/>
      <c r="K25" s="440"/>
      <c r="L25" s="441"/>
      <c r="M25" s="440"/>
      <c r="N25" s="439">
        <f t="shared" si="3"/>
        <v>0</v>
      </c>
      <c r="O25" s="440"/>
    </row>
    <row r="26" spans="1:18" ht="24.75" customHeight="1" x14ac:dyDescent="0.25">
      <c r="A26" s="437">
        <v>5</v>
      </c>
      <c r="B26" s="445" t="s">
        <v>718</v>
      </c>
      <c r="C26" s="439">
        <f t="shared" si="4"/>
        <v>623.63929199999995</v>
      </c>
      <c r="D26" s="446">
        <v>623.63929199999995</v>
      </c>
      <c r="E26" s="447"/>
      <c r="F26" s="440"/>
      <c r="G26" s="440"/>
      <c r="H26" s="440"/>
      <c r="I26" s="440"/>
      <c r="J26" s="440"/>
      <c r="K26" s="440"/>
      <c r="L26" s="441"/>
      <c r="M26" s="440"/>
      <c r="N26" s="439">
        <f t="shared" si="3"/>
        <v>623.63929199999995</v>
      </c>
      <c r="O26" s="440"/>
    </row>
    <row r="27" spans="1:18" ht="24.75" customHeight="1" x14ac:dyDescent="0.25">
      <c r="A27" s="437">
        <v>6</v>
      </c>
      <c r="B27" s="445" t="s">
        <v>719</v>
      </c>
      <c r="C27" s="439">
        <f t="shared" si="4"/>
        <v>0</v>
      </c>
      <c r="D27" s="446"/>
      <c r="E27" s="447"/>
      <c r="F27" s="440"/>
      <c r="G27" s="440"/>
      <c r="H27" s="440"/>
      <c r="I27" s="440"/>
      <c r="J27" s="440"/>
      <c r="K27" s="440"/>
      <c r="L27" s="441"/>
      <c r="M27" s="440"/>
      <c r="N27" s="439">
        <f t="shared" si="3"/>
        <v>0</v>
      </c>
      <c r="O27" s="440"/>
    </row>
    <row r="28" spans="1:18" ht="24.75" customHeight="1" x14ac:dyDescent="0.25">
      <c r="A28" s="437">
        <v>7</v>
      </c>
      <c r="B28" s="445" t="s">
        <v>722</v>
      </c>
      <c r="C28" s="439">
        <f t="shared" si="4"/>
        <v>0</v>
      </c>
      <c r="D28" s="446"/>
      <c r="E28" s="447"/>
      <c r="F28" s="440"/>
      <c r="G28" s="440"/>
      <c r="H28" s="440"/>
      <c r="I28" s="440"/>
      <c r="J28" s="440"/>
      <c r="K28" s="440"/>
      <c r="L28" s="441"/>
      <c r="M28" s="440"/>
      <c r="N28" s="439">
        <f t="shared" si="3"/>
        <v>0</v>
      </c>
      <c r="O28" s="440"/>
    </row>
    <row r="29" spans="1:18" ht="38.25" customHeight="1" x14ac:dyDescent="0.25">
      <c r="A29" s="437">
        <v>8</v>
      </c>
      <c r="B29" s="445" t="s">
        <v>1329</v>
      </c>
      <c r="C29" s="439">
        <f t="shared" si="4"/>
        <v>0</v>
      </c>
      <c r="D29" s="446"/>
      <c r="E29" s="447"/>
      <c r="F29" s="440"/>
      <c r="G29" s="440"/>
      <c r="H29" s="440"/>
      <c r="I29" s="440"/>
      <c r="J29" s="440"/>
      <c r="K29" s="440"/>
      <c r="L29" s="441"/>
      <c r="M29" s="440"/>
      <c r="N29" s="439">
        <f t="shared" si="3"/>
        <v>0</v>
      </c>
      <c r="O29" s="440"/>
    </row>
    <row r="30" spans="1:18" ht="24.75" customHeight="1" x14ac:dyDescent="0.25">
      <c r="A30" s="437">
        <v>9</v>
      </c>
      <c r="B30" s="448" t="s">
        <v>1226</v>
      </c>
      <c r="C30" s="439" t="e">
        <f t="shared" si="4"/>
        <v>#REF!</v>
      </c>
      <c r="D30" s="446" t="e">
        <f>'Biêu so 01 2020'!#REF!</f>
        <v>#REF!</v>
      </c>
      <c r="E30" s="447">
        <v>77.339752000000004</v>
      </c>
      <c r="F30" s="440"/>
      <c r="G30" s="440"/>
      <c r="H30" s="440"/>
      <c r="I30" s="440"/>
      <c r="J30" s="440"/>
      <c r="K30" s="440"/>
      <c r="L30" s="441"/>
      <c r="M30" s="440"/>
      <c r="N30" s="439" t="e">
        <f t="shared" si="3"/>
        <v>#REF!</v>
      </c>
      <c r="O30" s="440"/>
    </row>
    <row r="31" spans="1:18" s="415" customFormat="1" ht="24.75" customHeight="1" x14ac:dyDescent="0.25">
      <c r="A31" s="429" t="s">
        <v>866</v>
      </c>
      <c r="B31" s="434" t="s">
        <v>709</v>
      </c>
      <c r="C31" s="435">
        <f>C32+C83</f>
        <v>18086.339749999985</v>
      </c>
      <c r="D31" s="435">
        <f>D32+D83</f>
        <v>9923.4084129999774</v>
      </c>
      <c r="E31" s="435">
        <f t="shared" ref="E31:N31" si="9">E32+E83</f>
        <v>8162.9313370000091</v>
      </c>
      <c r="F31" s="435">
        <f t="shared" si="9"/>
        <v>0.9425</v>
      </c>
      <c r="G31" s="435">
        <f t="shared" si="9"/>
        <v>0.9425</v>
      </c>
      <c r="H31" s="435">
        <f t="shared" si="9"/>
        <v>0.9425</v>
      </c>
      <c r="I31" s="435">
        <f t="shared" si="9"/>
        <v>0.9425</v>
      </c>
      <c r="J31" s="435">
        <f t="shared" si="9"/>
        <v>0.9425</v>
      </c>
      <c r="K31" s="435">
        <f t="shared" si="9"/>
        <v>0.9425</v>
      </c>
      <c r="L31" s="435">
        <f t="shared" si="9"/>
        <v>399.47806099999997</v>
      </c>
      <c r="M31" s="435">
        <f t="shared" si="9"/>
        <v>399.47806099999997</v>
      </c>
      <c r="N31" s="435">
        <f t="shared" si="9"/>
        <v>9923.4084129999774</v>
      </c>
      <c r="O31" s="436"/>
      <c r="P31" s="414"/>
      <c r="Q31" s="414"/>
      <c r="R31" s="414"/>
    </row>
    <row r="32" spans="1:18" s="415" customFormat="1" ht="31.5" customHeight="1" x14ac:dyDescent="0.25">
      <c r="A32" s="429">
        <v>1</v>
      </c>
      <c r="B32" s="434" t="s">
        <v>710</v>
      </c>
      <c r="C32" s="435">
        <f>C33+C67</f>
        <v>2290.2983980000004</v>
      </c>
      <c r="D32" s="435">
        <f>D33+D67</f>
        <v>1695.0210860000007</v>
      </c>
      <c r="E32" s="435">
        <f t="shared" ref="E32:N32" si="10">E33+E67</f>
        <v>595.27731199999982</v>
      </c>
      <c r="F32" s="435">
        <f t="shared" si="10"/>
        <v>0.9425</v>
      </c>
      <c r="G32" s="435">
        <f t="shared" si="10"/>
        <v>0.9425</v>
      </c>
      <c r="H32" s="435">
        <f t="shared" si="10"/>
        <v>0.9425</v>
      </c>
      <c r="I32" s="435">
        <f t="shared" si="10"/>
        <v>0.9425</v>
      </c>
      <c r="J32" s="435">
        <f t="shared" si="10"/>
        <v>0.9425</v>
      </c>
      <c r="K32" s="435">
        <f t="shared" si="10"/>
        <v>0.9425</v>
      </c>
      <c r="L32" s="435">
        <f t="shared" si="10"/>
        <v>0.9425</v>
      </c>
      <c r="M32" s="435">
        <f t="shared" si="10"/>
        <v>0.9425</v>
      </c>
      <c r="N32" s="435">
        <f t="shared" si="10"/>
        <v>1695.0210860000007</v>
      </c>
      <c r="O32" s="443"/>
      <c r="P32" s="449"/>
      <c r="Q32" s="414"/>
      <c r="R32" s="414"/>
    </row>
    <row r="33" spans="1:18" s="415" customFormat="1" ht="31.5" customHeight="1" x14ac:dyDescent="0.25">
      <c r="A33" s="429" t="s">
        <v>851</v>
      </c>
      <c r="B33" s="434" t="s">
        <v>713</v>
      </c>
      <c r="C33" s="435">
        <f>C34+C56+C62+C64</f>
        <v>623.42271199999971</v>
      </c>
      <c r="D33" s="435">
        <f>D34+D56+D62+D64</f>
        <v>124.8454</v>
      </c>
      <c r="E33" s="435">
        <f t="shared" ref="E33:N33" si="11">E34+E56+E62+E64</f>
        <v>498.57731199999978</v>
      </c>
      <c r="F33" s="435">
        <f t="shared" si="11"/>
        <v>0.9425</v>
      </c>
      <c r="G33" s="435">
        <f t="shared" si="11"/>
        <v>0.9425</v>
      </c>
      <c r="H33" s="435">
        <f t="shared" si="11"/>
        <v>0.9425</v>
      </c>
      <c r="I33" s="435">
        <f t="shared" si="11"/>
        <v>0.9425</v>
      </c>
      <c r="J33" s="435">
        <f t="shared" si="11"/>
        <v>0.9425</v>
      </c>
      <c r="K33" s="435">
        <f t="shared" si="11"/>
        <v>0.9425</v>
      </c>
      <c r="L33" s="435">
        <f t="shared" si="11"/>
        <v>0.9425</v>
      </c>
      <c r="M33" s="435">
        <f t="shared" si="11"/>
        <v>0.9425</v>
      </c>
      <c r="N33" s="435">
        <f t="shared" si="11"/>
        <v>124.8454</v>
      </c>
      <c r="O33" s="436"/>
      <c r="P33" s="414"/>
      <c r="Q33" s="414"/>
      <c r="R33" s="414"/>
    </row>
    <row r="34" spans="1:18" s="415" customFormat="1" ht="21.75" customHeight="1" x14ac:dyDescent="0.25">
      <c r="A34" s="429" t="s">
        <v>175</v>
      </c>
      <c r="B34" s="434" t="s">
        <v>1200</v>
      </c>
      <c r="C34" s="435">
        <f>C35+C43+C49+C55</f>
        <v>210.07132599999989</v>
      </c>
      <c r="D34" s="435">
        <f>D35+D43+D49+D55</f>
        <v>8</v>
      </c>
      <c r="E34" s="435">
        <f t="shared" ref="E34:N34" si="12">E35+E43+E49+E55</f>
        <v>202.07132599999989</v>
      </c>
      <c r="F34" s="435">
        <f t="shared" si="12"/>
        <v>0</v>
      </c>
      <c r="G34" s="435">
        <f t="shared" si="12"/>
        <v>0</v>
      </c>
      <c r="H34" s="435">
        <f t="shared" si="12"/>
        <v>0</v>
      </c>
      <c r="I34" s="435">
        <f t="shared" si="12"/>
        <v>0</v>
      </c>
      <c r="J34" s="435">
        <f t="shared" si="12"/>
        <v>0</v>
      </c>
      <c r="K34" s="435">
        <f t="shared" si="12"/>
        <v>0</v>
      </c>
      <c r="L34" s="435">
        <f t="shared" si="12"/>
        <v>0</v>
      </c>
      <c r="M34" s="435">
        <f t="shared" si="12"/>
        <v>0</v>
      </c>
      <c r="N34" s="435">
        <f t="shared" si="12"/>
        <v>8</v>
      </c>
      <c r="O34" s="450"/>
      <c r="P34" s="414"/>
      <c r="Q34" s="414"/>
      <c r="R34" s="414"/>
    </row>
    <row r="35" spans="1:18" s="415" customFormat="1" ht="21.75" customHeight="1" x14ac:dyDescent="0.25">
      <c r="A35" s="429" t="s">
        <v>1317</v>
      </c>
      <c r="B35" s="434" t="s">
        <v>1538</v>
      </c>
      <c r="C35" s="435">
        <f>D35+E35</f>
        <v>91.355199999999996</v>
      </c>
      <c r="D35" s="435">
        <f>SUM(D36:D42)</f>
        <v>8</v>
      </c>
      <c r="E35" s="435">
        <f>SUM(E36:E42)</f>
        <v>83.355199999999996</v>
      </c>
      <c r="F35" s="436"/>
      <c r="G35" s="436"/>
      <c r="H35" s="436"/>
      <c r="I35" s="436"/>
      <c r="J35" s="436"/>
      <c r="K35" s="436"/>
      <c r="L35" s="451"/>
      <c r="M35" s="436"/>
      <c r="N35" s="439">
        <f t="shared" si="3"/>
        <v>8</v>
      </c>
      <c r="O35" s="436"/>
      <c r="P35" s="414"/>
      <c r="Q35" s="414"/>
      <c r="R35" s="414"/>
    </row>
    <row r="36" spans="1:18" ht="21.75" customHeight="1" x14ac:dyDescent="0.25">
      <c r="A36" s="437"/>
      <c r="B36" s="438" t="s">
        <v>1536</v>
      </c>
      <c r="C36" s="439">
        <f t="shared" ref="C36:C95" si="13">D36+E36</f>
        <v>0</v>
      </c>
      <c r="D36" s="439"/>
      <c r="E36" s="439"/>
      <c r="F36" s="440"/>
      <c r="G36" s="440"/>
      <c r="H36" s="440"/>
      <c r="I36" s="440"/>
      <c r="J36" s="440"/>
      <c r="K36" s="440"/>
      <c r="L36" s="441"/>
      <c r="M36" s="440"/>
      <c r="N36" s="439">
        <f t="shared" si="3"/>
        <v>0</v>
      </c>
      <c r="O36" s="440"/>
    </row>
    <row r="37" spans="1:18" ht="21.75" customHeight="1" x14ac:dyDescent="0.25">
      <c r="A37" s="437"/>
      <c r="B37" s="438" t="s">
        <v>1537</v>
      </c>
      <c r="C37" s="439">
        <f t="shared" si="13"/>
        <v>0</v>
      </c>
      <c r="D37" s="439"/>
      <c r="E37" s="439"/>
      <c r="F37" s="440"/>
      <c r="G37" s="440"/>
      <c r="H37" s="440"/>
      <c r="I37" s="440"/>
      <c r="J37" s="440"/>
      <c r="K37" s="440"/>
      <c r="L37" s="441"/>
      <c r="M37" s="440"/>
      <c r="N37" s="439">
        <f t="shared" si="3"/>
        <v>0</v>
      </c>
      <c r="O37" s="440"/>
    </row>
    <row r="38" spans="1:18" ht="21.75" customHeight="1" x14ac:dyDescent="0.25">
      <c r="A38" s="437"/>
      <c r="B38" s="438" t="s">
        <v>1539</v>
      </c>
      <c r="C38" s="439">
        <f t="shared" si="13"/>
        <v>83.355199999999996</v>
      </c>
      <c r="D38" s="439"/>
      <c r="E38" s="439">
        <v>83.355199999999996</v>
      </c>
      <c r="F38" s="440"/>
      <c r="G38" s="440"/>
      <c r="H38" s="440"/>
      <c r="I38" s="440"/>
      <c r="J38" s="440"/>
      <c r="K38" s="440"/>
      <c r="L38" s="441"/>
      <c r="M38" s="440"/>
      <c r="N38" s="439">
        <f t="shared" si="3"/>
        <v>0</v>
      </c>
      <c r="O38" s="440"/>
    </row>
    <row r="39" spans="1:18" ht="21.75" customHeight="1" x14ac:dyDescent="0.25">
      <c r="A39" s="437"/>
      <c r="B39" s="438" t="s">
        <v>1540</v>
      </c>
      <c r="C39" s="439">
        <f t="shared" si="13"/>
        <v>0</v>
      </c>
      <c r="D39" s="439"/>
      <c r="E39" s="439"/>
      <c r="F39" s="440"/>
      <c r="G39" s="440"/>
      <c r="H39" s="440"/>
      <c r="I39" s="440"/>
      <c r="J39" s="440"/>
      <c r="K39" s="440"/>
      <c r="L39" s="441"/>
      <c r="M39" s="440"/>
      <c r="N39" s="439">
        <f t="shared" si="3"/>
        <v>0</v>
      </c>
      <c r="O39" s="440"/>
    </row>
    <row r="40" spans="1:18" ht="21.75" customHeight="1" x14ac:dyDescent="0.25">
      <c r="A40" s="437"/>
      <c r="B40" s="438" t="s">
        <v>1541</v>
      </c>
      <c r="C40" s="439">
        <f t="shared" si="13"/>
        <v>0</v>
      </c>
      <c r="D40" s="439"/>
      <c r="E40" s="439"/>
      <c r="F40" s="440"/>
      <c r="G40" s="440"/>
      <c r="H40" s="440"/>
      <c r="I40" s="440"/>
      <c r="J40" s="440"/>
      <c r="K40" s="440"/>
      <c r="L40" s="441"/>
      <c r="M40" s="440"/>
      <c r="N40" s="439">
        <f t="shared" si="3"/>
        <v>0</v>
      </c>
      <c r="O40" s="440"/>
    </row>
    <row r="41" spans="1:18" ht="21.75" customHeight="1" x14ac:dyDescent="0.25">
      <c r="A41" s="437"/>
      <c r="B41" s="438" t="s">
        <v>1542</v>
      </c>
      <c r="C41" s="439">
        <f t="shared" si="13"/>
        <v>0</v>
      </c>
      <c r="D41" s="439"/>
      <c r="E41" s="439"/>
      <c r="F41" s="440"/>
      <c r="G41" s="440"/>
      <c r="H41" s="440"/>
      <c r="I41" s="440"/>
      <c r="J41" s="440"/>
      <c r="K41" s="440"/>
      <c r="L41" s="441"/>
      <c r="M41" s="440"/>
      <c r="N41" s="439">
        <f t="shared" si="3"/>
        <v>0</v>
      </c>
      <c r="O41" s="440"/>
    </row>
    <row r="42" spans="1:18" ht="21.75" customHeight="1" x14ac:dyDescent="0.25">
      <c r="A42" s="437"/>
      <c r="B42" s="438" t="s">
        <v>1214</v>
      </c>
      <c r="C42" s="439"/>
      <c r="D42" s="439">
        <v>8</v>
      </c>
      <c r="E42" s="439"/>
      <c r="F42" s="440"/>
      <c r="G42" s="440"/>
      <c r="H42" s="440"/>
      <c r="I42" s="440"/>
      <c r="J42" s="440"/>
      <c r="K42" s="440"/>
      <c r="L42" s="441"/>
      <c r="M42" s="440"/>
      <c r="N42" s="439">
        <f t="shared" si="3"/>
        <v>8</v>
      </c>
      <c r="O42" s="440"/>
    </row>
    <row r="43" spans="1:18" s="415" customFormat="1" ht="21.75" customHeight="1" x14ac:dyDescent="0.25">
      <c r="A43" s="429" t="s">
        <v>1317</v>
      </c>
      <c r="B43" s="434" t="s">
        <v>1543</v>
      </c>
      <c r="C43" s="435">
        <f>SUM(C44:C48)</f>
        <v>58.302309999999878</v>
      </c>
      <c r="D43" s="435">
        <f>SUM(D44:D48)</f>
        <v>0</v>
      </c>
      <c r="E43" s="435">
        <f>SUM(E44:E48)</f>
        <v>58.302309999999878</v>
      </c>
      <c r="F43" s="436"/>
      <c r="G43" s="436"/>
      <c r="H43" s="436"/>
      <c r="I43" s="436"/>
      <c r="J43" s="436"/>
      <c r="K43" s="436"/>
      <c r="L43" s="451"/>
      <c r="M43" s="436"/>
      <c r="N43" s="439">
        <f t="shared" si="3"/>
        <v>0</v>
      </c>
      <c r="O43" s="436"/>
      <c r="P43" s="414"/>
      <c r="Q43" s="414"/>
      <c r="R43" s="414"/>
    </row>
    <row r="44" spans="1:18" ht="21.75" customHeight="1" x14ac:dyDescent="0.25">
      <c r="A44" s="437"/>
      <c r="B44" s="438" t="s">
        <v>1537</v>
      </c>
      <c r="C44" s="439">
        <f t="shared" si="13"/>
        <v>0</v>
      </c>
      <c r="D44" s="439"/>
      <c r="E44" s="439"/>
      <c r="F44" s="440"/>
      <c r="G44" s="440"/>
      <c r="H44" s="440"/>
      <c r="I44" s="440"/>
      <c r="J44" s="440"/>
      <c r="K44" s="440"/>
      <c r="L44" s="441"/>
      <c r="M44" s="440"/>
      <c r="N44" s="439">
        <f t="shared" si="3"/>
        <v>0</v>
      </c>
      <c r="O44" s="440"/>
    </row>
    <row r="45" spans="1:18" ht="21.75" customHeight="1" x14ac:dyDescent="0.25">
      <c r="A45" s="437"/>
      <c r="B45" s="438" t="s">
        <v>1540</v>
      </c>
      <c r="C45" s="439">
        <f t="shared" si="13"/>
        <v>36.527000000000001</v>
      </c>
      <c r="D45" s="439"/>
      <c r="E45" s="439">
        <v>36.527000000000001</v>
      </c>
      <c r="F45" s="440"/>
      <c r="G45" s="440"/>
      <c r="H45" s="440"/>
      <c r="I45" s="440"/>
      <c r="J45" s="440"/>
      <c r="K45" s="440"/>
      <c r="L45" s="441"/>
      <c r="M45" s="440"/>
      <c r="N45" s="439">
        <f t="shared" si="3"/>
        <v>0</v>
      </c>
      <c r="O45" s="440"/>
    </row>
    <row r="46" spans="1:18" ht="21.75" customHeight="1" x14ac:dyDescent="0.25">
      <c r="A46" s="437"/>
      <c r="B46" s="438" t="s">
        <v>1541</v>
      </c>
      <c r="C46" s="439">
        <f t="shared" si="13"/>
        <v>0</v>
      </c>
      <c r="D46" s="439"/>
      <c r="E46" s="439"/>
      <c r="F46" s="440"/>
      <c r="G46" s="440"/>
      <c r="H46" s="440"/>
      <c r="I46" s="440"/>
      <c r="J46" s="440"/>
      <c r="K46" s="440"/>
      <c r="L46" s="441"/>
      <c r="M46" s="440"/>
      <c r="N46" s="439">
        <f t="shared" si="3"/>
        <v>0</v>
      </c>
      <c r="O46" s="440"/>
    </row>
    <row r="47" spans="1:18" ht="21.75" customHeight="1" x14ac:dyDescent="0.25">
      <c r="A47" s="437"/>
      <c r="B47" s="438" t="s">
        <v>1542</v>
      </c>
      <c r="C47" s="439">
        <f t="shared" si="13"/>
        <v>20.015999999999963</v>
      </c>
      <c r="D47" s="439"/>
      <c r="E47" s="439">
        <v>20.015999999999963</v>
      </c>
      <c r="F47" s="440"/>
      <c r="G47" s="440"/>
      <c r="H47" s="440"/>
      <c r="I47" s="440"/>
      <c r="J47" s="440"/>
      <c r="K47" s="440"/>
      <c r="L47" s="441"/>
      <c r="M47" s="440"/>
      <c r="N47" s="439">
        <f t="shared" si="3"/>
        <v>0</v>
      </c>
      <c r="O47" s="440"/>
    </row>
    <row r="48" spans="1:18" ht="21.75" customHeight="1" x14ac:dyDescent="0.25">
      <c r="A48" s="437"/>
      <c r="B48" s="438" t="s">
        <v>1535</v>
      </c>
      <c r="C48" s="439">
        <f>D48+E48</f>
        <v>1.759309999999914</v>
      </c>
      <c r="D48" s="439"/>
      <c r="E48" s="439">
        <f>1600-1598.24069</f>
        <v>1.759309999999914</v>
      </c>
      <c r="F48" s="440"/>
      <c r="G48" s="440"/>
      <c r="H48" s="440"/>
      <c r="I48" s="440"/>
      <c r="J48" s="440"/>
      <c r="K48" s="440"/>
      <c r="L48" s="441"/>
      <c r="M48" s="440"/>
      <c r="N48" s="439">
        <f t="shared" si="3"/>
        <v>0</v>
      </c>
      <c r="O48" s="440"/>
    </row>
    <row r="49" spans="1:18" s="415" customFormat="1" ht="21.75" customHeight="1" x14ac:dyDescent="0.25">
      <c r="A49" s="429" t="s">
        <v>1317</v>
      </c>
      <c r="B49" s="434" t="s">
        <v>1544</v>
      </c>
      <c r="C49" s="435">
        <f>D49+E49</f>
        <v>46.406946999999995</v>
      </c>
      <c r="D49" s="435"/>
      <c r="E49" s="435">
        <f>SUM(E50:E54)</f>
        <v>46.406946999999995</v>
      </c>
      <c r="F49" s="436"/>
      <c r="G49" s="436"/>
      <c r="H49" s="436"/>
      <c r="I49" s="436"/>
      <c r="J49" s="436"/>
      <c r="K49" s="436"/>
      <c r="L49" s="451"/>
      <c r="M49" s="436"/>
      <c r="N49" s="439">
        <f t="shared" si="3"/>
        <v>0</v>
      </c>
      <c r="O49" s="436"/>
      <c r="P49" s="414"/>
      <c r="Q49" s="414"/>
      <c r="R49" s="414"/>
    </row>
    <row r="50" spans="1:18" ht="21.75" customHeight="1" x14ac:dyDescent="0.25">
      <c r="A50" s="437"/>
      <c r="B50" s="438" t="s">
        <v>1539</v>
      </c>
      <c r="C50" s="439">
        <f t="shared" si="13"/>
        <v>0</v>
      </c>
      <c r="D50" s="439"/>
      <c r="E50" s="439"/>
      <c r="F50" s="440"/>
      <c r="G50" s="440"/>
      <c r="H50" s="440"/>
      <c r="I50" s="440"/>
      <c r="J50" s="440"/>
      <c r="K50" s="440"/>
      <c r="L50" s="441"/>
      <c r="M50" s="440"/>
      <c r="N50" s="439">
        <f t="shared" si="3"/>
        <v>0</v>
      </c>
      <c r="O50" s="440"/>
    </row>
    <row r="51" spans="1:18" ht="21.75" customHeight="1" x14ac:dyDescent="0.25">
      <c r="A51" s="437"/>
      <c r="B51" s="438" t="s">
        <v>1540</v>
      </c>
      <c r="C51" s="439">
        <f t="shared" si="13"/>
        <v>20</v>
      </c>
      <c r="D51" s="439"/>
      <c r="E51" s="439">
        <v>20</v>
      </c>
      <c r="F51" s="440"/>
      <c r="G51" s="440"/>
      <c r="H51" s="440"/>
      <c r="I51" s="440"/>
      <c r="J51" s="440"/>
      <c r="K51" s="440"/>
      <c r="L51" s="441"/>
      <c r="M51" s="440"/>
      <c r="N51" s="439">
        <f t="shared" si="3"/>
        <v>0</v>
      </c>
      <c r="O51" s="440"/>
    </row>
    <row r="52" spans="1:18" ht="21.75" customHeight="1" x14ac:dyDescent="0.25">
      <c r="A52" s="437"/>
      <c r="B52" s="438" t="s">
        <v>1541</v>
      </c>
      <c r="C52" s="439">
        <f t="shared" si="13"/>
        <v>12.079900000000002</v>
      </c>
      <c r="D52" s="439"/>
      <c r="E52" s="439">
        <v>12.079900000000002</v>
      </c>
      <c r="F52" s="440"/>
      <c r="G52" s="440"/>
      <c r="H52" s="440"/>
      <c r="I52" s="440"/>
      <c r="J52" s="440"/>
      <c r="K52" s="440"/>
      <c r="L52" s="441"/>
      <c r="M52" s="440"/>
      <c r="N52" s="439">
        <f t="shared" si="3"/>
        <v>0</v>
      </c>
      <c r="O52" s="440"/>
    </row>
    <row r="53" spans="1:18" ht="21.75" customHeight="1" x14ac:dyDescent="0.25">
      <c r="A53" s="437"/>
      <c r="B53" s="438" t="s">
        <v>1542</v>
      </c>
      <c r="C53" s="439">
        <f t="shared" si="13"/>
        <v>3</v>
      </c>
      <c r="D53" s="439"/>
      <c r="E53" s="439">
        <v>3</v>
      </c>
      <c r="F53" s="440"/>
      <c r="G53" s="440"/>
      <c r="H53" s="440"/>
      <c r="I53" s="440"/>
      <c r="J53" s="440"/>
      <c r="K53" s="440"/>
      <c r="L53" s="441"/>
      <c r="M53" s="440"/>
      <c r="N53" s="439">
        <f t="shared" si="3"/>
        <v>0</v>
      </c>
      <c r="O53" s="440"/>
    </row>
    <row r="54" spans="1:18" ht="21.75" customHeight="1" x14ac:dyDescent="0.25">
      <c r="A54" s="437"/>
      <c r="B54" s="438" t="s">
        <v>1214</v>
      </c>
      <c r="C54" s="439">
        <f t="shared" si="13"/>
        <v>11.327046999999993</v>
      </c>
      <c r="D54" s="439"/>
      <c r="E54" s="439">
        <v>11.327046999999993</v>
      </c>
      <c r="F54" s="440"/>
      <c r="G54" s="440"/>
      <c r="H54" s="440"/>
      <c r="I54" s="440"/>
      <c r="J54" s="440"/>
      <c r="K54" s="440"/>
      <c r="L54" s="441"/>
      <c r="M54" s="440"/>
      <c r="N54" s="439">
        <f t="shared" si="3"/>
        <v>0</v>
      </c>
      <c r="O54" s="440"/>
    </row>
    <row r="55" spans="1:18" s="415" customFormat="1" ht="38.25" customHeight="1" x14ac:dyDescent="0.25">
      <c r="A55" s="429" t="s">
        <v>1317</v>
      </c>
      <c r="B55" s="434" t="s">
        <v>1223</v>
      </c>
      <c r="C55" s="435">
        <f t="shared" si="13"/>
        <v>14.006868999999995</v>
      </c>
      <c r="D55" s="435"/>
      <c r="E55" s="435">
        <v>14.006868999999995</v>
      </c>
      <c r="F55" s="436"/>
      <c r="G55" s="436"/>
      <c r="H55" s="436"/>
      <c r="I55" s="436"/>
      <c r="J55" s="436"/>
      <c r="K55" s="436"/>
      <c r="L55" s="451"/>
      <c r="M55" s="436"/>
      <c r="N55" s="439">
        <f t="shared" si="3"/>
        <v>0</v>
      </c>
      <c r="O55" s="436"/>
      <c r="P55" s="414"/>
      <c r="Q55" s="414"/>
      <c r="R55" s="414"/>
    </row>
    <row r="56" spans="1:18" s="415" customFormat="1" ht="39" customHeight="1" x14ac:dyDescent="0.25">
      <c r="A56" s="429" t="s">
        <v>177</v>
      </c>
      <c r="B56" s="434" t="s">
        <v>1201</v>
      </c>
      <c r="C56" s="435">
        <f>SUM(C57:C61)</f>
        <v>408.73209599999984</v>
      </c>
      <c r="D56" s="435">
        <f>SUM(D57:D61)</f>
        <v>115.9029</v>
      </c>
      <c r="E56" s="435">
        <f t="shared" ref="E56:N56" si="14">SUM(E57:E61)</f>
        <v>292.82919599999991</v>
      </c>
      <c r="F56" s="435">
        <f t="shared" si="14"/>
        <v>0</v>
      </c>
      <c r="G56" s="435">
        <f t="shared" si="14"/>
        <v>0</v>
      </c>
      <c r="H56" s="435">
        <f t="shared" si="14"/>
        <v>0</v>
      </c>
      <c r="I56" s="435">
        <f t="shared" si="14"/>
        <v>0</v>
      </c>
      <c r="J56" s="435">
        <f t="shared" si="14"/>
        <v>0</v>
      </c>
      <c r="K56" s="435">
        <f t="shared" si="14"/>
        <v>0</v>
      </c>
      <c r="L56" s="435">
        <f t="shared" si="14"/>
        <v>0</v>
      </c>
      <c r="M56" s="435">
        <f t="shared" si="14"/>
        <v>0</v>
      </c>
      <c r="N56" s="435">
        <f t="shared" si="14"/>
        <v>115.9029</v>
      </c>
      <c r="O56" s="436"/>
      <c r="P56" s="414"/>
      <c r="Q56" s="414"/>
      <c r="R56" s="414"/>
    </row>
    <row r="57" spans="1:18" ht="21.75" customHeight="1" x14ac:dyDescent="0.25">
      <c r="A57" s="437" t="s">
        <v>1317</v>
      </c>
      <c r="B57" s="438" t="s">
        <v>1262</v>
      </c>
      <c r="C57" s="439">
        <f t="shared" si="13"/>
        <v>21.530999999999999</v>
      </c>
      <c r="D57" s="439">
        <f>35-13.469</f>
        <v>21.530999999999999</v>
      </c>
      <c r="E57" s="439"/>
      <c r="F57" s="440"/>
      <c r="G57" s="440"/>
      <c r="H57" s="440"/>
      <c r="I57" s="440"/>
      <c r="J57" s="440"/>
      <c r="K57" s="440"/>
      <c r="L57" s="441"/>
      <c r="M57" s="440"/>
      <c r="N57" s="439">
        <f t="shared" si="3"/>
        <v>21.530999999999999</v>
      </c>
      <c r="O57" s="440"/>
    </row>
    <row r="58" spans="1:18" ht="21.75" customHeight="1" x14ac:dyDescent="0.25">
      <c r="A58" s="437" t="s">
        <v>1317</v>
      </c>
      <c r="B58" s="438" t="s">
        <v>178</v>
      </c>
      <c r="C58" s="439">
        <f t="shared" si="13"/>
        <v>94</v>
      </c>
      <c r="D58" s="439">
        <v>94</v>
      </c>
      <c r="E58" s="439"/>
      <c r="F58" s="440"/>
      <c r="G58" s="440"/>
      <c r="H58" s="440"/>
      <c r="I58" s="440"/>
      <c r="J58" s="440"/>
      <c r="K58" s="440"/>
      <c r="L58" s="441"/>
      <c r="M58" s="440"/>
      <c r="N58" s="439">
        <f t="shared" si="3"/>
        <v>94</v>
      </c>
      <c r="O58" s="440"/>
    </row>
    <row r="59" spans="1:18" ht="21.75" customHeight="1" x14ac:dyDescent="0.25">
      <c r="A59" s="437" t="s">
        <v>1317</v>
      </c>
      <c r="B59" s="438" t="s">
        <v>804</v>
      </c>
      <c r="C59" s="439">
        <f t="shared" si="13"/>
        <v>70.72</v>
      </c>
      <c r="D59" s="439"/>
      <c r="E59" s="439">
        <v>70.72</v>
      </c>
      <c r="F59" s="440"/>
      <c r="G59" s="440"/>
      <c r="H59" s="440"/>
      <c r="I59" s="440"/>
      <c r="J59" s="440"/>
      <c r="K59" s="440"/>
      <c r="L59" s="441"/>
      <c r="M59" s="440"/>
      <c r="N59" s="439">
        <f t="shared" si="3"/>
        <v>0</v>
      </c>
      <c r="O59" s="440"/>
    </row>
    <row r="60" spans="1:18" ht="21.75" customHeight="1" x14ac:dyDescent="0.25">
      <c r="A60" s="437" t="s">
        <v>1317</v>
      </c>
      <c r="B60" s="438" t="s">
        <v>805</v>
      </c>
      <c r="C60" s="439">
        <f t="shared" si="13"/>
        <v>222.10919599999988</v>
      </c>
      <c r="D60" s="439"/>
      <c r="E60" s="439">
        <f>2807-2584.890804</f>
        <v>222.10919599999988</v>
      </c>
      <c r="F60" s="440"/>
      <c r="G60" s="440"/>
      <c r="H60" s="440"/>
      <c r="I60" s="440"/>
      <c r="J60" s="440"/>
      <c r="K60" s="440"/>
      <c r="L60" s="441"/>
      <c r="M60" s="440"/>
      <c r="N60" s="439">
        <f t="shared" si="3"/>
        <v>0</v>
      </c>
      <c r="O60" s="440"/>
    </row>
    <row r="61" spans="1:18" ht="21.75" customHeight="1" x14ac:dyDescent="0.25">
      <c r="A61" s="437" t="s">
        <v>1317</v>
      </c>
      <c r="B61" s="438" t="s">
        <v>167</v>
      </c>
      <c r="C61" s="439">
        <f t="shared" si="13"/>
        <v>0.37190000000000012</v>
      </c>
      <c r="D61" s="439">
        <v>0.37190000000000012</v>
      </c>
      <c r="E61" s="439"/>
      <c r="F61" s="440"/>
      <c r="G61" s="440"/>
      <c r="H61" s="440"/>
      <c r="I61" s="440"/>
      <c r="J61" s="440"/>
      <c r="K61" s="440"/>
      <c r="L61" s="441"/>
      <c r="M61" s="440"/>
      <c r="N61" s="439">
        <f t="shared" si="3"/>
        <v>0.37190000000000012</v>
      </c>
      <c r="O61" s="440"/>
    </row>
    <row r="62" spans="1:18" s="415" customFormat="1" ht="21.75" customHeight="1" x14ac:dyDescent="0.25">
      <c r="A62" s="429" t="s">
        <v>165</v>
      </c>
      <c r="B62" s="434" t="s">
        <v>1265</v>
      </c>
      <c r="C62" s="435">
        <f>C63</f>
        <v>2.7342899999999872</v>
      </c>
      <c r="D62" s="435">
        <f>D63</f>
        <v>0</v>
      </c>
      <c r="E62" s="435">
        <f>E63</f>
        <v>2.7342899999999872</v>
      </c>
      <c r="F62" s="436"/>
      <c r="G62" s="436"/>
      <c r="H62" s="436"/>
      <c r="I62" s="436"/>
      <c r="J62" s="436"/>
      <c r="K62" s="436"/>
      <c r="L62" s="451"/>
      <c r="M62" s="436"/>
      <c r="N62" s="439">
        <f t="shared" si="3"/>
        <v>0</v>
      </c>
      <c r="O62" s="436"/>
      <c r="P62" s="414"/>
      <c r="Q62" s="414"/>
      <c r="R62" s="414"/>
    </row>
    <row r="63" spans="1:18" ht="33.75" customHeight="1" x14ac:dyDescent="0.25">
      <c r="A63" s="437"/>
      <c r="B63" s="438" t="s">
        <v>1545</v>
      </c>
      <c r="C63" s="439">
        <v>2.7342899999999872</v>
      </c>
      <c r="D63" s="439">
        <v>0</v>
      </c>
      <c r="E63" s="439">
        <v>2.7342899999999872</v>
      </c>
      <c r="F63" s="452">
        <v>0</v>
      </c>
      <c r="G63" s="452">
        <v>0</v>
      </c>
      <c r="H63" s="452">
        <v>0</v>
      </c>
      <c r="I63" s="452">
        <v>0</v>
      </c>
      <c r="J63" s="452">
        <v>0</v>
      </c>
      <c r="K63" s="452">
        <v>0</v>
      </c>
      <c r="L63" s="441"/>
      <c r="M63" s="452"/>
      <c r="N63" s="439">
        <f t="shared" si="3"/>
        <v>0</v>
      </c>
      <c r="O63" s="452"/>
    </row>
    <row r="64" spans="1:18" s="415" customFormat="1" ht="33.75" customHeight="1" x14ac:dyDescent="0.25">
      <c r="A64" s="429" t="s">
        <v>166</v>
      </c>
      <c r="B64" s="453" t="s">
        <v>443</v>
      </c>
      <c r="C64" s="435">
        <f t="shared" si="13"/>
        <v>1.885</v>
      </c>
      <c r="D64" s="435">
        <v>0.9425</v>
      </c>
      <c r="E64" s="435">
        <v>0.9425</v>
      </c>
      <c r="F64" s="435">
        <v>0.9425</v>
      </c>
      <c r="G64" s="435">
        <v>0.9425</v>
      </c>
      <c r="H64" s="435">
        <v>0.9425</v>
      </c>
      <c r="I64" s="435">
        <v>0.9425</v>
      </c>
      <c r="J64" s="435">
        <v>0.9425</v>
      </c>
      <c r="K64" s="435">
        <v>0.9425</v>
      </c>
      <c r="L64" s="435">
        <v>0.9425</v>
      </c>
      <c r="M64" s="435">
        <v>0.9425</v>
      </c>
      <c r="N64" s="435">
        <v>0.9425</v>
      </c>
      <c r="O64" s="436"/>
      <c r="P64" s="414"/>
      <c r="Q64" s="414"/>
      <c r="R64" s="414"/>
    </row>
    <row r="65" spans="1:18" s="415" customFormat="1" ht="33.75" customHeight="1" x14ac:dyDescent="0.25">
      <c r="A65" s="429"/>
      <c r="B65" s="438" t="s">
        <v>1230</v>
      </c>
      <c r="C65" s="439">
        <f t="shared" si="13"/>
        <v>0.9425</v>
      </c>
      <c r="D65" s="439">
        <v>0.9425</v>
      </c>
      <c r="E65" s="435"/>
      <c r="F65" s="436"/>
      <c r="G65" s="436"/>
      <c r="H65" s="436"/>
      <c r="I65" s="436"/>
      <c r="J65" s="436"/>
      <c r="K65" s="436"/>
      <c r="L65" s="451"/>
      <c r="M65" s="436"/>
      <c r="N65" s="439">
        <f t="shared" si="3"/>
        <v>0.9425</v>
      </c>
      <c r="O65" s="436"/>
      <c r="P65" s="414"/>
      <c r="Q65" s="414"/>
      <c r="R65" s="414"/>
    </row>
    <row r="66" spans="1:18" ht="24.75" customHeight="1" x14ac:dyDescent="0.25">
      <c r="A66" s="437" t="s">
        <v>711</v>
      </c>
      <c r="B66" s="438" t="s">
        <v>716</v>
      </c>
      <c r="C66" s="439">
        <f t="shared" si="13"/>
        <v>0</v>
      </c>
      <c r="D66" s="439"/>
      <c r="E66" s="439"/>
      <c r="F66" s="440"/>
      <c r="G66" s="440"/>
      <c r="H66" s="440"/>
      <c r="I66" s="440"/>
      <c r="J66" s="440"/>
      <c r="K66" s="440"/>
      <c r="L66" s="441"/>
      <c r="M66" s="440"/>
      <c r="N66" s="439">
        <f t="shared" si="3"/>
        <v>0</v>
      </c>
      <c r="O66" s="440"/>
    </row>
    <row r="67" spans="1:18" s="415" customFormat="1" ht="32.25" customHeight="1" x14ac:dyDescent="0.25">
      <c r="A67" s="429" t="s">
        <v>897</v>
      </c>
      <c r="B67" s="434" t="s">
        <v>715</v>
      </c>
      <c r="C67" s="435">
        <f>SUM(C68:C82)</f>
        <v>1666.8756860000008</v>
      </c>
      <c r="D67" s="435">
        <f>SUM(D68:D82)</f>
        <v>1570.1756860000007</v>
      </c>
      <c r="E67" s="435">
        <f t="shared" ref="E67:N67" si="15">SUM(E68:E82)</f>
        <v>96.7</v>
      </c>
      <c r="F67" s="435">
        <f t="shared" si="15"/>
        <v>0</v>
      </c>
      <c r="G67" s="435">
        <f t="shared" si="15"/>
        <v>0</v>
      </c>
      <c r="H67" s="435">
        <f t="shared" si="15"/>
        <v>0</v>
      </c>
      <c r="I67" s="435">
        <f t="shared" si="15"/>
        <v>0</v>
      </c>
      <c r="J67" s="435">
        <f t="shared" si="15"/>
        <v>0</v>
      </c>
      <c r="K67" s="435">
        <f t="shared" si="15"/>
        <v>0</v>
      </c>
      <c r="L67" s="435">
        <f t="shared" si="15"/>
        <v>0</v>
      </c>
      <c r="M67" s="435">
        <f t="shared" si="15"/>
        <v>0</v>
      </c>
      <c r="N67" s="435">
        <f t="shared" si="15"/>
        <v>1570.1756860000007</v>
      </c>
      <c r="O67" s="454"/>
      <c r="P67" s="414"/>
      <c r="Q67" s="414"/>
      <c r="R67" s="414"/>
    </row>
    <row r="68" spans="1:18" ht="36" customHeight="1" x14ac:dyDescent="0.25">
      <c r="A68" s="437" t="s">
        <v>1260</v>
      </c>
      <c r="B68" s="438" t="s">
        <v>1546</v>
      </c>
      <c r="C68" s="439">
        <f t="shared" si="13"/>
        <v>11.071800000000003</v>
      </c>
      <c r="D68" s="439">
        <v>11.071800000000003</v>
      </c>
      <c r="E68" s="439"/>
      <c r="F68" s="440"/>
      <c r="G68" s="440"/>
      <c r="H68" s="440"/>
      <c r="I68" s="440"/>
      <c r="J68" s="440"/>
      <c r="K68" s="440"/>
      <c r="L68" s="441"/>
      <c r="M68" s="440"/>
      <c r="N68" s="439">
        <f t="shared" si="3"/>
        <v>11.071800000000003</v>
      </c>
      <c r="O68" s="440"/>
    </row>
    <row r="69" spans="1:18" ht="36" customHeight="1" x14ac:dyDescent="0.25">
      <c r="A69" s="437" t="s">
        <v>1261</v>
      </c>
      <c r="B69" s="438" t="s">
        <v>131</v>
      </c>
      <c r="C69" s="439">
        <f t="shared" si="13"/>
        <v>121.44798100000025</v>
      </c>
      <c r="D69" s="439">
        <v>121.44798100000025</v>
      </c>
      <c r="E69" s="439"/>
      <c r="F69" s="440"/>
      <c r="G69" s="440"/>
      <c r="H69" s="440"/>
      <c r="I69" s="440"/>
      <c r="J69" s="440"/>
      <c r="K69" s="440"/>
      <c r="L69" s="441"/>
      <c r="M69" s="440"/>
      <c r="N69" s="439">
        <f t="shared" si="3"/>
        <v>121.44798100000025</v>
      </c>
      <c r="O69" s="440"/>
    </row>
    <row r="70" spans="1:18" ht="24.75" customHeight="1" x14ac:dyDescent="0.25">
      <c r="A70" s="437" t="s">
        <v>179</v>
      </c>
      <c r="B70" s="438" t="s">
        <v>1547</v>
      </c>
      <c r="C70" s="439">
        <f t="shared" si="13"/>
        <v>9.3986000000001013E-2</v>
      </c>
      <c r="D70" s="439">
        <v>9.3986000000001013E-2</v>
      </c>
      <c r="E70" s="439"/>
      <c r="F70" s="440"/>
      <c r="G70" s="440"/>
      <c r="H70" s="440"/>
      <c r="I70" s="440"/>
      <c r="J70" s="440"/>
      <c r="K70" s="440"/>
      <c r="L70" s="441"/>
      <c r="M70" s="440"/>
      <c r="N70" s="439">
        <f t="shared" si="3"/>
        <v>9.3986000000001013E-2</v>
      </c>
      <c r="O70" s="440"/>
    </row>
    <row r="71" spans="1:18" ht="39.75" customHeight="1" x14ac:dyDescent="0.25">
      <c r="A71" s="437" t="s">
        <v>181</v>
      </c>
      <c r="B71" s="438" t="s">
        <v>1548</v>
      </c>
      <c r="C71" s="439">
        <f t="shared" si="13"/>
        <v>119.3541</v>
      </c>
      <c r="D71" s="439">
        <v>119.3541</v>
      </c>
      <c r="E71" s="439"/>
      <c r="F71" s="440"/>
      <c r="G71" s="440"/>
      <c r="H71" s="440"/>
      <c r="I71" s="440"/>
      <c r="J71" s="440"/>
      <c r="K71" s="440"/>
      <c r="L71" s="441"/>
      <c r="M71" s="440"/>
      <c r="N71" s="439">
        <f t="shared" ref="N71:N88" si="16">D71+L71-M71</f>
        <v>119.3541</v>
      </c>
      <c r="O71" s="440"/>
    </row>
    <row r="72" spans="1:18" ht="59.25" customHeight="1" x14ac:dyDescent="0.25">
      <c r="A72" s="437" t="s">
        <v>1318</v>
      </c>
      <c r="B72" s="438" t="s">
        <v>1549</v>
      </c>
      <c r="C72" s="439">
        <f t="shared" si="13"/>
        <v>46.7</v>
      </c>
      <c r="D72" s="439"/>
      <c r="E72" s="439">
        <v>46.7</v>
      </c>
      <c r="F72" s="440"/>
      <c r="G72" s="440"/>
      <c r="H72" s="440"/>
      <c r="I72" s="440"/>
      <c r="J72" s="440"/>
      <c r="K72" s="440"/>
      <c r="L72" s="441"/>
      <c r="M72" s="440"/>
      <c r="N72" s="439">
        <f t="shared" si="16"/>
        <v>0</v>
      </c>
      <c r="O72" s="440"/>
    </row>
    <row r="73" spans="1:18" ht="24.75" customHeight="1" x14ac:dyDescent="0.25">
      <c r="A73" s="437" t="s">
        <v>1319</v>
      </c>
      <c r="B73" s="438" t="s">
        <v>1550</v>
      </c>
      <c r="C73" s="439">
        <f t="shared" si="13"/>
        <v>40</v>
      </c>
      <c r="D73" s="439">
        <v>40</v>
      </c>
      <c r="E73" s="439"/>
      <c r="F73" s="440"/>
      <c r="G73" s="440"/>
      <c r="H73" s="440"/>
      <c r="I73" s="440"/>
      <c r="J73" s="440"/>
      <c r="K73" s="440"/>
      <c r="L73" s="441"/>
      <c r="M73" s="440"/>
      <c r="N73" s="439">
        <f t="shared" si="16"/>
        <v>40</v>
      </c>
      <c r="O73" s="440"/>
    </row>
    <row r="74" spans="1:18" ht="24.75" customHeight="1" x14ac:dyDescent="0.25">
      <c r="A74" s="437" t="s">
        <v>1320</v>
      </c>
      <c r="B74" s="438" t="s">
        <v>1551</v>
      </c>
      <c r="C74" s="439">
        <f t="shared" si="13"/>
        <v>31.931085999999993</v>
      </c>
      <c r="D74" s="439">
        <v>31.931085999999993</v>
      </c>
      <c r="E74" s="439"/>
      <c r="F74" s="440"/>
      <c r="G74" s="440"/>
      <c r="H74" s="440"/>
      <c r="I74" s="440"/>
      <c r="J74" s="440"/>
      <c r="K74" s="440"/>
      <c r="L74" s="441"/>
      <c r="M74" s="440"/>
      <c r="N74" s="439">
        <f t="shared" si="16"/>
        <v>31.931085999999993</v>
      </c>
      <c r="O74" s="440"/>
    </row>
    <row r="75" spans="1:18" ht="24.75" customHeight="1" x14ac:dyDescent="0.25">
      <c r="A75" s="437" t="s">
        <v>1321</v>
      </c>
      <c r="B75" s="438" t="s">
        <v>135</v>
      </c>
      <c r="C75" s="439">
        <f t="shared" si="13"/>
        <v>301.17700000000036</v>
      </c>
      <c r="D75" s="439">
        <v>301.17700000000036</v>
      </c>
      <c r="E75" s="439"/>
      <c r="F75" s="440"/>
      <c r="G75" s="440"/>
      <c r="H75" s="440"/>
      <c r="I75" s="440"/>
      <c r="J75" s="440"/>
      <c r="K75" s="440"/>
      <c r="L75" s="441"/>
      <c r="M75" s="440"/>
      <c r="N75" s="439">
        <f t="shared" si="16"/>
        <v>301.17700000000036</v>
      </c>
      <c r="O75" s="440"/>
    </row>
    <row r="76" spans="1:18" ht="42.75" customHeight="1" x14ac:dyDescent="0.25">
      <c r="A76" s="437" t="s">
        <v>1322</v>
      </c>
      <c r="B76" s="438" t="s">
        <v>1552</v>
      </c>
      <c r="C76" s="439">
        <f t="shared" si="13"/>
        <v>402.51000000000022</v>
      </c>
      <c r="D76" s="439">
        <v>402.51000000000022</v>
      </c>
      <c r="E76" s="439"/>
      <c r="F76" s="440"/>
      <c r="G76" s="440"/>
      <c r="H76" s="440"/>
      <c r="I76" s="440"/>
      <c r="J76" s="440"/>
      <c r="K76" s="440"/>
      <c r="L76" s="441"/>
      <c r="M76" s="440"/>
      <c r="N76" s="439">
        <f t="shared" si="16"/>
        <v>402.51000000000022</v>
      </c>
      <c r="O76" s="440"/>
    </row>
    <row r="77" spans="1:18" ht="42.75" customHeight="1" x14ac:dyDescent="0.25">
      <c r="A77" s="437" t="s">
        <v>1323</v>
      </c>
      <c r="B77" s="455" t="s">
        <v>1244</v>
      </c>
      <c r="C77" s="439">
        <f t="shared" si="13"/>
        <v>50</v>
      </c>
      <c r="D77" s="439"/>
      <c r="E77" s="439">
        <v>50</v>
      </c>
      <c r="F77" s="440"/>
      <c r="G77" s="440"/>
      <c r="H77" s="440"/>
      <c r="I77" s="440"/>
      <c r="J77" s="440"/>
      <c r="K77" s="440"/>
      <c r="L77" s="441"/>
      <c r="M77" s="440"/>
      <c r="N77" s="439">
        <f t="shared" si="16"/>
        <v>0</v>
      </c>
      <c r="O77" s="440"/>
    </row>
    <row r="78" spans="1:18" ht="24.75" customHeight="1" x14ac:dyDescent="0.25">
      <c r="A78" s="437" t="s">
        <v>1324</v>
      </c>
      <c r="B78" s="438" t="s">
        <v>1553</v>
      </c>
      <c r="C78" s="439">
        <f t="shared" si="13"/>
        <v>318.26915000000008</v>
      </c>
      <c r="D78" s="439">
        <v>318.26915000000008</v>
      </c>
      <c r="E78" s="439"/>
      <c r="F78" s="440"/>
      <c r="G78" s="440"/>
      <c r="H78" s="440"/>
      <c r="I78" s="440"/>
      <c r="J78" s="440"/>
      <c r="K78" s="440"/>
      <c r="L78" s="441"/>
      <c r="M78" s="440"/>
      <c r="N78" s="439">
        <f t="shared" si="16"/>
        <v>318.26915000000008</v>
      </c>
      <c r="O78" s="440"/>
    </row>
    <row r="79" spans="1:18" ht="36" customHeight="1" x14ac:dyDescent="0.25">
      <c r="A79" s="437" t="s">
        <v>1325</v>
      </c>
      <c r="B79" s="438" t="s">
        <v>143</v>
      </c>
      <c r="C79" s="439">
        <f t="shared" si="13"/>
        <v>8.6850000000000005</v>
      </c>
      <c r="D79" s="439">
        <v>8.6850000000000005</v>
      </c>
      <c r="E79" s="439"/>
      <c r="F79" s="440"/>
      <c r="G79" s="440"/>
      <c r="H79" s="440"/>
      <c r="I79" s="440"/>
      <c r="J79" s="440"/>
      <c r="K79" s="440"/>
      <c r="L79" s="441"/>
      <c r="M79" s="440"/>
      <c r="N79" s="439">
        <f t="shared" si="16"/>
        <v>8.6850000000000005</v>
      </c>
      <c r="O79" s="440"/>
    </row>
    <row r="80" spans="1:18" ht="24.75" customHeight="1" x14ac:dyDescent="0.25">
      <c r="A80" s="437" t="s">
        <v>1326</v>
      </c>
      <c r="B80" s="455" t="s">
        <v>1252</v>
      </c>
      <c r="C80" s="439">
        <f t="shared" si="13"/>
        <v>9.1826899999999991</v>
      </c>
      <c r="D80" s="439">
        <v>9.1826899999999991</v>
      </c>
      <c r="E80" s="439"/>
      <c r="F80" s="440"/>
      <c r="G80" s="440"/>
      <c r="H80" s="440"/>
      <c r="I80" s="440"/>
      <c r="J80" s="440"/>
      <c r="K80" s="440"/>
      <c r="L80" s="441"/>
      <c r="M80" s="440"/>
      <c r="N80" s="439">
        <f t="shared" si="16"/>
        <v>9.1826899999999991</v>
      </c>
      <c r="O80" s="440"/>
    </row>
    <row r="81" spans="1:18" ht="24.75" customHeight="1" x14ac:dyDescent="0.25">
      <c r="A81" s="437" t="s">
        <v>1327</v>
      </c>
      <c r="B81" s="448" t="s">
        <v>1242</v>
      </c>
      <c r="C81" s="439">
        <f t="shared" si="13"/>
        <v>152.45289299999999</v>
      </c>
      <c r="D81" s="439">
        <v>152.45289299999999</v>
      </c>
      <c r="E81" s="439"/>
      <c r="F81" s="440"/>
      <c r="G81" s="440"/>
      <c r="H81" s="440"/>
      <c r="I81" s="440"/>
      <c r="J81" s="440"/>
      <c r="K81" s="440"/>
      <c r="L81" s="441"/>
      <c r="M81" s="440"/>
      <c r="N81" s="439">
        <f t="shared" si="16"/>
        <v>152.45289299999999</v>
      </c>
      <c r="O81" s="440"/>
    </row>
    <row r="82" spans="1:18" ht="50.25" customHeight="1" x14ac:dyDescent="0.25">
      <c r="A82" s="437" t="s">
        <v>1328</v>
      </c>
      <c r="B82" s="438" t="s">
        <v>1316</v>
      </c>
      <c r="C82" s="439">
        <f t="shared" si="13"/>
        <v>54</v>
      </c>
      <c r="D82" s="439">
        <v>54</v>
      </c>
      <c r="E82" s="439"/>
      <c r="F82" s="440"/>
      <c r="G82" s="440"/>
      <c r="H82" s="440"/>
      <c r="I82" s="440"/>
      <c r="J82" s="440"/>
      <c r="K82" s="440"/>
      <c r="L82" s="441"/>
      <c r="M82" s="440"/>
      <c r="N82" s="439">
        <f t="shared" si="16"/>
        <v>54</v>
      </c>
      <c r="O82" s="440"/>
    </row>
    <row r="83" spans="1:18" s="415" customFormat="1" ht="24.75" customHeight="1" x14ac:dyDescent="0.25">
      <c r="A83" s="429">
        <v>2</v>
      </c>
      <c r="B83" s="434" t="s">
        <v>712</v>
      </c>
      <c r="C83" s="435">
        <f>D83+E83</f>
        <v>15796.041351999986</v>
      </c>
      <c r="D83" s="456">
        <f>SUM(D84:D95)</f>
        <v>8228.3873269999767</v>
      </c>
      <c r="E83" s="456">
        <f t="shared" ref="E83:N83" si="17">SUM(E84:E95)</f>
        <v>7567.6540250000089</v>
      </c>
      <c r="F83" s="456">
        <f t="shared" si="17"/>
        <v>0</v>
      </c>
      <c r="G83" s="456">
        <f t="shared" si="17"/>
        <v>0</v>
      </c>
      <c r="H83" s="456">
        <f t="shared" si="17"/>
        <v>0</v>
      </c>
      <c r="I83" s="456">
        <f t="shared" si="17"/>
        <v>0</v>
      </c>
      <c r="J83" s="456">
        <f t="shared" si="17"/>
        <v>0</v>
      </c>
      <c r="K83" s="456">
        <f t="shared" si="17"/>
        <v>0</v>
      </c>
      <c r="L83" s="456">
        <f t="shared" si="17"/>
        <v>398.53556099999997</v>
      </c>
      <c r="M83" s="456">
        <f t="shared" si="17"/>
        <v>398.53556099999997</v>
      </c>
      <c r="N83" s="456">
        <f t="shared" si="17"/>
        <v>8228.3873269999767</v>
      </c>
      <c r="O83" s="436"/>
      <c r="P83" s="414"/>
      <c r="Q83" s="414"/>
      <c r="R83" s="414"/>
    </row>
    <row r="84" spans="1:18" ht="24.75" customHeight="1" x14ac:dyDescent="0.25">
      <c r="A84" s="437"/>
      <c r="B84" s="438" t="s">
        <v>724</v>
      </c>
      <c r="C84" s="439">
        <f t="shared" si="13"/>
        <v>0</v>
      </c>
      <c r="D84" s="446"/>
      <c r="E84" s="439"/>
      <c r="F84" s="440"/>
      <c r="G84" s="440"/>
      <c r="H84" s="440"/>
      <c r="I84" s="440"/>
      <c r="J84" s="440"/>
      <c r="K84" s="440"/>
      <c r="L84" s="441"/>
      <c r="M84" s="440"/>
      <c r="N84" s="439">
        <f t="shared" si="16"/>
        <v>0</v>
      </c>
      <c r="O84" s="440"/>
    </row>
    <row r="85" spans="1:18" ht="39.75" customHeight="1" x14ac:dyDescent="0.25">
      <c r="A85" s="437" t="s">
        <v>902</v>
      </c>
      <c r="B85" s="438" t="s">
        <v>1554</v>
      </c>
      <c r="C85" s="439">
        <f t="shared" si="13"/>
        <v>169.6651</v>
      </c>
      <c r="D85" s="446">
        <f>169.6651</f>
        <v>169.6651</v>
      </c>
      <c r="E85" s="439"/>
      <c r="F85" s="440"/>
      <c r="G85" s="440"/>
      <c r="H85" s="440"/>
      <c r="I85" s="440"/>
      <c r="J85" s="440"/>
      <c r="K85" s="440"/>
      <c r="L85" s="441"/>
      <c r="M85" s="440"/>
      <c r="N85" s="439">
        <f t="shared" si="16"/>
        <v>169.6651</v>
      </c>
      <c r="O85" s="440"/>
    </row>
    <row r="86" spans="1:18" ht="39.75" customHeight="1" x14ac:dyDescent="0.25">
      <c r="A86" s="437" t="s">
        <v>903</v>
      </c>
      <c r="B86" s="438" t="s">
        <v>1202</v>
      </c>
      <c r="C86" s="439">
        <f t="shared" si="13"/>
        <v>6733.7160159999839</v>
      </c>
      <c r="D86" s="446">
        <f>517.585222999976-C98</f>
        <v>433.29422799997531</v>
      </c>
      <c r="E86" s="439">
        <v>6300.4217880000087</v>
      </c>
      <c r="F86" s="440"/>
      <c r="G86" s="440"/>
      <c r="H86" s="440"/>
      <c r="I86" s="440"/>
      <c r="J86" s="440"/>
      <c r="K86" s="440"/>
      <c r="L86" s="441"/>
      <c r="M86" s="440"/>
      <c r="N86" s="439">
        <f t="shared" si="16"/>
        <v>433.29422799997531</v>
      </c>
      <c r="O86" s="440"/>
      <c r="P86" s="413">
        <v>1081.0600969999796</v>
      </c>
    </row>
    <row r="87" spans="1:18" ht="45" customHeight="1" x14ac:dyDescent="0.25">
      <c r="A87" s="437" t="s">
        <v>910</v>
      </c>
      <c r="B87" s="438" t="s">
        <v>1555</v>
      </c>
      <c r="C87" s="439">
        <f t="shared" si="13"/>
        <v>30.67896</v>
      </c>
      <c r="D87" s="446"/>
      <c r="E87" s="439">
        <v>30.67896</v>
      </c>
      <c r="F87" s="440"/>
      <c r="G87" s="440"/>
      <c r="H87" s="440"/>
      <c r="I87" s="440"/>
      <c r="J87" s="440"/>
      <c r="K87" s="440"/>
      <c r="L87" s="441"/>
      <c r="M87" s="440"/>
      <c r="N87" s="439">
        <f t="shared" si="16"/>
        <v>0</v>
      </c>
      <c r="O87" s="440"/>
    </row>
    <row r="88" spans="1:18" ht="29.25" customHeight="1" x14ac:dyDescent="0.25">
      <c r="A88" s="437" t="s">
        <v>480</v>
      </c>
      <c r="B88" s="438" t="s">
        <v>1556</v>
      </c>
      <c r="C88" s="439">
        <f t="shared" si="13"/>
        <v>816.58799999999997</v>
      </c>
      <c r="D88" s="446">
        <v>816.58799999999997</v>
      </c>
      <c r="E88" s="439"/>
      <c r="F88" s="440"/>
      <c r="G88" s="440"/>
      <c r="H88" s="440"/>
      <c r="I88" s="440"/>
      <c r="J88" s="440"/>
      <c r="K88" s="440"/>
      <c r="L88" s="441"/>
      <c r="M88" s="440"/>
      <c r="N88" s="439">
        <f t="shared" si="16"/>
        <v>816.58799999999997</v>
      </c>
      <c r="O88" s="440"/>
    </row>
    <row r="89" spans="1:18" ht="62.25" customHeight="1" x14ac:dyDescent="0.25">
      <c r="A89" s="437" t="s">
        <v>481</v>
      </c>
      <c r="B89" s="438" t="s">
        <v>1203</v>
      </c>
      <c r="C89" s="439">
        <f t="shared" si="13"/>
        <v>1351</v>
      </c>
      <c r="D89" s="446">
        <f>1351</f>
        <v>1351</v>
      </c>
      <c r="E89" s="439"/>
      <c r="F89" s="440"/>
      <c r="G89" s="440"/>
      <c r="H89" s="440"/>
      <c r="I89" s="440"/>
      <c r="J89" s="440"/>
      <c r="K89" s="440"/>
      <c r="L89" s="441"/>
      <c r="M89" s="440">
        <f>L91</f>
        <v>398.53556099999997</v>
      </c>
      <c r="N89" s="439">
        <f>D89+L89-M89</f>
        <v>952.46443900000008</v>
      </c>
      <c r="O89" s="440"/>
      <c r="P89" s="413">
        <v>-390.88786399999663</v>
      </c>
    </row>
    <row r="90" spans="1:18" ht="19.5" customHeight="1" x14ac:dyDescent="0.25">
      <c r="A90" s="437" t="s">
        <v>482</v>
      </c>
      <c r="B90" s="438" t="s">
        <v>1204</v>
      </c>
      <c r="C90" s="439">
        <f t="shared" si="13"/>
        <v>88.500234000000034</v>
      </c>
      <c r="D90" s="446">
        <f>534.605-390.887864-55.216902</f>
        <v>88.500234000000034</v>
      </c>
      <c r="E90" s="439"/>
      <c r="F90" s="440"/>
      <c r="G90" s="440"/>
      <c r="H90" s="440"/>
      <c r="I90" s="440"/>
      <c r="J90" s="440"/>
      <c r="K90" s="440"/>
      <c r="L90" s="441"/>
      <c r="M90" s="440"/>
      <c r="N90" s="439">
        <f t="shared" ref="N90:N98" si="18">D90+L90-M90</f>
        <v>88.500234000000034</v>
      </c>
      <c r="O90" s="440"/>
    </row>
    <row r="91" spans="1:18" ht="43.9" customHeight="1" x14ac:dyDescent="0.25">
      <c r="A91" s="437" t="s">
        <v>483</v>
      </c>
      <c r="B91" s="438" t="s">
        <v>1585</v>
      </c>
      <c r="C91" s="439">
        <f t="shared" si="13"/>
        <v>1545.425</v>
      </c>
      <c r="D91" s="446">
        <v>1145</v>
      </c>
      <c r="E91" s="439">
        <f>800.85/2</f>
        <v>400.42500000000001</v>
      </c>
      <c r="F91" s="440"/>
      <c r="G91" s="440"/>
      <c r="H91" s="440"/>
      <c r="I91" s="440"/>
      <c r="J91" s="440"/>
      <c r="K91" s="440"/>
      <c r="L91" s="441">
        <v>398.53556099999997</v>
      </c>
      <c r="M91" s="440"/>
      <c r="N91" s="439">
        <f t="shared" si="18"/>
        <v>1543.5355609999999</v>
      </c>
      <c r="O91" s="438" t="s">
        <v>1586</v>
      </c>
    </row>
    <row r="92" spans="1:18" ht="19.5" customHeight="1" x14ac:dyDescent="0.25">
      <c r="A92" s="437" t="s">
        <v>484</v>
      </c>
      <c r="B92" s="438" t="s">
        <v>1557</v>
      </c>
      <c r="C92" s="439">
        <f t="shared" si="13"/>
        <v>4410.9280420000023</v>
      </c>
      <c r="D92" s="446">
        <v>3975.2247650000022</v>
      </c>
      <c r="E92" s="439">
        <v>435.70327700000001</v>
      </c>
      <c r="F92" s="440"/>
      <c r="G92" s="440"/>
      <c r="H92" s="440"/>
      <c r="I92" s="440"/>
      <c r="J92" s="440"/>
      <c r="K92" s="440"/>
      <c r="L92" s="441"/>
      <c r="M92" s="440"/>
      <c r="N92" s="439">
        <f t="shared" si="18"/>
        <v>3975.2247650000022</v>
      </c>
      <c r="O92" s="440"/>
    </row>
    <row r="93" spans="1:18" ht="19.5" customHeight="1" x14ac:dyDescent="0.25">
      <c r="A93" s="437" t="s">
        <v>485</v>
      </c>
      <c r="B93" s="438" t="s">
        <v>718</v>
      </c>
      <c r="C93" s="439">
        <f t="shared" si="13"/>
        <v>400.42500000000001</v>
      </c>
      <c r="D93" s="446"/>
      <c r="E93" s="439">
        <f>800.85/2</f>
        <v>400.42500000000001</v>
      </c>
      <c r="F93" s="440"/>
      <c r="G93" s="440"/>
      <c r="H93" s="440"/>
      <c r="I93" s="440"/>
      <c r="J93" s="440"/>
      <c r="K93" s="440"/>
      <c r="L93" s="441"/>
      <c r="M93" s="440"/>
      <c r="N93" s="439">
        <f t="shared" si="18"/>
        <v>0</v>
      </c>
      <c r="O93" s="440"/>
    </row>
    <row r="94" spans="1:18" ht="19.5" customHeight="1" x14ac:dyDescent="0.25">
      <c r="A94" s="437" t="s">
        <v>486</v>
      </c>
      <c r="B94" s="438" t="s">
        <v>1314</v>
      </c>
      <c r="C94" s="439">
        <f t="shared" si="13"/>
        <v>141.04499999999999</v>
      </c>
      <c r="D94" s="446">
        <f>124.445+16.6</f>
        <v>141.04499999999999</v>
      </c>
      <c r="E94" s="439"/>
      <c r="F94" s="440"/>
      <c r="G94" s="440"/>
      <c r="H94" s="440"/>
      <c r="I94" s="440"/>
      <c r="J94" s="440"/>
      <c r="K94" s="440"/>
      <c r="L94" s="441"/>
      <c r="M94" s="440"/>
      <c r="N94" s="439">
        <f t="shared" si="18"/>
        <v>141.04499999999999</v>
      </c>
      <c r="O94" s="440"/>
      <c r="R94" s="413">
        <v>435.70327700000001</v>
      </c>
    </row>
    <row r="95" spans="1:18" ht="22.5" customHeight="1" x14ac:dyDescent="0.25">
      <c r="A95" s="457" t="s">
        <v>487</v>
      </c>
      <c r="B95" s="458" t="s">
        <v>1558</v>
      </c>
      <c r="C95" s="459">
        <f t="shared" si="13"/>
        <v>108.07</v>
      </c>
      <c r="D95" s="459">
        <v>108.07</v>
      </c>
      <c r="E95" s="459"/>
      <c r="F95" s="460"/>
      <c r="G95" s="460"/>
      <c r="H95" s="460"/>
      <c r="I95" s="460"/>
      <c r="J95" s="460"/>
      <c r="K95" s="460"/>
      <c r="L95" s="461"/>
      <c r="M95" s="460"/>
      <c r="N95" s="459">
        <f t="shared" si="18"/>
        <v>108.07</v>
      </c>
      <c r="O95" s="460"/>
    </row>
    <row r="96" spans="1:18" ht="16.5" hidden="1" customHeight="1" x14ac:dyDescent="0.25">
      <c r="B96" s="423"/>
      <c r="C96" s="422"/>
      <c r="D96" s="422">
        <v>1060.7090049999993</v>
      </c>
      <c r="E96" s="422"/>
      <c r="F96" s="462"/>
      <c r="G96" s="462"/>
      <c r="H96" s="462"/>
      <c r="I96" s="462"/>
      <c r="J96" s="462"/>
      <c r="K96" s="462"/>
      <c r="L96" s="463"/>
      <c r="M96" s="462"/>
      <c r="N96" s="464">
        <f t="shared" si="18"/>
        <v>1060.7090049999993</v>
      </c>
      <c r="O96" s="462"/>
    </row>
    <row r="97" spans="2:14" ht="18.75" hidden="1" customHeight="1" x14ac:dyDescent="0.25">
      <c r="B97" s="465"/>
      <c r="C97" s="4629">
        <v>1145</v>
      </c>
      <c r="D97" s="4629"/>
      <c r="E97" s="417"/>
      <c r="F97" s="466"/>
      <c r="G97" s="466"/>
      <c r="H97" s="466"/>
      <c r="N97" s="439">
        <f t="shared" si="18"/>
        <v>0</v>
      </c>
    </row>
    <row r="98" spans="2:14" ht="35.25" hidden="1" customHeight="1" x14ac:dyDescent="0.25">
      <c r="B98" s="465"/>
      <c r="C98" s="4630">
        <f>C97-D96</f>
        <v>84.290995000000748</v>
      </c>
      <c r="D98" s="4630"/>
      <c r="E98" s="467"/>
      <c r="F98" s="468"/>
      <c r="G98" s="468"/>
      <c r="H98" s="468"/>
      <c r="N98" s="439">
        <f t="shared" si="18"/>
        <v>0</v>
      </c>
    </row>
    <row r="99" spans="2:14" ht="18" customHeight="1" x14ac:dyDescent="0.25">
      <c r="B99" s="469"/>
      <c r="C99" s="470"/>
      <c r="D99" s="470"/>
      <c r="E99" s="470"/>
    </row>
    <row r="100" spans="2:14" ht="18" customHeight="1" x14ac:dyDescent="0.25">
      <c r="B100" s="471" t="s">
        <v>1303</v>
      </c>
      <c r="M100" s="4631" t="s">
        <v>1588</v>
      </c>
      <c r="N100" s="4631"/>
    </row>
    <row r="101" spans="2:14" ht="18" customHeight="1" x14ac:dyDescent="0.25">
      <c r="B101" s="469"/>
      <c r="C101" s="419"/>
      <c r="D101" s="419"/>
      <c r="E101" s="419"/>
    </row>
    <row r="102" spans="2:14" ht="31.5" customHeight="1" x14ac:dyDescent="0.25">
      <c r="B102" s="472"/>
    </row>
    <row r="103" spans="2:14" x14ac:dyDescent="0.25">
      <c r="B103" s="472"/>
    </row>
    <row r="104" spans="2:14" x14ac:dyDescent="0.25">
      <c r="B104" s="472"/>
    </row>
    <row r="105" spans="2:14" x14ac:dyDescent="0.25">
      <c r="B105" s="473" t="s">
        <v>1304</v>
      </c>
      <c r="M105" s="4631" t="s">
        <v>808</v>
      </c>
      <c r="N105" s="4631"/>
    </row>
  </sheetData>
  <mergeCells count="12">
    <mergeCell ref="C98:D98"/>
    <mergeCell ref="M100:N100"/>
    <mergeCell ref="M105:N105"/>
    <mergeCell ref="L5:L6"/>
    <mergeCell ref="C5:E6"/>
    <mergeCell ref="M5:M6"/>
    <mergeCell ref="N5:N6"/>
    <mergeCell ref="A2:O2"/>
    <mergeCell ref="O5:O6"/>
    <mergeCell ref="A5:A6"/>
    <mergeCell ref="B5:B6"/>
    <mergeCell ref="C97:D97"/>
  </mergeCells>
  <pageMargins left="0.47" right="0" top="0.5" bottom="0.5" header="0.3" footer="0.3"/>
  <pageSetup paperSize="9" scale="75" firstPageNumber="191" orientation="portrait" useFirstPageNumber="1" r:id="rId1"/>
  <headerFooter>
    <oddHeader>&amp;RBiểu số 5. 31</oddHeader>
    <oddFooter>&amp;C&amp;P</oddFooter>
  </headerFooter>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2D050"/>
  </sheetPr>
  <dimension ref="A1:K70"/>
  <sheetViews>
    <sheetView view="pageBreakPreview" zoomScaleSheetLayoutView="100" zoomScalePageLayoutView="96" workbookViewId="0">
      <pane xSplit="2" ySplit="7" topLeftCell="C8" activePane="bottomRight" state="frozen"/>
      <selection pane="topRight" activeCell="C1" sqref="C1"/>
      <selection pane="bottomLeft" activeCell="A8" sqref="A8"/>
      <selection pane="bottomRight" activeCell="H16" sqref="H16"/>
    </sheetView>
  </sheetViews>
  <sheetFormatPr defaultColWidth="9.140625" defaultRowHeight="15" x14ac:dyDescent="0.25"/>
  <cols>
    <col min="1" max="1" width="4" style="256" customWidth="1"/>
    <col min="2" max="2" width="29.7109375" style="256" customWidth="1"/>
    <col min="3" max="3" width="12.42578125" style="257" customWidth="1"/>
    <col min="4" max="4" width="11.140625" style="256" customWidth="1"/>
    <col min="5" max="5" width="13.140625" style="257" customWidth="1"/>
    <col min="6" max="6" width="13" style="257" customWidth="1"/>
    <col min="7" max="7" width="19.140625" style="257" customWidth="1"/>
    <col min="8" max="8" width="13" style="257" customWidth="1"/>
    <col min="9" max="11" width="7.5703125" style="258" customWidth="1"/>
    <col min="12" max="16384" width="9.140625" style="256"/>
  </cols>
  <sheetData>
    <row r="1" spans="1:11" ht="15.75" x14ac:dyDescent="0.25">
      <c r="A1" s="255" t="s">
        <v>637</v>
      </c>
      <c r="K1" s="259"/>
    </row>
    <row r="2" spans="1:11" ht="38.25" customHeight="1" x14ac:dyDescent="0.25">
      <c r="A2" s="4636" t="s">
        <v>1104</v>
      </c>
      <c r="B2" s="4636"/>
      <c r="C2" s="4636"/>
      <c r="D2" s="4636"/>
      <c r="E2" s="4636"/>
      <c r="F2" s="4636"/>
      <c r="G2" s="4636"/>
      <c r="H2" s="4636"/>
      <c r="I2" s="4636"/>
      <c r="J2" s="4636"/>
      <c r="K2" s="4636"/>
    </row>
    <row r="3" spans="1:11" ht="15.75" x14ac:dyDescent="0.25">
      <c r="A3" s="4636"/>
      <c r="B3" s="4637"/>
      <c r="C3" s="4637"/>
      <c r="D3" s="4637"/>
      <c r="E3" s="4637"/>
      <c r="F3" s="4637"/>
      <c r="G3" s="4637"/>
      <c r="H3" s="4637"/>
      <c r="I3" s="4637"/>
      <c r="J3" s="4637"/>
      <c r="K3" s="4637"/>
    </row>
    <row r="4" spans="1:11" ht="15.75" x14ac:dyDescent="0.25">
      <c r="K4" s="260" t="s">
        <v>843</v>
      </c>
    </row>
    <row r="5" spans="1:11" s="261" customFormat="1" ht="19.5" customHeight="1" x14ac:dyDescent="0.2">
      <c r="A5" s="4638" t="s">
        <v>844</v>
      </c>
      <c r="B5" s="4638" t="s">
        <v>12</v>
      </c>
      <c r="C5" s="4639" t="s">
        <v>1097</v>
      </c>
      <c r="D5" s="4638" t="s">
        <v>869</v>
      </c>
      <c r="E5" s="4638"/>
      <c r="F5" s="4639" t="s">
        <v>13</v>
      </c>
      <c r="G5" s="4639" t="s">
        <v>869</v>
      </c>
      <c r="H5" s="4639"/>
      <c r="I5" s="4640" t="s">
        <v>28</v>
      </c>
      <c r="J5" s="4640"/>
      <c r="K5" s="4640"/>
    </row>
    <row r="6" spans="1:11" s="261" customFormat="1" ht="44.25" customHeight="1" x14ac:dyDescent="0.2">
      <c r="A6" s="4638"/>
      <c r="B6" s="4638"/>
      <c r="C6" s="4639"/>
      <c r="D6" s="262" t="s">
        <v>730</v>
      </c>
      <c r="E6" s="263" t="s">
        <v>731</v>
      </c>
      <c r="F6" s="4639"/>
      <c r="G6" s="263" t="s">
        <v>730</v>
      </c>
      <c r="H6" s="263" t="s">
        <v>731</v>
      </c>
      <c r="I6" s="264" t="s">
        <v>546</v>
      </c>
      <c r="J6" s="264" t="s">
        <v>730</v>
      </c>
      <c r="K6" s="264" t="s">
        <v>731</v>
      </c>
    </row>
    <row r="7" spans="1:11" s="261" customFormat="1" ht="16.5" customHeight="1" x14ac:dyDescent="0.2">
      <c r="A7" s="262" t="s">
        <v>847</v>
      </c>
      <c r="B7" s="262" t="s">
        <v>848</v>
      </c>
      <c r="C7" s="263" t="s">
        <v>893</v>
      </c>
      <c r="D7" s="262">
        <v>2</v>
      </c>
      <c r="E7" s="264">
        <v>3</v>
      </c>
      <c r="F7" s="263" t="s">
        <v>894</v>
      </c>
      <c r="G7" s="264">
        <v>5</v>
      </c>
      <c r="H7" s="264">
        <v>6</v>
      </c>
      <c r="I7" s="264" t="s">
        <v>547</v>
      </c>
      <c r="J7" s="264" t="s">
        <v>548</v>
      </c>
      <c r="K7" s="264" t="s">
        <v>549</v>
      </c>
    </row>
    <row r="8" spans="1:11" s="261" customFormat="1" ht="12" x14ac:dyDescent="0.2">
      <c r="A8" s="269"/>
      <c r="B8" s="270" t="s">
        <v>1473</v>
      </c>
      <c r="C8" s="271" t="e">
        <f t="shared" ref="C8:H8" si="0">C9+C24+C61+C62</f>
        <v>#REF!</v>
      </c>
      <c r="D8" s="271" t="e">
        <f t="shared" si="0"/>
        <v>#REF!</v>
      </c>
      <c r="E8" s="271">
        <f t="shared" si="0"/>
        <v>111360.76382599999</v>
      </c>
      <c r="F8" s="272" t="e">
        <f t="shared" si="0"/>
        <v>#REF!</v>
      </c>
      <c r="G8" s="272" t="e">
        <f t="shared" si="0"/>
        <v>#REF!</v>
      </c>
      <c r="H8" s="272" t="e">
        <f t="shared" si="0"/>
        <v>#VALUE!</v>
      </c>
      <c r="I8" s="273" t="e">
        <f>F8/C8*100</f>
        <v>#REF!</v>
      </c>
      <c r="J8" s="273" t="e">
        <f>G8/D8*100</f>
        <v>#REF!</v>
      </c>
      <c r="K8" s="273" t="e">
        <f>H8/E8*100</f>
        <v>#VALUE!</v>
      </c>
    </row>
    <row r="9" spans="1:11" s="261" customFormat="1" ht="12.75" x14ac:dyDescent="0.2">
      <c r="A9" s="274" t="s">
        <v>847</v>
      </c>
      <c r="B9" s="275" t="s">
        <v>1474</v>
      </c>
      <c r="C9" s="276">
        <f t="shared" ref="C9:H9" si="1">C10+C18+C21+C23</f>
        <v>57426192.963665999</v>
      </c>
      <c r="D9" s="276">
        <f t="shared" si="1"/>
        <v>57343000</v>
      </c>
      <c r="E9" s="276">
        <f t="shared" si="1"/>
        <v>83192.963665999996</v>
      </c>
      <c r="F9" s="276" t="e">
        <f t="shared" si="1"/>
        <v>#REF!</v>
      </c>
      <c r="G9" s="276" t="e">
        <f t="shared" si="1"/>
        <v>#REF!</v>
      </c>
      <c r="H9" s="276" t="e">
        <f t="shared" si="1"/>
        <v>#VALUE!</v>
      </c>
      <c r="I9" s="277" t="e">
        <f t="shared" ref="I9:I32" si="2">F9/C9*100</f>
        <v>#REF!</v>
      </c>
      <c r="J9" s="277" t="e">
        <f t="shared" ref="J9:J32" si="3">G9/D9*100</f>
        <v>#REF!</v>
      </c>
      <c r="K9" s="277" t="e">
        <f>H9/E9*100</f>
        <v>#VALUE!</v>
      </c>
    </row>
    <row r="10" spans="1:11" s="261" customFormat="1" ht="12.75" x14ac:dyDescent="0.2">
      <c r="A10" s="274" t="s">
        <v>849</v>
      </c>
      <c r="B10" s="275" t="s">
        <v>884</v>
      </c>
      <c r="C10" s="276">
        <f t="shared" ref="C10:C62" si="4">D10+E10</f>
        <v>1003000</v>
      </c>
      <c r="D10" s="276">
        <f>'B52'!C13</f>
        <v>1003000</v>
      </c>
      <c r="E10" s="278"/>
      <c r="F10" s="278">
        <f t="shared" ref="F10:F23" si="5">G10+H10</f>
        <v>32128.371986000006</v>
      </c>
      <c r="G10" s="278">
        <v>31283.035883000004</v>
      </c>
      <c r="H10" s="278">
        <v>845.33610299999998</v>
      </c>
      <c r="I10" s="277">
        <f t="shared" si="2"/>
        <v>3.2032275160518453</v>
      </c>
      <c r="J10" s="277">
        <f t="shared" si="3"/>
        <v>3.1189467480558326</v>
      </c>
      <c r="K10" s="277"/>
    </row>
    <row r="11" spans="1:11" s="261" customFormat="1" ht="12.75" x14ac:dyDescent="0.2">
      <c r="A11" s="279">
        <v>1</v>
      </c>
      <c r="B11" s="280" t="s">
        <v>1475</v>
      </c>
      <c r="C11" s="276">
        <f t="shared" si="4"/>
        <v>0</v>
      </c>
      <c r="D11" s="276"/>
      <c r="E11" s="278"/>
      <c r="F11" s="278">
        <f t="shared" si="5"/>
        <v>0</v>
      </c>
      <c r="G11" s="278"/>
      <c r="H11" s="278"/>
      <c r="I11" s="277"/>
      <c r="J11" s="277"/>
      <c r="K11" s="277"/>
    </row>
    <row r="12" spans="1:11" s="261" customFormat="1" ht="12.75" x14ac:dyDescent="0.2">
      <c r="A12" s="279"/>
      <c r="B12" s="281" t="s">
        <v>300</v>
      </c>
      <c r="C12" s="276">
        <f t="shared" si="4"/>
        <v>0</v>
      </c>
      <c r="D12" s="276"/>
      <c r="E12" s="278"/>
      <c r="F12" s="278">
        <f t="shared" si="5"/>
        <v>0</v>
      </c>
      <c r="G12" s="278"/>
      <c r="H12" s="278"/>
      <c r="I12" s="277"/>
      <c r="J12" s="277"/>
      <c r="K12" s="277"/>
    </row>
    <row r="13" spans="1:11" s="261" customFormat="1" ht="12.75" x14ac:dyDescent="0.2">
      <c r="A13" s="279" t="s">
        <v>882</v>
      </c>
      <c r="B13" s="281" t="s">
        <v>892</v>
      </c>
      <c r="C13" s="276">
        <f t="shared" si="4"/>
        <v>3000</v>
      </c>
      <c r="D13" s="276">
        <v>3000</v>
      </c>
      <c r="E13" s="278"/>
      <c r="F13" s="278">
        <f t="shared" si="5"/>
        <v>6913.1146230000004</v>
      </c>
      <c r="G13" s="278">
        <v>6359.1146230000004</v>
      </c>
      <c r="H13" s="278">
        <v>554</v>
      </c>
      <c r="I13" s="277">
        <f t="shared" si="2"/>
        <v>230.43715410000001</v>
      </c>
      <c r="J13" s="277">
        <f t="shared" si="3"/>
        <v>211.97048743333335</v>
      </c>
      <c r="K13" s="277"/>
    </row>
    <row r="14" spans="1:11" s="261" customFormat="1" ht="24" x14ac:dyDescent="0.2">
      <c r="A14" s="279" t="s">
        <v>882</v>
      </c>
      <c r="B14" s="281" t="s">
        <v>945</v>
      </c>
      <c r="C14" s="276">
        <f t="shared" si="4"/>
        <v>4500</v>
      </c>
      <c r="D14" s="276">
        <v>4500</v>
      </c>
      <c r="E14" s="278"/>
      <c r="F14" s="278">
        <f t="shared" si="5"/>
        <v>3462.4690000000001</v>
      </c>
      <c r="G14" s="278">
        <v>3462.4690000000001</v>
      </c>
      <c r="H14" s="278"/>
      <c r="I14" s="277">
        <f t="shared" si="2"/>
        <v>76.943755555555555</v>
      </c>
      <c r="J14" s="277">
        <f t="shared" si="3"/>
        <v>76.943755555555555</v>
      </c>
      <c r="K14" s="277"/>
    </row>
    <row r="15" spans="1:11" s="261" customFormat="1" ht="12.75" x14ac:dyDescent="0.2">
      <c r="A15" s="279" t="s">
        <v>882</v>
      </c>
      <c r="B15" s="281" t="s">
        <v>946</v>
      </c>
      <c r="C15" s="276">
        <f t="shared" si="4"/>
        <v>0</v>
      </c>
      <c r="D15" s="276"/>
      <c r="E15" s="278"/>
      <c r="F15" s="278">
        <f t="shared" si="5"/>
        <v>0</v>
      </c>
      <c r="G15" s="278"/>
      <c r="H15" s="278"/>
      <c r="I15" s="277"/>
      <c r="J15" s="277"/>
      <c r="K15" s="277"/>
    </row>
    <row r="16" spans="1:11" s="261" customFormat="1" ht="69.75" customHeight="1" x14ac:dyDescent="0.2">
      <c r="A16" s="279">
        <v>2</v>
      </c>
      <c r="B16" s="280" t="s">
        <v>745</v>
      </c>
      <c r="C16" s="276">
        <f t="shared" si="4"/>
        <v>0</v>
      </c>
      <c r="D16" s="276"/>
      <c r="E16" s="278"/>
      <c r="F16" s="278">
        <f t="shared" si="5"/>
        <v>0</v>
      </c>
      <c r="G16" s="278"/>
      <c r="H16" s="278"/>
      <c r="I16" s="277"/>
      <c r="J16" s="277"/>
      <c r="K16" s="277"/>
    </row>
    <row r="17" spans="1:11" s="261" customFormat="1" ht="12.75" x14ac:dyDescent="0.2">
      <c r="A17" s="279">
        <v>3</v>
      </c>
      <c r="B17" s="280" t="s">
        <v>883</v>
      </c>
      <c r="C17" s="276">
        <f t="shared" si="4"/>
        <v>0</v>
      </c>
      <c r="D17" s="276"/>
      <c r="E17" s="278"/>
      <c r="F17" s="278">
        <f t="shared" si="5"/>
        <v>0</v>
      </c>
      <c r="G17" s="278"/>
      <c r="H17" s="278"/>
      <c r="I17" s="277"/>
      <c r="J17" s="277"/>
      <c r="K17" s="277"/>
    </row>
    <row r="18" spans="1:11" s="261" customFormat="1" ht="12.75" x14ac:dyDescent="0.2">
      <c r="A18" s="274" t="s">
        <v>866</v>
      </c>
      <c r="B18" s="275" t="s">
        <v>885</v>
      </c>
      <c r="C18" s="282">
        <f t="shared" si="4"/>
        <v>56017591.149741001</v>
      </c>
      <c r="D18" s="282">
        <f>'B52'!C27</f>
        <v>55936000</v>
      </c>
      <c r="E18" s="283">
        <v>81591.149741000001</v>
      </c>
      <c r="F18" s="283">
        <f t="shared" si="5"/>
        <v>273124.393407</v>
      </c>
      <c r="G18" s="283">
        <v>187062.40449900003</v>
      </c>
      <c r="H18" s="283">
        <v>86061.988907999999</v>
      </c>
      <c r="I18" s="277">
        <f t="shared" si="2"/>
        <v>0.48756897217681017</v>
      </c>
      <c r="J18" s="277">
        <f t="shared" si="3"/>
        <v>0.33442220483945945</v>
      </c>
      <c r="K18" s="277">
        <f>H18/E18*100</f>
        <v>105.47956387572926</v>
      </c>
    </row>
    <row r="19" spans="1:11" s="261" customFormat="1" ht="12.75" x14ac:dyDescent="0.2">
      <c r="A19" s="279"/>
      <c r="B19" s="281" t="s">
        <v>908</v>
      </c>
      <c r="C19" s="276">
        <f t="shared" si="4"/>
        <v>0</v>
      </c>
      <c r="D19" s="276"/>
      <c r="E19" s="278"/>
      <c r="F19" s="278">
        <f t="shared" si="5"/>
        <v>0</v>
      </c>
      <c r="G19" s="278"/>
      <c r="H19" s="278"/>
      <c r="I19" s="277"/>
      <c r="J19" s="277"/>
      <c r="K19" s="277"/>
    </row>
    <row r="20" spans="1:11" s="261" customFormat="1" ht="12.75" x14ac:dyDescent="0.2">
      <c r="A20" s="279">
        <v>1</v>
      </c>
      <c r="B20" s="281" t="s">
        <v>892</v>
      </c>
      <c r="C20" s="276">
        <f t="shared" si="4"/>
        <v>699000</v>
      </c>
      <c r="D20" s="276">
        <f>'B52'!C28</f>
        <v>699000</v>
      </c>
      <c r="E20" s="278"/>
      <c r="F20" s="278">
        <f t="shared" si="5"/>
        <v>0</v>
      </c>
      <c r="G20" s="278"/>
      <c r="H20" s="278"/>
      <c r="I20" s="277">
        <f t="shared" si="2"/>
        <v>0</v>
      </c>
      <c r="J20" s="277">
        <f t="shared" si="3"/>
        <v>0</v>
      </c>
      <c r="K20" s="277"/>
    </row>
    <row r="21" spans="1:11" s="261" customFormat="1" ht="12.75" x14ac:dyDescent="0.2">
      <c r="A21" s="274" t="s">
        <v>872</v>
      </c>
      <c r="B21" s="275" t="s">
        <v>924</v>
      </c>
      <c r="C21" s="276">
        <f t="shared" si="4"/>
        <v>405601.81392500002</v>
      </c>
      <c r="D21" s="276">
        <f>'B52'!C40</f>
        <v>404000</v>
      </c>
      <c r="E21" s="278">
        <f>5647-4045.186075</f>
        <v>1601.8139249999999</v>
      </c>
      <c r="F21" s="278">
        <f t="shared" si="5"/>
        <v>0</v>
      </c>
      <c r="G21" s="278"/>
      <c r="H21" s="278"/>
      <c r="I21" s="277">
        <f t="shared" si="2"/>
        <v>0</v>
      </c>
      <c r="J21" s="277">
        <f t="shared" si="3"/>
        <v>0</v>
      </c>
      <c r="K21" s="277">
        <f>H21/E21*100</f>
        <v>0</v>
      </c>
    </row>
    <row r="22" spans="1:11" s="261" customFormat="1" ht="12.75" x14ac:dyDescent="0.2">
      <c r="A22" s="274" t="s">
        <v>873</v>
      </c>
      <c r="B22" s="275" t="s">
        <v>24</v>
      </c>
      <c r="C22" s="276">
        <f t="shared" si="4"/>
        <v>0</v>
      </c>
      <c r="D22" s="276"/>
      <c r="E22" s="278"/>
      <c r="F22" s="278">
        <f t="shared" si="5"/>
        <v>0</v>
      </c>
      <c r="G22" s="278"/>
      <c r="H22" s="278"/>
      <c r="I22" s="277"/>
      <c r="J22" s="277"/>
      <c r="K22" s="277"/>
    </row>
    <row r="23" spans="1:11" s="261" customFormat="1" ht="22.5" customHeight="1" x14ac:dyDescent="0.2">
      <c r="A23" s="274" t="s">
        <v>1479</v>
      </c>
      <c r="B23" s="275" t="s">
        <v>562</v>
      </c>
      <c r="C23" s="276">
        <f t="shared" si="4"/>
        <v>0</v>
      </c>
      <c r="D23" s="276"/>
      <c r="E23" s="278"/>
      <c r="F23" s="278" t="e">
        <f t="shared" si="5"/>
        <v>#REF!</v>
      </c>
      <c r="G23" s="278" t="e">
        <f>'B60-342'!#REF!</f>
        <v>#REF!</v>
      </c>
      <c r="H23" s="278" t="str">
        <f>'B60-342'!F18</f>
        <v>Trong đó:-Bổ sung cân đối</v>
      </c>
      <c r="I23" s="277"/>
      <c r="J23" s="277"/>
      <c r="K23" s="277"/>
    </row>
    <row r="24" spans="1:11" s="261" customFormat="1" ht="26.25" customHeight="1" x14ac:dyDescent="0.2">
      <c r="A24" s="274" t="s">
        <v>848</v>
      </c>
      <c r="B24" s="275" t="s">
        <v>301</v>
      </c>
      <c r="C24" s="282">
        <f t="shared" ref="C24:H24" si="6">C25+C42</f>
        <v>68464.505059999996</v>
      </c>
      <c r="D24" s="282">
        <f t="shared" si="6"/>
        <v>79510.704899999997</v>
      </c>
      <c r="E24" s="282">
        <f t="shared" si="6"/>
        <v>28167.800159999999</v>
      </c>
      <c r="F24" s="282">
        <f t="shared" si="6"/>
        <v>59112.995206</v>
      </c>
      <c r="G24" s="282">
        <f t="shared" si="6"/>
        <v>39580.470501999996</v>
      </c>
      <c r="H24" s="282">
        <f t="shared" si="6"/>
        <v>19532.524703999996</v>
      </c>
      <c r="I24" s="277">
        <f t="shared" si="2"/>
        <v>86.341083097285747</v>
      </c>
      <c r="J24" s="277">
        <f t="shared" si="3"/>
        <v>49.780052323495369</v>
      </c>
      <c r="K24" s="277">
        <f>H24/E24*100</f>
        <v>69.343451008067632</v>
      </c>
    </row>
    <row r="25" spans="1:11" s="265" customFormat="1" ht="27" customHeight="1" x14ac:dyDescent="0.2">
      <c r="A25" s="274" t="s">
        <v>849</v>
      </c>
      <c r="B25" s="275" t="s">
        <v>26</v>
      </c>
      <c r="C25" s="276">
        <f t="shared" ref="C25:H25" si="7">C26+C32+C39+C40+C41</f>
        <v>49482.208388999999</v>
      </c>
      <c r="D25" s="276">
        <f t="shared" si="7"/>
        <v>64005.542500000003</v>
      </c>
      <c r="E25" s="276">
        <f t="shared" si="7"/>
        <v>24690.665889</v>
      </c>
      <c r="F25" s="276">
        <f t="shared" si="7"/>
        <v>42083.445516</v>
      </c>
      <c r="G25" s="276">
        <f t="shared" si="7"/>
        <v>22958.055082999999</v>
      </c>
      <c r="H25" s="276">
        <f t="shared" si="7"/>
        <v>19125.390432999997</v>
      </c>
      <c r="I25" s="277">
        <f t="shared" si="2"/>
        <v>85.047630019187338</v>
      </c>
      <c r="J25" s="277">
        <f t="shared" si="3"/>
        <v>35.868854768319473</v>
      </c>
      <c r="K25" s="277">
        <f>H25/E25*100</f>
        <v>77.460002573363553</v>
      </c>
    </row>
    <row r="26" spans="1:11" s="261" customFormat="1" ht="27" customHeight="1" x14ac:dyDescent="0.2">
      <c r="A26" s="274"/>
      <c r="B26" s="267" t="s">
        <v>1463</v>
      </c>
      <c r="C26" s="283">
        <f>SUM(C27:C31)</f>
        <v>21117.705656999999</v>
      </c>
      <c r="D26" s="283">
        <f>SUM(D27:D37)</f>
        <v>39394</v>
      </c>
      <c r="E26" s="283">
        <f>SUM(E27:E31)</f>
        <v>20937.705656999999</v>
      </c>
      <c r="F26" s="283">
        <f>SUM(F27:F31)</f>
        <v>15941.993836999998</v>
      </c>
      <c r="G26" s="283">
        <f>SUM(G27:G31)</f>
        <v>180</v>
      </c>
      <c r="H26" s="283">
        <f>SUM(H27:H31)</f>
        <v>15761.993836999998</v>
      </c>
      <c r="I26" s="277">
        <f t="shared" si="2"/>
        <v>75.491126242284849</v>
      </c>
      <c r="J26" s="277">
        <f t="shared" si="3"/>
        <v>0.45692237396557855</v>
      </c>
      <c r="K26" s="277">
        <f>H26/E26*100</f>
        <v>75.28042515838105</v>
      </c>
    </row>
    <row r="27" spans="1:11" s="261" customFormat="1" ht="27" customHeight="1" x14ac:dyDescent="0.2">
      <c r="A27" s="274"/>
      <c r="B27" s="266" t="s">
        <v>1462</v>
      </c>
      <c r="C27" s="276">
        <f t="shared" si="4"/>
        <v>80</v>
      </c>
      <c r="D27" s="276">
        <v>80</v>
      </c>
      <c r="E27" s="278"/>
      <c r="F27" s="278">
        <f>G27+H27</f>
        <v>80</v>
      </c>
      <c r="G27" s="278">
        <v>80</v>
      </c>
      <c r="H27" s="278"/>
      <c r="I27" s="277">
        <f t="shared" si="2"/>
        <v>100</v>
      </c>
      <c r="J27" s="277">
        <f t="shared" si="3"/>
        <v>100</v>
      </c>
      <c r="K27" s="277"/>
    </row>
    <row r="28" spans="1:11" s="261" customFormat="1" ht="27" customHeight="1" x14ac:dyDescent="0.2">
      <c r="A28" s="274"/>
      <c r="B28" s="266" t="s">
        <v>1464</v>
      </c>
      <c r="C28" s="276">
        <f t="shared" si="4"/>
        <v>100</v>
      </c>
      <c r="D28" s="284">
        <v>100</v>
      </c>
      <c r="E28" s="278"/>
      <c r="F28" s="278">
        <f>G28+H28</f>
        <v>100</v>
      </c>
      <c r="G28" s="285">
        <v>100</v>
      </c>
      <c r="H28" s="278"/>
      <c r="I28" s="277">
        <f t="shared" si="2"/>
        <v>100</v>
      </c>
      <c r="J28" s="277">
        <f t="shared" si="3"/>
        <v>100</v>
      </c>
      <c r="K28" s="277"/>
    </row>
    <row r="29" spans="1:11" s="261" customFormat="1" ht="27" customHeight="1" x14ac:dyDescent="0.2">
      <c r="A29" s="274"/>
      <c r="B29" s="266" t="s">
        <v>1465</v>
      </c>
      <c r="C29" s="276">
        <f t="shared" si="4"/>
        <v>105</v>
      </c>
      <c r="D29" s="276"/>
      <c r="E29" s="278">
        <v>105</v>
      </c>
      <c r="F29" s="278">
        <f>G29+H29</f>
        <v>93.672953000000007</v>
      </c>
      <c r="G29" s="278"/>
      <c r="H29" s="278">
        <v>93.672953000000007</v>
      </c>
      <c r="I29" s="277">
        <f t="shared" si="2"/>
        <v>89.212336190476194</v>
      </c>
      <c r="J29" s="277"/>
      <c r="K29" s="277">
        <f>H29/E29*100</f>
        <v>89.212336190476194</v>
      </c>
    </row>
    <row r="30" spans="1:11" s="261" customFormat="1" ht="27" customHeight="1" x14ac:dyDescent="0.2">
      <c r="A30" s="274"/>
      <c r="B30" s="266" t="s">
        <v>1466</v>
      </c>
      <c r="C30" s="276">
        <f t="shared" si="4"/>
        <v>3550</v>
      </c>
      <c r="D30" s="276"/>
      <c r="E30" s="278">
        <v>3550</v>
      </c>
      <c r="F30" s="278">
        <f>G30+H30</f>
        <v>1917.983821</v>
      </c>
      <c r="G30" s="278"/>
      <c r="H30" s="278">
        <v>1917.983821</v>
      </c>
      <c r="I30" s="277">
        <f t="shared" si="2"/>
        <v>54.027713267605634</v>
      </c>
      <c r="J30" s="277"/>
      <c r="K30" s="277">
        <f>H30/E30*100</f>
        <v>54.027713267605634</v>
      </c>
    </row>
    <row r="31" spans="1:11" s="261" customFormat="1" ht="27" customHeight="1" x14ac:dyDescent="0.2">
      <c r="A31" s="274"/>
      <c r="B31" s="266" t="s">
        <v>707</v>
      </c>
      <c r="C31" s="276">
        <f t="shared" si="4"/>
        <v>17282.705656999999</v>
      </c>
      <c r="D31" s="286"/>
      <c r="E31" s="276">
        <v>17282.705656999999</v>
      </c>
      <c r="F31" s="278">
        <f>G31+H31</f>
        <v>13750.337062999999</v>
      </c>
      <c r="G31" s="278"/>
      <c r="H31" s="278">
        <v>13750.337062999999</v>
      </c>
      <c r="I31" s="277">
        <f t="shared" si="2"/>
        <v>79.561252363461463</v>
      </c>
      <c r="J31" s="277"/>
      <c r="K31" s="277">
        <f>H31/E31*100</f>
        <v>79.561252363461463</v>
      </c>
    </row>
    <row r="32" spans="1:11" s="261" customFormat="1" ht="30" customHeight="1" x14ac:dyDescent="0.2">
      <c r="A32" s="274"/>
      <c r="B32" s="267" t="s">
        <v>328</v>
      </c>
      <c r="C32" s="282">
        <f t="shared" ref="C32:H32" si="8">SUM(C33:C38)</f>
        <v>23175.393205</v>
      </c>
      <c r="D32" s="282">
        <f t="shared" si="8"/>
        <v>19607</v>
      </c>
      <c r="E32" s="282">
        <f t="shared" si="8"/>
        <v>3568.3932049999999</v>
      </c>
      <c r="F32" s="282">
        <f t="shared" si="8"/>
        <v>21575.443023</v>
      </c>
      <c r="G32" s="282">
        <f t="shared" si="8"/>
        <v>18393.879364</v>
      </c>
      <c r="H32" s="282">
        <f t="shared" si="8"/>
        <v>3181.5636589999999</v>
      </c>
      <c r="I32" s="277">
        <f t="shared" si="2"/>
        <v>93.096340727220891</v>
      </c>
      <c r="J32" s="277">
        <f t="shared" si="3"/>
        <v>93.812818707604436</v>
      </c>
      <c r="K32" s="277">
        <f>H32/E32*100</f>
        <v>89.159559393343258</v>
      </c>
    </row>
    <row r="33" spans="1:11" s="261" customFormat="1" ht="46.5" customHeight="1" x14ac:dyDescent="0.2">
      <c r="A33" s="274"/>
      <c r="B33" s="266" t="s">
        <v>1467</v>
      </c>
      <c r="C33" s="276">
        <f t="shared" si="4"/>
        <v>494</v>
      </c>
      <c r="D33" s="276">
        <v>494</v>
      </c>
      <c r="E33" s="278"/>
      <c r="F33" s="278">
        <f t="shared" ref="F33:F41" si="9">G33+H33</f>
        <v>494</v>
      </c>
      <c r="G33" s="285">
        <v>494</v>
      </c>
      <c r="H33" s="278"/>
      <c r="I33" s="277">
        <f>F33/C33*100</f>
        <v>100</v>
      </c>
      <c r="J33" s="277">
        <f>G33/D33*100</f>
        <v>100</v>
      </c>
      <c r="K33" s="277"/>
    </row>
    <row r="34" spans="1:11" s="261" customFormat="1" ht="27" customHeight="1" x14ac:dyDescent="0.2">
      <c r="A34" s="274"/>
      <c r="B34" s="266" t="s">
        <v>330</v>
      </c>
      <c r="C34" s="276">
        <f t="shared" si="4"/>
        <v>35</v>
      </c>
      <c r="D34" s="276">
        <v>35</v>
      </c>
      <c r="E34" s="278"/>
      <c r="F34" s="278">
        <f t="shared" si="9"/>
        <v>13.468999999999999</v>
      </c>
      <c r="G34" s="278">
        <v>13.468999999999999</v>
      </c>
      <c r="H34" s="278"/>
      <c r="I34" s="277">
        <f t="shared" ref="I34:I60" si="10">F34/C34*100</f>
        <v>38.482857142857142</v>
      </c>
      <c r="J34" s="277">
        <f t="shared" ref="J34:J57" si="11">G34/D34*100</f>
        <v>38.482857142857142</v>
      </c>
      <c r="K34" s="277"/>
    </row>
    <row r="35" spans="1:11" s="261" customFormat="1" ht="36" customHeight="1" x14ac:dyDescent="0.2">
      <c r="A35" s="274"/>
      <c r="B35" s="266" t="s">
        <v>1468</v>
      </c>
      <c r="C35" s="276">
        <f t="shared" si="4"/>
        <v>15</v>
      </c>
      <c r="D35" s="276">
        <v>15</v>
      </c>
      <c r="E35" s="278"/>
      <c r="F35" s="278">
        <f t="shared" si="9"/>
        <v>15</v>
      </c>
      <c r="G35" s="278">
        <v>15</v>
      </c>
      <c r="H35" s="278"/>
      <c r="I35" s="277">
        <f t="shared" si="10"/>
        <v>100</v>
      </c>
      <c r="J35" s="277">
        <f t="shared" si="11"/>
        <v>100</v>
      </c>
      <c r="K35" s="277"/>
    </row>
    <row r="36" spans="1:11" s="261" customFormat="1" ht="33.75" customHeight="1" x14ac:dyDescent="0.2">
      <c r="A36" s="274"/>
      <c r="B36" s="266" t="s">
        <v>1469</v>
      </c>
      <c r="C36" s="276">
        <f t="shared" si="4"/>
        <v>43.393205000000002</v>
      </c>
      <c r="D36" s="276"/>
      <c r="E36" s="278">
        <f>F36+G36</f>
        <v>43.393205000000002</v>
      </c>
      <c r="F36" s="278">
        <f t="shared" si="9"/>
        <v>43.393205000000002</v>
      </c>
      <c r="G36" s="278"/>
      <c r="H36" s="278">
        <v>43.393205000000002</v>
      </c>
      <c r="I36" s="277">
        <f t="shared" si="10"/>
        <v>100</v>
      </c>
      <c r="J36" s="277"/>
      <c r="K36" s="277">
        <f>H36/E36*100</f>
        <v>100</v>
      </c>
    </row>
    <row r="37" spans="1:11" s="261" customFormat="1" ht="27" customHeight="1" x14ac:dyDescent="0.2">
      <c r="A37" s="274"/>
      <c r="B37" s="266" t="s">
        <v>1470</v>
      </c>
      <c r="C37" s="276">
        <f t="shared" si="4"/>
        <v>19063</v>
      </c>
      <c r="D37" s="276">
        <f>8031+11032</f>
        <v>19063</v>
      </c>
      <c r="E37" s="278"/>
      <c r="F37" s="278">
        <f t="shared" si="9"/>
        <v>17871.410363999999</v>
      </c>
      <c r="G37" s="407">
        <v>17871.410363999999</v>
      </c>
      <c r="H37" s="278"/>
      <c r="I37" s="277">
        <f t="shared" si="10"/>
        <v>93.74920193044116</v>
      </c>
      <c r="J37" s="277">
        <f t="shared" si="11"/>
        <v>93.74920193044116</v>
      </c>
      <c r="K37" s="277"/>
    </row>
    <row r="38" spans="1:11" s="261" customFormat="1" ht="27" customHeight="1" x14ac:dyDescent="0.2">
      <c r="A38" s="274"/>
      <c r="B38" s="266" t="s">
        <v>1471</v>
      </c>
      <c r="C38" s="276">
        <f t="shared" si="4"/>
        <v>3525</v>
      </c>
      <c r="D38" s="276"/>
      <c r="E38" s="278">
        <f>94+624+2807</f>
        <v>3525</v>
      </c>
      <c r="F38" s="278">
        <f t="shared" si="9"/>
        <v>3138.1704540000001</v>
      </c>
      <c r="G38" s="278"/>
      <c r="H38" s="278">
        <v>3138.1704540000001</v>
      </c>
      <c r="I38" s="277">
        <f t="shared" si="10"/>
        <v>89.02611217021277</v>
      </c>
      <c r="J38" s="277"/>
      <c r="K38" s="277">
        <f>H38/E38*100</f>
        <v>89.02611217021277</v>
      </c>
    </row>
    <row r="39" spans="1:11" s="261" customFormat="1" ht="27" customHeight="1" x14ac:dyDescent="0.2">
      <c r="A39" s="279"/>
      <c r="B39" s="266" t="s">
        <v>954</v>
      </c>
      <c r="C39" s="276">
        <f t="shared" si="4"/>
        <v>184.567027</v>
      </c>
      <c r="D39" s="276"/>
      <c r="E39" s="278">
        <v>184.567027</v>
      </c>
      <c r="F39" s="278">
        <f t="shared" si="9"/>
        <v>181.83293699999999</v>
      </c>
      <c r="G39" s="278"/>
      <c r="H39" s="278">
        <v>181.83293699999999</v>
      </c>
      <c r="I39" s="277">
        <f t="shared" si="10"/>
        <v>98.518646561934375</v>
      </c>
      <c r="J39" s="277"/>
      <c r="K39" s="277">
        <f>H39/E39*100</f>
        <v>98.518646561934375</v>
      </c>
    </row>
    <row r="40" spans="1:11" s="261" customFormat="1" ht="27" customHeight="1" x14ac:dyDescent="0.2">
      <c r="A40" s="279"/>
      <c r="B40" s="266" t="s">
        <v>955</v>
      </c>
      <c r="C40" s="276">
        <f t="shared" si="4"/>
        <v>4.5425000000000004</v>
      </c>
      <c r="D40" s="276">
        <v>4.5425000000000004</v>
      </c>
      <c r="E40" s="278"/>
      <c r="F40" s="278">
        <f t="shared" si="9"/>
        <v>3.6</v>
      </c>
      <c r="G40" s="278">
        <v>3.6</v>
      </c>
      <c r="H40" s="278"/>
      <c r="I40" s="277">
        <f t="shared" si="10"/>
        <v>79.251513483764441</v>
      </c>
      <c r="J40" s="277">
        <f t="shared" si="11"/>
        <v>79.251513483764441</v>
      </c>
      <c r="K40" s="277"/>
    </row>
    <row r="41" spans="1:11" s="261" customFormat="1" ht="27" customHeight="1" x14ac:dyDescent="0.2">
      <c r="A41" s="279"/>
      <c r="B41" s="266" t="s">
        <v>956</v>
      </c>
      <c r="C41" s="276">
        <f t="shared" si="4"/>
        <v>5000</v>
      </c>
      <c r="D41" s="276">
        <v>5000</v>
      </c>
      <c r="E41" s="278"/>
      <c r="F41" s="278">
        <f t="shared" si="9"/>
        <v>4380.5757190000004</v>
      </c>
      <c r="G41" s="278">
        <v>4380.5757190000004</v>
      </c>
      <c r="H41" s="278"/>
      <c r="I41" s="277">
        <f t="shared" si="10"/>
        <v>87.611514380000017</v>
      </c>
      <c r="J41" s="277">
        <f t="shared" si="11"/>
        <v>87.611514380000017</v>
      </c>
      <c r="K41" s="277"/>
    </row>
    <row r="42" spans="1:11" s="268" customFormat="1" ht="27.75" customHeight="1" x14ac:dyDescent="0.2">
      <c r="A42" s="274" t="s">
        <v>866</v>
      </c>
      <c r="B42" s="275" t="s">
        <v>27</v>
      </c>
      <c r="C42" s="283">
        <f t="shared" ref="C42:H42" si="12">SUM(C44:C60)</f>
        <v>18982.296671</v>
      </c>
      <c r="D42" s="283">
        <f t="shared" si="12"/>
        <v>15505.162399999997</v>
      </c>
      <c r="E42" s="283">
        <f t="shared" si="12"/>
        <v>3477.1342709999999</v>
      </c>
      <c r="F42" s="283">
        <f t="shared" si="12"/>
        <v>17029.54969</v>
      </c>
      <c r="G42" s="283">
        <f t="shared" si="12"/>
        <v>16622.415419000001</v>
      </c>
      <c r="H42" s="283">
        <f t="shared" si="12"/>
        <v>407.13427100000001</v>
      </c>
      <c r="I42" s="277">
        <f t="shared" si="10"/>
        <v>89.712799168378353</v>
      </c>
      <c r="J42" s="277">
        <f t="shared" si="11"/>
        <v>107.20568408235442</v>
      </c>
      <c r="K42" s="277">
        <f>H42/E42*100</f>
        <v>11.70890277075527</v>
      </c>
    </row>
    <row r="43" spans="1:11" s="261" customFormat="1" ht="24" x14ac:dyDescent="0.2">
      <c r="A43" s="279"/>
      <c r="B43" s="280" t="s">
        <v>543</v>
      </c>
      <c r="C43" s="276">
        <f t="shared" si="4"/>
        <v>0</v>
      </c>
      <c r="D43" s="276"/>
      <c r="E43" s="278"/>
      <c r="F43" s="278">
        <f t="shared" ref="F43:F62" si="13">G43+H43</f>
        <v>0</v>
      </c>
      <c r="G43" s="278"/>
      <c r="H43" s="278"/>
      <c r="I43" s="277"/>
      <c r="J43" s="277"/>
      <c r="K43" s="277"/>
    </row>
    <row r="44" spans="1:11" s="261" customFormat="1" ht="24" x14ac:dyDescent="0.2">
      <c r="A44" s="279"/>
      <c r="B44" s="280" t="s">
        <v>131</v>
      </c>
      <c r="C44" s="276">
        <f t="shared" si="4"/>
        <v>5994.64</v>
      </c>
      <c r="D44" s="276">
        <v>5994.64</v>
      </c>
      <c r="E44" s="278"/>
      <c r="F44" s="278">
        <f t="shared" si="13"/>
        <v>5873.1920190000001</v>
      </c>
      <c r="G44" s="278">
        <v>5873.1920190000001</v>
      </c>
      <c r="H44" s="278"/>
      <c r="I44" s="277">
        <f t="shared" si="10"/>
        <v>97.974057141046003</v>
      </c>
      <c r="J44" s="277">
        <f t="shared" si="11"/>
        <v>97.974057141046003</v>
      </c>
      <c r="K44" s="277"/>
    </row>
    <row r="45" spans="1:11" s="261" customFormat="1" ht="24" x14ac:dyDescent="0.2">
      <c r="A45" s="279"/>
      <c r="B45" s="280" t="s">
        <v>132</v>
      </c>
      <c r="C45" s="276">
        <f t="shared" si="4"/>
        <v>224.9684</v>
      </c>
      <c r="D45" s="276">
        <v>224.9684</v>
      </c>
      <c r="E45" s="278"/>
      <c r="F45" s="278">
        <f t="shared" si="13"/>
        <v>224.9684</v>
      </c>
      <c r="G45" s="278">
        <v>224.9684</v>
      </c>
      <c r="H45" s="278"/>
      <c r="I45" s="277">
        <f t="shared" si="10"/>
        <v>100</v>
      </c>
      <c r="J45" s="277">
        <f t="shared" si="11"/>
        <v>100</v>
      </c>
      <c r="K45" s="277"/>
    </row>
    <row r="46" spans="1:11" s="261" customFormat="1" ht="24" x14ac:dyDescent="0.2">
      <c r="A46" s="279"/>
      <c r="B46" s="280" t="s">
        <v>133</v>
      </c>
      <c r="C46" s="276">
        <f t="shared" si="4"/>
        <v>2.2309999999999999</v>
      </c>
      <c r="D46" s="276">
        <v>2.2309999999999999</v>
      </c>
      <c r="E46" s="278"/>
      <c r="F46" s="278">
        <f t="shared" si="13"/>
        <v>2.2309999999999999</v>
      </c>
      <c r="G46" s="278">
        <v>2.2309999999999999</v>
      </c>
      <c r="H46" s="278"/>
      <c r="I46" s="277">
        <f t="shared" si="10"/>
        <v>100</v>
      </c>
      <c r="J46" s="277">
        <f t="shared" si="11"/>
        <v>100</v>
      </c>
      <c r="K46" s="277"/>
    </row>
    <row r="47" spans="1:11" s="261" customFormat="1" ht="36" x14ac:dyDescent="0.2">
      <c r="A47" s="279"/>
      <c r="B47" s="280" t="s">
        <v>134</v>
      </c>
      <c r="C47" s="276">
        <f t="shared" si="4"/>
        <v>185</v>
      </c>
      <c r="D47" s="276">
        <v>185</v>
      </c>
      <c r="E47" s="278"/>
      <c r="F47" s="278">
        <f t="shared" si="13"/>
        <v>185</v>
      </c>
      <c r="G47" s="285">
        <v>185</v>
      </c>
      <c r="H47" s="278"/>
      <c r="I47" s="277">
        <f t="shared" si="10"/>
        <v>100</v>
      </c>
      <c r="J47" s="277">
        <f t="shared" si="11"/>
        <v>100</v>
      </c>
      <c r="K47" s="277"/>
    </row>
    <row r="48" spans="1:11" s="261" customFormat="1" ht="12.75" x14ac:dyDescent="0.2">
      <c r="A48" s="279"/>
      <c r="B48" s="280" t="s">
        <v>135</v>
      </c>
      <c r="C48" s="276">
        <f t="shared" si="4"/>
        <v>1784.5450000000003</v>
      </c>
      <c r="D48" s="276">
        <v>1784.5450000000003</v>
      </c>
      <c r="E48" s="278"/>
      <c r="F48" s="278">
        <f t="shared" si="13"/>
        <v>1483.3679999999999</v>
      </c>
      <c r="G48" s="278">
        <v>1483.3679999999999</v>
      </c>
      <c r="H48" s="278"/>
      <c r="I48" s="277">
        <f t="shared" si="10"/>
        <v>83.123036964604395</v>
      </c>
      <c r="J48" s="277">
        <f t="shared" si="11"/>
        <v>83.123036964604395</v>
      </c>
      <c r="K48" s="277"/>
    </row>
    <row r="49" spans="1:11" s="261" customFormat="1" ht="60" x14ac:dyDescent="0.2">
      <c r="A49" s="279"/>
      <c r="B49" s="280" t="s">
        <v>1103</v>
      </c>
      <c r="C49" s="276">
        <f t="shared" si="4"/>
        <v>18.741</v>
      </c>
      <c r="D49" s="276"/>
      <c r="E49" s="278">
        <v>18.741</v>
      </c>
      <c r="F49" s="278">
        <f t="shared" si="13"/>
        <v>18.741</v>
      </c>
      <c r="G49" s="278"/>
      <c r="H49" s="278">
        <v>18.741</v>
      </c>
      <c r="I49" s="277">
        <f t="shared" si="10"/>
        <v>100</v>
      </c>
      <c r="J49" s="277"/>
      <c r="K49" s="277">
        <f>H49/E49*100</f>
        <v>100</v>
      </c>
    </row>
    <row r="50" spans="1:11" s="261" customFormat="1" ht="24" x14ac:dyDescent="0.2">
      <c r="A50" s="279"/>
      <c r="B50" s="280" t="s">
        <v>136</v>
      </c>
      <c r="C50" s="276">
        <f t="shared" si="4"/>
        <v>7</v>
      </c>
      <c r="D50" s="276">
        <v>7</v>
      </c>
      <c r="E50" s="278"/>
      <c r="F50" s="278">
        <f t="shared" si="13"/>
        <v>7</v>
      </c>
      <c r="G50" s="285">
        <v>7</v>
      </c>
      <c r="H50" s="278"/>
      <c r="I50" s="277">
        <f t="shared" si="10"/>
        <v>100</v>
      </c>
      <c r="J50" s="277">
        <f t="shared" si="11"/>
        <v>100</v>
      </c>
      <c r="K50" s="277"/>
    </row>
    <row r="51" spans="1:11" s="261" customFormat="1" ht="12.75" x14ac:dyDescent="0.2">
      <c r="A51" s="279"/>
      <c r="B51" s="280" t="s">
        <v>137</v>
      </c>
      <c r="C51" s="276">
        <f t="shared" si="4"/>
        <v>446.79899999999998</v>
      </c>
      <c r="D51" s="278">
        <f>E51+F51</f>
        <v>446.79899999999998</v>
      </c>
      <c r="E51" s="278"/>
      <c r="F51" s="278">
        <f t="shared" si="13"/>
        <v>446.79899999999998</v>
      </c>
      <c r="G51" s="285">
        <v>446.79899999999998</v>
      </c>
      <c r="H51" s="278"/>
      <c r="I51" s="277">
        <f t="shared" si="10"/>
        <v>100</v>
      </c>
      <c r="J51" s="277">
        <f t="shared" si="11"/>
        <v>100</v>
      </c>
      <c r="K51" s="277"/>
    </row>
    <row r="52" spans="1:11" s="261" customFormat="1" ht="12.75" x14ac:dyDescent="0.2">
      <c r="A52" s="279"/>
      <c r="B52" s="280" t="s">
        <v>138</v>
      </c>
      <c r="C52" s="276">
        <f t="shared" si="4"/>
        <v>2265</v>
      </c>
      <c r="D52" s="276">
        <v>2265</v>
      </c>
      <c r="E52" s="278"/>
      <c r="F52" s="278">
        <f t="shared" si="13"/>
        <v>2265</v>
      </c>
      <c r="G52" s="278">
        <v>2265</v>
      </c>
      <c r="H52" s="278"/>
      <c r="I52" s="277">
        <f t="shared" si="10"/>
        <v>100</v>
      </c>
      <c r="J52" s="277">
        <f t="shared" si="11"/>
        <v>100</v>
      </c>
      <c r="K52" s="277"/>
    </row>
    <row r="53" spans="1:11" s="261" customFormat="1" ht="12.75" x14ac:dyDescent="0.2">
      <c r="A53" s="279"/>
      <c r="B53" s="280" t="s">
        <v>139</v>
      </c>
      <c r="C53" s="276">
        <f t="shared" si="4"/>
        <v>4467</v>
      </c>
      <c r="D53" s="276">
        <v>4467</v>
      </c>
      <c r="E53" s="278"/>
      <c r="F53" s="278">
        <f t="shared" si="13"/>
        <v>4467</v>
      </c>
      <c r="G53" s="278">
        <v>4467</v>
      </c>
      <c r="H53" s="278"/>
      <c r="I53" s="277">
        <f t="shared" si="10"/>
        <v>100</v>
      </c>
      <c r="J53" s="277">
        <f t="shared" si="11"/>
        <v>100</v>
      </c>
      <c r="K53" s="277"/>
    </row>
    <row r="54" spans="1:11" s="261" customFormat="1" ht="48" x14ac:dyDescent="0.2">
      <c r="A54" s="279"/>
      <c r="B54" s="280" t="s">
        <v>140</v>
      </c>
      <c r="C54" s="276">
        <f t="shared" si="4"/>
        <v>268.26737100000003</v>
      </c>
      <c r="D54" s="276"/>
      <c r="E54" s="278">
        <v>268.26737100000003</v>
      </c>
      <c r="F54" s="278">
        <f t="shared" si="13"/>
        <v>268.26737100000003</v>
      </c>
      <c r="G54" s="278"/>
      <c r="H54" s="285">
        <v>268.26737100000003</v>
      </c>
      <c r="I54" s="277">
        <f t="shared" si="10"/>
        <v>100</v>
      </c>
      <c r="J54" s="277"/>
      <c r="K54" s="277">
        <f>H54/E54*100</f>
        <v>100</v>
      </c>
    </row>
    <row r="55" spans="1:11" s="261" customFormat="1" ht="48" x14ac:dyDescent="0.2">
      <c r="A55" s="279"/>
      <c r="B55" s="280" t="s">
        <v>141</v>
      </c>
      <c r="C55" s="276">
        <f t="shared" si="4"/>
        <v>31.209900000000001</v>
      </c>
      <c r="D55" s="276"/>
      <c r="E55" s="278">
        <f>F55+G55</f>
        <v>31.209900000000001</v>
      </c>
      <c r="F55" s="278">
        <f t="shared" si="13"/>
        <v>31.209900000000001</v>
      </c>
      <c r="G55" s="278"/>
      <c r="H55" s="285">
        <v>31.209900000000001</v>
      </c>
      <c r="I55" s="277"/>
      <c r="J55" s="277"/>
      <c r="K55" s="277"/>
    </row>
    <row r="56" spans="1:11" s="261" customFormat="1" ht="60" x14ac:dyDescent="0.2">
      <c r="A56" s="279"/>
      <c r="B56" s="280" t="s">
        <v>142</v>
      </c>
      <c r="C56" s="276">
        <f t="shared" si="4"/>
        <v>26.135999999999999</v>
      </c>
      <c r="D56" s="276"/>
      <c r="E56" s="278">
        <v>26.135999999999999</v>
      </c>
      <c r="F56" s="278">
        <f t="shared" si="13"/>
        <v>26.135999999999999</v>
      </c>
      <c r="G56" s="278"/>
      <c r="H56" s="278">
        <v>26.135999999999999</v>
      </c>
      <c r="I56" s="277">
        <f t="shared" si="10"/>
        <v>100</v>
      </c>
      <c r="J56" s="277"/>
      <c r="K56" s="277">
        <f>H56/E56*100</f>
        <v>100</v>
      </c>
    </row>
    <row r="57" spans="1:11" s="261" customFormat="1" ht="24" x14ac:dyDescent="0.2">
      <c r="A57" s="279"/>
      <c r="B57" s="280" t="s">
        <v>143</v>
      </c>
      <c r="C57" s="276">
        <f t="shared" si="4"/>
        <v>127.979</v>
      </c>
      <c r="D57" s="276">
        <v>127.979</v>
      </c>
      <c r="E57" s="278"/>
      <c r="F57" s="278">
        <f t="shared" si="13"/>
        <v>119.294</v>
      </c>
      <c r="G57" s="278">
        <v>119.294</v>
      </c>
      <c r="H57" s="278"/>
      <c r="I57" s="277">
        <f t="shared" si="10"/>
        <v>93.213730377640076</v>
      </c>
      <c r="J57" s="277">
        <f t="shared" si="11"/>
        <v>93.213730377640076</v>
      </c>
      <c r="K57" s="277"/>
    </row>
    <row r="58" spans="1:11" s="261" customFormat="1" ht="57.75" customHeight="1" x14ac:dyDescent="0.2">
      <c r="A58" s="279"/>
      <c r="B58" s="280" t="s">
        <v>144</v>
      </c>
      <c r="C58" s="276">
        <f t="shared" si="4"/>
        <v>8.7799999999999994</v>
      </c>
      <c r="D58" s="276"/>
      <c r="E58" s="278">
        <v>8.7799999999999994</v>
      </c>
      <c r="F58" s="278">
        <f t="shared" si="13"/>
        <v>8.7799999999999994</v>
      </c>
      <c r="G58" s="278"/>
      <c r="H58" s="278">
        <v>8.7799999999999994</v>
      </c>
      <c r="I58" s="277">
        <f t="shared" si="10"/>
        <v>100</v>
      </c>
      <c r="J58" s="277"/>
      <c r="K58" s="277">
        <f>H58/E58*100</f>
        <v>100</v>
      </c>
    </row>
    <row r="59" spans="1:11" s="261" customFormat="1" ht="36" x14ac:dyDescent="0.2">
      <c r="A59" s="279"/>
      <c r="B59" s="280" t="s">
        <v>145</v>
      </c>
      <c r="C59" s="276">
        <f t="shared" si="4"/>
        <v>124</v>
      </c>
      <c r="D59" s="276"/>
      <c r="E59" s="278">
        <v>124</v>
      </c>
      <c r="F59" s="278">
        <f t="shared" si="13"/>
        <v>54</v>
      </c>
      <c r="G59" s="278"/>
      <c r="H59" s="278">
        <v>54</v>
      </c>
      <c r="I59" s="277">
        <f t="shared" si="10"/>
        <v>43.548387096774192</v>
      </c>
      <c r="J59" s="277"/>
      <c r="K59" s="277">
        <f>H59/E59*100</f>
        <v>43.548387096774192</v>
      </c>
    </row>
    <row r="60" spans="1:11" s="261" customFormat="1" ht="24" x14ac:dyDescent="0.2">
      <c r="A60" s="279"/>
      <c r="B60" s="280" t="s">
        <v>1095</v>
      </c>
      <c r="C60" s="276">
        <f t="shared" si="4"/>
        <v>3000</v>
      </c>
      <c r="D60" s="276"/>
      <c r="E60" s="278">
        <v>3000</v>
      </c>
      <c r="F60" s="278">
        <f t="shared" si="13"/>
        <v>1548.5630000000001</v>
      </c>
      <c r="G60" s="278">
        <v>1548.5630000000001</v>
      </c>
      <c r="H60" s="278"/>
      <c r="I60" s="277">
        <f t="shared" si="10"/>
        <v>51.618766666666673</v>
      </c>
      <c r="J60" s="277"/>
      <c r="K60" s="277">
        <f>H60/E60*100</f>
        <v>0</v>
      </c>
    </row>
    <row r="61" spans="1:11" s="261" customFormat="1" ht="30.75" customHeight="1" x14ac:dyDescent="0.2">
      <c r="A61" s="274" t="s">
        <v>904</v>
      </c>
      <c r="B61" s="275" t="s">
        <v>544</v>
      </c>
      <c r="C61" s="276">
        <f t="shared" si="4"/>
        <v>0</v>
      </c>
      <c r="D61" s="276"/>
      <c r="E61" s="278"/>
      <c r="F61" s="278" t="e">
        <f t="shared" si="13"/>
        <v>#REF!</v>
      </c>
      <c r="G61" s="278" t="e">
        <f>'B60-342'!#REF!</f>
        <v>#REF!</v>
      </c>
      <c r="H61" s="278" t="str">
        <f>'B60-342'!F17</f>
        <v>7. Chi bổ sung cho ngân sách cấp dưới</v>
      </c>
      <c r="I61" s="277"/>
      <c r="J61" s="277"/>
      <c r="K61" s="277"/>
    </row>
    <row r="62" spans="1:11" ht="24" customHeight="1" x14ac:dyDescent="0.25">
      <c r="A62" s="287" t="s">
        <v>927</v>
      </c>
      <c r="B62" s="288" t="s">
        <v>33</v>
      </c>
      <c r="C62" s="289" t="e">
        <f t="shared" si="4"/>
        <v>#REF!</v>
      </c>
      <c r="D62" s="287" t="e">
        <f>'B49'!#REF!</f>
        <v>#REF!</v>
      </c>
      <c r="E62" s="290"/>
      <c r="F62" s="291" t="e">
        <f t="shared" si="13"/>
        <v>#REF!</v>
      </c>
      <c r="G62" s="290" t="e">
        <f>'B60-342'!#REF!</f>
        <v>#REF!</v>
      </c>
      <c r="H62" s="290"/>
      <c r="I62" s="292"/>
      <c r="J62" s="292"/>
      <c r="K62" s="292"/>
    </row>
    <row r="63" spans="1:11" ht="15.75" customHeight="1" x14ac:dyDescent="0.25">
      <c r="H63" s="348"/>
      <c r="I63" s="348"/>
      <c r="J63" s="348"/>
      <c r="K63" s="348"/>
    </row>
    <row r="64" spans="1:11" ht="15.75" customHeight="1" x14ac:dyDescent="0.25">
      <c r="G64" s="4635" t="s">
        <v>631</v>
      </c>
      <c r="H64" s="4635"/>
      <c r="I64" s="4635"/>
      <c r="J64" s="4635"/>
      <c r="K64" s="349"/>
    </row>
    <row r="65" spans="7:11" ht="15.75" customHeight="1" x14ac:dyDescent="0.25">
      <c r="G65" s="4280" t="s">
        <v>638</v>
      </c>
      <c r="H65" s="4280"/>
      <c r="I65" s="4280"/>
      <c r="J65" s="4280"/>
      <c r="K65" s="349"/>
    </row>
    <row r="66" spans="7:11" ht="15.75" customHeight="1" x14ac:dyDescent="0.25">
      <c r="G66" s="4280" t="s">
        <v>639</v>
      </c>
      <c r="H66" s="4280"/>
      <c r="I66" s="4280"/>
      <c r="J66" s="4280"/>
      <c r="K66" s="350"/>
    </row>
    <row r="67" spans="7:11" ht="15.75" x14ac:dyDescent="0.25">
      <c r="G67" s="4635"/>
      <c r="H67" s="4635"/>
      <c r="I67" s="4635"/>
    </row>
    <row r="68" spans="7:11" x14ac:dyDescent="0.25">
      <c r="G68" s="195"/>
      <c r="H68" s="178"/>
      <c r="I68" s="177"/>
    </row>
    <row r="69" spans="7:11" x14ac:dyDescent="0.25">
      <c r="G69" s="195"/>
      <c r="H69" s="178"/>
      <c r="I69" s="177"/>
    </row>
    <row r="70" spans="7:11" ht="18.75" x14ac:dyDescent="0.3">
      <c r="G70" s="4634" t="s">
        <v>666</v>
      </c>
      <c r="H70" s="4634"/>
      <c r="I70" s="4634"/>
      <c r="J70" s="4634"/>
    </row>
  </sheetData>
  <mergeCells count="14">
    <mergeCell ref="A2:K2"/>
    <mergeCell ref="A3:K3"/>
    <mergeCell ref="A5:A6"/>
    <mergeCell ref="B5:B6"/>
    <mergeCell ref="C5:C6"/>
    <mergeCell ref="D5:E5"/>
    <mergeCell ref="F5:F6"/>
    <mergeCell ref="G5:H5"/>
    <mergeCell ref="I5:K5"/>
    <mergeCell ref="G70:J70"/>
    <mergeCell ref="G67:I67"/>
    <mergeCell ref="G64:J64"/>
    <mergeCell ref="G65:J65"/>
    <mergeCell ref="G66:J66"/>
  </mergeCells>
  <phoneticPr fontId="70" type="noConversion"/>
  <pageMargins left="0.2" right="0.2" top="0.75" bottom="0.91" header="0.3" footer="0.56999999999999995"/>
  <pageSetup paperSize="9" scale="75" firstPageNumber="162" orientation="portrait" useFirstPageNumber="1" r:id="rId1"/>
  <headerFooter>
    <oddHeader>&amp;RBiểu số 5.6</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P243"/>
  <sheetViews>
    <sheetView zoomScale="90" zoomScaleNormal="90" workbookViewId="0">
      <pane xSplit="1" ySplit="9" topLeftCell="B65" activePane="bottomRight" state="frozen"/>
      <selection pane="topRight" activeCell="B1" sqref="B1"/>
      <selection pane="bottomLeft" activeCell="A10" sqref="A10"/>
      <selection pane="bottomRight" activeCell="I68" sqref="I68"/>
    </sheetView>
  </sheetViews>
  <sheetFormatPr defaultColWidth="9.140625" defaultRowHeight="12.75" x14ac:dyDescent="0.25"/>
  <cols>
    <col min="1" max="1" width="4.42578125" style="298" customWidth="1"/>
    <col min="2" max="2" width="25.85546875" style="298" customWidth="1"/>
    <col min="3" max="3" width="11.140625" style="299" customWidth="1"/>
    <col min="4" max="4" width="10.85546875" style="299" customWidth="1"/>
    <col min="5" max="5" width="13.7109375" style="299" customWidth="1"/>
    <col min="6" max="6" width="6.140625" style="299" hidden="1" customWidth="1"/>
    <col min="7" max="7" width="15.28515625" style="299" customWidth="1"/>
    <col min="8" max="8" width="10.5703125" style="299" customWidth="1"/>
    <col min="9" max="9" width="18.5703125" style="299" customWidth="1"/>
    <col min="10" max="10" width="10.140625" style="299" customWidth="1"/>
    <col min="11" max="11" width="10.7109375" style="299" customWidth="1"/>
    <col min="12" max="12" width="9.85546875" style="299" customWidth="1"/>
    <col min="13" max="13" width="0" style="299" hidden="1" customWidth="1"/>
    <col min="14" max="14" width="10.140625" style="299" customWidth="1"/>
    <col min="15" max="15" width="14.42578125" style="357" customWidth="1"/>
    <col min="16" max="16" width="6.85546875" style="299" customWidth="1"/>
    <col min="17" max="17" width="16" style="377" customWidth="1"/>
    <col min="18" max="18" width="11" style="299" customWidth="1"/>
    <col min="19" max="19" width="10.85546875" style="299" customWidth="1"/>
    <col min="20" max="20" width="7" style="299" customWidth="1"/>
    <col min="21" max="21" width="13.28515625" style="377" customWidth="1"/>
    <col min="22" max="22" width="17.140625" style="299" customWidth="1"/>
    <col min="23" max="23" width="0" style="299" hidden="1" customWidth="1"/>
    <col min="24" max="24" width="6.7109375" style="299" customWidth="1"/>
    <col min="25" max="25" width="8.140625" style="299" customWidth="1"/>
    <col min="26" max="26" width="9.28515625" style="299" hidden="1" customWidth="1"/>
    <col min="27" max="27" width="7.85546875" style="299" hidden="1" customWidth="1"/>
    <col min="28" max="28" width="9.5703125" style="299" customWidth="1"/>
    <col min="29" max="29" width="9" style="299" customWidth="1"/>
    <col min="30" max="30" width="6.85546875" style="299" hidden="1" customWidth="1"/>
    <col min="31" max="31" width="10" style="299" customWidth="1"/>
    <col min="32" max="32" width="9.5703125" style="299" customWidth="1"/>
    <col min="33" max="33" width="9.28515625" style="299" hidden="1" customWidth="1"/>
    <col min="34" max="34" width="9.140625" style="299" hidden="1" customWidth="1"/>
    <col min="35" max="36" width="8.85546875" style="299" customWidth="1"/>
    <col min="37" max="37" width="7.5703125" style="299" customWidth="1"/>
    <col min="38" max="38" width="8" style="299" customWidth="1"/>
    <col min="39" max="39" width="7.85546875" style="299" customWidth="1"/>
    <col min="40" max="40" width="7.7109375" style="299" customWidth="1"/>
    <col min="41" max="41" width="7.5703125" style="298" hidden="1" customWidth="1"/>
    <col min="42" max="16384" width="9.140625" style="298"/>
  </cols>
  <sheetData>
    <row r="1" spans="1:41" x14ac:dyDescent="0.25">
      <c r="A1" s="297" t="s">
        <v>842</v>
      </c>
      <c r="D1" s="4641"/>
      <c r="E1" s="4641"/>
      <c r="G1" s="4642"/>
      <c r="H1" s="4642"/>
      <c r="I1" s="300"/>
      <c r="AM1" s="4641" t="s">
        <v>1258</v>
      </c>
      <c r="AN1" s="4641"/>
      <c r="AO1" s="301"/>
    </row>
    <row r="2" spans="1:41" ht="36" customHeight="1" x14ac:dyDescent="0.25">
      <c r="A2" s="3938" t="s">
        <v>214</v>
      </c>
      <c r="B2" s="3938"/>
      <c r="C2" s="3938"/>
      <c r="D2" s="3938"/>
      <c r="E2" s="3938"/>
      <c r="F2" s="3938"/>
      <c r="G2" s="3938"/>
      <c r="H2" s="3938"/>
      <c r="I2" s="3938"/>
      <c r="J2" s="3938"/>
      <c r="K2" s="3938"/>
      <c r="L2" s="3938"/>
      <c r="M2" s="3938"/>
      <c r="N2" s="3938"/>
      <c r="O2" s="3938"/>
      <c r="P2" s="3938"/>
      <c r="Q2" s="3938"/>
      <c r="R2" s="3938"/>
      <c r="S2" s="3938"/>
      <c r="T2" s="3938"/>
      <c r="U2" s="3938"/>
      <c r="V2" s="3938"/>
      <c r="W2" s="3938"/>
      <c r="X2" s="3938"/>
      <c r="Y2" s="3938"/>
      <c r="Z2" s="3938"/>
      <c r="AA2" s="3938"/>
      <c r="AB2" s="3938"/>
      <c r="AC2" s="3938"/>
      <c r="AD2" s="3938"/>
      <c r="AE2" s="3938"/>
      <c r="AF2" s="3938"/>
      <c r="AG2" s="3938"/>
      <c r="AH2" s="3938"/>
      <c r="AI2" s="3938"/>
      <c r="AJ2" s="3938"/>
      <c r="AK2" s="3938"/>
      <c r="AL2" s="3938"/>
      <c r="AM2" s="3938"/>
      <c r="AN2" s="3938"/>
      <c r="AO2" s="3938"/>
    </row>
    <row r="3" spans="1:41" ht="35.25" customHeight="1" x14ac:dyDescent="0.25">
      <c r="A3" s="4196" t="s">
        <v>3484</v>
      </c>
      <c r="B3" s="4196"/>
      <c r="C3" s="4196"/>
      <c r="D3" s="4196"/>
      <c r="E3" s="4196"/>
      <c r="F3" s="4196"/>
      <c r="G3" s="4196"/>
      <c r="H3" s="4196"/>
      <c r="I3" s="4196"/>
      <c r="J3" s="4196"/>
      <c r="K3" s="4196"/>
      <c r="L3" s="4196"/>
      <c r="M3" s="4196"/>
      <c r="N3" s="4196"/>
      <c r="O3" s="4196"/>
      <c r="P3" s="4196"/>
      <c r="Q3" s="4196"/>
      <c r="R3" s="4196"/>
      <c r="S3" s="4196"/>
      <c r="T3" s="4196"/>
      <c r="U3" s="4196"/>
      <c r="V3" s="4196"/>
      <c r="W3" s="4196"/>
      <c r="X3" s="4196"/>
      <c r="Y3" s="4196"/>
      <c r="Z3" s="4196"/>
      <c r="AA3" s="4196"/>
      <c r="AB3" s="4196"/>
      <c r="AC3" s="4196"/>
      <c r="AD3" s="4196"/>
      <c r="AE3" s="4196"/>
      <c r="AF3" s="4196"/>
      <c r="AG3" s="4196"/>
      <c r="AH3" s="4196"/>
      <c r="AI3" s="4196"/>
      <c r="AJ3" s="4196"/>
      <c r="AK3" s="4196"/>
      <c r="AL3" s="4196"/>
      <c r="AM3" s="4196"/>
      <c r="AN3" s="4196"/>
      <c r="AO3" s="4196"/>
    </row>
    <row r="4" spans="1:41" x14ac:dyDescent="0.25">
      <c r="J4" s="4643"/>
      <c r="K4" s="4643"/>
      <c r="AO4" s="302" t="s">
        <v>843</v>
      </c>
    </row>
    <row r="5" spans="1:41" ht="20.25" customHeight="1" x14ac:dyDescent="0.25">
      <c r="A5" s="4644" t="s">
        <v>844</v>
      </c>
      <c r="B5" s="4644" t="s">
        <v>12</v>
      </c>
      <c r="C5" s="4647" t="s">
        <v>846</v>
      </c>
      <c r="D5" s="4648"/>
      <c r="E5" s="4648"/>
      <c r="F5" s="4649"/>
      <c r="G5" s="4647" t="s">
        <v>13</v>
      </c>
      <c r="H5" s="4648"/>
      <c r="I5" s="4648"/>
      <c r="J5" s="4648"/>
      <c r="K5" s="4648"/>
      <c r="L5" s="4648"/>
      <c r="M5" s="4648"/>
      <c r="N5" s="4648"/>
      <c r="O5" s="4648"/>
      <c r="P5" s="4648"/>
      <c r="Q5" s="4648"/>
      <c r="R5" s="4648"/>
      <c r="S5" s="4648"/>
      <c r="T5" s="4648"/>
      <c r="U5" s="4648"/>
      <c r="V5" s="4648"/>
      <c r="W5" s="4648"/>
      <c r="X5" s="4648"/>
      <c r="Y5" s="4648"/>
      <c r="Z5" s="4648"/>
      <c r="AA5" s="4648"/>
      <c r="AB5" s="4648"/>
      <c r="AC5" s="4648"/>
      <c r="AD5" s="4648"/>
      <c r="AE5" s="4648"/>
      <c r="AF5" s="4648"/>
      <c r="AG5" s="4648"/>
      <c r="AH5" s="4648"/>
      <c r="AI5" s="4648"/>
      <c r="AJ5" s="4648"/>
      <c r="AK5" s="4649"/>
      <c r="AL5" s="4654" t="s">
        <v>28</v>
      </c>
      <c r="AM5" s="4655"/>
      <c r="AN5" s="4655"/>
      <c r="AO5" s="4656"/>
    </row>
    <row r="6" spans="1:41" ht="30.75" customHeight="1" x14ac:dyDescent="0.25">
      <c r="A6" s="4645"/>
      <c r="B6" s="4645"/>
      <c r="C6" s="4650" t="s">
        <v>868</v>
      </c>
      <c r="D6" s="4647" t="s">
        <v>907</v>
      </c>
      <c r="E6" s="4649"/>
      <c r="F6" s="4650" t="s">
        <v>890</v>
      </c>
      <c r="G6" s="4650" t="s">
        <v>868</v>
      </c>
      <c r="H6" s="4647" t="s">
        <v>907</v>
      </c>
      <c r="I6" s="4649"/>
      <c r="J6" s="4647" t="s">
        <v>1436</v>
      </c>
      <c r="K6" s="4648"/>
      <c r="L6" s="4648"/>
      <c r="M6" s="4648"/>
      <c r="N6" s="4648"/>
      <c r="O6" s="4648"/>
      <c r="P6" s="4649"/>
      <c r="Q6" s="4647" t="s">
        <v>1437</v>
      </c>
      <c r="R6" s="4648"/>
      <c r="S6" s="4648"/>
      <c r="T6" s="4648"/>
      <c r="U6" s="4648"/>
      <c r="V6" s="4648"/>
      <c r="W6" s="4649"/>
      <c r="X6" s="4647" t="s">
        <v>1438</v>
      </c>
      <c r="Y6" s="4648"/>
      <c r="Z6" s="4648"/>
      <c r="AA6" s="4648"/>
      <c r="AB6" s="4648"/>
      <c r="AC6" s="4648"/>
      <c r="AD6" s="4649"/>
      <c r="AE6" s="4647" t="s">
        <v>806</v>
      </c>
      <c r="AF6" s="4648"/>
      <c r="AG6" s="4648"/>
      <c r="AH6" s="4648"/>
      <c r="AI6" s="4648"/>
      <c r="AJ6" s="4648"/>
      <c r="AK6" s="4649"/>
      <c r="AL6" s="4650" t="s">
        <v>868</v>
      </c>
      <c r="AM6" s="4647" t="s">
        <v>907</v>
      </c>
      <c r="AN6" s="4649"/>
      <c r="AO6" s="4644" t="s">
        <v>890</v>
      </c>
    </row>
    <row r="7" spans="1:41" ht="57.75" customHeight="1" x14ac:dyDescent="0.25">
      <c r="A7" s="4645"/>
      <c r="B7" s="4645"/>
      <c r="C7" s="4657"/>
      <c r="D7" s="4650" t="s">
        <v>756</v>
      </c>
      <c r="E7" s="4650" t="s">
        <v>757</v>
      </c>
      <c r="F7" s="4657"/>
      <c r="G7" s="4657"/>
      <c r="H7" s="4650" t="s">
        <v>756</v>
      </c>
      <c r="I7" s="4650" t="s">
        <v>757</v>
      </c>
      <c r="J7" s="4650" t="s">
        <v>868</v>
      </c>
      <c r="K7" s="4647" t="s">
        <v>884</v>
      </c>
      <c r="L7" s="4648"/>
      <c r="M7" s="4649"/>
      <c r="N7" s="4647" t="s">
        <v>757</v>
      </c>
      <c r="O7" s="4648"/>
      <c r="P7" s="4649"/>
      <c r="Q7" s="4652" t="s">
        <v>868</v>
      </c>
      <c r="R7" s="4647" t="s">
        <v>884</v>
      </c>
      <c r="S7" s="4648"/>
      <c r="T7" s="4649"/>
      <c r="U7" s="4647" t="s">
        <v>757</v>
      </c>
      <c r="V7" s="4648"/>
      <c r="W7" s="4649"/>
      <c r="X7" s="4650" t="s">
        <v>868</v>
      </c>
      <c r="Y7" s="4647" t="s">
        <v>884</v>
      </c>
      <c r="Z7" s="4648"/>
      <c r="AA7" s="4649"/>
      <c r="AB7" s="4647" t="s">
        <v>757</v>
      </c>
      <c r="AC7" s="4648"/>
      <c r="AD7" s="4649"/>
      <c r="AE7" s="4650" t="s">
        <v>868</v>
      </c>
      <c r="AF7" s="4647" t="s">
        <v>884</v>
      </c>
      <c r="AG7" s="4648"/>
      <c r="AH7" s="4649"/>
      <c r="AI7" s="4647" t="s">
        <v>757</v>
      </c>
      <c r="AJ7" s="4648"/>
      <c r="AK7" s="4649"/>
      <c r="AL7" s="4657"/>
      <c r="AM7" s="4650" t="s">
        <v>884</v>
      </c>
      <c r="AN7" s="4650" t="s">
        <v>885</v>
      </c>
      <c r="AO7" s="4645"/>
    </row>
    <row r="8" spans="1:41" ht="20.25" customHeight="1" x14ac:dyDescent="0.25">
      <c r="A8" s="4645"/>
      <c r="B8" s="4645"/>
      <c r="C8" s="4657"/>
      <c r="D8" s="4657"/>
      <c r="E8" s="4657"/>
      <c r="F8" s="4657"/>
      <c r="G8" s="4657"/>
      <c r="H8" s="4657"/>
      <c r="I8" s="4657"/>
      <c r="J8" s="4657"/>
      <c r="K8" s="4650" t="s">
        <v>868</v>
      </c>
      <c r="L8" s="4647" t="s">
        <v>758</v>
      </c>
      <c r="M8" s="4649"/>
      <c r="N8" s="4650" t="s">
        <v>868</v>
      </c>
      <c r="O8" s="4647" t="s">
        <v>758</v>
      </c>
      <c r="P8" s="4649"/>
      <c r="Q8" s="4658"/>
      <c r="R8" s="4650" t="s">
        <v>868</v>
      </c>
      <c r="S8" s="4647" t="s">
        <v>758</v>
      </c>
      <c r="T8" s="4649"/>
      <c r="U8" s="4652" t="s">
        <v>868</v>
      </c>
      <c r="V8" s="4647" t="s">
        <v>758</v>
      </c>
      <c r="W8" s="4649"/>
      <c r="X8" s="4657"/>
      <c r="Y8" s="4650" t="s">
        <v>868</v>
      </c>
      <c r="Z8" s="4647" t="s">
        <v>758</v>
      </c>
      <c r="AA8" s="4649"/>
      <c r="AB8" s="4650" t="s">
        <v>868</v>
      </c>
      <c r="AC8" s="4647" t="s">
        <v>758</v>
      </c>
      <c r="AD8" s="4649"/>
      <c r="AE8" s="4657"/>
      <c r="AF8" s="4650" t="s">
        <v>868</v>
      </c>
      <c r="AG8" s="4647" t="s">
        <v>758</v>
      </c>
      <c r="AH8" s="4649"/>
      <c r="AI8" s="4650" t="s">
        <v>868</v>
      </c>
      <c r="AJ8" s="4647" t="s">
        <v>758</v>
      </c>
      <c r="AK8" s="4649"/>
      <c r="AL8" s="4657"/>
      <c r="AM8" s="4657"/>
      <c r="AN8" s="4657"/>
      <c r="AO8" s="4645"/>
    </row>
    <row r="9" spans="1:41" ht="39" customHeight="1" x14ac:dyDescent="0.25">
      <c r="A9" s="4646"/>
      <c r="B9" s="4646"/>
      <c r="C9" s="4651"/>
      <c r="D9" s="4651"/>
      <c r="E9" s="4651"/>
      <c r="F9" s="4651"/>
      <c r="G9" s="4651"/>
      <c r="H9" s="4651"/>
      <c r="I9" s="4651"/>
      <c r="J9" s="4651"/>
      <c r="K9" s="4651"/>
      <c r="L9" s="303" t="s">
        <v>917</v>
      </c>
      <c r="M9" s="303" t="s">
        <v>746</v>
      </c>
      <c r="N9" s="4651"/>
      <c r="O9" s="358" t="s">
        <v>917</v>
      </c>
      <c r="P9" s="303" t="s">
        <v>746</v>
      </c>
      <c r="Q9" s="4653"/>
      <c r="R9" s="4651"/>
      <c r="S9" s="303" t="s">
        <v>917</v>
      </c>
      <c r="T9" s="303" t="s">
        <v>746</v>
      </c>
      <c r="U9" s="4653"/>
      <c r="V9" s="303" t="s">
        <v>917</v>
      </c>
      <c r="W9" s="303" t="s">
        <v>746</v>
      </c>
      <c r="X9" s="4651"/>
      <c r="Y9" s="4651"/>
      <c r="Z9" s="303" t="s">
        <v>917</v>
      </c>
      <c r="AA9" s="303" t="s">
        <v>746</v>
      </c>
      <c r="AB9" s="4651"/>
      <c r="AC9" s="303" t="s">
        <v>917</v>
      </c>
      <c r="AD9" s="303" t="s">
        <v>746</v>
      </c>
      <c r="AE9" s="4651"/>
      <c r="AF9" s="4651"/>
      <c r="AG9" s="303" t="s">
        <v>917</v>
      </c>
      <c r="AH9" s="303" t="s">
        <v>746</v>
      </c>
      <c r="AI9" s="4651"/>
      <c r="AJ9" s="303" t="s">
        <v>917</v>
      </c>
      <c r="AK9" s="303" t="s">
        <v>746</v>
      </c>
      <c r="AL9" s="4651"/>
      <c r="AM9" s="4651"/>
      <c r="AN9" s="4651"/>
      <c r="AO9" s="4646"/>
    </row>
    <row r="10" spans="1:41" s="299" customFormat="1" x14ac:dyDescent="0.25">
      <c r="A10" s="303" t="s">
        <v>847</v>
      </c>
      <c r="B10" s="303" t="s">
        <v>848</v>
      </c>
      <c r="C10" s="303">
        <v>1</v>
      </c>
      <c r="D10" s="303">
        <v>2</v>
      </c>
      <c r="E10" s="303">
        <v>3</v>
      </c>
      <c r="F10" s="303">
        <v>4</v>
      </c>
      <c r="G10" s="303">
        <v>5</v>
      </c>
      <c r="H10" s="303">
        <v>6</v>
      </c>
      <c r="I10" s="303">
        <v>7</v>
      </c>
      <c r="J10" s="303">
        <v>8</v>
      </c>
      <c r="K10" s="303">
        <v>9</v>
      </c>
      <c r="L10" s="303">
        <v>10</v>
      </c>
      <c r="M10" s="303">
        <v>11</v>
      </c>
      <c r="N10" s="303">
        <v>12</v>
      </c>
      <c r="O10" s="303">
        <v>13</v>
      </c>
      <c r="P10" s="303">
        <v>14</v>
      </c>
      <c r="Q10" s="303"/>
      <c r="R10" s="303"/>
      <c r="S10" s="303"/>
      <c r="T10" s="303"/>
      <c r="U10" s="303"/>
      <c r="V10" s="303"/>
      <c r="W10" s="303">
        <v>15</v>
      </c>
      <c r="X10" s="303"/>
      <c r="Y10" s="303"/>
      <c r="Z10" s="303"/>
      <c r="AA10" s="303"/>
      <c r="AB10" s="303"/>
      <c r="AC10" s="303"/>
      <c r="AD10" s="303"/>
      <c r="AE10" s="303"/>
      <c r="AF10" s="303"/>
      <c r="AG10" s="303"/>
      <c r="AH10" s="303"/>
      <c r="AI10" s="303"/>
      <c r="AJ10" s="303"/>
      <c r="AK10" s="303"/>
      <c r="AL10" s="303" t="s">
        <v>759</v>
      </c>
      <c r="AM10" s="303" t="s">
        <v>760</v>
      </c>
      <c r="AN10" s="303" t="s">
        <v>761</v>
      </c>
      <c r="AO10" s="303" t="s">
        <v>762</v>
      </c>
    </row>
    <row r="11" spans="1:41" s="297" customFormat="1" ht="32.25" customHeight="1" x14ac:dyDescent="0.25">
      <c r="A11" s="251"/>
      <c r="B11" s="193" t="s">
        <v>886</v>
      </c>
      <c r="C11" s="294">
        <f>C12+C76</f>
        <v>46715.647941999996</v>
      </c>
      <c r="D11" s="294">
        <f>D12+D76</f>
        <v>40199.56581</v>
      </c>
      <c r="E11" s="294">
        <f>E12+E76</f>
        <v>6516.0821319999995</v>
      </c>
      <c r="F11" s="294">
        <f>F12+F76</f>
        <v>0</v>
      </c>
      <c r="G11" s="254">
        <f>G12+G76</f>
        <v>42083.445515999992</v>
      </c>
      <c r="H11" s="294">
        <f t="shared" ref="H11:AN11" si="0">H12+H76</f>
        <v>36002.323145999995</v>
      </c>
      <c r="I11" s="294">
        <f t="shared" si="0"/>
        <v>6081.12237</v>
      </c>
      <c r="J11" s="294">
        <f t="shared" si="0"/>
        <v>15941.993836999998</v>
      </c>
      <c r="K11" s="294">
        <f t="shared" si="0"/>
        <v>13750.337062999999</v>
      </c>
      <c r="L11" s="294">
        <f t="shared" si="0"/>
        <v>13750.337062999999</v>
      </c>
      <c r="M11" s="294">
        <f t="shared" si="0"/>
        <v>0</v>
      </c>
      <c r="N11" s="294">
        <f t="shared" si="0"/>
        <v>2191.656774</v>
      </c>
      <c r="O11" s="359">
        <f t="shared" si="0"/>
        <v>2191.656774</v>
      </c>
      <c r="P11" s="294">
        <f t="shared" si="0"/>
        <v>0</v>
      </c>
      <c r="Q11" s="254">
        <f t="shared" si="0"/>
        <v>21056.574022999994</v>
      </c>
      <c r="R11" s="294">
        <f t="shared" si="0"/>
        <v>17871.410363999996</v>
      </c>
      <c r="S11" s="294">
        <f t="shared" si="0"/>
        <v>17871.410363999996</v>
      </c>
      <c r="T11" s="294">
        <f t="shared" si="0"/>
        <v>0</v>
      </c>
      <c r="U11" s="254">
        <f t="shared" si="0"/>
        <v>3185.1636589999994</v>
      </c>
      <c r="V11" s="294">
        <f t="shared" si="0"/>
        <v>3185.1636589999994</v>
      </c>
      <c r="W11" s="294">
        <f t="shared" si="0"/>
        <v>0</v>
      </c>
      <c r="X11" s="294">
        <f t="shared" si="0"/>
        <v>0</v>
      </c>
      <c r="Y11" s="294">
        <f t="shared" si="0"/>
        <v>0</v>
      </c>
      <c r="Z11" s="294">
        <f t="shared" si="0"/>
        <v>0</v>
      </c>
      <c r="AA11" s="294">
        <f t="shared" si="0"/>
        <v>0</v>
      </c>
      <c r="AB11" s="294">
        <f t="shared" si="0"/>
        <v>522.46900000000005</v>
      </c>
      <c r="AC11" s="294">
        <f t="shared" si="0"/>
        <v>522.46900000000005</v>
      </c>
      <c r="AD11" s="294">
        <f t="shared" si="0"/>
        <v>0</v>
      </c>
      <c r="AE11" s="294">
        <f t="shared" si="0"/>
        <v>4562.4086560000005</v>
      </c>
      <c r="AF11" s="294">
        <f t="shared" si="0"/>
        <v>4380.5757190000004</v>
      </c>
      <c r="AG11" s="294">
        <f t="shared" si="0"/>
        <v>0</v>
      </c>
      <c r="AH11" s="294">
        <f t="shared" si="0"/>
        <v>0</v>
      </c>
      <c r="AI11" s="294">
        <f t="shared" si="0"/>
        <v>181.83293700000002</v>
      </c>
      <c r="AJ11" s="294">
        <f t="shared" si="0"/>
        <v>181.83293700000002</v>
      </c>
      <c r="AK11" s="294">
        <f t="shared" si="0"/>
        <v>0</v>
      </c>
      <c r="AL11" s="294">
        <f t="shared" si="0"/>
        <v>183.08889389475112</v>
      </c>
      <c r="AM11" s="294">
        <f t="shared" si="0"/>
        <v>181.04912969977653</v>
      </c>
      <c r="AN11" s="294">
        <f t="shared" si="0"/>
        <v>180.61435651840472</v>
      </c>
      <c r="AO11" s="304">
        <f>AO12+AO76</f>
        <v>0</v>
      </c>
    </row>
    <row r="12" spans="1:41" ht="32.25" customHeight="1" x14ac:dyDescent="0.25">
      <c r="A12" s="210" t="s">
        <v>866</v>
      </c>
      <c r="B12" s="252" t="s">
        <v>732</v>
      </c>
      <c r="C12" s="305">
        <f>C13+C15+C21</f>
        <v>18769.371899999998</v>
      </c>
      <c r="D12" s="305">
        <f t="shared" ref="D12:AO12" si="1">D13+D15+D21</f>
        <v>17951</v>
      </c>
      <c r="E12" s="305">
        <f t="shared" si="1"/>
        <v>818.37189999999998</v>
      </c>
      <c r="F12" s="305">
        <f t="shared" si="1"/>
        <v>0</v>
      </c>
      <c r="G12" s="305">
        <f>G13+G15+G21</f>
        <v>18577.479363999995</v>
      </c>
      <c r="H12" s="305">
        <f t="shared" si="1"/>
        <v>17871.410363999996</v>
      </c>
      <c r="I12" s="305">
        <f t="shared" si="1"/>
        <v>706.06900000000007</v>
      </c>
      <c r="J12" s="305">
        <f t="shared" si="1"/>
        <v>180</v>
      </c>
      <c r="K12" s="305">
        <f t="shared" si="1"/>
        <v>0</v>
      </c>
      <c r="L12" s="305">
        <f t="shared" si="1"/>
        <v>0</v>
      </c>
      <c r="M12" s="305">
        <f t="shared" si="1"/>
        <v>0</v>
      </c>
      <c r="N12" s="305">
        <f t="shared" si="1"/>
        <v>180</v>
      </c>
      <c r="O12" s="360">
        <f t="shared" si="1"/>
        <v>180</v>
      </c>
      <c r="P12" s="305">
        <f t="shared" si="1"/>
        <v>0</v>
      </c>
      <c r="Q12" s="378">
        <f t="shared" si="1"/>
        <v>17875.010363999994</v>
      </c>
      <c r="R12" s="305">
        <f t="shared" si="1"/>
        <v>17871.410363999996</v>
      </c>
      <c r="S12" s="305">
        <f t="shared" si="1"/>
        <v>17871.410363999996</v>
      </c>
      <c r="T12" s="305">
        <f t="shared" si="1"/>
        <v>0</v>
      </c>
      <c r="U12" s="378">
        <f t="shared" si="1"/>
        <v>3.6</v>
      </c>
      <c r="V12" s="305">
        <f t="shared" si="1"/>
        <v>3.6</v>
      </c>
      <c r="W12" s="305">
        <f t="shared" si="1"/>
        <v>0</v>
      </c>
      <c r="X12" s="305">
        <f t="shared" si="1"/>
        <v>0</v>
      </c>
      <c r="Y12" s="305">
        <f t="shared" si="1"/>
        <v>0</v>
      </c>
      <c r="Z12" s="305">
        <f t="shared" si="1"/>
        <v>0</v>
      </c>
      <c r="AA12" s="305">
        <f t="shared" si="1"/>
        <v>0</v>
      </c>
      <c r="AB12" s="305">
        <f t="shared" si="1"/>
        <v>522.46900000000005</v>
      </c>
      <c r="AC12" s="305">
        <f t="shared" si="1"/>
        <v>522.46900000000005</v>
      </c>
      <c r="AD12" s="305">
        <f t="shared" si="1"/>
        <v>0</v>
      </c>
      <c r="AE12" s="305">
        <f t="shared" si="1"/>
        <v>0</v>
      </c>
      <c r="AF12" s="305">
        <f t="shared" si="1"/>
        <v>0</v>
      </c>
      <c r="AG12" s="305">
        <f t="shared" si="1"/>
        <v>0</v>
      </c>
      <c r="AH12" s="305">
        <f t="shared" si="1"/>
        <v>0</v>
      </c>
      <c r="AI12" s="305">
        <f t="shared" si="1"/>
        <v>0</v>
      </c>
      <c r="AJ12" s="305">
        <f t="shared" si="1"/>
        <v>0</v>
      </c>
      <c r="AK12" s="305">
        <f t="shared" si="1"/>
        <v>0</v>
      </c>
      <c r="AL12" s="253">
        <f t="shared" ref="AL12:AN76" si="2">G12/C12%</f>
        <v>98.977629421898754</v>
      </c>
      <c r="AM12" s="253">
        <f t="shared" si="2"/>
        <v>99.556628399532045</v>
      </c>
      <c r="AN12" s="253">
        <f t="shared" si="2"/>
        <v>86.277278093248327</v>
      </c>
      <c r="AO12" s="306">
        <f t="shared" si="1"/>
        <v>0</v>
      </c>
    </row>
    <row r="13" spans="1:41" s="309" customFormat="1" ht="32.25" customHeight="1" x14ac:dyDescent="0.25">
      <c r="A13" s="215" t="s">
        <v>851</v>
      </c>
      <c r="B13" s="216" t="s">
        <v>1439</v>
      </c>
      <c r="C13" s="307">
        <f>C14</f>
        <v>217</v>
      </c>
      <c r="D13" s="307">
        <f t="shared" ref="D13:AO13" si="3">D14</f>
        <v>0</v>
      </c>
      <c r="E13" s="307">
        <f t="shared" si="3"/>
        <v>217</v>
      </c>
      <c r="F13" s="307">
        <f t="shared" si="3"/>
        <v>0</v>
      </c>
      <c r="G13" s="307">
        <f t="shared" si="3"/>
        <v>217</v>
      </c>
      <c r="H13" s="307">
        <f t="shared" si="3"/>
        <v>0</v>
      </c>
      <c r="I13" s="307">
        <f t="shared" si="3"/>
        <v>217</v>
      </c>
      <c r="J13" s="307">
        <f t="shared" si="3"/>
        <v>0</v>
      </c>
      <c r="K13" s="307">
        <f t="shared" si="3"/>
        <v>0</v>
      </c>
      <c r="L13" s="307">
        <f t="shared" si="3"/>
        <v>0</v>
      </c>
      <c r="M13" s="307">
        <f t="shared" si="3"/>
        <v>0</v>
      </c>
      <c r="N13" s="307">
        <f t="shared" si="3"/>
        <v>0</v>
      </c>
      <c r="O13" s="356">
        <f t="shared" si="3"/>
        <v>0</v>
      </c>
      <c r="P13" s="307">
        <f t="shared" si="3"/>
        <v>0</v>
      </c>
      <c r="Q13" s="242">
        <f t="shared" si="3"/>
        <v>0</v>
      </c>
      <c r="R13" s="307">
        <f t="shared" si="3"/>
        <v>0</v>
      </c>
      <c r="S13" s="307">
        <f t="shared" si="3"/>
        <v>0</v>
      </c>
      <c r="T13" s="307">
        <f t="shared" si="3"/>
        <v>0</v>
      </c>
      <c r="U13" s="242">
        <f t="shared" si="3"/>
        <v>0</v>
      </c>
      <c r="V13" s="307">
        <f t="shared" si="3"/>
        <v>0</v>
      </c>
      <c r="W13" s="307">
        <f t="shared" si="3"/>
        <v>0</v>
      </c>
      <c r="X13" s="307">
        <f t="shared" si="3"/>
        <v>0</v>
      </c>
      <c r="Y13" s="307">
        <f t="shared" si="3"/>
        <v>0</v>
      </c>
      <c r="Z13" s="307">
        <f t="shared" si="3"/>
        <v>0</v>
      </c>
      <c r="AA13" s="307">
        <f t="shared" si="3"/>
        <v>0</v>
      </c>
      <c r="AB13" s="307">
        <f t="shared" si="3"/>
        <v>217</v>
      </c>
      <c r="AC13" s="307">
        <f t="shared" si="3"/>
        <v>217</v>
      </c>
      <c r="AD13" s="307">
        <f t="shared" si="3"/>
        <v>0</v>
      </c>
      <c r="AE13" s="307">
        <f t="shared" si="3"/>
        <v>0</v>
      </c>
      <c r="AF13" s="307">
        <f t="shared" si="3"/>
        <v>0</v>
      </c>
      <c r="AG13" s="307">
        <f t="shared" si="3"/>
        <v>0</v>
      </c>
      <c r="AH13" s="307">
        <f t="shared" si="3"/>
        <v>0</v>
      </c>
      <c r="AI13" s="307">
        <f t="shared" si="3"/>
        <v>0</v>
      </c>
      <c r="AJ13" s="307">
        <f t="shared" si="3"/>
        <v>0</v>
      </c>
      <c r="AK13" s="307">
        <f t="shared" si="3"/>
        <v>0</v>
      </c>
      <c r="AL13" s="308">
        <f t="shared" si="2"/>
        <v>100</v>
      </c>
      <c r="AM13" s="308"/>
      <c r="AN13" s="308">
        <f t="shared" si="2"/>
        <v>100</v>
      </c>
      <c r="AO13" s="215">
        <f t="shared" si="3"/>
        <v>0</v>
      </c>
    </row>
    <row r="14" spans="1:41" ht="32.25" customHeight="1" x14ac:dyDescent="0.25">
      <c r="A14" s="194" t="s">
        <v>175</v>
      </c>
      <c r="B14" s="213" t="s">
        <v>176</v>
      </c>
      <c r="C14" s="214">
        <f>D14+E14</f>
        <v>217</v>
      </c>
      <c r="D14" s="214"/>
      <c r="E14" s="214">
        <v>217</v>
      </c>
      <c r="F14" s="214"/>
      <c r="G14" s="214">
        <f t="shared" ref="G14:G75" si="4">H14+I14</f>
        <v>217</v>
      </c>
      <c r="H14" s="214">
        <f t="shared" ref="H14:H77" si="5">K14+R14+Y14+AF14</f>
        <v>0</v>
      </c>
      <c r="I14" s="214">
        <f t="shared" ref="I14:I78" si="6">N14+U14+AB14+AI14</f>
        <v>217</v>
      </c>
      <c r="J14" s="214">
        <f t="shared" ref="J14:J77" si="7">K14+N14</f>
        <v>0</v>
      </c>
      <c r="K14" s="214">
        <f t="shared" ref="K14:K77" si="8">L14</f>
        <v>0</v>
      </c>
      <c r="L14" s="214"/>
      <c r="M14" s="214"/>
      <c r="N14" s="214"/>
      <c r="O14" s="326"/>
      <c r="P14" s="214"/>
      <c r="Q14" s="239">
        <f t="shared" ref="Q14:Q77" si="9">R14+U14</f>
        <v>0</v>
      </c>
      <c r="R14" s="214">
        <f t="shared" ref="R14:R77" si="10">S14+T14</f>
        <v>0</v>
      </c>
      <c r="S14" s="214"/>
      <c r="T14" s="214"/>
      <c r="U14" s="239">
        <f>V14+W14</f>
        <v>0</v>
      </c>
      <c r="V14" s="214"/>
      <c r="W14" s="214"/>
      <c r="X14" s="214"/>
      <c r="Y14" s="214"/>
      <c r="Z14" s="214"/>
      <c r="AA14" s="214"/>
      <c r="AB14" s="214">
        <f t="shared" ref="AB14:AB77" si="11">AC14+AD14</f>
        <v>217</v>
      </c>
      <c r="AC14" s="214">
        <v>217</v>
      </c>
      <c r="AD14" s="214"/>
      <c r="AE14" s="214"/>
      <c r="AF14" s="214">
        <f t="shared" ref="AF14:AF75" si="12">AG14</f>
        <v>0</v>
      </c>
      <c r="AG14" s="214"/>
      <c r="AH14" s="214"/>
      <c r="AI14" s="214">
        <f t="shared" ref="AI14:AI75" si="13">AJ14</f>
        <v>0</v>
      </c>
      <c r="AJ14" s="214"/>
      <c r="AK14" s="214"/>
      <c r="AL14" s="214">
        <f t="shared" si="2"/>
        <v>100</v>
      </c>
      <c r="AM14" s="214"/>
      <c r="AN14" s="214">
        <f t="shared" si="2"/>
        <v>100</v>
      </c>
      <c r="AO14" s="194"/>
    </row>
    <row r="15" spans="1:41" s="309" customFormat="1" ht="32.25" customHeight="1" x14ac:dyDescent="0.25">
      <c r="A15" s="215"/>
      <c r="B15" s="216" t="s">
        <v>169</v>
      </c>
      <c r="C15" s="307">
        <f>C16+C17+C18+C19+C20</f>
        <v>507.37189999999998</v>
      </c>
      <c r="D15" s="307">
        <f t="shared" ref="D15:AO15" si="14">D16+D17+D18+D19+D20</f>
        <v>0</v>
      </c>
      <c r="E15" s="307">
        <f t="shared" si="14"/>
        <v>507.37189999999998</v>
      </c>
      <c r="F15" s="307">
        <f t="shared" si="14"/>
        <v>0</v>
      </c>
      <c r="G15" s="307">
        <f t="shared" si="14"/>
        <v>485.46899999999999</v>
      </c>
      <c r="H15" s="307">
        <f t="shared" si="14"/>
        <v>0</v>
      </c>
      <c r="I15" s="307">
        <f t="shared" si="14"/>
        <v>485.46899999999999</v>
      </c>
      <c r="J15" s="307">
        <f t="shared" si="14"/>
        <v>180</v>
      </c>
      <c r="K15" s="307">
        <f t="shared" si="14"/>
        <v>0</v>
      </c>
      <c r="L15" s="307">
        <f t="shared" si="14"/>
        <v>0</v>
      </c>
      <c r="M15" s="307">
        <f t="shared" si="14"/>
        <v>0</v>
      </c>
      <c r="N15" s="307">
        <f t="shared" si="14"/>
        <v>180</v>
      </c>
      <c r="O15" s="356">
        <f t="shared" si="14"/>
        <v>180</v>
      </c>
      <c r="P15" s="307">
        <f t="shared" si="14"/>
        <v>0</v>
      </c>
      <c r="Q15" s="242">
        <f t="shared" si="14"/>
        <v>0</v>
      </c>
      <c r="R15" s="307">
        <f t="shared" si="14"/>
        <v>0</v>
      </c>
      <c r="S15" s="307">
        <f t="shared" si="14"/>
        <v>0</v>
      </c>
      <c r="T15" s="307">
        <f t="shared" si="14"/>
        <v>0</v>
      </c>
      <c r="U15" s="242">
        <f t="shared" si="14"/>
        <v>0</v>
      </c>
      <c r="V15" s="307">
        <f t="shared" si="14"/>
        <v>0</v>
      </c>
      <c r="W15" s="307">
        <f t="shared" si="14"/>
        <v>0</v>
      </c>
      <c r="X15" s="307">
        <f t="shared" si="14"/>
        <v>0</v>
      </c>
      <c r="Y15" s="307">
        <f t="shared" si="14"/>
        <v>0</v>
      </c>
      <c r="Z15" s="307">
        <f t="shared" si="14"/>
        <v>0</v>
      </c>
      <c r="AA15" s="307">
        <f t="shared" si="14"/>
        <v>0</v>
      </c>
      <c r="AB15" s="307">
        <f t="shared" si="14"/>
        <v>305.46899999999999</v>
      </c>
      <c r="AC15" s="307">
        <f t="shared" si="14"/>
        <v>305.46899999999999</v>
      </c>
      <c r="AD15" s="307">
        <f t="shared" si="14"/>
        <v>0</v>
      </c>
      <c r="AE15" s="307">
        <f t="shared" si="14"/>
        <v>0</v>
      </c>
      <c r="AF15" s="307">
        <f t="shared" si="14"/>
        <v>0</v>
      </c>
      <c r="AG15" s="307">
        <f t="shared" si="14"/>
        <v>0</v>
      </c>
      <c r="AH15" s="307">
        <f t="shared" si="14"/>
        <v>0</v>
      </c>
      <c r="AI15" s="307">
        <f t="shared" si="14"/>
        <v>0</v>
      </c>
      <c r="AJ15" s="307">
        <f t="shared" si="14"/>
        <v>0</v>
      </c>
      <c r="AK15" s="307">
        <f t="shared" si="14"/>
        <v>0</v>
      </c>
      <c r="AL15" s="308">
        <f t="shared" si="2"/>
        <v>95.683067982282822</v>
      </c>
      <c r="AM15" s="308"/>
      <c r="AN15" s="308">
        <f t="shared" si="2"/>
        <v>95.683067982282822</v>
      </c>
      <c r="AO15" s="215">
        <f t="shared" si="14"/>
        <v>0</v>
      </c>
    </row>
    <row r="16" spans="1:41" ht="32.25" customHeight="1" x14ac:dyDescent="0.25">
      <c r="A16" s="194" t="s">
        <v>177</v>
      </c>
      <c r="B16" s="213" t="s">
        <v>178</v>
      </c>
      <c r="C16" s="214">
        <f>D16+E16</f>
        <v>277</v>
      </c>
      <c r="D16" s="214"/>
      <c r="E16" s="214">
        <v>277</v>
      </c>
      <c r="F16" s="214"/>
      <c r="G16" s="214">
        <f t="shared" si="4"/>
        <v>277</v>
      </c>
      <c r="H16" s="214">
        <f t="shared" si="5"/>
        <v>0</v>
      </c>
      <c r="I16" s="214">
        <f t="shared" si="6"/>
        <v>277</v>
      </c>
      <c r="J16" s="214">
        <f t="shared" si="7"/>
        <v>0</v>
      </c>
      <c r="K16" s="214">
        <f t="shared" si="8"/>
        <v>0</v>
      </c>
      <c r="L16" s="214"/>
      <c r="M16" s="214"/>
      <c r="N16" s="214"/>
      <c r="O16" s="326"/>
      <c r="P16" s="214"/>
      <c r="Q16" s="239">
        <f t="shared" si="9"/>
        <v>0</v>
      </c>
      <c r="R16" s="214">
        <f t="shared" si="10"/>
        <v>0</v>
      </c>
      <c r="S16" s="214"/>
      <c r="T16" s="214"/>
      <c r="U16" s="239">
        <f>V16+W16</f>
        <v>0</v>
      </c>
      <c r="V16" s="214"/>
      <c r="W16" s="214"/>
      <c r="X16" s="214"/>
      <c r="Y16" s="214"/>
      <c r="Z16" s="214"/>
      <c r="AA16" s="214"/>
      <c r="AB16" s="214">
        <f t="shared" si="11"/>
        <v>277</v>
      </c>
      <c r="AC16" s="214">
        <v>277</v>
      </c>
      <c r="AD16" s="214"/>
      <c r="AE16" s="214"/>
      <c r="AF16" s="214">
        <f t="shared" si="12"/>
        <v>0</v>
      </c>
      <c r="AG16" s="214"/>
      <c r="AH16" s="214"/>
      <c r="AI16" s="214">
        <f t="shared" si="13"/>
        <v>0</v>
      </c>
      <c r="AJ16" s="214"/>
      <c r="AK16" s="214"/>
      <c r="AL16" s="214">
        <f t="shared" si="2"/>
        <v>100</v>
      </c>
      <c r="AM16" s="214"/>
      <c r="AN16" s="214">
        <f t="shared" si="2"/>
        <v>100</v>
      </c>
      <c r="AO16" s="194"/>
    </row>
    <row r="17" spans="1:41" ht="32.25" customHeight="1" x14ac:dyDescent="0.25">
      <c r="A17" s="194" t="s">
        <v>165</v>
      </c>
      <c r="B17" s="213" t="s">
        <v>168</v>
      </c>
      <c r="C17" s="214">
        <f>D17+E17</f>
        <v>35</v>
      </c>
      <c r="D17" s="214"/>
      <c r="E17" s="214">
        <v>35</v>
      </c>
      <c r="F17" s="214"/>
      <c r="G17" s="239">
        <f t="shared" si="4"/>
        <v>13.468999999999999</v>
      </c>
      <c r="H17" s="214">
        <f t="shared" si="5"/>
        <v>0</v>
      </c>
      <c r="I17" s="214">
        <f t="shared" si="6"/>
        <v>13.468999999999999</v>
      </c>
      <c r="J17" s="214">
        <f t="shared" si="7"/>
        <v>0</v>
      </c>
      <c r="K17" s="214">
        <f t="shared" si="8"/>
        <v>0</v>
      </c>
      <c r="L17" s="214"/>
      <c r="M17" s="214"/>
      <c r="N17" s="214"/>
      <c r="O17" s="326"/>
      <c r="P17" s="214"/>
      <c r="Q17" s="239">
        <f t="shared" si="9"/>
        <v>0</v>
      </c>
      <c r="R17" s="214">
        <f t="shared" si="10"/>
        <v>0</v>
      </c>
      <c r="S17" s="214"/>
      <c r="T17" s="214"/>
      <c r="U17" s="239">
        <f>V17+W17</f>
        <v>0</v>
      </c>
      <c r="V17" s="214"/>
      <c r="W17" s="214"/>
      <c r="X17" s="214"/>
      <c r="Y17" s="214"/>
      <c r="Z17" s="214"/>
      <c r="AA17" s="214"/>
      <c r="AB17" s="214">
        <f t="shared" si="11"/>
        <v>13.468999999999999</v>
      </c>
      <c r="AC17" s="214">
        <v>13.468999999999999</v>
      </c>
      <c r="AD17" s="214"/>
      <c r="AE17" s="214"/>
      <c r="AF17" s="214">
        <f t="shared" si="12"/>
        <v>0</v>
      </c>
      <c r="AG17" s="214"/>
      <c r="AH17" s="214"/>
      <c r="AI17" s="214">
        <f t="shared" si="13"/>
        <v>0</v>
      </c>
      <c r="AJ17" s="214"/>
      <c r="AK17" s="214"/>
      <c r="AL17" s="214">
        <f t="shared" si="2"/>
        <v>38.482857142857142</v>
      </c>
      <c r="AM17" s="214"/>
      <c r="AN17" s="214">
        <f t="shared" si="2"/>
        <v>38.482857142857142</v>
      </c>
      <c r="AO17" s="194"/>
    </row>
    <row r="18" spans="1:41" ht="32.25" customHeight="1" x14ac:dyDescent="0.25">
      <c r="A18" s="194" t="s">
        <v>166</v>
      </c>
      <c r="B18" s="213" t="s">
        <v>167</v>
      </c>
      <c r="C18" s="214">
        <f>D18+E18</f>
        <v>15.3719</v>
      </c>
      <c r="D18" s="214"/>
      <c r="E18" s="214">
        <v>15.3719</v>
      </c>
      <c r="F18" s="214"/>
      <c r="G18" s="214">
        <f t="shared" si="4"/>
        <v>15</v>
      </c>
      <c r="H18" s="214">
        <f t="shared" si="5"/>
        <v>0</v>
      </c>
      <c r="I18" s="214">
        <f t="shared" si="6"/>
        <v>15</v>
      </c>
      <c r="J18" s="214">
        <f t="shared" si="7"/>
        <v>0</v>
      </c>
      <c r="K18" s="214">
        <f t="shared" si="8"/>
        <v>0</v>
      </c>
      <c r="L18" s="214"/>
      <c r="M18" s="214"/>
      <c r="N18" s="214"/>
      <c r="O18" s="326"/>
      <c r="P18" s="214"/>
      <c r="Q18" s="239">
        <f t="shared" si="9"/>
        <v>0</v>
      </c>
      <c r="R18" s="214">
        <f t="shared" si="10"/>
        <v>0</v>
      </c>
      <c r="S18" s="214"/>
      <c r="T18" s="214"/>
      <c r="U18" s="239">
        <f>V18+W18</f>
        <v>0</v>
      </c>
      <c r="V18" s="214"/>
      <c r="W18" s="214"/>
      <c r="X18" s="214"/>
      <c r="Y18" s="214"/>
      <c r="Z18" s="214"/>
      <c r="AA18" s="214"/>
      <c r="AB18" s="214">
        <f t="shared" si="11"/>
        <v>15</v>
      </c>
      <c r="AC18" s="214">
        <v>15</v>
      </c>
      <c r="AD18" s="214"/>
      <c r="AE18" s="214"/>
      <c r="AF18" s="214">
        <f t="shared" si="12"/>
        <v>0</v>
      </c>
      <c r="AG18" s="214"/>
      <c r="AH18" s="214"/>
      <c r="AI18" s="214">
        <f t="shared" si="13"/>
        <v>0</v>
      </c>
      <c r="AJ18" s="214"/>
      <c r="AK18" s="214"/>
      <c r="AL18" s="214">
        <f t="shared" si="2"/>
        <v>97.580650407561848</v>
      </c>
      <c r="AM18" s="214"/>
      <c r="AN18" s="214">
        <f t="shared" si="2"/>
        <v>97.580650407561848</v>
      </c>
      <c r="AO18" s="194"/>
    </row>
    <row r="19" spans="1:41" ht="32.25" customHeight="1" x14ac:dyDescent="0.25">
      <c r="A19" s="194" t="s">
        <v>179</v>
      </c>
      <c r="B19" s="213" t="s">
        <v>180</v>
      </c>
      <c r="C19" s="214">
        <f>D19+E19</f>
        <v>80</v>
      </c>
      <c r="D19" s="214"/>
      <c r="E19" s="214">
        <v>80</v>
      </c>
      <c r="F19" s="214"/>
      <c r="G19" s="214">
        <f t="shared" si="4"/>
        <v>80</v>
      </c>
      <c r="H19" s="214">
        <f t="shared" si="5"/>
        <v>0</v>
      </c>
      <c r="I19" s="214">
        <f t="shared" si="6"/>
        <v>80</v>
      </c>
      <c r="J19" s="214">
        <f t="shared" si="7"/>
        <v>80</v>
      </c>
      <c r="K19" s="214">
        <f t="shared" si="8"/>
        <v>0</v>
      </c>
      <c r="L19" s="214"/>
      <c r="M19" s="214"/>
      <c r="N19" s="214">
        <f>O19</f>
        <v>80</v>
      </c>
      <c r="O19" s="326">
        <v>80</v>
      </c>
      <c r="P19" s="214"/>
      <c r="Q19" s="239">
        <f t="shared" si="9"/>
        <v>0</v>
      </c>
      <c r="R19" s="214">
        <f t="shared" si="10"/>
        <v>0</v>
      </c>
      <c r="S19" s="214"/>
      <c r="T19" s="214"/>
      <c r="U19" s="239">
        <f>V19+W19</f>
        <v>0</v>
      </c>
      <c r="V19" s="214"/>
      <c r="W19" s="214"/>
      <c r="X19" s="214"/>
      <c r="Y19" s="214"/>
      <c r="Z19" s="214"/>
      <c r="AA19" s="214"/>
      <c r="AB19" s="214">
        <f t="shared" si="11"/>
        <v>0</v>
      </c>
      <c r="AC19" s="214"/>
      <c r="AD19" s="214"/>
      <c r="AE19" s="214"/>
      <c r="AF19" s="214">
        <f t="shared" si="12"/>
        <v>0</v>
      </c>
      <c r="AG19" s="214"/>
      <c r="AH19" s="214"/>
      <c r="AI19" s="214">
        <f t="shared" si="13"/>
        <v>0</v>
      </c>
      <c r="AJ19" s="214"/>
      <c r="AK19" s="214"/>
      <c r="AL19" s="214">
        <f t="shared" si="2"/>
        <v>100</v>
      </c>
      <c r="AM19" s="214"/>
      <c r="AN19" s="214">
        <f t="shared" si="2"/>
        <v>100</v>
      </c>
      <c r="AO19" s="194"/>
    </row>
    <row r="20" spans="1:41" ht="32.25" customHeight="1" x14ac:dyDescent="0.25">
      <c r="A20" s="194" t="s">
        <v>181</v>
      </c>
      <c r="B20" s="213" t="s">
        <v>164</v>
      </c>
      <c r="C20" s="214">
        <f>D20+E20</f>
        <v>100</v>
      </c>
      <c r="D20" s="214"/>
      <c r="E20" s="214">
        <v>100</v>
      </c>
      <c r="F20" s="214"/>
      <c r="G20" s="214">
        <f t="shared" si="4"/>
        <v>100</v>
      </c>
      <c r="H20" s="214">
        <f t="shared" si="5"/>
        <v>0</v>
      </c>
      <c r="I20" s="214">
        <f t="shared" si="6"/>
        <v>100</v>
      </c>
      <c r="J20" s="214">
        <f t="shared" si="7"/>
        <v>100</v>
      </c>
      <c r="K20" s="214">
        <f t="shared" si="8"/>
        <v>0</v>
      </c>
      <c r="L20" s="214"/>
      <c r="M20" s="214"/>
      <c r="N20" s="214">
        <f>O20</f>
        <v>100</v>
      </c>
      <c r="O20" s="326">
        <v>100</v>
      </c>
      <c r="P20" s="214"/>
      <c r="Q20" s="239">
        <f t="shared" si="9"/>
        <v>0</v>
      </c>
      <c r="R20" s="214">
        <f t="shared" si="10"/>
        <v>0</v>
      </c>
      <c r="S20" s="214"/>
      <c r="T20" s="214"/>
      <c r="U20" s="239">
        <f>V20+W20</f>
        <v>0</v>
      </c>
      <c r="V20" s="214"/>
      <c r="W20" s="214"/>
      <c r="X20" s="214"/>
      <c r="Y20" s="214"/>
      <c r="Z20" s="214"/>
      <c r="AA20" s="214"/>
      <c r="AB20" s="214">
        <f t="shared" si="11"/>
        <v>0</v>
      </c>
      <c r="AC20" s="214"/>
      <c r="AD20" s="214"/>
      <c r="AE20" s="214"/>
      <c r="AF20" s="214">
        <f t="shared" si="12"/>
        <v>0</v>
      </c>
      <c r="AG20" s="214"/>
      <c r="AH20" s="214"/>
      <c r="AI20" s="214">
        <f t="shared" si="13"/>
        <v>0</v>
      </c>
      <c r="AJ20" s="214"/>
      <c r="AK20" s="214"/>
      <c r="AL20" s="214">
        <f t="shared" si="2"/>
        <v>100</v>
      </c>
      <c r="AM20" s="214"/>
      <c r="AN20" s="214">
        <f t="shared" si="2"/>
        <v>100</v>
      </c>
      <c r="AO20" s="194"/>
    </row>
    <row r="21" spans="1:41" s="297" customFormat="1" ht="32.25" customHeight="1" x14ac:dyDescent="0.25">
      <c r="A21" s="211"/>
      <c r="B21" s="212" t="s">
        <v>170</v>
      </c>
      <c r="C21" s="308">
        <f>C22+C25</f>
        <v>18045</v>
      </c>
      <c r="D21" s="308">
        <f t="shared" ref="D21:AO21" si="15">D22+D25</f>
        <v>17951</v>
      </c>
      <c r="E21" s="308">
        <f t="shared" si="15"/>
        <v>94</v>
      </c>
      <c r="F21" s="308">
        <f t="shared" si="15"/>
        <v>0</v>
      </c>
      <c r="G21" s="310">
        <f>G22+G25</f>
        <v>17875.010363999994</v>
      </c>
      <c r="H21" s="308">
        <f t="shared" si="15"/>
        <v>17871.410363999996</v>
      </c>
      <c r="I21" s="308">
        <f t="shared" si="15"/>
        <v>3.6</v>
      </c>
      <c r="J21" s="308">
        <f t="shared" si="15"/>
        <v>0</v>
      </c>
      <c r="K21" s="308">
        <f t="shared" si="15"/>
        <v>0</v>
      </c>
      <c r="L21" s="308">
        <f t="shared" si="15"/>
        <v>0</v>
      </c>
      <c r="M21" s="308">
        <f t="shared" si="15"/>
        <v>0</v>
      </c>
      <c r="N21" s="308">
        <f t="shared" si="15"/>
        <v>0</v>
      </c>
      <c r="O21" s="311">
        <f t="shared" si="15"/>
        <v>0</v>
      </c>
      <c r="P21" s="308">
        <f t="shared" si="15"/>
        <v>0</v>
      </c>
      <c r="Q21" s="240">
        <f t="shared" si="15"/>
        <v>17875.010363999994</v>
      </c>
      <c r="R21" s="308">
        <f t="shared" si="15"/>
        <v>17871.410363999996</v>
      </c>
      <c r="S21" s="308">
        <f t="shared" si="15"/>
        <v>17871.410363999996</v>
      </c>
      <c r="T21" s="308">
        <f t="shared" si="15"/>
        <v>0</v>
      </c>
      <c r="U21" s="240">
        <f t="shared" si="15"/>
        <v>3.6</v>
      </c>
      <c r="V21" s="308">
        <f t="shared" si="15"/>
        <v>3.6</v>
      </c>
      <c r="W21" s="308">
        <f t="shared" si="15"/>
        <v>0</v>
      </c>
      <c r="X21" s="308">
        <f t="shared" si="15"/>
        <v>0</v>
      </c>
      <c r="Y21" s="308">
        <f t="shared" si="15"/>
        <v>0</v>
      </c>
      <c r="Z21" s="308">
        <f t="shared" si="15"/>
        <v>0</v>
      </c>
      <c r="AA21" s="308">
        <f t="shared" si="15"/>
        <v>0</v>
      </c>
      <c r="AB21" s="308">
        <f t="shared" si="15"/>
        <v>0</v>
      </c>
      <c r="AC21" s="308">
        <f t="shared" si="15"/>
        <v>0</v>
      </c>
      <c r="AD21" s="308">
        <f t="shared" si="15"/>
        <v>0</v>
      </c>
      <c r="AE21" s="308">
        <f t="shared" si="15"/>
        <v>0</v>
      </c>
      <c r="AF21" s="308">
        <f t="shared" si="15"/>
        <v>0</v>
      </c>
      <c r="AG21" s="308">
        <f t="shared" si="15"/>
        <v>0</v>
      </c>
      <c r="AH21" s="308">
        <f t="shared" si="15"/>
        <v>0</v>
      </c>
      <c r="AI21" s="308">
        <f t="shared" si="15"/>
        <v>0</v>
      </c>
      <c r="AJ21" s="308">
        <f t="shared" si="15"/>
        <v>0</v>
      </c>
      <c r="AK21" s="308">
        <f t="shared" si="15"/>
        <v>0</v>
      </c>
      <c r="AL21" s="308">
        <f t="shared" si="2"/>
        <v>99.057968212801299</v>
      </c>
      <c r="AM21" s="308">
        <f t="shared" si="2"/>
        <v>99.556628399532045</v>
      </c>
      <c r="AN21" s="308">
        <f t="shared" si="2"/>
        <v>3.8297872340425534</v>
      </c>
      <c r="AO21" s="211">
        <f t="shared" si="15"/>
        <v>0</v>
      </c>
    </row>
    <row r="22" spans="1:41" s="297" customFormat="1" ht="32.25" customHeight="1" x14ac:dyDescent="0.25">
      <c r="A22" s="211">
        <v>1</v>
      </c>
      <c r="B22" s="212" t="s">
        <v>169</v>
      </c>
      <c r="C22" s="308">
        <f>C23</f>
        <v>94</v>
      </c>
      <c r="D22" s="308">
        <f>D23</f>
        <v>0</v>
      </c>
      <c r="E22" s="308">
        <f>E23</f>
        <v>94</v>
      </c>
      <c r="F22" s="308">
        <f>F23</f>
        <v>0</v>
      </c>
      <c r="G22" s="308">
        <f>G23+G24</f>
        <v>3.6</v>
      </c>
      <c r="H22" s="308">
        <f t="shared" ref="H22:AK22" si="16">H23+H24</f>
        <v>0</v>
      </c>
      <c r="I22" s="308">
        <f t="shared" si="16"/>
        <v>3.6</v>
      </c>
      <c r="J22" s="308">
        <f t="shared" si="16"/>
        <v>0</v>
      </c>
      <c r="K22" s="308">
        <f t="shared" si="16"/>
        <v>0</v>
      </c>
      <c r="L22" s="308">
        <f t="shared" si="16"/>
        <v>0</v>
      </c>
      <c r="M22" s="308">
        <f t="shared" si="16"/>
        <v>0</v>
      </c>
      <c r="N22" s="308">
        <f t="shared" si="16"/>
        <v>0</v>
      </c>
      <c r="O22" s="311">
        <f t="shared" si="16"/>
        <v>0</v>
      </c>
      <c r="P22" s="308">
        <f t="shared" si="16"/>
        <v>0</v>
      </c>
      <c r="Q22" s="240">
        <f t="shared" si="16"/>
        <v>3.6</v>
      </c>
      <c r="R22" s="308">
        <f t="shared" si="16"/>
        <v>0</v>
      </c>
      <c r="S22" s="308">
        <f t="shared" si="16"/>
        <v>0</v>
      </c>
      <c r="T22" s="308">
        <f t="shared" si="16"/>
        <v>0</v>
      </c>
      <c r="U22" s="240">
        <f t="shared" si="16"/>
        <v>3.6</v>
      </c>
      <c r="V22" s="308">
        <f t="shared" si="16"/>
        <v>3.6</v>
      </c>
      <c r="W22" s="308">
        <f t="shared" si="16"/>
        <v>0</v>
      </c>
      <c r="X22" s="308">
        <f t="shared" si="16"/>
        <v>0</v>
      </c>
      <c r="Y22" s="308">
        <f t="shared" si="16"/>
        <v>0</v>
      </c>
      <c r="Z22" s="308">
        <f t="shared" si="16"/>
        <v>0</v>
      </c>
      <c r="AA22" s="308">
        <f t="shared" si="16"/>
        <v>0</v>
      </c>
      <c r="AB22" s="308">
        <f t="shared" si="16"/>
        <v>0</v>
      </c>
      <c r="AC22" s="308">
        <f t="shared" si="16"/>
        <v>0</v>
      </c>
      <c r="AD22" s="308">
        <f t="shared" si="16"/>
        <v>0</v>
      </c>
      <c r="AE22" s="308">
        <f t="shared" si="16"/>
        <v>0</v>
      </c>
      <c r="AF22" s="308">
        <f t="shared" si="16"/>
        <v>0</v>
      </c>
      <c r="AG22" s="308">
        <f t="shared" si="16"/>
        <v>0</v>
      </c>
      <c r="AH22" s="308">
        <f t="shared" si="16"/>
        <v>0</v>
      </c>
      <c r="AI22" s="308">
        <f t="shared" si="16"/>
        <v>0</v>
      </c>
      <c r="AJ22" s="308">
        <f t="shared" si="16"/>
        <v>0</v>
      </c>
      <c r="AK22" s="308">
        <f t="shared" si="16"/>
        <v>0</v>
      </c>
      <c r="AL22" s="308">
        <f t="shared" si="2"/>
        <v>3.8297872340425534</v>
      </c>
      <c r="AM22" s="308"/>
      <c r="AN22" s="308">
        <f t="shared" si="2"/>
        <v>3.8297872340425534</v>
      </c>
      <c r="AO22" s="211">
        <f>AO23</f>
        <v>0</v>
      </c>
    </row>
    <row r="23" spans="1:41" ht="32.25" customHeight="1" x14ac:dyDescent="0.25">
      <c r="A23" s="194"/>
      <c r="B23" s="213" t="s">
        <v>178</v>
      </c>
      <c r="C23" s="214">
        <f>D23+E23</f>
        <v>94</v>
      </c>
      <c r="D23" s="214"/>
      <c r="E23" s="214">
        <v>94</v>
      </c>
      <c r="F23" s="214"/>
      <c r="G23" s="214">
        <f t="shared" si="4"/>
        <v>0</v>
      </c>
      <c r="H23" s="214">
        <f t="shared" si="5"/>
        <v>0</v>
      </c>
      <c r="I23" s="214">
        <f t="shared" si="6"/>
        <v>0</v>
      </c>
      <c r="J23" s="214">
        <f t="shared" si="7"/>
        <v>0</v>
      </c>
      <c r="K23" s="214">
        <f t="shared" si="8"/>
        <v>0</v>
      </c>
      <c r="L23" s="214"/>
      <c r="M23" s="214"/>
      <c r="N23" s="214"/>
      <c r="O23" s="326"/>
      <c r="P23" s="214"/>
      <c r="Q23" s="239">
        <f t="shared" si="9"/>
        <v>0</v>
      </c>
      <c r="R23" s="214">
        <f t="shared" si="10"/>
        <v>0</v>
      </c>
      <c r="S23" s="214">
        <f>T23+U23</f>
        <v>0</v>
      </c>
      <c r="T23" s="214"/>
      <c r="U23" s="239">
        <f>V23+W23</f>
        <v>0</v>
      </c>
      <c r="V23" s="214">
        <f>W23+X23</f>
        <v>0</v>
      </c>
      <c r="W23" s="214"/>
      <c r="X23" s="214"/>
      <c r="Y23" s="214"/>
      <c r="Z23" s="214"/>
      <c r="AA23" s="214"/>
      <c r="AB23" s="214">
        <f t="shared" si="11"/>
        <v>0</v>
      </c>
      <c r="AC23" s="214"/>
      <c r="AD23" s="214"/>
      <c r="AE23" s="214"/>
      <c r="AF23" s="214">
        <f t="shared" si="12"/>
        <v>0</v>
      </c>
      <c r="AG23" s="214"/>
      <c r="AH23" s="214"/>
      <c r="AI23" s="214">
        <f t="shared" si="13"/>
        <v>0</v>
      </c>
      <c r="AJ23" s="214"/>
      <c r="AK23" s="214"/>
      <c r="AL23" s="214">
        <f t="shared" si="2"/>
        <v>0</v>
      </c>
      <c r="AM23" s="214"/>
      <c r="AN23" s="214">
        <f t="shared" si="2"/>
        <v>0</v>
      </c>
      <c r="AO23" s="194"/>
    </row>
    <row r="24" spans="1:41" ht="32.25" customHeight="1" x14ac:dyDescent="0.25">
      <c r="A24" s="194"/>
      <c r="B24" s="213" t="s">
        <v>1105</v>
      </c>
      <c r="C24" s="214">
        <v>3.6</v>
      </c>
      <c r="D24" s="214"/>
      <c r="E24" s="214">
        <v>3.6</v>
      </c>
      <c r="F24" s="214"/>
      <c r="G24" s="214">
        <f t="shared" si="4"/>
        <v>3.6</v>
      </c>
      <c r="H24" s="214">
        <f t="shared" si="5"/>
        <v>0</v>
      </c>
      <c r="I24" s="214">
        <f t="shared" si="6"/>
        <v>3.6</v>
      </c>
      <c r="J24" s="214"/>
      <c r="K24" s="214"/>
      <c r="L24" s="214"/>
      <c r="M24" s="214"/>
      <c r="N24" s="214"/>
      <c r="O24" s="326"/>
      <c r="P24" s="214"/>
      <c r="Q24" s="239">
        <f t="shared" si="9"/>
        <v>3.6</v>
      </c>
      <c r="R24" s="214">
        <f t="shared" si="10"/>
        <v>0</v>
      </c>
      <c r="S24" s="214"/>
      <c r="T24" s="214"/>
      <c r="U24" s="239">
        <v>3.6</v>
      </c>
      <c r="V24" s="214">
        <v>3.6</v>
      </c>
      <c r="W24" s="214"/>
      <c r="X24" s="214"/>
      <c r="Y24" s="214"/>
      <c r="Z24" s="214"/>
      <c r="AA24" s="214"/>
      <c r="AB24" s="214"/>
      <c r="AC24" s="214"/>
      <c r="AD24" s="214"/>
      <c r="AE24" s="214"/>
      <c r="AF24" s="214"/>
      <c r="AG24" s="214"/>
      <c r="AH24" s="214"/>
      <c r="AI24" s="214"/>
      <c r="AJ24" s="214"/>
      <c r="AK24" s="214"/>
      <c r="AL24" s="214"/>
      <c r="AM24" s="214"/>
      <c r="AN24" s="214"/>
      <c r="AO24" s="194"/>
    </row>
    <row r="25" spans="1:41" s="297" customFormat="1" ht="32.25" customHeight="1" x14ac:dyDescent="0.25">
      <c r="A25" s="211"/>
      <c r="B25" s="212" t="s">
        <v>171</v>
      </c>
      <c r="C25" s="308">
        <f>C26+C58</f>
        <v>17951</v>
      </c>
      <c r="D25" s="308">
        <f t="shared" ref="D25:AO25" si="17">D26+D58</f>
        <v>17951</v>
      </c>
      <c r="E25" s="308">
        <f t="shared" si="17"/>
        <v>0</v>
      </c>
      <c r="F25" s="308">
        <f t="shared" si="17"/>
        <v>0</v>
      </c>
      <c r="G25" s="311">
        <f>G26+G58</f>
        <v>17871.410363999996</v>
      </c>
      <c r="H25" s="308">
        <f t="shared" si="17"/>
        <v>17871.410363999996</v>
      </c>
      <c r="I25" s="308">
        <f t="shared" si="17"/>
        <v>0</v>
      </c>
      <c r="J25" s="308">
        <f t="shared" si="17"/>
        <v>0</v>
      </c>
      <c r="K25" s="308">
        <f t="shared" si="17"/>
        <v>0</v>
      </c>
      <c r="L25" s="308">
        <f t="shared" si="17"/>
        <v>0</v>
      </c>
      <c r="M25" s="308">
        <f t="shared" si="17"/>
        <v>0</v>
      </c>
      <c r="N25" s="308">
        <f t="shared" si="17"/>
        <v>0</v>
      </c>
      <c r="O25" s="311">
        <f t="shared" si="17"/>
        <v>0</v>
      </c>
      <c r="P25" s="308">
        <f t="shared" si="17"/>
        <v>0</v>
      </c>
      <c r="Q25" s="240">
        <f t="shared" si="17"/>
        <v>17871.410363999996</v>
      </c>
      <c r="R25" s="308">
        <f t="shared" si="17"/>
        <v>17871.410363999996</v>
      </c>
      <c r="S25" s="308">
        <f t="shared" si="17"/>
        <v>17871.410363999996</v>
      </c>
      <c r="T25" s="308">
        <f t="shared" si="17"/>
        <v>0</v>
      </c>
      <c r="U25" s="240">
        <f t="shared" si="17"/>
        <v>0</v>
      </c>
      <c r="V25" s="308">
        <f t="shared" si="17"/>
        <v>0</v>
      </c>
      <c r="W25" s="308">
        <f t="shared" si="17"/>
        <v>0</v>
      </c>
      <c r="X25" s="308">
        <f t="shared" si="17"/>
        <v>0</v>
      </c>
      <c r="Y25" s="308">
        <f t="shared" si="17"/>
        <v>0</v>
      </c>
      <c r="Z25" s="308">
        <f t="shared" si="17"/>
        <v>0</v>
      </c>
      <c r="AA25" s="308">
        <f t="shared" si="17"/>
        <v>0</v>
      </c>
      <c r="AB25" s="308">
        <f t="shared" si="17"/>
        <v>0</v>
      </c>
      <c r="AC25" s="308">
        <f t="shared" si="17"/>
        <v>0</v>
      </c>
      <c r="AD25" s="308">
        <f t="shared" si="17"/>
        <v>0</v>
      </c>
      <c r="AE25" s="308">
        <f t="shared" si="17"/>
        <v>0</v>
      </c>
      <c r="AF25" s="308">
        <f t="shared" si="17"/>
        <v>0</v>
      </c>
      <c r="AG25" s="308">
        <f t="shared" si="17"/>
        <v>0</v>
      </c>
      <c r="AH25" s="308">
        <f t="shared" si="17"/>
        <v>0</v>
      </c>
      <c r="AI25" s="308">
        <f t="shared" si="17"/>
        <v>0</v>
      </c>
      <c r="AJ25" s="308">
        <f t="shared" si="17"/>
        <v>0</v>
      </c>
      <c r="AK25" s="308">
        <f t="shared" si="17"/>
        <v>0</v>
      </c>
      <c r="AL25" s="308">
        <f t="shared" si="2"/>
        <v>99.556628399532045</v>
      </c>
      <c r="AM25" s="308">
        <f t="shared" si="2"/>
        <v>99.556628399532045</v>
      </c>
      <c r="AN25" s="308"/>
      <c r="AO25" s="312">
        <f t="shared" si="17"/>
        <v>0</v>
      </c>
    </row>
    <row r="26" spans="1:41" s="388" customFormat="1" ht="32.25" customHeight="1" x14ac:dyDescent="0.25">
      <c r="A26" s="382"/>
      <c r="B26" s="383" t="s">
        <v>172</v>
      </c>
      <c r="C26" s="384">
        <f>D26+E26</f>
        <v>9920</v>
      </c>
      <c r="D26" s="384">
        <f>SUM(D27:D57)</f>
        <v>9920</v>
      </c>
      <c r="E26" s="384"/>
      <c r="F26" s="384"/>
      <c r="G26" s="384">
        <f t="shared" si="4"/>
        <v>10005.599296999997</v>
      </c>
      <c r="H26" s="384">
        <f t="shared" si="5"/>
        <v>10005.599296999997</v>
      </c>
      <c r="I26" s="384">
        <f t="shared" si="6"/>
        <v>0</v>
      </c>
      <c r="J26" s="384">
        <f t="shared" si="7"/>
        <v>0</v>
      </c>
      <c r="K26" s="384">
        <f t="shared" si="8"/>
        <v>0</v>
      </c>
      <c r="L26" s="384"/>
      <c r="M26" s="384"/>
      <c r="N26" s="384"/>
      <c r="O26" s="385"/>
      <c r="P26" s="384"/>
      <c r="Q26" s="386">
        <f t="shared" si="9"/>
        <v>10005.599296999997</v>
      </c>
      <c r="R26" s="384">
        <f t="shared" si="10"/>
        <v>10005.599296999997</v>
      </c>
      <c r="S26" s="384">
        <f>SUM(S27:S57)</f>
        <v>10005.599296999997</v>
      </c>
      <c r="T26" s="384"/>
      <c r="U26" s="386">
        <f t="shared" ref="U26:U57" si="18">V26+W26</f>
        <v>0</v>
      </c>
      <c r="V26" s="384"/>
      <c r="W26" s="384"/>
      <c r="X26" s="384"/>
      <c r="Y26" s="384"/>
      <c r="Z26" s="384"/>
      <c r="AA26" s="384"/>
      <c r="AB26" s="384">
        <f t="shared" si="11"/>
        <v>0</v>
      </c>
      <c r="AC26" s="384"/>
      <c r="AD26" s="384"/>
      <c r="AE26" s="384"/>
      <c r="AF26" s="384">
        <f t="shared" si="12"/>
        <v>0</v>
      </c>
      <c r="AG26" s="384"/>
      <c r="AH26" s="384"/>
      <c r="AI26" s="384">
        <f t="shared" si="13"/>
        <v>0</v>
      </c>
      <c r="AJ26" s="384"/>
      <c r="AK26" s="384"/>
      <c r="AL26" s="387">
        <f t="shared" si="2"/>
        <v>100.86289613911288</v>
      </c>
      <c r="AM26" s="387">
        <f t="shared" si="2"/>
        <v>100.86289613911288</v>
      </c>
      <c r="AN26" s="387"/>
      <c r="AO26" s="382"/>
    </row>
    <row r="27" spans="1:41" s="394" customFormat="1" ht="32.25" customHeight="1" x14ac:dyDescent="0.25">
      <c r="A27" s="389"/>
      <c r="B27" s="390" t="s">
        <v>304</v>
      </c>
      <c r="C27" s="391">
        <f t="shared" ref="C27:C90" si="19">D27+E27</f>
        <v>172</v>
      </c>
      <c r="D27" s="391">
        <v>172</v>
      </c>
      <c r="E27" s="391"/>
      <c r="F27" s="391"/>
      <c r="G27" s="391">
        <f t="shared" si="4"/>
        <v>172</v>
      </c>
      <c r="H27" s="391">
        <f t="shared" si="5"/>
        <v>172</v>
      </c>
      <c r="I27" s="391">
        <f t="shared" si="6"/>
        <v>0</v>
      </c>
      <c r="J27" s="391">
        <f t="shared" si="7"/>
        <v>0</v>
      </c>
      <c r="K27" s="391">
        <f t="shared" si="8"/>
        <v>0</v>
      </c>
      <c r="L27" s="391"/>
      <c r="M27" s="391"/>
      <c r="N27" s="391"/>
      <c r="O27" s="392"/>
      <c r="P27" s="391"/>
      <c r="Q27" s="393">
        <f t="shared" si="9"/>
        <v>172</v>
      </c>
      <c r="R27" s="391">
        <f t="shared" si="10"/>
        <v>172</v>
      </c>
      <c r="S27" s="391">
        <v>172</v>
      </c>
      <c r="T27" s="391"/>
      <c r="U27" s="393">
        <f t="shared" si="18"/>
        <v>0</v>
      </c>
      <c r="V27" s="391"/>
      <c r="W27" s="391"/>
      <c r="X27" s="391"/>
      <c r="Y27" s="391"/>
      <c r="Z27" s="391"/>
      <c r="AA27" s="391"/>
      <c r="AB27" s="391">
        <f t="shared" si="11"/>
        <v>0</v>
      </c>
      <c r="AC27" s="391"/>
      <c r="AD27" s="391"/>
      <c r="AE27" s="391"/>
      <c r="AF27" s="391">
        <f t="shared" si="12"/>
        <v>0</v>
      </c>
      <c r="AG27" s="391"/>
      <c r="AH27" s="391"/>
      <c r="AI27" s="391">
        <f t="shared" si="13"/>
        <v>0</v>
      </c>
      <c r="AJ27" s="391"/>
      <c r="AK27" s="391"/>
      <c r="AL27" s="391">
        <f t="shared" si="2"/>
        <v>100</v>
      </c>
      <c r="AM27" s="391">
        <f t="shared" si="2"/>
        <v>100</v>
      </c>
      <c r="AN27" s="391"/>
      <c r="AO27" s="389"/>
    </row>
    <row r="28" spans="1:41" s="394" customFormat="1" ht="32.25" customHeight="1" x14ac:dyDescent="0.25">
      <c r="A28" s="389"/>
      <c r="B28" s="390" t="s">
        <v>305</v>
      </c>
      <c r="C28" s="391">
        <f t="shared" si="19"/>
        <v>187</v>
      </c>
      <c r="D28" s="391">
        <v>187</v>
      </c>
      <c r="E28" s="391"/>
      <c r="F28" s="391"/>
      <c r="G28" s="391">
        <f t="shared" si="4"/>
        <v>187</v>
      </c>
      <c r="H28" s="391">
        <f t="shared" si="5"/>
        <v>187</v>
      </c>
      <c r="I28" s="391">
        <f t="shared" si="6"/>
        <v>0</v>
      </c>
      <c r="J28" s="391">
        <f t="shared" si="7"/>
        <v>0</v>
      </c>
      <c r="K28" s="391">
        <f t="shared" si="8"/>
        <v>0</v>
      </c>
      <c r="L28" s="391"/>
      <c r="M28" s="391"/>
      <c r="N28" s="391"/>
      <c r="O28" s="392"/>
      <c r="P28" s="391"/>
      <c r="Q28" s="393">
        <f t="shared" si="9"/>
        <v>187</v>
      </c>
      <c r="R28" s="391">
        <f t="shared" si="10"/>
        <v>187</v>
      </c>
      <c r="S28" s="391">
        <v>187</v>
      </c>
      <c r="T28" s="391"/>
      <c r="U28" s="393">
        <f t="shared" si="18"/>
        <v>0</v>
      </c>
      <c r="V28" s="391"/>
      <c r="W28" s="391"/>
      <c r="X28" s="391"/>
      <c r="Y28" s="391"/>
      <c r="Z28" s="391"/>
      <c r="AA28" s="391"/>
      <c r="AB28" s="391">
        <f t="shared" si="11"/>
        <v>0</v>
      </c>
      <c r="AC28" s="391"/>
      <c r="AD28" s="391"/>
      <c r="AE28" s="391"/>
      <c r="AF28" s="391">
        <f t="shared" si="12"/>
        <v>0</v>
      </c>
      <c r="AG28" s="391"/>
      <c r="AH28" s="391"/>
      <c r="AI28" s="391">
        <f t="shared" si="13"/>
        <v>0</v>
      </c>
      <c r="AJ28" s="391"/>
      <c r="AK28" s="391"/>
      <c r="AL28" s="391">
        <f t="shared" si="2"/>
        <v>100</v>
      </c>
      <c r="AM28" s="391">
        <f t="shared" si="2"/>
        <v>100</v>
      </c>
      <c r="AN28" s="391"/>
      <c r="AO28" s="389"/>
    </row>
    <row r="29" spans="1:41" s="401" customFormat="1" ht="32.25" customHeight="1" x14ac:dyDescent="0.25">
      <c r="A29" s="395"/>
      <c r="B29" s="396" t="s">
        <v>310</v>
      </c>
      <c r="C29" s="397">
        <f t="shared" si="19"/>
        <v>626</v>
      </c>
      <c r="D29" s="398">
        <f>852-226</f>
        <v>626</v>
      </c>
      <c r="E29" s="397"/>
      <c r="F29" s="397"/>
      <c r="G29" s="397">
        <f t="shared" si="4"/>
        <v>808.42600000000004</v>
      </c>
      <c r="H29" s="397">
        <f t="shared" si="5"/>
        <v>808.42600000000004</v>
      </c>
      <c r="I29" s="397">
        <f t="shared" si="6"/>
        <v>0</v>
      </c>
      <c r="J29" s="397">
        <f t="shared" si="7"/>
        <v>0</v>
      </c>
      <c r="K29" s="397">
        <f t="shared" si="8"/>
        <v>0</v>
      </c>
      <c r="L29" s="397"/>
      <c r="M29" s="397"/>
      <c r="N29" s="397"/>
      <c r="O29" s="399"/>
      <c r="P29" s="397"/>
      <c r="Q29" s="400">
        <f t="shared" si="9"/>
        <v>808.42600000000004</v>
      </c>
      <c r="R29" s="397">
        <f t="shared" si="10"/>
        <v>808.42600000000004</v>
      </c>
      <c r="S29" s="397">
        <f>808.426</f>
        <v>808.42600000000004</v>
      </c>
      <c r="T29" s="397"/>
      <c r="U29" s="400">
        <f t="shared" si="18"/>
        <v>0</v>
      </c>
      <c r="V29" s="397"/>
      <c r="W29" s="397"/>
      <c r="X29" s="397"/>
      <c r="Y29" s="397"/>
      <c r="Z29" s="397"/>
      <c r="AA29" s="397"/>
      <c r="AB29" s="397">
        <f t="shared" si="11"/>
        <v>0</v>
      </c>
      <c r="AC29" s="397"/>
      <c r="AD29" s="397"/>
      <c r="AE29" s="397"/>
      <c r="AF29" s="397">
        <f t="shared" si="12"/>
        <v>0</v>
      </c>
      <c r="AG29" s="397"/>
      <c r="AH29" s="397"/>
      <c r="AI29" s="397">
        <f t="shared" si="13"/>
        <v>0</v>
      </c>
      <c r="AJ29" s="397"/>
      <c r="AK29" s="397"/>
      <c r="AL29" s="397">
        <f t="shared" si="2"/>
        <v>129.14153354632589</v>
      </c>
      <c r="AM29" s="397">
        <f t="shared" si="2"/>
        <v>129.14153354632589</v>
      </c>
      <c r="AN29" s="397"/>
      <c r="AO29" s="395"/>
    </row>
    <row r="30" spans="1:41" s="401" customFormat="1" ht="51" customHeight="1" x14ac:dyDescent="0.25">
      <c r="A30" s="395"/>
      <c r="B30" s="402" t="s">
        <v>316</v>
      </c>
      <c r="C30" s="397">
        <f t="shared" si="19"/>
        <v>78</v>
      </c>
      <c r="D30" s="398">
        <f>195-117</f>
        <v>78</v>
      </c>
      <c r="E30" s="397"/>
      <c r="F30" s="397"/>
      <c r="G30" s="397">
        <f t="shared" si="4"/>
        <v>184.98572200000001</v>
      </c>
      <c r="H30" s="397">
        <f t="shared" si="5"/>
        <v>184.98572200000001</v>
      </c>
      <c r="I30" s="397">
        <f t="shared" si="6"/>
        <v>0</v>
      </c>
      <c r="J30" s="397">
        <f t="shared" si="7"/>
        <v>0</v>
      </c>
      <c r="K30" s="397">
        <f t="shared" si="8"/>
        <v>0</v>
      </c>
      <c r="L30" s="397"/>
      <c r="M30" s="397"/>
      <c r="N30" s="397"/>
      <c r="O30" s="399"/>
      <c r="P30" s="397"/>
      <c r="Q30" s="400">
        <f t="shared" si="9"/>
        <v>184.98572200000001</v>
      </c>
      <c r="R30" s="397">
        <f t="shared" si="10"/>
        <v>184.98572200000001</v>
      </c>
      <c r="S30" s="397">
        <f>184.985722</f>
        <v>184.98572200000001</v>
      </c>
      <c r="T30" s="397"/>
      <c r="U30" s="400">
        <f t="shared" si="18"/>
        <v>0</v>
      </c>
      <c r="V30" s="397"/>
      <c r="W30" s="397"/>
      <c r="X30" s="397"/>
      <c r="Y30" s="397"/>
      <c r="Z30" s="397"/>
      <c r="AA30" s="397"/>
      <c r="AB30" s="397">
        <f t="shared" si="11"/>
        <v>0</v>
      </c>
      <c r="AC30" s="397"/>
      <c r="AD30" s="397"/>
      <c r="AE30" s="397"/>
      <c r="AF30" s="397">
        <f t="shared" si="12"/>
        <v>0</v>
      </c>
      <c r="AG30" s="397"/>
      <c r="AH30" s="397"/>
      <c r="AI30" s="397">
        <f t="shared" si="13"/>
        <v>0</v>
      </c>
      <c r="AJ30" s="397"/>
      <c r="AK30" s="397"/>
      <c r="AL30" s="397">
        <f t="shared" si="2"/>
        <v>237.16118205128205</v>
      </c>
      <c r="AM30" s="397">
        <f t="shared" si="2"/>
        <v>237.16118205128205</v>
      </c>
      <c r="AN30" s="397"/>
      <c r="AO30" s="395"/>
    </row>
    <row r="31" spans="1:41" s="394" customFormat="1" ht="53.25" customHeight="1" x14ac:dyDescent="0.25">
      <c r="A31" s="389"/>
      <c r="B31" s="403" t="s">
        <v>317</v>
      </c>
      <c r="C31" s="391">
        <f t="shared" si="19"/>
        <v>191</v>
      </c>
      <c r="D31" s="404">
        <v>191</v>
      </c>
      <c r="E31" s="391"/>
      <c r="F31" s="391"/>
      <c r="G31" s="391">
        <f t="shared" si="4"/>
        <v>147</v>
      </c>
      <c r="H31" s="391">
        <f t="shared" si="5"/>
        <v>147</v>
      </c>
      <c r="I31" s="391">
        <f t="shared" si="6"/>
        <v>0</v>
      </c>
      <c r="J31" s="391">
        <f t="shared" si="7"/>
        <v>0</v>
      </c>
      <c r="K31" s="391">
        <f t="shared" si="8"/>
        <v>0</v>
      </c>
      <c r="L31" s="391"/>
      <c r="M31" s="391"/>
      <c r="N31" s="391"/>
      <c r="O31" s="392"/>
      <c r="P31" s="391"/>
      <c r="Q31" s="393">
        <f t="shared" si="9"/>
        <v>147</v>
      </c>
      <c r="R31" s="391">
        <f t="shared" si="10"/>
        <v>147</v>
      </c>
      <c r="S31" s="391">
        <v>147</v>
      </c>
      <c r="T31" s="391"/>
      <c r="U31" s="393">
        <f t="shared" si="18"/>
        <v>0</v>
      </c>
      <c r="V31" s="391"/>
      <c r="W31" s="391"/>
      <c r="X31" s="391"/>
      <c r="Y31" s="391"/>
      <c r="Z31" s="391"/>
      <c r="AA31" s="391"/>
      <c r="AB31" s="391">
        <f t="shared" si="11"/>
        <v>0</v>
      </c>
      <c r="AC31" s="391"/>
      <c r="AD31" s="391"/>
      <c r="AE31" s="391"/>
      <c r="AF31" s="391">
        <f t="shared" si="12"/>
        <v>0</v>
      </c>
      <c r="AG31" s="391"/>
      <c r="AH31" s="391"/>
      <c r="AI31" s="391">
        <f t="shared" si="13"/>
        <v>0</v>
      </c>
      <c r="AJ31" s="391"/>
      <c r="AK31" s="391"/>
      <c r="AL31" s="391">
        <f t="shared" si="2"/>
        <v>76.96335078534031</v>
      </c>
      <c r="AM31" s="391">
        <f t="shared" si="2"/>
        <v>76.96335078534031</v>
      </c>
      <c r="AN31" s="391"/>
      <c r="AO31" s="389"/>
    </row>
    <row r="32" spans="1:41" s="394" customFormat="1" ht="50.25" customHeight="1" x14ac:dyDescent="0.25">
      <c r="A32" s="389"/>
      <c r="B32" s="403" t="s">
        <v>318</v>
      </c>
      <c r="C32" s="391">
        <f t="shared" si="19"/>
        <v>199</v>
      </c>
      <c r="D32" s="404">
        <v>199</v>
      </c>
      <c r="E32" s="391"/>
      <c r="F32" s="391"/>
      <c r="G32" s="391">
        <f t="shared" si="4"/>
        <v>154</v>
      </c>
      <c r="H32" s="391">
        <f t="shared" si="5"/>
        <v>154</v>
      </c>
      <c r="I32" s="391">
        <f t="shared" si="6"/>
        <v>0</v>
      </c>
      <c r="J32" s="391">
        <f t="shared" si="7"/>
        <v>0</v>
      </c>
      <c r="K32" s="391">
        <f t="shared" si="8"/>
        <v>0</v>
      </c>
      <c r="L32" s="391"/>
      <c r="M32" s="391"/>
      <c r="N32" s="391"/>
      <c r="O32" s="392"/>
      <c r="P32" s="391"/>
      <c r="Q32" s="393">
        <f t="shared" si="9"/>
        <v>154</v>
      </c>
      <c r="R32" s="391">
        <f t="shared" si="10"/>
        <v>154</v>
      </c>
      <c r="S32" s="391">
        <v>154</v>
      </c>
      <c r="T32" s="391"/>
      <c r="U32" s="393">
        <f t="shared" si="18"/>
        <v>0</v>
      </c>
      <c r="V32" s="391"/>
      <c r="W32" s="391"/>
      <c r="X32" s="391"/>
      <c r="Y32" s="391"/>
      <c r="Z32" s="391"/>
      <c r="AA32" s="391"/>
      <c r="AB32" s="391">
        <f t="shared" si="11"/>
        <v>0</v>
      </c>
      <c r="AC32" s="391"/>
      <c r="AD32" s="391"/>
      <c r="AE32" s="391"/>
      <c r="AF32" s="391">
        <f t="shared" si="12"/>
        <v>0</v>
      </c>
      <c r="AG32" s="391"/>
      <c r="AH32" s="391"/>
      <c r="AI32" s="391">
        <f t="shared" si="13"/>
        <v>0</v>
      </c>
      <c r="AJ32" s="391"/>
      <c r="AK32" s="391"/>
      <c r="AL32" s="391">
        <f t="shared" si="2"/>
        <v>77.386934673366838</v>
      </c>
      <c r="AM32" s="391">
        <f t="shared" si="2"/>
        <v>77.386934673366838</v>
      </c>
      <c r="AN32" s="391"/>
      <c r="AO32" s="389"/>
    </row>
    <row r="33" spans="1:41" s="394" customFormat="1" ht="42" customHeight="1" x14ac:dyDescent="0.25">
      <c r="A33" s="389"/>
      <c r="B33" s="390" t="s">
        <v>45</v>
      </c>
      <c r="C33" s="391">
        <f t="shared" si="19"/>
        <v>161</v>
      </c>
      <c r="D33" s="404">
        <v>161</v>
      </c>
      <c r="E33" s="391"/>
      <c r="F33" s="391"/>
      <c r="G33" s="391">
        <f t="shared" si="4"/>
        <v>128.677716</v>
      </c>
      <c r="H33" s="391">
        <f t="shared" si="5"/>
        <v>128.677716</v>
      </c>
      <c r="I33" s="391">
        <f t="shared" si="6"/>
        <v>0</v>
      </c>
      <c r="J33" s="391">
        <f t="shared" si="7"/>
        <v>0</v>
      </c>
      <c r="K33" s="391">
        <f t="shared" si="8"/>
        <v>0</v>
      </c>
      <c r="L33" s="391"/>
      <c r="M33" s="391"/>
      <c r="N33" s="391"/>
      <c r="O33" s="392"/>
      <c r="P33" s="391"/>
      <c r="Q33" s="393">
        <f t="shared" si="9"/>
        <v>128.677716</v>
      </c>
      <c r="R33" s="391">
        <f t="shared" si="10"/>
        <v>128.677716</v>
      </c>
      <c r="S33" s="391">
        <v>128.677716</v>
      </c>
      <c r="T33" s="391"/>
      <c r="U33" s="393">
        <f t="shared" si="18"/>
        <v>0</v>
      </c>
      <c r="V33" s="391"/>
      <c r="W33" s="391"/>
      <c r="X33" s="391"/>
      <c r="Y33" s="391"/>
      <c r="Z33" s="391"/>
      <c r="AA33" s="391"/>
      <c r="AB33" s="391">
        <f t="shared" si="11"/>
        <v>0</v>
      </c>
      <c r="AC33" s="391"/>
      <c r="AD33" s="391"/>
      <c r="AE33" s="391"/>
      <c r="AF33" s="391">
        <f t="shared" si="12"/>
        <v>0</v>
      </c>
      <c r="AG33" s="391"/>
      <c r="AH33" s="391"/>
      <c r="AI33" s="391">
        <f t="shared" si="13"/>
        <v>0</v>
      </c>
      <c r="AJ33" s="391"/>
      <c r="AK33" s="391"/>
      <c r="AL33" s="391">
        <f t="shared" si="2"/>
        <v>79.924047204968943</v>
      </c>
      <c r="AM33" s="391">
        <f t="shared" si="2"/>
        <v>79.924047204968943</v>
      </c>
      <c r="AN33" s="391"/>
      <c r="AO33" s="389"/>
    </row>
    <row r="34" spans="1:41" s="394" customFormat="1" ht="39.75" customHeight="1" x14ac:dyDescent="0.25">
      <c r="A34" s="389"/>
      <c r="B34" s="390" t="s">
        <v>46</v>
      </c>
      <c r="C34" s="391">
        <f t="shared" si="19"/>
        <v>161</v>
      </c>
      <c r="D34" s="404">
        <v>161</v>
      </c>
      <c r="E34" s="391"/>
      <c r="F34" s="391"/>
      <c r="G34" s="391">
        <f t="shared" si="4"/>
        <v>125.52848</v>
      </c>
      <c r="H34" s="391">
        <f t="shared" si="5"/>
        <v>125.52848</v>
      </c>
      <c r="I34" s="391">
        <f t="shared" si="6"/>
        <v>0</v>
      </c>
      <c r="J34" s="391">
        <f t="shared" si="7"/>
        <v>0</v>
      </c>
      <c r="K34" s="391">
        <f t="shared" si="8"/>
        <v>0</v>
      </c>
      <c r="L34" s="391"/>
      <c r="M34" s="391"/>
      <c r="N34" s="391"/>
      <c r="O34" s="392"/>
      <c r="P34" s="391"/>
      <c r="Q34" s="393">
        <f t="shared" si="9"/>
        <v>125.52848</v>
      </c>
      <c r="R34" s="391">
        <f t="shared" si="10"/>
        <v>125.52848</v>
      </c>
      <c r="S34" s="391">
        <v>125.52848</v>
      </c>
      <c r="T34" s="391"/>
      <c r="U34" s="393">
        <f t="shared" si="18"/>
        <v>0</v>
      </c>
      <c r="V34" s="391"/>
      <c r="W34" s="391"/>
      <c r="X34" s="391"/>
      <c r="Y34" s="391"/>
      <c r="Z34" s="391"/>
      <c r="AA34" s="391"/>
      <c r="AB34" s="391">
        <f t="shared" si="11"/>
        <v>0</v>
      </c>
      <c r="AC34" s="391"/>
      <c r="AD34" s="391"/>
      <c r="AE34" s="391"/>
      <c r="AF34" s="391">
        <f t="shared" si="12"/>
        <v>0</v>
      </c>
      <c r="AG34" s="391"/>
      <c r="AH34" s="391"/>
      <c r="AI34" s="391">
        <f t="shared" si="13"/>
        <v>0</v>
      </c>
      <c r="AJ34" s="391"/>
      <c r="AK34" s="391"/>
      <c r="AL34" s="391">
        <f t="shared" si="2"/>
        <v>77.967999999999989</v>
      </c>
      <c r="AM34" s="391">
        <f t="shared" si="2"/>
        <v>77.967999999999989</v>
      </c>
      <c r="AN34" s="391"/>
      <c r="AO34" s="389"/>
    </row>
    <row r="35" spans="1:41" s="394" customFormat="1" ht="39.75" customHeight="1" x14ac:dyDescent="0.25">
      <c r="A35" s="389"/>
      <c r="B35" s="390" t="s">
        <v>47</v>
      </c>
      <c r="C35" s="391">
        <f t="shared" si="19"/>
        <v>175</v>
      </c>
      <c r="D35" s="391">
        <v>175</v>
      </c>
      <c r="E35" s="391"/>
      <c r="F35" s="391"/>
      <c r="G35" s="391">
        <f t="shared" si="4"/>
        <v>139.72023999999999</v>
      </c>
      <c r="H35" s="391">
        <f t="shared" si="5"/>
        <v>139.72023999999999</v>
      </c>
      <c r="I35" s="391">
        <f t="shared" si="6"/>
        <v>0</v>
      </c>
      <c r="J35" s="391">
        <f t="shared" si="7"/>
        <v>0</v>
      </c>
      <c r="K35" s="391">
        <f t="shared" si="8"/>
        <v>0</v>
      </c>
      <c r="L35" s="391"/>
      <c r="M35" s="391"/>
      <c r="N35" s="391"/>
      <c r="O35" s="392"/>
      <c r="P35" s="391"/>
      <c r="Q35" s="393">
        <f t="shared" si="9"/>
        <v>139.72023999999999</v>
      </c>
      <c r="R35" s="391">
        <f t="shared" si="10"/>
        <v>139.72023999999999</v>
      </c>
      <c r="S35" s="391">
        <v>139.72023999999999</v>
      </c>
      <c r="T35" s="391"/>
      <c r="U35" s="393">
        <f t="shared" si="18"/>
        <v>0</v>
      </c>
      <c r="V35" s="391"/>
      <c r="W35" s="391"/>
      <c r="X35" s="391"/>
      <c r="Y35" s="391"/>
      <c r="Z35" s="391"/>
      <c r="AA35" s="391"/>
      <c r="AB35" s="391">
        <f t="shared" si="11"/>
        <v>0</v>
      </c>
      <c r="AC35" s="391"/>
      <c r="AD35" s="391"/>
      <c r="AE35" s="391"/>
      <c r="AF35" s="391">
        <f t="shared" si="12"/>
        <v>0</v>
      </c>
      <c r="AG35" s="391"/>
      <c r="AH35" s="391"/>
      <c r="AI35" s="391">
        <f t="shared" si="13"/>
        <v>0</v>
      </c>
      <c r="AJ35" s="391"/>
      <c r="AK35" s="391"/>
      <c r="AL35" s="391">
        <f t="shared" si="2"/>
        <v>79.840137142857131</v>
      </c>
      <c r="AM35" s="391">
        <f t="shared" si="2"/>
        <v>79.840137142857131</v>
      </c>
      <c r="AN35" s="391"/>
      <c r="AO35" s="389"/>
    </row>
    <row r="36" spans="1:41" s="394" customFormat="1" ht="42" customHeight="1" x14ac:dyDescent="0.25">
      <c r="A36" s="389"/>
      <c r="B36" s="390" t="s">
        <v>48</v>
      </c>
      <c r="C36" s="391">
        <f t="shared" si="19"/>
        <v>149</v>
      </c>
      <c r="D36" s="391">
        <v>149</v>
      </c>
      <c r="E36" s="391"/>
      <c r="F36" s="391"/>
      <c r="G36" s="391">
        <f t="shared" si="4"/>
        <v>116.658719</v>
      </c>
      <c r="H36" s="391">
        <f t="shared" si="5"/>
        <v>116.658719</v>
      </c>
      <c r="I36" s="391">
        <f t="shared" si="6"/>
        <v>0</v>
      </c>
      <c r="J36" s="391">
        <f t="shared" si="7"/>
        <v>0</v>
      </c>
      <c r="K36" s="391">
        <f t="shared" si="8"/>
        <v>0</v>
      </c>
      <c r="L36" s="391"/>
      <c r="M36" s="391"/>
      <c r="N36" s="391"/>
      <c r="O36" s="392"/>
      <c r="P36" s="391"/>
      <c r="Q36" s="393">
        <f t="shared" si="9"/>
        <v>116.658719</v>
      </c>
      <c r="R36" s="391">
        <f t="shared" si="10"/>
        <v>116.658719</v>
      </c>
      <c r="S36" s="391">
        <v>116.658719</v>
      </c>
      <c r="T36" s="391"/>
      <c r="U36" s="393">
        <f t="shared" si="18"/>
        <v>0</v>
      </c>
      <c r="V36" s="391"/>
      <c r="W36" s="391"/>
      <c r="X36" s="391"/>
      <c r="Y36" s="391"/>
      <c r="Z36" s="391"/>
      <c r="AA36" s="391"/>
      <c r="AB36" s="391">
        <f t="shared" si="11"/>
        <v>0</v>
      </c>
      <c r="AC36" s="391"/>
      <c r="AD36" s="391"/>
      <c r="AE36" s="391"/>
      <c r="AF36" s="391">
        <f t="shared" si="12"/>
        <v>0</v>
      </c>
      <c r="AG36" s="391"/>
      <c r="AH36" s="391"/>
      <c r="AI36" s="391">
        <f t="shared" si="13"/>
        <v>0</v>
      </c>
      <c r="AJ36" s="391"/>
      <c r="AK36" s="391"/>
      <c r="AL36" s="391">
        <f t="shared" si="2"/>
        <v>78.294442281879199</v>
      </c>
      <c r="AM36" s="391">
        <f t="shared" si="2"/>
        <v>78.294442281879199</v>
      </c>
      <c r="AN36" s="391"/>
      <c r="AO36" s="389"/>
    </row>
    <row r="37" spans="1:41" s="394" customFormat="1" ht="51" customHeight="1" x14ac:dyDescent="0.25">
      <c r="A37" s="389"/>
      <c r="B37" s="390" t="s">
        <v>54</v>
      </c>
      <c r="C37" s="391">
        <f t="shared" si="19"/>
        <v>690</v>
      </c>
      <c r="D37" s="405">
        <v>690</v>
      </c>
      <c r="E37" s="391"/>
      <c r="F37" s="391"/>
      <c r="G37" s="391">
        <f t="shared" si="4"/>
        <v>672.07399999999996</v>
      </c>
      <c r="H37" s="391">
        <f t="shared" si="5"/>
        <v>672.07399999999996</v>
      </c>
      <c r="I37" s="391">
        <f t="shared" si="6"/>
        <v>0</v>
      </c>
      <c r="J37" s="391">
        <f t="shared" si="7"/>
        <v>0</v>
      </c>
      <c r="K37" s="391">
        <f t="shared" si="8"/>
        <v>0</v>
      </c>
      <c r="L37" s="391"/>
      <c r="M37" s="391"/>
      <c r="N37" s="391"/>
      <c r="O37" s="392"/>
      <c r="P37" s="391"/>
      <c r="Q37" s="393">
        <f t="shared" si="9"/>
        <v>672.07399999999996</v>
      </c>
      <c r="R37" s="391">
        <f t="shared" si="10"/>
        <v>672.07399999999996</v>
      </c>
      <c r="S37" s="391">
        <v>672.07399999999996</v>
      </c>
      <c r="T37" s="391"/>
      <c r="U37" s="393">
        <f t="shared" si="18"/>
        <v>0</v>
      </c>
      <c r="V37" s="391"/>
      <c r="W37" s="391"/>
      <c r="X37" s="391"/>
      <c r="Y37" s="391"/>
      <c r="Z37" s="391"/>
      <c r="AA37" s="391"/>
      <c r="AB37" s="391">
        <f t="shared" si="11"/>
        <v>0</v>
      </c>
      <c r="AC37" s="391"/>
      <c r="AD37" s="391"/>
      <c r="AE37" s="391"/>
      <c r="AF37" s="391">
        <f t="shared" si="12"/>
        <v>0</v>
      </c>
      <c r="AG37" s="391"/>
      <c r="AH37" s="391"/>
      <c r="AI37" s="391">
        <f t="shared" si="13"/>
        <v>0</v>
      </c>
      <c r="AJ37" s="391"/>
      <c r="AK37" s="391"/>
      <c r="AL37" s="391">
        <f t="shared" si="2"/>
        <v>97.402028985507229</v>
      </c>
      <c r="AM37" s="391">
        <f t="shared" si="2"/>
        <v>97.402028985507229</v>
      </c>
      <c r="AN37" s="391"/>
      <c r="AO37" s="389"/>
    </row>
    <row r="38" spans="1:41" s="401" customFormat="1" ht="39.75" customHeight="1" x14ac:dyDescent="0.25">
      <c r="A38" s="395"/>
      <c r="B38" s="396" t="s">
        <v>86</v>
      </c>
      <c r="C38" s="397">
        <f t="shared" si="19"/>
        <v>985</v>
      </c>
      <c r="D38" s="406">
        <f>1115-130</f>
        <v>985</v>
      </c>
      <c r="E38" s="397"/>
      <c r="F38" s="397"/>
      <c r="G38" s="397">
        <f t="shared" si="4"/>
        <v>1093.7606000000001</v>
      </c>
      <c r="H38" s="397">
        <f t="shared" si="5"/>
        <v>1093.7606000000001</v>
      </c>
      <c r="I38" s="397">
        <f t="shared" si="6"/>
        <v>0</v>
      </c>
      <c r="J38" s="397">
        <f t="shared" si="7"/>
        <v>0</v>
      </c>
      <c r="K38" s="397">
        <f t="shared" si="8"/>
        <v>0</v>
      </c>
      <c r="L38" s="397"/>
      <c r="M38" s="397"/>
      <c r="N38" s="397"/>
      <c r="O38" s="399"/>
      <c r="P38" s="397"/>
      <c r="Q38" s="400">
        <f t="shared" si="9"/>
        <v>1093.7606000000001</v>
      </c>
      <c r="R38" s="397">
        <f t="shared" si="10"/>
        <v>1093.7606000000001</v>
      </c>
      <c r="S38" s="397">
        <f>1093.7606</f>
        <v>1093.7606000000001</v>
      </c>
      <c r="T38" s="397"/>
      <c r="U38" s="400">
        <f t="shared" si="18"/>
        <v>0</v>
      </c>
      <c r="V38" s="397"/>
      <c r="W38" s="397"/>
      <c r="X38" s="397"/>
      <c r="Y38" s="397"/>
      <c r="Z38" s="397"/>
      <c r="AA38" s="397"/>
      <c r="AB38" s="397">
        <f t="shared" si="11"/>
        <v>0</v>
      </c>
      <c r="AC38" s="397"/>
      <c r="AD38" s="397"/>
      <c r="AE38" s="397"/>
      <c r="AF38" s="397">
        <f t="shared" si="12"/>
        <v>0</v>
      </c>
      <c r="AG38" s="397"/>
      <c r="AH38" s="397"/>
      <c r="AI38" s="397">
        <f t="shared" si="13"/>
        <v>0</v>
      </c>
      <c r="AJ38" s="397"/>
      <c r="AK38" s="397"/>
      <c r="AL38" s="397">
        <f t="shared" si="2"/>
        <v>111.04168527918783</v>
      </c>
      <c r="AM38" s="397">
        <f t="shared" si="2"/>
        <v>111.04168527918783</v>
      </c>
      <c r="AN38" s="397"/>
      <c r="AO38" s="395"/>
    </row>
    <row r="39" spans="1:41" s="401" customFormat="1" ht="56.25" customHeight="1" x14ac:dyDescent="0.25">
      <c r="A39" s="395"/>
      <c r="B39" s="396" t="s">
        <v>367</v>
      </c>
      <c r="C39" s="397">
        <f t="shared" si="19"/>
        <v>440</v>
      </c>
      <c r="D39" s="406">
        <f>592-152</f>
        <v>440</v>
      </c>
      <c r="E39" s="397"/>
      <c r="F39" s="397"/>
      <c r="G39" s="397">
        <f t="shared" si="4"/>
        <v>545.52099999999996</v>
      </c>
      <c r="H39" s="397">
        <f t="shared" si="5"/>
        <v>545.52099999999996</v>
      </c>
      <c r="I39" s="397">
        <f t="shared" si="6"/>
        <v>0</v>
      </c>
      <c r="J39" s="397">
        <f t="shared" si="7"/>
        <v>0</v>
      </c>
      <c r="K39" s="397">
        <f t="shared" si="8"/>
        <v>0</v>
      </c>
      <c r="L39" s="397"/>
      <c r="M39" s="397"/>
      <c r="N39" s="397"/>
      <c r="O39" s="399"/>
      <c r="P39" s="397"/>
      <c r="Q39" s="400">
        <f t="shared" si="9"/>
        <v>545.52099999999996</v>
      </c>
      <c r="R39" s="397">
        <f t="shared" si="10"/>
        <v>545.52099999999996</v>
      </c>
      <c r="S39" s="397">
        <f>545.521</f>
        <v>545.52099999999996</v>
      </c>
      <c r="T39" s="397"/>
      <c r="U39" s="400">
        <f t="shared" si="18"/>
        <v>0</v>
      </c>
      <c r="V39" s="397"/>
      <c r="W39" s="397"/>
      <c r="X39" s="397"/>
      <c r="Y39" s="397"/>
      <c r="Z39" s="397"/>
      <c r="AA39" s="397"/>
      <c r="AB39" s="397">
        <f t="shared" si="11"/>
        <v>0</v>
      </c>
      <c r="AC39" s="397"/>
      <c r="AD39" s="397"/>
      <c r="AE39" s="397"/>
      <c r="AF39" s="397">
        <f t="shared" si="12"/>
        <v>0</v>
      </c>
      <c r="AG39" s="397"/>
      <c r="AH39" s="397"/>
      <c r="AI39" s="397">
        <f t="shared" si="13"/>
        <v>0</v>
      </c>
      <c r="AJ39" s="397"/>
      <c r="AK39" s="397"/>
      <c r="AL39" s="397">
        <f t="shared" si="2"/>
        <v>123.98204545454543</v>
      </c>
      <c r="AM39" s="397">
        <f t="shared" si="2"/>
        <v>123.98204545454543</v>
      </c>
      <c r="AN39" s="397"/>
      <c r="AO39" s="395"/>
    </row>
    <row r="40" spans="1:41" s="401" customFormat="1" ht="45.75" customHeight="1" x14ac:dyDescent="0.25">
      <c r="A40" s="395"/>
      <c r="B40" s="396" t="s">
        <v>392</v>
      </c>
      <c r="C40" s="397">
        <f t="shared" si="19"/>
        <v>607</v>
      </c>
      <c r="D40" s="406">
        <f>732-125</f>
        <v>607</v>
      </c>
      <c r="E40" s="397"/>
      <c r="F40" s="397"/>
      <c r="G40" s="397">
        <f t="shared" si="4"/>
        <v>643.36599999999999</v>
      </c>
      <c r="H40" s="397">
        <f t="shared" si="5"/>
        <v>643.36599999999999</v>
      </c>
      <c r="I40" s="397">
        <f t="shared" si="6"/>
        <v>0</v>
      </c>
      <c r="J40" s="397">
        <f t="shared" si="7"/>
        <v>0</v>
      </c>
      <c r="K40" s="397">
        <f t="shared" si="8"/>
        <v>0</v>
      </c>
      <c r="L40" s="397"/>
      <c r="M40" s="397"/>
      <c r="N40" s="397"/>
      <c r="O40" s="399"/>
      <c r="P40" s="397"/>
      <c r="Q40" s="400">
        <f t="shared" si="9"/>
        <v>643.36599999999999</v>
      </c>
      <c r="R40" s="397">
        <f t="shared" si="10"/>
        <v>643.36599999999999</v>
      </c>
      <c r="S40" s="397">
        <f>643.366</f>
        <v>643.36599999999999</v>
      </c>
      <c r="T40" s="397"/>
      <c r="U40" s="400">
        <f t="shared" si="18"/>
        <v>0</v>
      </c>
      <c r="V40" s="397"/>
      <c r="W40" s="397"/>
      <c r="X40" s="397"/>
      <c r="Y40" s="397"/>
      <c r="Z40" s="397"/>
      <c r="AA40" s="397"/>
      <c r="AB40" s="397">
        <f t="shared" si="11"/>
        <v>0</v>
      </c>
      <c r="AC40" s="397"/>
      <c r="AD40" s="397"/>
      <c r="AE40" s="397"/>
      <c r="AF40" s="397">
        <f t="shared" si="12"/>
        <v>0</v>
      </c>
      <c r="AG40" s="397"/>
      <c r="AH40" s="397"/>
      <c r="AI40" s="397">
        <f t="shared" si="13"/>
        <v>0</v>
      </c>
      <c r="AJ40" s="397"/>
      <c r="AK40" s="397"/>
      <c r="AL40" s="397">
        <f t="shared" si="2"/>
        <v>105.99110378912684</v>
      </c>
      <c r="AM40" s="397">
        <f t="shared" si="2"/>
        <v>105.99110378912684</v>
      </c>
      <c r="AN40" s="397"/>
      <c r="AO40" s="395"/>
    </row>
    <row r="41" spans="1:41" s="401" customFormat="1" ht="42" customHeight="1" x14ac:dyDescent="0.25">
      <c r="A41" s="395"/>
      <c r="B41" s="396" t="s">
        <v>100</v>
      </c>
      <c r="C41" s="397">
        <f t="shared" si="19"/>
        <v>393</v>
      </c>
      <c r="D41" s="397">
        <f>424-31</f>
        <v>393</v>
      </c>
      <c r="E41" s="397"/>
      <c r="F41" s="397"/>
      <c r="G41" s="397">
        <f t="shared" si="4"/>
        <v>396.08640000000003</v>
      </c>
      <c r="H41" s="397">
        <f t="shared" si="5"/>
        <v>396.08640000000003</v>
      </c>
      <c r="I41" s="397">
        <f t="shared" si="6"/>
        <v>0</v>
      </c>
      <c r="J41" s="397">
        <f t="shared" si="7"/>
        <v>0</v>
      </c>
      <c r="K41" s="397">
        <f t="shared" si="8"/>
        <v>0</v>
      </c>
      <c r="L41" s="397"/>
      <c r="M41" s="397"/>
      <c r="N41" s="397"/>
      <c r="O41" s="399"/>
      <c r="P41" s="397"/>
      <c r="Q41" s="400">
        <f t="shared" si="9"/>
        <v>396.08640000000003</v>
      </c>
      <c r="R41" s="397">
        <f t="shared" si="10"/>
        <v>396.08640000000003</v>
      </c>
      <c r="S41" s="397">
        <f>396.0864</f>
        <v>396.08640000000003</v>
      </c>
      <c r="T41" s="397"/>
      <c r="U41" s="400">
        <f t="shared" si="18"/>
        <v>0</v>
      </c>
      <c r="V41" s="397"/>
      <c r="W41" s="397"/>
      <c r="X41" s="397"/>
      <c r="Y41" s="397"/>
      <c r="Z41" s="397"/>
      <c r="AA41" s="397"/>
      <c r="AB41" s="397">
        <f t="shared" si="11"/>
        <v>0</v>
      </c>
      <c r="AC41" s="397"/>
      <c r="AD41" s="397"/>
      <c r="AE41" s="397"/>
      <c r="AF41" s="397">
        <f t="shared" si="12"/>
        <v>0</v>
      </c>
      <c r="AG41" s="397"/>
      <c r="AH41" s="397"/>
      <c r="AI41" s="397">
        <f t="shared" si="13"/>
        <v>0</v>
      </c>
      <c r="AJ41" s="397"/>
      <c r="AK41" s="397"/>
      <c r="AL41" s="397">
        <f t="shared" si="2"/>
        <v>100.78534351145038</v>
      </c>
      <c r="AM41" s="397">
        <f t="shared" si="2"/>
        <v>100.78534351145038</v>
      </c>
      <c r="AN41" s="397"/>
      <c r="AO41" s="395"/>
    </row>
    <row r="42" spans="1:41" s="394" customFormat="1" ht="32.25" customHeight="1" x14ac:dyDescent="0.25">
      <c r="A42" s="389"/>
      <c r="B42" s="390" t="s">
        <v>385</v>
      </c>
      <c r="C42" s="391">
        <f t="shared" si="19"/>
        <v>190</v>
      </c>
      <c r="D42" s="391">
        <v>190</v>
      </c>
      <c r="E42" s="391"/>
      <c r="F42" s="391"/>
      <c r="G42" s="391">
        <f t="shared" si="4"/>
        <v>176.74083400000001</v>
      </c>
      <c r="H42" s="391">
        <f t="shared" si="5"/>
        <v>176.74083400000001</v>
      </c>
      <c r="I42" s="391">
        <f t="shared" si="6"/>
        <v>0</v>
      </c>
      <c r="J42" s="391">
        <f t="shared" si="7"/>
        <v>0</v>
      </c>
      <c r="K42" s="391">
        <f t="shared" si="8"/>
        <v>0</v>
      </c>
      <c r="L42" s="391"/>
      <c r="M42" s="391"/>
      <c r="N42" s="391"/>
      <c r="O42" s="392"/>
      <c r="P42" s="391"/>
      <c r="Q42" s="393">
        <f t="shared" si="9"/>
        <v>176.74083400000001</v>
      </c>
      <c r="R42" s="391">
        <f t="shared" si="10"/>
        <v>176.74083400000001</v>
      </c>
      <c r="S42" s="391">
        <v>176.74083400000001</v>
      </c>
      <c r="T42" s="391"/>
      <c r="U42" s="393">
        <f t="shared" si="18"/>
        <v>0</v>
      </c>
      <c r="V42" s="391"/>
      <c r="W42" s="391"/>
      <c r="X42" s="391"/>
      <c r="Y42" s="391"/>
      <c r="Z42" s="391"/>
      <c r="AA42" s="391"/>
      <c r="AB42" s="391">
        <f t="shared" si="11"/>
        <v>0</v>
      </c>
      <c r="AC42" s="391"/>
      <c r="AD42" s="391"/>
      <c r="AE42" s="391"/>
      <c r="AF42" s="391">
        <f t="shared" si="12"/>
        <v>0</v>
      </c>
      <c r="AG42" s="391"/>
      <c r="AH42" s="391"/>
      <c r="AI42" s="391">
        <f t="shared" si="13"/>
        <v>0</v>
      </c>
      <c r="AJ42" s="391"/>
      <c r="AK42" s="391"/>
      <c r="AL42" s="391">
        <f t="shared" si="2"/>
        <v>93.021491578947376</v>
      </c>
      <c r="AM42" s="391">
        <f t="shared" si="2"/>
        <v>93.021491578947376</v>
      </c>
      <c r="AN42" s="391"/>
      <c r="AO42" s="389"/>
    </row>
    <row r="43" spans="1:41" s="401" customFormat="1" ht="32.25" customHeight="1" x14ac:dyDescent="0.25">
      <c r="A43" s="395"/>
      <c r="B43" s="396" t="s">
        <v>386</v>
      </c>
      <c r="C43" s="397">
        <f t="shared" si="19"/>
        <v>474</v>
      </c>
      <c r="D43" s="397">
        <f>585-111</f>
        <v>474</v>
      </c>
      <c r="E43" s="397"/>
      <c r="F43" s="397"/>
      <c r="G43" s="397">
        <f t="shared" si="4"/>
        <v>565.86839999999995</v>
      </c>
      <c r="H43" s="397">
        <f t="shared" si="5"/>
        <v>565.86839999999995</v>
      </c>
      <c r="I43" s="397">
        <f t="shared" si="6"/>
        <v>0</v>
      </c>
      <c r="J43" s="397">
        <f t="shared" si="7"/>
        <v>0</v>
      </c>
      <c r="K43" s="397">
        <f t="shared" si="8"/>
        <v>0</v>
      </c>
      <c r="L43" s="397"/>
      <c r="M43" s="397"/>
      <c r="N43" s="397"/>
      <c r="O43" s="399"/>
      <c r="P43" s="397"/>
      <c r="Q43" s="400">
        <f t="shared" si="9"/>
        <v>565.86839999999995</v>
      </c>
      <c r="R43" s="397">
        <f t="shared" si="10"/>
        <v>565.86839999999995</v>
      </c>
      <c r="S43" s="397">
        <f>565.8684</f>
        <v>565.86839999999995</v>
      </c>
      <c r="T43" s="397"/>
      <c r="U43" s="400">
        <f t="shared" si="18"/>
        <v>0</v>
      </c>
      <c r="V43" s="397"/>
      <c r="W43" s="397"/>
      <c r="X43" s="397"/>
      <c r="Y43" s="397"/>
      <c r="Z43" s="397"/>
      <c r="AA43" s="397"/>
      <c r="AB43" s="397">
        <f t="shared" si="11"/>
        <v>0</v>
      </c>
      <c r="AC43" s="397"/>
      <c r="AD43" s="397"/>
      <c r="AE43" s="397"/>
      <c r="AF43" s="397">
        <f t="shared" si="12"/>
        <v>0</v>
      </c>
      <c r="AG43" s="397"/>
      <c r="AH43" s="397"/>
      <c r="AI43" s="397">
        <f t="shared" si="13"/>
        <v>0</v>
      </c>
      <c r="AJ43" s="397"/>
      <c r="AK43" s="397"/>
      <c r="AL43" s="397">
        <f t="shared" si="2"/>
        <v>119.38151898734175</v>
      </c>
      <c r="AM43" s="397">
        <f t="shared" si="2"/>
        <v>119.38151898734175</v>
      </c>
      <c r="AN43" s="397"/>
      <c r="AO43" s="395"/>
    </row>
    <row r="44" spans="1:41" s="401" customFormat="1" ht="48" customHeight="1" x14ac:dyDescent="0.25">
      <c r="A44" s="395"/>
      <c r="B44" s="396" t="s">
        <v>101</v>
      </c>
      <c r="C44" s="397">
        <f t="shared" si="19"/>
        <v>239</v>
      </c>
      <c r="D44" s="398">
        <f>250-11</f>
        <v>239</v>
      </c>
      <c r="E44" s="397"/>
      <c r="F44" s="397"/>
      <c r="G44" s="397">
        <f t="shared" si="4"/>
        <v>241.3937</v>
      </c>
      <c r="H44" s="397">
        <f t="shared" si="5"/>
        <v>241.3937</v>
      </c>
      <c r="I44" s="397">
        <f t="shared" si="6"/>
        <v>0</v>
      </c>
      <c r="J44" s="397">
        <f t="shared" si="7"/>
        <v>0</v>
      </c>
      <c r="K44" s="397">
        <f t="shared" si="8"/>
        <v>0</v>
      </c>
      <c r="L44" s="397"/>
      <c r="M44" s="397"/>
      <c r="N44" s="397"/>
      <c r="O44" s="399"/>
      <c r="P44" s="397"/>
      <c r="Q44" s="400">
        <f t="shared" si="9"/>
        <v>241.3937</v>
      </c>
      <c r="R44" s="397">
        <f t="shared" si="10"/>
        <v>241.3937</v>
      </c>
      <c r="S44" s="397">
        <f>241.3937</f>
        <v>241.3937</v>
      </c>
      <c r="T44" s="397"/>
      <c r="U44" s="400">
        <f t="shared" si="18"/>
        <v>0</v>
      </c>
      <c r="V44" s="397"/>
      <c r="W44" s="397"/>
      <c r="X44" s="397"/>
      <c r="Y44" s="397"/>
      <c r="Z44" s="397"/>
      <c r="AA44" s="397"/>
      <c r="AB44" s="397">
        <f t="shared" si="11"/>
        <v>0</v>
      </c>
      <c r="AC44" s="397"/>
      <c r="AD44" s="397"/>
      <c r="AE44" s="397"/>
      <c r="AF44" s="397">
        <f t="shared" si="12"/>
        <v>0</v>
      </c>
      <c r="AG44" s="397"/>
      <c r="AH44" s="397"/>
      <c r="AI44" s="397">
        <f t="shared" si="13"/>
        <v>0</v>
      </c>
      <c r="AJ44" s="397"/>
      <c r="AK44" s="397"/>
      <c r="AL44" s="397">
        <f t="shared" si="2"/>
        <v>101.0015481171548</v>
      </c>
      <c r="AM44" s="397">
        <f t="shared" si="2"/>
        <v>101.0015481171548</v>
      </c>
      <c r="AN44" s="397"/>
      <c r="AO44" s="395"/>
    </row>
    <row r="45" spans="1:41" s="401" customFormat="1" ht="48" customHeight="1" x14ac:dyDescent="0.25">
      <c r="A45" s="395"/>
      <c r="B45" s="396" t="s">
        <v>65</v>
      </c>
      <c r="C45" s="397">
        <f t="shared" si="19"/>
        <v>802</v>
      </c>
      <c r="D45" s="398">
        <f>900-98</f>
        <v>802</v>
      </c>
      <c r="E45" s="397"/>
      <c r="F45" s="397"/>
      <c r="G45" s="397">
        <f t="shared" si="4"/>
        <v>815.15800000000002</v>
      </c>
      <c r="H45" s="397">
        <f t="shared" si="5"/>
        <v>815.15800000000002</v>
      </c>
      <c r="I45" s="397">
        <f t="shared" si="6"/>
        <v>0</v>
      </c>
      <c r="J45" s="397">
        <f t="shared" si="7"/>
        <v>0</v>
      </c>
      <c r="K45" s="397">
        <f t="shared" si="8"/>
        <v>0</v>
      </c>
      <c r="L45" s="397"/>
      <c r="M45" s="397"/>
      <c r="N45" s="397"/>
      <c r="O45" s="399"/>
      <c r="P45" s="397"/>
      <c r="Q45" s="400">
        <f t="shared" si="9"/>
        <v>815.15800000000002</v>
      </c>
      <c r="R45" s="397">
        <f t="shared" si="10"/>
        <v>815.15800000000002</v>
      </c>
      <c r="S45" s="397">
        <f>815.158</f>
        <v>815.15800000000002</v>
      </c>
      <c r="T45" s="397"/>
      <c r="U45" s="400">
        <f t="shared" si="18"/>
        <v>0</v>
      </c>
      <c r="V45" s="397"/>
      <c r="W45" s="397"/>
      <c r="X45" s="397"/>
      <c r="Y45" s="397"/>
      <c r="Z45" s="397"/>
      <c r="AA45" s="397"/>
      <c r="AB45" s="397">
        <f t="shared" si="11"/>
        <v>0</v>
      </c>
      <c r="AC45" s="397"/>
      <c r="AD45" s="397"/>
      <c r="AE45" s="397"/>
      <c r="AF45" s="397">
        <f t="shared" si="12"/>
        <v>0</v>
      </c>
      <c r="AG45" s="397"/>
      <c r="AH45" s="397"/>
      <c r="AI45" s="397">
        <f t="shared" si="13"/>
        <v>0</v>
      </c>
      <c r="AJ45" s="397"/>
      <c r="AK45" s="397"/>
      <c r="AL45" s="397">
        <f t="shared" si="2"/>
        <v>101.64064837905238</v>
      </c>
      <c r="AM45" s="397">
        <f t="shared" si="2"/>
        <v>101.64064837905238</v>
      </c>
      <c r="AN45" s="397"/>
      <c r="AO45" s="395"/>
    </row>
    <row r="46" spans="1:41" s="394" customFormat="1" ht="48" customHeight="1" x14ac:dyDescent="0.25">
      <c r="A46" s="389"/>
      <c r="B46" s="390" t="s">
        <v>368</v>
      </c>
      <c r="C46" s="391">
        <f t="shared" si="19"/>
        <v>200</v>
      </c>
      <c r="D46" s="404">
        <v>200</v>
      </c>
      <c r="E46" s="391"/>
      <c r="F46" s="391"/>
      <c r="G46" s="391">
        <f t="shared" si="4"/>
        <v>187.80600000000001</v>
      </c>
      <c r="H46" s="391">
        <f t="shared" si="5"/>
        <v>187.80600000000001</v>
      </c>
      <c r="I46" s="391">
        <f t="shared" si="6"/>
        <v>0</v>
      </c>
      <c r="J46" s="391">
        <f t="shared" si="7"/>
        <v>0</v>
      </c>
      <c r="K46" s="391">
        <f t="shared" si="8"/>
        <v>0</v>
      </c>
      <c r="L46" s="391"/>
      <c r="M46" s="391"/>
      <c r="N46" s="391"/>
      <c r="O46" s="392"/>
      <c r="P46" s="391"/>
      <c r="Q46" s="393">
        <f t="shared" si="9"/>
        <v>187.80600000000001</v>
      </c>
      <c r="R46" s="391">
        <f t="shared" si="10"/>
        <v>187.80600000000001</v>
      </c>
      <c r="S46" s="391">
        <v>187.80600000000001</v>
      </c>
      <c r="T46" s="391"/>
      <c r="U46" s="393">
        <f t="shared" si="18"/>
        <v>0</v>
      </c>
      <c r="V46" s="391"/>
      <c r="W46" s="391"/>
      <c r="X46" s="391"/>
      <c r="Y46" s="391"/>
      <c r="Z46" s="391"/>
      <c r="AA46" s="391"/>
      <c r="AB46" s="391">
        <f t="shared" si="11"/>
        <v>0</v>
      </c>
      <c r="AC46" s="391"/>
      <c r="AD46" s="391"/>
      <c r="AE46" s="391"/>
      <c r="AF46" s="391">
        <f t="shared" si="12"/>
        <v>0</v>
      </c>
      <c r="AG46" s="391"/>
      <c r="AH46" s="391"/>
      <c r="AI46" s="391">
        <f t="shared" si="13"/>
        <v>0</v>
      </c>
      <c r="AJ46" s="391"/>
      <c r="AK46" s="391"/>
      <c r="AL46" s="391">
        <f t="shared" si="2"/>
        <v>93.903000000000006</v>
      </c>
      <c r="AM46" s="391">
        <f t="shared" si="2"/>
        <v>93.903000000000006</v>
      </c>
      <c r="AN46" s="391"/>
      <c r="AO46" s="389"/>
    </row>
    <row r="47" spans="1:41" s="401" customFormat="1" ht="48" customHeight="1" x14ac:dyDescent="0.25">
      <c r="A47" s="395"/>
      <c r="B47" s="396" t="s">
        <v>95</v>
      </c>
      <c r="C47" s="397">
        <f t="shared" si="19"/>
        <v>1000</v>
      </c>
      <c r="D47" s="398">
        <v>1000</v>
      </c>
      <c r="E47" s="397"/>
      <c r="F47" s="397"/>
      <c r="G47" s="397">
        <f t="shared" si="4"/>
        <v>1051.616984</v>
      </c>
      <c r="H47" s="397">
        <f t="shared" si="5"/>
        <v>1051.616984</v>
      </c>
      <c r="I47" s="397">
        <f t="shared" si="6"/>
        <v>0</v>
      </c>
      <c r="J47" s="397">
        <f t="shared" si="7"/>
        <v>0</v>
      </c>
      <c r="K47" s="397">
        <f t="shared" si="8"/>
        <v>0</v>
      </c>
      <c r="L47" s="397"/>
      <c r="M47" s="397"/>
      <c r="N47" s="397"/>
      <c r="O47" s="399"/>
      <c r="P47" s="397"/>
      <c r="Q47" s="400">
        <f t="shared" si="9"/>
        <v>1051.616984</v>
      </c>
      <c r="R47" s="397">
        <f t="shared" si="10"/>
        <v>1051.616984</v>
      </c>
      <c r="S47" s="397">
        <f>1051.616984</f>
        <v>1051.616984</v>
      </c>
      <c r="T47" s="397"/>
      <c r="U47" s="400">
        <f t="shared" si="18"/>
        <v>0</v>
      </c>
      <c r="V47" s="397"/>
      <c r="W47" s="397"/>
      <c r="X47" s="397"/>
      <c r="Y47" s="397"/>
      <c r="Z47" s="397"/>
      <c r="AA47" s="397"/>
      <c r="AB47" s="397">
        <f t="shared" si="11"/>
        <v>0</v>
      </c>
      <c r="AC47" s="397"/>
      <c r="AD47" s="397"/>
      <c r="AE47" s="397"/>
      <c r="AF47" s="397">
        <f t="shared" si="12"/>
        <v>0</v>
      </c>
      <c r="AG47" s="397"/>
      <c r="AH47" s="397"/>
      <c r="AI47" s="397">
        <f t="shared" si="13"/>
        <v>0</v>
      </c>
      <c r="AJ47" s="397"/>
      <c r="AK47" s="397"/>
      <c r="AL47" s="397">
        <f t="shared" si="2"/>
        <v>105.16169840000001</v>
      </c>
      <c r="AM47" s="397">
        <f t="shared" si="2"/>
        <v>105.16169840000001</v>
      </c>
      <c r="AN47" s="397"/>
      <c r="AO47" s="395"/>
    </row>
    <row r="48" spans="1:41" s="394" customFormat="1" ht="48" customHeight="1" x14ac:dyDescent="0.25">
      <c r="A48" s="389"/>
      <c r="B48" s="390" t="s">
        <v>77</v>
      </c>
      <c r="C48" s="391">
        <f t="shared" si="19"/>
        <v>127</v>
      </c>
      <c r="D48" s="404">
        <v>127</v>
      </c>
      <c r="E48" s="391"/>
      <c r="F48" s="391"/>
      <c r="G48" s="391">
        <f t="shared" si="4"/>
        <v>100</v>
      </c>
      <c r="H48" s="391">
        <f t="shared" si="5"/>
        <v>100</v>
      </c>
      <c r="I48" s="391">
        <f t="shared" si="6"/>
        <v>0</v>
      </c>
      <c r="J48" s="391">
        <f t="shared" si="7"/>
        <v>0</v>
      </c>
      <c r="K48" s="391">
        <f t="shared" si="8"/>
        <v>0</v>
      </c>
      <c r="L48" s="391"/>
      <c r="M48" s="391"/>
      <c r="N48" s="391"/>
      <c r="O48" s="392"/>
      <c r="P48" s="391"/>
      <c r="Q48" s="393">
        <f t="shared" si="9"/>
        <v>100</v>
      </c>
      <c r="R48" s="391">
        <f t="shared" si="10"/>
        <v>100</v>
      </c>
      <c r="S48" s="391">
        <v>100</v>
      </c>
      <c r="T48" s="391"/>
      <c r="U48" s="393">
        <f t="shared" si="18"/>
        <v>0</v>
      </c>
      <c r="V48" s="391"/>
      <c r="W48" s="391"/>
      <c r="X48" s="391"/>
      <c r="Y48" s="391"/>
      <c r="Z48" s="391"/>
      <c r="AA48" s="391"/>
      <c r="AB48" s="391">
        <f t="shared" si="11"/>
        <v>0</v>
      </c>
      <c r="AC48" s="391"/>
      <c r="AD48" s="391"/>
      <c r="AE48" s="391"/>
      <c r="AF48" s="391">
        <f t="shared" si="12"/>
        <v>0</v>
      </c>
      <c r="AG48" s="391"/>
      <c r="AH48" s="391"/>
      <c r="AI48" s="391">
        <f t="shared" si="13"/>
        <v>0</v>
      </c>
      <c r="AJ48" s="391"/>
      <c r="AK48" s="391"/>
      <c r="AL48" s="391">
        <f t="shared" si="2"/>
        <v>78.740157480314963</v>
      </c>
      <c r="AM48" s="391">
        <f t="shared" si="2"/>
        <v>78.740157480314963</v>
      </c>
      <c r="AN48" s="391"/>
      <c r="AO48" s="389"/>
    </row>
    <row r="49" spans="1:41" s="394" customFormat="1" ht="48" customHeight="1" x14ac:dyDescent="0.25">
      <c r="A49" s="389"/>
      <c r="B49" s="390" t="s">
        <v>78</v>
      </c>
      <c r="C49" s="391">
        <f t="shared" si="19"/>
        <v>155</v>
      </c>
      <c r="D49" s="404">
        <v>155</v>
      </c>
      <c r="E49" s="391"/>
      <c r="F49" s="391"/>
      <c r="G49" s="391">
        <f t="shared" si="4"/>
        <v>121</v>
      </c>
      <c r="H49" s="391">
        <f t="shared" si="5"/>
        <v>121</v>
      </c>
      <c r="I49" s="391">
        <f t="shared" si="6"/>
        <v>0</v>
      </c>
      <c r="J49" s="391">
        <f t="shared" si="7"/>
        <v>0</v>
      </c>
      <c r="K49" s="391">
        <f t="shared" si="8"/>
        <v>0</v>
      </c>
      <c r="L49" s="391"/>
      <c r="M49" s="391"/>
      <c r="N49" s="391"/>
      <c r="O49" s="392"/>
      <c r="P49" s="391"/>
      <c r="Q49" s="393">
        <f t="shared" si="9"/>
        <v>121</v>
      </c>
      <c r="R49" s="391">
        <f t="shared" si="10"/>
        <v>121</v>
      </c>
      <c r="S49" s="391">
        <v>121</v>
      </c>
      <c r="T49" s="391"/>
      <c r="U49" s="393">
        <f t="shared" si="18"/>
        <v>0</v>
      </c>
      <c r="V49" s="391"/>
      <c r="W49" s="391"/>
      <c r="X49" s="391"/>
      <c r="Y49" s="391"/>
      <c r="Z49" s="391"/>
      <c r="AA49" s="391"/>
      <c r="AB49" s="391">
        <f t="shared" si="11"/>
        <v>0</v>
      </c>
      <c r="AC49" s="391"/>
      <c r="AD49" s="391"/>
      <c r="AE49" s="391"/>
      <c r="AF49" s="391">
        <f t="shared" si="12"/>
        <v>0</v>
      </c>
      <c r="AG49" s="391"/>
      <c r="AH49" s="391"/>
      <c r="AI49" s="391">
        <f t="shared" si="13"/>
        <v>0</v>
      </c>
      <c r="AJ49" s="391"/>
      <c r="AK49" s="391"/>
      <c r="AL49" s="391">
        <f t="shared" si="2"/>
        <v>78.064516129032256</v>
      </c>
      <c r="AM49" s="391">
        <f t="shared" si="2"/>
        <v>78.064516129032256</v>
      </c>
      <c r="AN49" s="391"/>
      <c r="AO49" s="389"/>
    </row>
    <row r="50" spans="1:41" s="394" customFormat="1" ht="48" customHeight="1" x14ac:dyDescent="0.25">
      <c r="A50" s="389"/>
      <c r="B50" s="390" t="s">
        <v>79</v>
      </c>
      <c r="C50" s="391">
        <f t="shared" si="19"/>
        <v>142</v>
      </c>
      <c r="D50" s="404">
        <v>142</v>
      </c>
      <c r="E50" s="391"/>
      <c r="F50" s="391"/>
      <c r="G50" s="391">
        <f t="shared" si="4"/>
        <v>110</v>
      </c>
      <c r="H50" s="391">
        <f t="shared" si="5"/>
        <v>110</v>
      </c>
      <c r="I50" s="391">
        <f t="shared" si="6"/>
        <v>0</v>
      </c>
      <c r="J50" s="391">
        <f t="shared" si="7"/>
        <v>0</v>
      </c>
      <c r="K50" s="391">
        <f t="shared" si="8"/>
        <v>0</v>
      </c>
      <c r="L50" s="391"/>
      <c r="M50" s="391"/>
      <c r="N50" s="391"/>
      <c r="O50" s="392"/>
      <c r="P50" s="391"/>
      <c r="Q50" s="393">
        <f t="shared" si="9"/>
        <v>110</v>
      </c>
      <c r="R50" s="391">
        <f t="shared" si="10"/>
        <v>110</v>
      </c>
      <c r="S50" s="391">
        <v>110</v>
      </c>
      <c r="T50" s="391"/>
      <c r="U50" s="393">
        <f t="shared" si="18"/>
        <v>0</v>
      </c>
      <c r="V50" s="391"/>
      <c r="W50" s="391"/>
      <c r="X50" s="391"/>
      <c r="Y50" s="391"/>
      <c r="Z50" s="391"/>
      <c r="AA50" s="391"/>
      <c r="AB50" s="391">
        <f t="shared" si="11"/>
        <v>0</v>
      </c>
      <c r="AC50" s="391"/>
      <c r="AD50" s="391"/>
      <c r="AE50" s="391"/>
      <c r="AF50" s="391">
        <f t="shared" si="12"/>
        <v>0</v>
      </c>
      <c r="AG50" s="391"/>
      <c r="AH50" s="391"/>
      <c r="AI50" s="391">
        <f t="shared" si="13"/>
        <v>0</v>
      </c>
      <c r="AJ50" s="391"/>
      <c r="AK50" s="391"/>
      <c r="AL50" s="391">
        <f t="shared" si="2"/>
        <v>77.464788732394368</v>
      </c>
      <c r="AM50" s="391">
        <f t="shared" si="2"/>
        <v>77.464788732394368</v>
      </c>
      <c r="AN50" s="391"/>
      <c r="AO50" s="389"/>
    </row>
    <row r="51" spans="1:41" s="394" customFormat="1" ht="48" customHeight="1" x14ac:dyDescent="0.25">
      <c r="A51" s="389"/>
      <c r="B51" s="390" t="s">
        <v>80</v>
      </c>
      <c r="C51" s="391">
        <f t="shared" si="19"/>
        <v>142</v>
      </c>
      <c r="D51" s="404">
        <v>142</v>
      </c>
      <c r="E51" s="391"/>
      <c r="F51" s="391"/>
      <c r="G51" s="391">
        <f t="shared" si="4"/>
        <v>110</v>
      </c>
      <c r="H51" s="391">
        <f t="shared" si="5"/>
        <v>110</v>
      </c>
      <c r="I51" s="391">
        <f t="shared" si="6"/>
        <v>0</v>
      </c>
      <c r="J51" s="391">
        <f t="shared" si="7"/>
        <v>0</v>
      </c>
      <c r="K51" s="391">
        <f t="shared" si="8"/>
        <v>0</v>
      </c>
      <c r="L51" s="391"/>
      <c r="M51" s="391"/>
      <c r="N51" s="391"/>
      <c r="O51" s="392"/>
      <c r="P51" s="391"/>
      <c r="Q51" s="393">
        <f t="shared" si="9"/>
        <v>110</v>
      </c>
      <c r="R51" s="391">
        <f t="shared" si="10"/>
        <v>110</v>
      </c>
      <c r="S51" s="391">
        <v>110</v>
      </c>
      <c r="T51" s="391"/>
      <c r="U51" s="393">
        <f t="shared" si="18"/>
        <v>0</v>
      </c>
      <c r="V51" s="391"/>
      <c r="W51" s="391"/>
      <c r="X51" s="391"/>
      <c r="Y51" s="391"/>
      <c r="Z51" s="391"/>
      <c r="AA51" s="391"/>
      <c r="AB51" s="391">
        <f t="shared" si="11"/>
        <v>0</v>
      </c>
      <c r="AC51" s="391"/>
      <c r="AD51" s="391"/>
      <c r="AE51" s="391"/>
      <c r="AF51" s="391">
        <f t="shared" si="12"/>
        <v>0</v>
      </c>
      <c r="AG51" s="391"/>
      <c r="AH51" s="391"/>
      <c r="AI51" s="391">
        <f t="shared" si="13"/>
        <v>0</v>
      </c>
      <c r="AJ51" s="391"/>
      <c r="AK51" s="391"/>
      <c r="AL51" s="391">
        <f t="shared" si="2"/>
        <v>77.464788732394368</v>
      </c>
      <c r="AM51" s="391">
        <f t="shared" si="2"/>
        <v>77.464788732394368</v>
      </c>
      <c r="AN51" s="391"/>
      <c r="AO51" s="389"/>
    </row>
    <row r="52" spans="1:41" s="394" customFormat="1" ht="48" customHeight="1" x14ac:dyDescent="0.25">
      <c r="A52" s="389"/>
      <c r="B52" s="390" t="s">
        <v>69</v>
      </c>
      <c r="C52" s="391">
        <f t="shared" si="19"/>
        <v>184</v>
      </c>
      <c r="D52" s="404">
        <v>184</v>
      </c>
      <c r="E52" s="391"/>
      <c r="F52" s="391"/>
      <c r="G52" s="391">
        <f t="shared" si="4"/>
        <v>175.493572</v>
      </c>
      <c r="H52" s="391">
        <f t="shared" si="5"/>
        <v>175.493572</v>
      </c>
      <c r="I52" s="391">
        <f t="shared" si="6"/>
        <v>0</v>
      </c>
      <c r="J52" s="391">
        <f t="shared" si="7"/>
        <v>0</v>
      </c>
      <c r="K52" s="391">
        <f t="shared" si="8"/>
        <v>0</v>
      </c>
      <c r="L52" s="391"/>
      <c r="M52" s="391"/>
      <c r="N52" s="391"/>
      <c r="O52" s="392"/>
      <c r="P52" s="391"/>
      <c r="Q52" s="393">
        <f t="shared" si="9"/>
        <v>175.493572</v>
      </c>
      <c r="R52" s="391">
        <f t="shared" si="10"/>
        <v>175.493572</v>
      </c>
      <c r="S52" s="391">
        <v>175.493572</v>
      </c>
      <c r="T52" s="391"/>
      <c r="U52" s="393">
        <f t="shared" si="18"/>
        <v>0</v>
      </c>
      <c r="V52" s="391"/>
      <c r="W52" s="391"/>
      <c r="X52" s="391"/>
      <c r="Y52" s="391"/>
      <c r="Z52" s="391"/>
      <c r="AA52" s="391"/>
      <c r="AB52" s="391">
        <f t="shared" si="11"/>
        <v>0</v>
      </c>
      <c r="AC52" s="391"/>
      <c r="AD52" s="391"/>
      <c r="AE52" s="391"/>
      <c r="AF52" s="391">
        <f t="shared" si="12"/>
        <v>0</v>
      </c>
      <c r="AG52" s="391"/>
      <c r="AH52" s="391"/>
      <c r="AI52" s="391">
        <f t="shared" si="13"/>
        <v>0</v>
      </c>
      <c r="AJ52" s="391"/>
      <c r="AK52" s="391"/>
      <c r="AL52" s="391">
        <f t="shared" si="2"/>
        <v>95.376941304347824</v>
      </c>
      <c r="AM52" s="391">
        <f t="shared" si="2"/>
        <v>95.376941304347824</v>
      </c>
      <c r="AN52" s="391"/>
      <c r="AO52" s="389"/>
    </row>
    <row r="53" spans="1:41" s="394" customFormat="1" ht="48" customHeight="1" x14ac:dyDescent="0.25">
      <c r="A53" s="389"/>
      <c r="B53" s="390" t="s">
        <v>70</v>
      </c>
      <c r="C53" s="391">
        <f t="shared" si="19"/>
        <v>172</v>
      </c>
      <c r="D53" s="404">
        <v>172</v>
      </c>
      <c r="E53" s="391"/>
      <c r="F53" s="391"/>
      <c r="G53" s="391">
        <f t="shared" si="4"/>
        <v>157.74541600000001</v>
      </c>
      <c r="H53" s="391">
        <f t="shared" si="5"/>
        <v>157.74541600000001</v>
      </c>
      <c r="I53" s="391">
        <f t="shared" si="6"/>
        <v>0</v>
      </c>
      <c r="J53" s="391">
        <f t="shared" si="7"/>
        <v>0</v>
      </c>
      <c r="K53" s="391">
        <f t="shared" si="8"/>
        <v>0</v>
      </c>
      <c r="L53" s="391"/>
      <c r="M53" s="391"/>
      <c r="N53" s="391"/>
      <c r="O53" s="392"/>
      <c r="P53" s="391"/>
      <c r="Q53" s="393">
        <f t="shared" si="9"/>
        <v>157.74541600000001</v>
      </c>
      <c r="R53" s="391">
        <f t="shared" si="10"/>
        <v>157.74541600000001</v>
      </c>
      <c r="S53" s="391">
        <v>157.74541600000001</v>
      </c>
      <c r="T53" s="391"/>
      <c r="U53" s="393">
        <f t="shared" si="18"/>
        <v>0</v>
      </c>
      <c r="V53" s="391"/>
      <c r="W53" s="391"/>
      <c r="X53" s="391"/>
      <c r="Y53" s="391"/>
      <c r="Z53" s="391"/>
      <c r="AA53" s="391"/>
      <c r="AB53" s="391">
        <f t="shared" si="11"/>
        <v>0</v>
      </c>
      <c r="AC53" s="391"/>
      <c r="AD53" s="391"/>
      <c r="AE53" s="391"/>
      <c r="AF53" s="391">
        <f t="shared" si="12"/>
        <v>0</v>
      </c>
      <c r="AG53" s="391"/>
      <c r="AH53" s="391"/>
      <c r="AI53" s="391">
        <f t="shared" si="13"/>
        <v>0</v>
      </c>
      <c r="AJ53" s="391"/>
      <c r="AK53" s="391"/>
      <c r="AL53" s="391">
        <f t="shared" si="2"/>
        <v>91.7124511627907</v>
      </c>
      <c r="AM53" s="391">
        <f t="shared" si="2"/>
        <v>91.7124511627907</v>
      </c>
      <c r="AN53" s="391"/>
      <c r="AO53" s="389"/>
    </row>
    <row r="54" spans="1:41" s="394" customFormat="1" ht="48" customHeight="1" x14ac:dyDescent="0.25">
      <c r="A54" s="389"/>
      <c r="B54" s="390" t="s">
        <v>399</v>
      </c>
      <c r="C54" s="391">
        <f t="shared" si="19"/>
        <v>142</v>
      </c>
      <c r="D54" s="404">
        <v>142</v>
      </c>
      <c r="E54" s="391"/>
      <c r="F54" s="391"/>
      <c r="G54" s="391">
        <f t="shared" si="4"/>
        <v>141.99945500000001</v>
      </c>
      <c r="H54" s="391">
        <f t="shared" si="5"/>
        <v>141.99945500000001</v>
      </c>
      <c r="I54" s="391">
        <f t="shared" si="6"/>
        <v>0</v>
      </c>
      <c r="J54" s="391">
        <f t="shared" si="7"/>
        <v>0</v>
      </c>
      <c r="K54" s="391">
        <f t="shared" si="8"/>
        <v>0</v>
      </c>
      <c r="L54" s="391"/>
      <c r="M54" s="391"/>
      <c r="N54" s="391"/>
      <c r="O54" s="392"/>
      <c r="P54" s="391"/>
      <c r="Q54" s="393">
        <f t="shared" si="9"/>
        <v>141.99945500000001</v>
      </c>
      <c r="R54" s="391">
        <f t="shared" si="10"/>
        <v>141.99945500000001</v>
      </c>
      <c r="S54" s="391">
        <v>141.99945500000001</v>
      </c>
      <c r="T54" s="391"/>
      <c r="U54" s="393">
        <f t="shared" si="18"/>
        <v>0</v>
      </c>
      <c r="V54" s="391"/>
      <c r="W54" s="391"/>
      <c r="X54" s="391"/>
      <c r="Y54" s="391"/>
      <c r="Z54" s="391"/>
      <c r="AA54" s="391"/>
      <c r="AB54" s="391">
        <f t="shared" si="11"/>
        <v>0</v>
      </c>
      <c r="AC54" s="391"/>
      <c r="AD54" s="391"/>
      <c r="AE54" s="391"/>
      <c r="AF54" s="391">
        <f t="shared" si="12"/>
        <v>0</v>
      </c>
      <c r="AG54" s="391"/>
      <c r="AH54" s="391"/>
      <c r="AI54" s="391">
        <f t="shared" si="13"/>
        <v>0</v>
      </c>
      <c r="AJ54" s="391"/>
      <c r="AK54" s="391"/>
      <c r="AL54" s="391">
        <f t="shared" si="2"/>
        <v>99.999616197183116</v>
      </c>
      <c r="AM54" s="391">
        <f t="shared" si="2"/>
        <v>99.999616197183116</v>
      </c>
      <c r="AN54" s="391"/>
      <c r="AO54" s="389"/>
    </row>
    <row r="55" spans="1:41" s="394" customFormat="1" ht="48" customHeight="1" x14ac:dyDescent="0.25">
      <c r="A55" s="389"/>
      <c r="B55" s="390" t="s">
        <v>400</v>
      </c>
      <c r="C55" s="391">
        <f t="shared" si="19"/>
        <v>100</v>
      </c>
      <c r="D55" s="404">
        <v>100</v>
      </c>
      <c r="E55" s="391"/>
      <c r="F55" s="391"/>
      <c r="G55" s="391">
        <f t="shared" si="4"/>
        <v>99.972059000000002</v>
      </c>
      <c r="H55" s="391">
        <f t="shared" si="5"/>
        <v>99.972059000000002</v>
      </c>
      <c r="I55" s="391">
        <f t="shared" si="6"/>
        <v>0</v>
      </c>
      <c r="J55" s="391">
        <f t="shared" si="7"/>
        <v>0</v>
      </c>
      <c r="K55" s="391">
        <f t="shared" si="8"/>
        <v>0</v>
      </c>
      <c r="L55" s="391"/>
      <c r="M55" s="391"/>
      <c r="N55" s="391"/>
      <c r="O55" s="392"/>
      <c r="P55" s="391"/>
      <c r="Q55" s="393">
        <f t="shared" si="9"/>
        <v>99.972059000000002</v>
      </c>
      <c r="R55" s="391">
        <f t="shared" si="10"/>
        <v>99.972059000000002</v>
      </c>
      <c r="S55" s="391">
        <v>99.972059000000002</v>
      </c>
      <c r="T55" s="391"/>
      <c r="U55" s="393">
        <f t="shared" si="18"/>
        <v>0</v>
      </c>
      <c r="V55" s="391"/>
      <c r="W55" s="391"/>
      <c r="X55" s="391"/>
      <c r="Y55" s="391"/>
      <c r="Z55" s="391"/>
      <c r="AA55" s="391"/>
      <c r="AB55" s="391">
        <f t="shared" si="11"/>
        <v>0</v>
      </c>
      <c r="AC55" s="391"/>
      <c r="AD55" s="391"/>
      <c r="AE55" s="391"/>
      <c r="AF55" s="391">
        <f t="shared" si="12"/>
        <v>0</v>
      </c>
      <c r="AG55" s="391"/>
      <c r="AH55" s="391"/>
      <c r="AI55" s="391">
        <f t="shared" si="13"/>
        <v>0</v>
      </c>
      <c r="AJ55" s="391"/>
      <c r="AK55" s="391"/>
      <c r="AL55" s="391">
        <f t="shared" si="2"/>
        <v>99.972059000000002</v>
      </c>
      <c r="AM55" s="391">
        <f t="shared" si="2"/>
        <v>99.972059000000002</v>
      </c>
      <c r="AN55" s="391"/>
      <c r="AO55" s="389"/>
    </row>
    <row r="56" spans="1:41" s="394" customFormat="1" ht="48" customHeight="1" x14ac:dyDescent="0.25">
      <c r="A56" s="389"/>
      <c r="B56" s="390" t="s">
        <v>401</v>
      </c>
      <c r="C56" s="391">
        <f t="shared" si="19"/>
        <v>294</v>
      </c>
      <c r="D56" s="404">
        <v>294</v>
      </c>
      <c r="E56" s="391"/>
      <c r="F56" s="391"/>
      <c r="G56" s="391">
        <f t="shared" si="4"/>
        <v>203</v>
      </c>
      <c r="H56" s="391">
        <f t="shared" si="5"/>
        <v>203</v>
      </c>
      <c r="I56" s="391">
        <f t="shared" si="6"/>
        <v>0</v>
      </c>
      <c r="J56" s="391">
        <f t="shared" si="7"/>
        <v>0</v>
      </c>
      <c r="K56" s="391">
        <f t="shared" si="8"/>
        <v>0</v>
      </c>
      <c r="L56" s="391"/>
      <c r="M56" s="391"/>
      <c r="N56" s="391"/>
      <c r="O56" s="392"/>
      <c r="P56" s="391"/>
      <c r="Q56" s="393">
        <f t="shared" si="9"/>
        <v>203</v>
      </c>
      <c r="R56" s="391">
        <f t="shared" si="10"/>
        <v>203</v>
      </c>
      <c r="S56" s="391">
        <v>203</v>
      </c>
      <c r="T56" s="391"/>
      <c r="U56" s="393">
        <f t="shared" si="18"/>
        <v>0</v>
      </c>
      <c r="V56" s="391"/>
      <c r="W56" s="391"/>
      <c r="X56" s="391"/>
      <c r="Y56" s="391"/>
      <c r="Z56" s="391"/>
      <c r="AA56" s="391"/>
      <c r="AB56" s="391">
        <f t="shared" si="11"/>
        <v>0</v>
      </c>
      <c r="AC56" s="391"/>
      <c r="AD56" s="391"/>
      <c r="AE56" s="391"/>
      <c r="AF56" s="391">
        <f t="shared" si="12"/>
        <v>0</v>
      </c>
      <c r="AG56" s="391"/>
      <c r="AH56" s="391"/>
      <c r="AI56" s="391">
        <f t="shared" si="13"/>
        <v>0</v>
      </c>
      <c r="AJ56" s="391"/>
      <c r="AK56" s="391"/>
      <c r="AL56" s="391">
        <f t="shared" si="2"/>
        <v>69.047619047619051</v>
      </c>
      <c r="AM56" s="391">
        <f t="shared" si="2"/>
        <v>69.047619047619051</v>
      </c>
      <c r="AN56" s="391"/>
      <c r="AO56" s="389"/>
    </row>
    <row r="57" spans="1:41" s="394" customFormat="1" ht="48" customHeight="1" x14ac:dyDescent="0.25">
      <c r="A57" s="389"/>
      <c r="B57" s="390" t="s">
        <v>402</v>
      </c>
      <c r="C57" s="391">
        <f t="shared" si="19"/>
        <v>343</v>
      </c>
      <c r="D57" s="404">
        <v>343</v>
      </c>
      <c r="E57" s="391"/>
      <c r="F57" s="391"/>
      <c r="G57" s="391">
        <f t="shared" si="4"/>
        <v>233</v>
      </c>
      <c r="H57" s="391">
        <f t="shared" si="5"/>
        <v>233</v>
      </c>
      <c r="I57" s="391">
        <f t="shared" si="6"/>
        <v>0</v>
      </c>
      <c r="J57" s="391">
        <f t="shared" si="7"/>
        <v>0</v>
      </c>
      <c r="K57" s="391">
        <f t="shared" si="8"/>
        <v>0</v>
      </c>
      <c r="L57" s="391"/>
      <c r="M57" s="391"/>
      <c r="N57" s="391"/>
      <c r="O57" s="392"/>
      <c r="P57" s="391"/>
      <c r="Q57" s="393">
        <f t="shared" si="9"/>
        <v>233</v>
      </c>
      <c r="R57" s="391">
        <f t="shared" si="10"/>
        <v>233</v>
      </c>
      <c r="S57" s="391">
        <v>233</v>
      </c>
      <c r="T57" s="391"/>
      <c r="U57" s="393">
        <f t="shared" si="18"/>
        <v>0</v>
      </c>
      <c r="V57" s="391"/>
      <c r="W57" s="391"/>
      <c r="X57" s="391"/>
      <c r="Y57" s="391"/>
      <c r="Z57" s="391"/>
      <c r="AA57" s="391"/>
      <c r="AB57" s="391">
        <f t="shared" si="11"/>
        <v>0</v>
      </c>
      <c r="AC57" s="391"/>
      <c r="AD57" s="391"/>
      <c r="AE57" s="391"/>
      <c r="AF57" s="391">
        <f t="shared" si="12"/>
        <v>0</v>
      </c>
      <c r="AG57" s="391"/>
      <c r="AH57" s="391"/>
      <c r="AI57" s="391">
        <f t="shared" si="13"/>
        <v>0</v>
      </c>
      <c r="AJ57" s="391"/>
      <c r="AK57" s="391"/>
      <c r="AL57" s="391">
        <f t="shared" si="2"/>
        <v>67.930029154518948</v>
      </c>
      <c r="AM57" s="391">
        <f t="shared" si="2"/>
        <v>67.930029154518948</v>
      </c>
      <c r="AN57" s="391"/>
      <c r="AO57" s="389"/>
    </row>
    <row r="58" spans="1:41" s="309" customFormat="1" ht="48" customHeight="1" x14ac:dyDescent="0.25">
      <c r="A58" s="215"/>
      <c r="B58" s="216" t="s">
        <v>173</v>
      </c>
      <c r="C58" s="307">
        <f t="shared" si="19"/>
        <v>8031</v>
      </c>
      <c r="D58" s="314">
        <f>SUM(D59:D75)</f>
        <v>8031</v>
      </c>
      <c r="E58" s="314">
        <f t="shared" ref="E58:AO58" si="20">SUM(E59:E75)</f>
        <v>0</v>
      </c>
      <c r="F58" s="314">
        <f t="shared" si="20"/>
        <v>0</v>
      </c>
      <c r="G58" s="314">
        <f t="shared" si="20"/>
        <v>7865.8110669999987</v>
      </c>
      <c r="H58" s="314">
        <f t="shared" si="20"/>
        <v>7865.8110669999987</v>
      </c>
      <c r="I58" s="314">
        <f t="shared" si="20"/>
        <v>0</v>
      </c>
      <c r="J58" s="314">
        <f t="shared" si="20"/>
        <v>0</v>
      </c>
      <c r="K58" s="314">
        <f t="shared" si="20"/>
        <v>0</v>
      </c>
      <c r="L58" s="314">
        <f t="shared" si="20"/>
        <v>0</v>
      </c>
      <c r="M58" s="314">
        <f t="shared" si="20"/>
        <v>0</v>
      </c>
      <c r="N58" s="314">
        <f t="shared" si="20"/>
        <v>0</v>
      </c>
      <c r="O58" s="361">
        <f t="shared" si="20"/>
        <v>0</v>
      </c>
      <c r="P58" s="314">
        <f t="shared" si="20"/>
        <v>0</v>
      </c>
      <c r="Q58" s="379">
        <f t="shared" si="20"/>
        <v>7865.8110669999987</v>
      </c>
      <c r="R58" s="314">
        <f t="shared" si="20"/>
        <v>7865.8110669999987</v>
      </c>
      <c r="S58" s="314">
        <f t="shared" si="20"/>
        <v>7865.8110669999987</v>
      </c>
      <c r="T58" s="314">
        <f t="shared" si="20"/>
        <v>0</v>
      </c>
      <c r="U58" s="379">
        <f t="shared" si="20"/>
        <v>0</v>
      </c>
      <c r="V58" s="314">
        <f t="shared" si="20"/>
        <v>0</v>
      </c>
      <c r="W58" s="314">
        <f t="shared" si="20"/>
        <v>0</v>
      </c>
      <c r="X58" s="314">
        <f t="shared" si="20"/>
        <v>0</v>
      </c>
      <c r="Y58" s="314">
        <f t="shared" si="20"/>
        <v>0</v>
      </c>
      <c r="Z58" s="314">
        <f t="shared" si="20"/>
        <v>0</v>
      </c>
      <c r="AA58" s="314">
        <f t="shared" si="20"/>
        <v>0</v>
      </c>
      <c r="AB58" s="314">
        <f t="shared" si="20"/>
        <v>0</v>
      </c>
      <c r="AC58" s="314">
        <f t="shared" si="20"/>
        <v>0</v>
      </c>
      <c r="AD58" s="314">
        <f t="shared" si="20"/>
        <v>0</v>
      </c>
      <c r="AE58" s="314">
        <f t="shared" si="20"/>
        <v>0</v>
      </c>
      <c r="AF58" s="314">
        <f t="shared" si="20"/>
        <v>0</v>
      </c>
      <c r="AG58" s="314">
        <f t="shared" si="20"/>
        <v>0</v>
      </c>
      <c r="AH58" s="314">
        <f t="shared" si="20"/>
        <v>0</v>
      </c>
      <c r="AI58" s="314">
        <f t="shared" si="20"/>
        <v>0</v>
      </c>
      <c r="AJ58" s="314">
        <f t="shared" si="20"/>
        <v>0</v>
      </c>
      <c r="AK58" s="314">
        <f t="shared" si="20"/>
        <v>0</v>
      </c>
      <c r="AL58" s="308">
        <f t="shared" si="2"/>
        <v>97.943108790935113</v>
      </c>
      <c r="AM58" s="308">
        <f t="shared" si="2"/>
        <v>97.943108790935113</v>
      </c>
      <c r="AN58" s="308"/>
      <c r="AO58" s="315">
        <f t="shared" si="20"/>
        <v>0</v>
      </c>
    </row>
    <row r="59" spans="1:41" ht="48" customHeight="1" x14ac:dyDescent="0.25">
      <c r="A59" s="194"/>
      <c r="B59" s="213" t="s">
        <v>369</v>
      </c>
      <c r="C59" s="214">
        <f t="shared" si="19"/>
        <v>655</v>
      </c>
      <c r="D59" s="214">
        <v>655</v>
      </c>
      <c r="E59" s="214"/>
      <c r="F59" s="214"/>
      <c r="G59" s="214">
        <f t="shared" si="4"/>
        <v>655</v>
      </c>
      <c r="H59" s="214">
        <f t="shared" si="5"/>
        <v>655</v>
      </c>
      <c r="I59" s="214">
        <f t="shared" si="6"/>
        <v>0</v>
      </c>
      <c r="J59" s="214">
        <f t="shared" si="7"/>
        <v>0</v>
      </c>
      <c r="K59" s="214">
        <f t="shared" si="8"/>
        <v>0</v>
      </c>
      <c r="L59" s="214"/>
      <c r="M59" s="214"/>
      <c r="N59" s="214"/>
      <c r="O59" s="326"/>
      <c r="P59" s="214"/>
      <c r="Q59" s="239">
        <f t="shared" si="9"/>
        <v>655</v>
      </c>
      <c r="R59" s="214">
        <f t="shared" si="10"/>
        <v>655</v>
      </c>
      <c r="S59" s="214">
        <v>655</v>
      </c>
      <c r="T59" s="214"/>
      <c r="U59" s="239">
        <f t="shared" ref="U59:U75" si="21">V59+W59</f>
        <v>0</v>
      </c>
      <c r="V59" s="214"/>
      <c r="W59" s="214"/>
      <c r="X59" s="214"/>
      <c r="Y59" s="214"/>
      <c r="Z59" s="214"/>
      <c r="AA59" s="214"/>
      <c r="AB59" s="214">
        <f t="shared" si="11"/>
        <v>0</v>
      </c>
      <c r="AC59" s="214"/>
      <c r="AD59" s="214"/>
      <c r="AE59" s="214"/>
      <c r="AF59" s="214">
        <f t="shared" si="12"/>
        <v>0</v>
      </c>
      <c r="AG59" s="214"/>
      <c r="AH59" s="214"/>
      <c r="AI59" s="214">
        <f t="shared" si="13"/>
        <v>0</v>
      </c>
      <c r="AJ59" s="214"/>
      <c r="AK59" s="214"/>
      <c r="AL59" s="214">
        <f t="shared" si="2"/>
        <v>100</v>
      </c>
      <c r="AM59" s="214">
        <f t="shared" si="2"/>
        <v>100</v>
      </c>
      <c r="AN59" s="214"/>
      <c r="AO59" s="194"/>
    </row>
    <row r="60" spans="1:41" ht="48" customHeight="1" x14ac:dyDescent="0.25">
      <c r="A60" s="194"/>
      <c r="B60" s="213" t="s">
        <v>67</v>
      </c>
      <c r="C60" s="214">
        <f t="shared" si="19"/>
        <v>904</v>
      </c>
      <c r="D60" s="214">
        <v>904</v>
      </c>
      <c r="E60" s="214"/>
      <c r="F60" s="214"/>
      <c r="G60" s="214">
        <f t="shared" si="4"/>
        <v>902.64008799999999</v>
      </c>
      <c r="H60" s="214">
        <f t="shared" si="5"/>
        <v>902.64008799999999</v>
      </c>
      <c r="I60" s="214">
        <f t="shared" si="6"/>
        <v>0</v>
      </c>
      <c r="J60" s="214">
        <f t="shared" si="7"/>
        <v>0</v>
      </c>
      <c r="K60" s="214">
        <f t="shared" si="8"/>
        <v>0</v>
      </c>
      <c r="L60" s="214"/>
      <c r="M60" s="214"/>
      <c r="N60" s="214"/>
      <c r="O60" s="326"/>
      <c r="P60" s="214"/>
      <c r="Q60" s="239">
        <f t="shared" si="9"/>
        <v>902.64008799999999</v>
      </c>
      <c r="R60" s="214">
        <f t="shared" si="10"/>
        <v>902.64008799999999</v>
      </c>
      <c r="S60" s="214">
        <v>902.64008799999999</v>
      </c>
      <c r="T60" s="214"/>
      <c r="U60" s="239">
        <f t="shared" si="21"/>
        <v>0</v>
      </c>
      <c r="V60" s="214"/>
      <c r="W60" s="214"/>
      <c r="X60" s="214"/>
      <c r="Y60" s="214"/>
      <c r="Z60" s="214"/>
      <c r="AA60" s="214"/>
      <c r="AB60" s="214">
        <f t="shared" si="11"/>
        <v>0</v>
      </c>
      <c r="AC60" s="214"/>
      <c r="AD60" s="214"/>
      <c r="AE60" s="214"/>
      <c r="AF60" s="214">
        <f t="shared" si="12"/>
        <v>0</v>
      </c>
      <c r="AG60" s="214"/>
      <c r="AH60" s="214"/>
      <c r="AI60" s="214">
        <f t="shared" si="13"/>
        <v>0</v>
      </c>
      <c r="AJ60" s="214"/>
      <c r="AK60" s="214"/>
      <c r="AL60" s="214">
        <f t="shared" si="2"/>
        <v>99.849567256637172</v>
      </c>
      <c r="AM60" s="214">
        <f t="shared" si="2"/>
        <v>99.849567256637172</v>
      </c>
      <c r="AN60" s="214"/>
      <c r="AO60" s="194"/>
    </row>
    <row r="61" spans="1:41" ht="48" customHeight="1" x14ac:dyDescent="0.25">
      <c r="A61" s="194"/>
      <c r="B61" s="213" t="s">
        <v>373</v>
      </c>
      <c r="C61" s="214">
        <f t="shared" si="19"/>
        <v>178</v>
      </c>
      <c r="D61" s="214">
        <v>178</v>
      </c>
      <c r="E61" s="214"/>
      <c r="F61" s="214"/>
      <c r="G61" s="214">
        <f t="shared" si="4"/>
        <v>176.3398</v>
      </c>
      <c r="H61" s="214">
        <f t="shared" si="5"/>
        <v>176.3398</v>
      </c>
      <c r="I61" s="214">
        <f t="shared" si="6"/>
        <v>0</v>
      </c>
      <c r="J61" s="214">
        <f t="shared" si="7"/>
        <v>0</v>
      </c>
      <c r="K61" s="214">
        <f t="shared" si="8"/>
        <v>0</v>
      </c>
      <c r="L61" s="214"/>
      <c r="M61" s="214"/>
      <c r="N61" s="214"/>
      <c r="O61" s="326"/>
      <c r="P61" s="214"/>
      <c r="Q61" s="239">
        <f t="shared" si="9"/>
        <v>176.3398</v>
      </c>
      <c r="R61" s="214">
        <f t="shared" si="10"/>
        <v>176.3398</v>
      </c>
      <c r="S61" s="214">
        <v>176.3398</v>
      </c>
      <c r="T61" s="214"/>
      <c r="U61" s="239">
        <f t="shared" si="21"/>
        <v>0</v>
      </c>
      <c r="V61" s="214"/>
      <c r="W61" s="214"/>
      <c r="X61" s="214"/>
      <c r="Y61" s="214"/>
      <c r="Z61" s="214"/>
      <c r="AA61" s="214"/>
      <c r="AB61" s="214">
        <f t="shared" si="11"/>
        <v>0</v>
      </c>
      <c r="AC61" s="214"/>
      <c r="AD61" s="214"/>
      <c r="AE61" s="214"/>
      <c r="AF61" s="214">
        <f t="shared" si="12"/>
        <v>0</v>
      </c>
      <c r="AG61" s="214"/>
      <c r="AH61" s="214"/>
      <c r="AI61" s="214">
        <f t="shared" si="13"/>
        <v>0</v>
      </c>
      <c r="AJ61" s="214"/>
      <c r="AK61" s="214"/>
      <c r="AL61" s="214">
        <f t="shared" si="2"/>
        <v>99.067303370786519</v>
      </c>
      <c r="AM61" s="214">
        <f t="shared" si="2"/>
        <v>99.067303370786519</v>
      </c>
      <c r="AN61" s="214"/>
      <c r="AO61" s="194"/>
    </row>
    <row r="62" spans="1:41" ht="48" customHeight="1" x14ac:dyDescent="0.25">
      <c r="A62" s="194"/>
      <c r="B62" s="213" t="s">
        <v>389</v>
      </c>
      <c r="C62" s="214">
        <f t="shared" si="19"/>
        <v>747</v>
      </c>
      <c r="D62" s="214">
        <v>747</v>
      </c>
      <c r="E62" s="214"/>
      <c r="F62" s="214"/>
      <c r="G62" s="214">
        <f t="shared" si="4"/>
        <v>728.46382200000005</v>
      </c>
      <c r="H62" s="214">
        <f t="shared" si="5"/>
        <v>728.46382200000005</v>
      </c>
      <c r="I62" s="214">
        <f t="shared" si="6"/>
        <v>0</v>
      </c>
      <c r="J62" s="214">
        <f t="shared" si="7"/>
        <v>0</v>
      </c>
      <c r="K62" s="214">
        <f t="shared" si="8"/>
        <v>0</v>
      </c>
      <c r="L62" s="214"/>
      <c r="M62" s="214"/>
      <c r="N62" s="214"/>
      <c r="O62" s="326"/>
      <c r="P62" s="214"/>
      <c r="Q62" s="239">
        <f t="shared" si="9"/>
        <v>728.46382200000005</v>
      </c>
      <c r="R62" s="214">
        <f t="shared" si="10"/>
        <v>728.46382200000005</v>
      </c>
      <c r="S62" s="214">
        <v>728.46382200000005</v>
      </c>
      <c r="T62" s="214"/>
      <c r="U62" s="239">
        <f t="shared" si="21"/>
        <v>0</v>
      </c>
      <c r="V62" s="214"/>
      <c r="W62" s="214"/>
      <c r="X62" s="214"/>
      <c r="Y62" s="214"/>
      <c r="Z62" s="214"/>
      <c r="AA62" s="214"/>
      <c r="AB62" s="214">
        <f t="shared" si="11"/>
        <v>0</v>
      </c>
      <c r="AC62" s="214"/>
      <c r="AD62" s="214"/>
      <c r="AE62" s="214"/>
      <c r="AF62" s="214">
        <f t="shared" si="12"/>
        <v>0</v>
      </c>
      <c r="AG62" s="214"/>
      <c r="AH62" s="214"/>
      <c r="AI62" s="214">
        <f t="shared" si="13"/>
        <v>0</v>
      </c>
      <c r="AJ62" s="214"/>
      <c r="AK62" s="214"/>
      <c r="AL62" s="214">
        <f t="shared" si="2"/>
        <v>97.518583935742981</v>
      </c>
      <c r="AM62" s="214">
        <f t="shared" si="2"/>
        <v>97.518583935742981</v>
      </c>
      <c r="AN62" s="214"/>
      <c r="AO62" s="194"/>
    </row>
    <row r="63" spans="1:41" ht="48" customHeight="1" x14ac:dyDescent="0.25">
      <c r="A63" s="194"/>
      <c r="B63" s="213" t="s">
        <v>50</v>
      </c>
      <c r="C63" s="214">
        <f t="shared" si="19"/>
        <v>244</v>
      </c>
      <c r="D63" s="214">
        <v>244</v>
      </c>
      <c r="E63" s="214"/>
      <c r="F63" s="214"/>
      <c r="G63" s="214">
        <f t="shared" si="4"/>
        <v>233.58847800000001</v>
      </c>
      <c r="H63" s="214">
        <f t="shared" si="5"/>
        <v>233.58847800000001</v>
      </c>
      <c r="I63" s="214">
        <f t="shared" si="6"/>
        <v>0</v>
      </c>
      <c r="J63" s="214">
        <f t="shared" si="7"/>
        <v>0</v>
      </c>
      <c r="K63" s="214">
        <f t="shared" si="8"/>
        <v>0</v>
      </c>
      <c r="L63" s="214"/>
      <c r="M63" s="214"/>
      <c r="N63" s="214"/>
      <c r="O63" s="326"/>
      <c r="P63" s="214"/>
      <c r="Q63" s="239">
        <f t="shared" si="9"/>
        <v>233.58847800000001</v>
      </c>
      <c r="R63" s="214">
        <f t="shared" si="10"/>
        <v>233.58847800000001</v>
      </c>
      <c r="S63" s="214">
        <v>233.58847800000001</v>
      </c>
      <c r="T63" s="214"/>
      <c r="U63" s="239">
        <f t="shared" si="21"/>
        <v>0</v>
      </c>
      <c r="V63" s="214"/>
      <c r="W63" s="214"/>
      <c r="X63" s="214"/>
      <c r="Y63" s="214"/>
      <c r="Z63" s="214"/>
      <c r="AA63" s="214"/>
      <c r="AB63" s="214">
        <f t="shared" si="11"/>
        <v>0</v>
      </c>
      <c r="AC63" s="214"/>
      <c r="AD63" s="214"/>
      <c r="AE63" s="214"/>
      <c r="AF63" s="214">
        <f t="shared" si="12"/>
        <v>0</v>
      </c>
      <c r="AG63" s="214"/>
      <c r="AH63" s="214"/>
      <c r="AI63" s="214">
        <f t="shared" si="13"/>
        <v>0</v>
      </c>
      <c r="AJ63" s="214"/>
      <c r="AK63" s="214"/>
      <c r="AL63" s="214">
        <f t="shared" si="2"/>
        <v>95.732982786885245</v>
      </c>
      <c r="AM63" s="214">
        <f t="shared" si="2"/>
        <v>95.732982786885245</v>
      </c>
      <c r="AN63" s="214"/>
      <c r="AO63" s="194"/>
    </row>
    <row r="64" spans="1:41" ht="48" customHeight="1" x14ac:dyDescent="0.25">
      <c r="A64" s="194"/>
      <c r="B64" s="213" t="s">
        <v>51</v>
      </c>
      <c r="C64" s="214">
        <f t="shared" si="19"/>
        <v>235</v>
      </c>
      <c r="D64" s="214">
        <v>235</v>
      </c>
      <c r="E64" s="214"/>
      <c r="F64" s="214"/>
      <c r="G64" s="214">
        <f t="shared" si="4"/>
        <v>226.157873</v>
      </c>
      <c r="H64" s="214">
        <f t="shared" si="5"/>
        <v>226.157873</v>
      </c>
      <c r="I64" s="214">
        <f t="shared" si="6"/>
        <v>0</v>
      </c>
      <c r="J64" s="214">
        <f t="shared" si="7"/>
        <v>0</v>
      </c>
      <c r="K64" s="214">
        <f t="shared" si="8"/>
        <v>0</v>
      </c>
      <c r="L64" s="214"/>
      <c r="M64" s="214"/>
      <c r="N64" s="214"/>
      <c r="O64" s="326"/>
      <c r="P64" s="214"/>
      <c r="Q64" s="239">
        <f t="shared" si="9"/>
        <v>226.157873</v>
      </c>
      <c r="R64" s="214">
        <f t="shared" si="10"/>
        <v>226.157873</v>
      </c>
      <c r="S64" s="214">
        <v>226.157873</v>
      </c>
      <c r="T64" s="214"/>
      <c r="U64" s="239">
        <f t="shared" si="21"/>
        <v>0</v>
      </c>
      <c r="V64" s="214"/>
      <c r="W64" s="214"/>
      <c r="X64" s="214"/>
      <c r="Y64" s="214"/>
      <c r="Z64" s="214"/>
      <c r="AA64" s="214"/>
      <c r="AB64" s="214">
        <f t="shared" si="11"/>
        <v>0</v>
      </c>
      <c r="AC64" s="214"/>
      <c r="AD64" s="214"/>
      <c r="AE64" s="214"/>
      <c r="AF64" s="214">
        <f t="shared" si="12"/>
        <v>0</v>
      </c>
      <c r="AG64" s="214"/>
      <c r="AH64" s="214"/>
      <c r="AI64" s="214">
        <f t="shared" si="13"/>
        <v>0</v>
      </c>
      <c r="AJ64" s="214"/>
      <c r="AK64" s="214"/>
      <c r="AL64" s="214">
        <f t="shared" si="2"/>
        <v>96.237392765957438</v>
      </c>
      <c r="AM64" s="214">
        <f t="shared" si="2"/>
        <v>96.237392765957438</v>
      </c>
      <c r="AN64" s="214"/>
      <c r="AO64" s="194"/>
    </row>
    <row r="65" spans="1:41" ht="48" customHeight="1" x14ac:dyDescent="0.25">
      <c r="A65" s="194"/>
      <c r="B65" s="213" t="s">
        <v>52</v>
      </c>
      <c r="C65" s="214">
        <f t="shared" si="19"/>
        <v>215</v>
      </c>
      <c r="D65" s="214">
        <v>215</v>
      </c>
      <c r="E65" s="214"/>
      <c r="F65" s="214"/>
      <c r="G65" s="214">
        <f t="shared" si="4"/>
        <v>212.00058799999999</v>
      </c>
      <c r="H65" s="214">
        <f t="shared" si="5"/>
        <v>212.00058799999999</v>
      </c>
      <c r="I65" s="214">
        <f t="shared" si="6"/>
        <v>0</v>
      </c>
      <c r="J65" s="214">
        <f t="shared" si="7"/>
        <v>0</v>
      </c>
      <c r="K65" s="214">
        <f t="shared" si="8"/>
        <v>0</v>
      </c>
      <c r="L65" s="214"/>
      <c r="M65" s="214"/>
      <c r="N65" s="214"/>
      <c r="O65" s="326"/>
      <c r="P65" s="214"/>
      <c r="Q65" s="239">
        <f t="shared" si="9"/>
        <v>212.00058799999999</v>
      </c>
      <c r="R65" s="214">
        <f t="shared" si="10"/>
        <v>212.00058799999999</v>
      </c>
      <c r="S65" s="214">
        <v>212.00058799999999</v>
      </c>
      <c r="T65" s="214"/>
      <c r="U65" s="239">
        <f t="shared" si="21"/>
        <v>0</v>
      </c>
      <c r="V65" s="214"/>
      <c r="W65" s="214"/>
      <c r="X65" s="214"/>
      <c r="Y65" s="214"/>
      <c r="Z65" s="214"/>
      <c r="AA65" s="214"/>
      <c r="AB65" s="214">
        <f t="shared" si="11"/>
        <v>0</v>
      </c>
      <c r="AC65" s="214"/>
      <c r="AD65" s="214"/>
      <c r="AE65" s="214"/>
      <c r="AF65" s="214">
        <f t="shared" si="12"/>
        <v>0</v>
      </c>
      <c r="AG65" s="214"/>
      <c r="AH65" s="214"/>
      <c r="AI65" s="214">
        <f t="shared" si="13"/>
        <v>0</v>
      </c>
      <c r="AJ65" s="214"/>
      <c r="AK65" s="214"/>
      <c r="AL65" s="214">
        <f t="shared" si="2"/>
        <v>98.60492465116279</v>
      </c>
      <c r="AM65" s="214">
        <f t="shared" si="2"/>
        <v>98.60492465116279</v>
      </c>
      <c r="AN65" s="214"/>
      <c r="AO65" s="194"/>
    </row>
    <row r="66" spans="1:41" ht="48" customHeight="1" x14ac:dyDescent="0.25">
      <c r="A66" s="194"/>
      <c r="B66" s="213" t="s">
        <v>103</v>
      </c>
      <c r="C66" s="214">
        <f t="shared" si="19"/>
        <v>188</v>
      </c>
      <c r="D66" s="214">
        <v>188</v>
      </c>
      <c r="E66" s="214"/>
      <c r="F66" s="214"/>
      <c r="G66" s="214">
        <f t="shared" si="4"/>
        <v>182.30714900000001</v>
      </c>
      <c r="H66" s="214">
        <f t="shared" si="5"/>
        <v>182.30714900000001</v>
      </c>
      <c r="I66" s="214">
        <f t="shared" si="6"/>
        <v>0</v>
      </c>
      <c r="J66" s="214">
        <f t="shared" si="7"/>
        <v>0</v>
      </c>
      <c r="K66" s="214">
        <f t="shared" si="8"/>
        <v>0</v>
      </c>
      <c r="L66" s="214"/>
      <c r="M66" s="214"/>
      <c r="N66" s="214"/>
      <c r="O66" s="326"/>
      <c r="P66" s="214"/>
      <c r="Q66" s="239">
        <f t="shared" si="9"/>
        <v>182.30714900000001</v>
      </c>
      <c r="R66" s="214">
        <f t="shared" si="10"/>
        <v>182.30714900000001</v>
      </c>
      <c r="S66" s="214">
        <v>182.30714900000001</v>
      </c>
      <c r="T66" s="214"/>
      <c r="U66" s="239">
        <f t="shared" si="21"/>
        <v>0</v>
      </c>
      <c r="V66" s="214"/>
      <c r="W66" s="214"/>
      <c r="X66" s="214"/>
      <c r="Y66" s="214"/>
      <c r="Z66" s="214"/>
      <c r="AA66" s="214"/>
      <c r="AB66" s="214">
        <f t="shared" si="11"/>
        <v>0</v>
      </c>
      <c r="AC66" s="214"/>
      <c r="AD66" s="214"/>
      <c r="AE66" s="214"/>
      <c r="AF66" s="214">
        <f t="shared" si="12"/>
        <v>0</v>
      </c>
      <c r="AG66" s="214"/>
      <c r="AH66" s="214"/>
      <c r="AI66" s="214">
        <f t="shared" si="13"/>
        <v>0</v>
      </c>
      <c r="AJ66" s="214"/>
      <c r="AK66" s="214"/>
      <c r="AL66" s="214">
        <f t="shared" si="2"/>
        <v>96.971887765957462</v>
      </c>
      <c r="AM66" s="214">
        <f t="shared" si="2"/>
        <v>96.971887765957462</v>
      </c>
      <c r="AN66" s="214"/>
      <c r="AO66" s="194"/>
    </row>
    <row r="67" spans="1:41" ht="48" customHeight="1" x14ac:dyDescent="0.25">
      <c r="A67" s="194"/>
      <c r="B67" s="213" t="s">
        <v>100</v>
      </c>
      <c r="C67" s="214">
        <f t="shared" si="19"/>
        <v>208</v>
      </c>
      <c r="D67" s="214">
        <v>208</v>
      </c>
      <c r="E67" s="214"/>
      <c r="F67" s="214"/>
      <c r="G67" s="214">
        <f t="shared" si="4"/>
        <v>202.72710599999999</v>
      </c>
      <c r="H67" s="214">
        <f t="shared" si="5"/>
        <v>202.72710599999999</v>
      </c>
      <c r="I67" s="214">
        <f t="shared" si="6"/>
        <v>0</v>
      </c>
      <c r="J67" s="214">
        <f t="shared" si="7"/>
        <v>0</v>
      </c>
      <c r="K67" s="214">
        <f t="shared" si="8"/>
        <v>0</v>
      </c>
      <c r="L67" s="214"/>
      <c r="M67" s="214"/>
      <c r="N67" s="214"/>
      <c r="O67" s="326"/>
      <c r="P67" s="214"/>
      <c r="Q67" s="239">
        <f t="shared" si="9"/>
        <v>202.72710599999999</v>
      </c>
      <c r="R67" s="214">
        <f t="shared" si="10"/>
        <v>202.72710599999999</v>
      </c>
      <c r="S67" s="214">
        <v>202.72710599999999</v>
      </c>
      <c r="T67" s="214"/>
      <c r="U67" s="239">
        <f t="shared" si="21"/>
        <v>0</v>
      </c>
      <c r="V67" s="214"/>
      <c r="W67" s="214"/>
      <c r="X67" s="214"/>
      <c r="Y67" s="214"/>
      <c r="Z67" s="214"/>
      <c r="AA67" s="214"/>
      <c r="AB67" s="214">
        <f t="shared" si="11"/>
        <v>0</v>
      </c>
      <c r="AC67" s="214"/>
      <c r="AD67" s="214"/>
      <c r="AE67" s="214"/>
      <c r="AF67" s="214">
        <f t="shared" si="12"/>
        <v>0</v>
      </c>
      <c r="AG67" s="214"/>
      <c r="AH67" s="214"/>
      <c r="AI67" s="214">
        <f t="shared" si="13"/>
        <v>0</v>
      </c>
      <c r="AJ67" s="214"/>
      <c r="AK67" s="214"/>
      <c r="AL67" s="214">
        <f t="shared" si="2"/>
        <v>97.464954807692294</v>
      </c>
      <c r="AM67" s="214">
        <f t="shared" si="2"/>
        <v>97.464954807692294</v>
      </c>
      <c r="AN67" s="214"/>
      <c r="AO67" s="194"/>
    </row>
    <row r="68" spans="1:41" ht="48" customHeight="1" x14ac:dyDescent="0.25">
      <c r="A68" s="194"/>
      <c r="B68" s="213" t="s">
        <v>306</v>
      </c>
      <c r="C68" s="214">
        <f t="shared" si="19"/>
        <v>208</v>
      </c>
      <c r="D68" s="214">
        <v>208</v>
      </c>
      <c r="E68" s="214"/>
      <c r="F68" s="214"/>
      <c r="G68" s="214">
        <f t="shared" si="4"/>
        <v>199.802063</v>
      </c>
      <c r="H68" s="214">
        <f t="shared" si="5"/>
        <v>199.802063</v>
      </c>
      <c r="I68" s="214">
        <f t="shared" si="6"/>
        <v>0</v>
      </c>
      <c r="J68" s="214">
        <f t="shared" si="7"/>
        <v>0</v>
      </c>
      <c r="K68" s="214">
        <f t="shared" si="8"/>
        <v>0</v>
      </c>
      <c r="L68" s="214"/>
      <c r="M68" s="214"/>
      <c r="N68" s="214"/>
      <c r="O68" s="326"/>
      <c r="P68" s="214"/>
      <c r="Q68" s="239">
        <f t="shared" si="9"/>
        <v>199.802063</v>
      </c>
      <c r="R68" s="214">
        <f t="shared" si="10"/>
        <v>199.802063</v>
      </c>
      <c r="S68" s="214">
        <v>199.802063</v>
      </c>
      <c r="T68" s="214"/>
      <c r="U68" s="239">
        <f t="shared" si="21"/>
        <v>0</v>
      </c>
      <c r="V68" s="214"/>
      <c r="W68" s="214"/>
      <c r="X68" s="214"/>
      <c r="Y68" s="214"/>
      <c r="Z68" s="214"/>
      <c r="AA68" s="214"/>
      <c r="AB68" s="214">
        <f t="shared" si="11"/>
        <v>0</v>
      </c>
      <c r="AC68" s="214"/>
      <c r="AD68" s="214"/>
      <c r="AE68" s="214"/>
      <c r="AF68" s="214">
        <f t="shared" si="12"/>
        <v>0</v>
      </c>
      <c r="AG68" s="214"/>
      <c r="AH68" s="214"/>
      <c r="AI68" s="214">
        <f t="shared" si="13"/>
        <v>0</v>
      </c>
      <c r="AJ68" s="214"/>
      <c r="AK68" s="214"/>
      <c r="AL68" s="214">
        <f t="shared" si="2"/>
        <v>96.058684134615376</v>
      </c>
      <c r="AM68" s="214">
        <f t="shared" si="2"/>
        <v>96.058684134615376</v>
      </c>
      <c r="AN68" s="214"/>
      <c r="AO68" s="194"/>
    </row>
    <row r="69" spans="1:41" ht="48" customHeight="1" x14ac:dyDescent="0.25">
      <c r="A69" s="194"/>
      <c r="B69" s="213" t="s">
        <v>43</v>
      </c>
      <c r="C69" s="214">
        <f t="shared" si="19"/>
        <v>803</v>
      </c>
      <c r="D69" s="214">
        <v>803</v>
      </c>
      <c r="E69" s="214"/>
      <c r="F69" s="214"/>
      <c r="G69" s="214">
        <f t="shared" si="4"/>
        <v>794.64781900000003</v>
      </c>
      <c r="H69" s="214">
        <f t="shared" si="5"/>
        <v>794.64781900000003</v>
      </c>
      <c r="I69" s="214">
        <f t="shared" si="6"/>
        <v>0</v>
      </c>
      <c r="J69" s="214">
        <f t="shared" si="7"/>
        <v>0</v>
      </c>
      <c r="K69" s="214">
        <f t="shared" si="8"/>
        <v>0</v>
      </c>
      <c r="L69" s="214"/>
      <c r="M69" s="214"/>
      <c r="N69" s="214"/>
      <c r="O69" s="326"/>
      <c r="P69" s="214"/>
      <c r="Q69" s="239">
        <f t="shared" si="9"/>
        <v>794.64781900000003</v>
      </c>
      <c r="R69" s="214">
        <f t="shared" si="10"/>
        <v>794.64781900000003</v>
      </c>
      <c r="S69" s="214">
        <v>794.64781900000003</v>
      </c>
      <c r="T69" s="214"/>
      <c r="U69" s="239">
        <f t="shared" si="21"/>
        <v>0</v>
      </c>
      <c r="V69" s="214"/>
      <c r="W69" s="214"/>
      <c r="X69" s="214"/>
      <c r="Y69" s="214"/>
      <c r="Z69" s="214"/>
      <c r="AA69" s="214"/>
      <c r="AB69" s="214">
        <f t="shared" si="11"/>
        <v>0</v>
      </c>
      <c r="AC69" s="214"/>
      <c r="AD69" s="214"/>
      <c r="AE69" s="214"/>
      <c r="AF69" s="214">
        <f t="shared" si="12"/>
        <v>0</v>
      </c>
      <c r="AG69" s="214"/>
      <c r="AH69" s="214"/>
      <c r="AI69" s="214">
        <f t="shared" si="13"/>
        <v>0</v>
      </c>
      <c r="AJ69" s="214"/>
      <c r="AK69" s="214"/>
      <c r="AL69" s="214">
        <f t="shared" si="2"/>
        <v>98.959877833125788</v>
      </c>
      <c r="AM69" s="214">
        <f t="shared" si="2"/>
        <v>98.959877833125788</v>
      </c>
      <c r="AN69" s="214"/>
      <c r="AO69" s="194"/>
    </row>
    <row r="70" spans="1:41" ht="48" customHeight="1" x14ac:dyDescent="0.25">
      <c r="A70" s="194"/>
      <c r="B70" s="213" t="s">
        <v>403</v>
      </c>
      <c r="C70" s="214">
        <f t="shared" si="19"/>
        <v>145</v>
      </c>
      <c r="D70" s="214">
        <v>145</v>
      </c>
      <c r="E70" s="214"/>
      <c r="F70" s="214"/>
      <c r="G70" s="214">
        <f t="shared" si="4"/>
        <v>138.96830299999999</v>
      </c>
      <c r="H70" s="214">
        <f t="shared" si="5"/>
        <v>138.96830299999999</v>
      </c>
      <c r="I70" s="214">
        <f t="shared" si="6"/>
        <v>0</v>
      </c>
      <c r="J70" s="214">
        <f t="shared" si="7"/>
        <v>0</v>
      </c>
      <c r="K70" s="214">
        <f t="shared" si="8"/>
        <v>0</v>
      </c>
      <c r="L70" s="214"/>
      <c r="M70" s="214"/>
      <c r="N70" s="214"/>
      <c r="O70" s="326"/>
      <c r="P70" s="214"/>
      <c r="Q70" s="239">
        <f t="shared" si="9"/>
        <v>138.96830299999999</v>
      </c>
      <c r="R70" s="214">
        <f t="shared" si="10"/>
        <v>138.96830299999999</v>
      </c>
      <c r="S70" s="214">
        <v>138.96830299999999</v>
      </c>
      <c r="T70" s="214"/>
      <c r="U70" s="239">
        <f t="shared" si="21"/>
        <v>0</v>
      </c>
      <c r="V70" s="214"/>
      <c r="W70" s="214"/>
      <c r="X70" s="214"/>
      <c r="Y70" s="214"/>
      <c r="Z70" s="214"/>
      <c r="AA70" s="214"/>
      <c r="AB70" s="214">
        <f t="shared" si="11"/>
        <v>0</v>
      </c>
      <c r="AC70" s="214"/>
      <c r="AD70" s="214"/>
      <c r="AE70" s="214"/>
      <c r="AF70" s="214">
        <f t="shared" si="12"/>
        <v>0</v>
      </c>
      <c r="AG70" s="214"/>
      <c r="AH70" s="214"/>
      <c r="AI70" s="214">
        <f t="shared" si="13"/>
        <v>0</v>
      </c>
      <c r="AJ70" s="214"/>
      <c r="AK70" s="214"/>
      <c r="AL70" s="214">
        <f t="shared" si="2"/>
        <v>95.840208965517235</v>
      </c>
      <c r="AM70" s="214">
        <f t="shared" si="2"/>
        <v>95.840208965517235</v>
      </c>
      <c r="AN70" s="214"/>
      <c r="AO70" s="194"/>
    </row>
    <row r="71" spans="1:41" ht="48" customHeight="1" x14ac:dyDescent="0.25">
      <c r="A71" s="194"/>
      <c r="B71" s="213" t="s">
        <v>312</v>
      </c>
      <c r="C71" s="214">
        <f t="shared" si="19"/>
        <v>572</v>
      </c>
      <c r="D71" s="214">
        <v>572</v>
      </c>
      <c r="E71" s="214"/>
      <c r="F71" s="214"/>
      <c r="G71" s="214">
        <f t="shared" si="4"/>
        <v>557.94268099999999</v>
      </c>
      <c r="H71" s="214">
        <f t="shared" si="5"/>
        <v>557.94268099999999</v>
      </c>
      <c r="I71" s="214">
        <f t="shared" si="6"/>
        <v>0</v>
      </c>
      <c r="J71" s="214">
        <f t="shared" si="7"/>
        <v>0</v>
      </c>
      <c r="K71" s="214">
        <f t="shared" si="8"/>
        <v>0</v>
      </c>
      <c r="L71" s="214"/>
      <c r="M71" s="214"/>
      <c r="N71" s="214"/>
      <c r="O71" s="326"/>
      <c r="P71" s="214"/>
      <c r="Q71" s="239">
        <f t="shared" si="9"/>
        <v>557.94268099999999</v>
      </c>
      <c r="R71" s="214">
        <f t="shared" si="10"/>
        <v>557.94268099999999</v>
      </c>
      <c r="S71" s="214">
        <v>557.94268099999999</v>
      </c>
      <c r="T71" s="214"/>
      <c r="U71" s="239">
        <f t="shared" si="21"/>
        <v>0</v>
      </c>
      <c r="V71" s="214"/>
      <c r="W71" s="214"/>
      <c r="X71" s="214"/>
      <c r="Y71" s="214"/>
      <c r="Z71" s="214"/>
      <c r="AA71" s="214"/>
      <c r="AB71" s="214">
        <f t="shared" si="11"/>
        <v>0</v>
      </c>
      <c r="AC71" s="214"/>
      <c r="AD71" s="214"/>
      <c r="AE71" s="214"/>
      <c r="AF71" s="214">
        <f t="shared" si="12"/>
        <v>0</v>
      </c>
      <c r="AG71" s="214"/>
      <c r="AH71" s="214"/>
      <c r="AI71" s="214">
        <f t="shared" si="13"/>
        <v>0</v>
      </c>
      <c r="AJ71" s="214"/>
      <c r="AK71" s="214"/>
      <c r="AL71" s="214">
        <f t="shared" si="2"/>
        <v>97.542426748251756</v>
      </c>
      <c r="AM71" s="214">
        <f t="shared" si="2"/>
        <v>97.542426748251756</v>
      </c>
      <c r="AN71" s="214"/>
      <c r="AO71" s="194"/>
    </row>
    <row r="72" spans="1:41" ht="48" customHeight="1" x14ac:dyDescent="0.25">
      <c r="A72" s="194"/>
      <c r="B72" s="213" t="s">
        <v>395</v>
      </c>
      <c r="C72" s="214">
        <f t="shared" si="19"/>
        <v>775</v>
      </c>
      <c r="D72" s="214">
        <v>775</v>
      </c>
      <c r="E72" s="214"/>
      <c r="F72" s="214"/>
      <c r="G72" s="214">
        <f t="shared" si="4"/>
        <v>741.74846300000002</v>
      </c>
      <c r="H72" s="214">
        <f t="shared" si="5"/>
        <v>741.74846300000002</v>
      </c>
      <c r="I72" s="214">
        <f t="shared" si="6"/>
        <v>0</v>
      </c>
      <c r="J72" s="214">
        <f t="shared" si="7"/>
        <v>0</v>
      </c>
      <c r="K72" s="214">
        <f t="shared" si="8"/>
        <v>0</v>
      </c>
      <c r="L72" s="214"/>
      <c r="M72" s="214"/>
      <c r="N72" s="214"/>
      <c r="O72" s="326"/>
      <c r="P72" s="214"/>
      <c r="Q72" s="239">
        <f t="shared" si="9"/>
        <v>741.74846300000002</v>
      </c>
      <c r="R72" s="214">
        <f t="shared" si="10"/>
        <v>741.74846300000002</v>
      </c>
      <c r="S72" s="214">
        <v>741.74846300000002</v>
      </c>
      <c r="T72" s="214"/>
      <c r="U72" s="239">
        <f t="shared" si="21"/>
        <v>0</v>
      </c>
      <c r="V72" s="214"/>
      <c r="W72" s="214"/>
      <c r="X72" s="214"/>
      <c r="Y72" s="214"/>
      <c r="Z72" s="214"/>
      <c r="AA72" s="214"/>
      <c r="AB72" s="214">
        <f t="shared" si="11"/>
        <v>0</v>
      </c>
      <c r="AC72" s="214"/>
      <c r="AD72" s="214"/>
      <c r="AE72" s="214"/>
      <c r="AF72" s="214">
        <f t="shared" si="12"/>
        <v>0</v>
      </c>
      <c r="AG72" s="214"/>
      <c r="AH72" s="214"/>
      <c r="AI72" s="214">
        <f t="shared" si="13"/>
        <v>0</v>
      </c>
      <c r="AJ72" s="214"/>
      <c r="AK72" s="214"/>
      <c r="AL72" s="214">
        <f t="shared" si="2"/>
        <v>95.709479096774189</v>
      </c>
      <c r="AM72" s="214">
        <f t="shared" si="2"/>
        <v>95.709479096774189</v>
      </c>
      <c r="AN72" s="214"/>
      <c r="AO72" s="194"/>
    </row>
    <row r="73" spans="1:41" ht="58.5" customHeight="1" x14ac:dyDescent="0.25">
      <c r="A73" s="194"/>
      <c r="B73" s="213" t="s">
        <v>97</v>
      </c>
      <c r="C73" s="214">
        <f t="shared" si="19"/>
        <v>1163</v>
      </c>
      <c r="D73" s="214">
        <v>1163</v>
      </c>
      <c r="E73" s="214"/>
      <c r="F73" s="214"/>
      <c r="G73" s="214">
        <f t="shared" si="4"/>
        <v>1145.4012090000001</v>
      </c>
      <c r="H73" s="214">
        <f t="shared" si="5"/>
        <v>1145.4012090000001</v>
      </c>
      <c r="I73" s="214">
        <f t="shared" si="6"/>
        <v>0</v>
      </c>
      <c r="J73" s="214">
        <f t="shared" si="7"/>
        <v>0</v>
      </c>
      <c r="K73" s="214">
        <f t="shared" si="8"/>
        <v>0</v>
      </c>
      <c r="L73" s="214"/>
      <c r="M73" s="214"/>
      <c r="N73" s="214"/>
      <c r="O73" s="326"/>
      <c r="P73" s="214"/>
      <c r="Q73" s="239">
        <f t="shared" si="9"/>
        <v>1145.4012090000001</v>
      </c>
      <c r="R73" s="214">
        <f t="shared" si="10"/>
        <v>1145.4012090000001</v>
      </c>
      <c r="S73" s="214">
        <v>1145.4012090000001</v>
      </c>
      <c r="T73" s="214"/>
      <c r="U73" s="239">
        <f t="shared" si="21"/>
        <v>0</v>
      </c>
      <c r="V73" s="214"/>
      <c r="W73" s="214"/>
      <c r="X73" s="214"/>
      <c r="Y73" s="214"/>
      <c r="Z73" s="214"/>
      <c r="AA73" s="214"/>
      <c r="AB73" s="214">
        <f t="shared" si="11"/>
        <v>0</v>
      </c>
      <c r="AC73" s="214"/>
      <c r="AD73" s="214"/>
      <c r="AE73" s="214"/>
      <c r="AF73" s="214">
        <f t="shared" si="12"/>
        <v>0</v>
      </c>
      <c r="AG73" s="214"/>
      <c r="AH73" s="214"/>
      <c r="AI73" s="214">
        <f t="shared" si="13"/>
        <v>0</v>
      </c>
      <c r="AJ73" s="214"/>
      <c r="AK73" s="214"/>
      <c r="AL73" s="214">
        <f t="shared" si="2"/>
        <v>98.486776354256236</v>
      </c>
      <c r="AM73" s="214">
        <f t="shared" si="2"/>
        <v>98.486776354256236</v>
      </c>
      <c r="AN73" s="214"/>
      <c r="AO73" s="194"/>
    </row>
    <row r="74" spans="1:41" ht="48" customHeight="1" x14ac:dyDescent="0.25">
      <c r="A74" s="194"/>
      <c r="B74" s="213" t="s">
        <v>82</v>
      </c>
      <c r="C74" s="214">
        <f t="shared" si="19"/>
        <v>182</v>
      </c>
      <c r="D74" s="214">
        <v>182</v>
      </c>
      <c r="E74" s="214"/>
      <c r="F74" s="214"/>
      <c r="G74" s="214">
        <f t="shared" si="4"/>
        <v>174.77103</v>
      </c>
      <c r="H74" s="214">
        <f t="shared" si="5"/>
        <v>174.77103</v>
      </c>
      <c r="I74" s="214">
        <f t="shared" si="6"/>
        <v>0</v>
      </c>
      <c r="J74" s="214">
        <f t="shared" si="7"/>
        <v>0</v>
      </c>
      <c r="K74" s="214">
        <f t="shared" si="8"/>
        <v>0</v>
      </c>
      <c r="L74" s="214"/>
      <c r="M74" s="214"/>
      <c r="N74" s="214"/>
      <c r="O74" s="326"/>
      <c r="P74" s="214"/>
      <c r="Q74" s="239">
        <f t="shared" si="9"/>
        <v>174.77103</v>
      </c>
      <c r="R74" s="214">
        <f t="shared" si="10"/>
        <v>174.77103</v>
      </c>
      <c r="S74" s="214">
        <v>174.77103</v>
      </c>
      <c r="T74" s="214"/>
      <c r="U74" s="239">
        <f t="shared" si="21"/>
        <v>0</v>
      </c>
      <c r="V74" s="214"/>
      <c r="W74" s="214"/>
      <c r="X74" s="214"/>
      <c r="Y74" s="214"/>
      <c r="Z74" s="214"/>
      <c r="AA74" s="214"/>
      <c r="AB74" s="214">
        <f t="shared" si="11"/>
        <v>0</v>
      </c>
      <c r="AC74" s="214"/>
      <c r="AD74" s="214"/>
      <c r="AE74" s="214"/>
      <c r="AF74" s="214">
        <f t="shared" si="12"/>
        <v>0</v>
      </c>
      <c r="AG74" s="214"/>
      <c r="AH74" s="214"/>
      <c r="AI74" s="214">
        <f t="shared" si="13"/>
        <v>0</v>
      </c>
      <c r="AJ74" s="214"/>
      <c r="AK74" s="214"/>
      <c r="AL74" s="214">
        <f t="shared" si="2"/>
        <v>96.028038461538458</v>
      </c>
      <c r="AM74" s="214">
        <f t="shared" si="2"/>
        <v>96.028038461538458</v>
      </c>
      <c r="AN74" s="214"/>
      <c r="AO74" s="194"/>
    </row>
    <row r="75" spans="1:41" ht="48" customHeight="1" x14ac:dyDescent="0.25">
      <c r="A75" s="194"/>
      <c r="B75" s="213" t="s">
        <v>88</v>
      </c>
      <c r="C75" s="214">
        <f t="shared" si="19"/>
        <v>609</v>
      </c>
      <c r="D75" s="214">
        <v>609</v>
      </c>
      <c r="E75" s="214"/>
      <c r="F75" s="214"/>
      <c r="G75" s="214">
        <f t="shared" si="4"/>
        <v>593.30459499999995</v>
      </c>
      <c r="H75" s="214">
        <f t="shared" si="5"/>
        <v>593.30459499999995</v>
      </c>
      <c r="I75" s="214">
        <f t="shared" si="6"/>
        <v>0</v>
      </c>
      <c r="J75" s="214">
        <f t="shared" si="7"/>
        <v>0</v>
      </c>
      <c r="K75" s="214">
        <f t="shared" si="8"/>
        <v>0</v>
      </c>
      <c r="L75" s="214"/>
      <c r="M75" s="214"/>
      <c r="N75" s="214"/>
      <c r="O75" s="326"/>
      <c r="P75" s="214"/>
      <c r="Q75" s="239">
        <f t="shared" si="9"/>
        <v>593.30459499999995</v>
      </c>
      <c r="R75" s="214">
        <f t="shared" si="10"/>
        <v>593.30459499999995</v>
      </c>
      <c r="S75" s="214">
        <v>593.30459499999995</v>
      </c>
      <c r="T75" s="214"/>
      <c r="U75" s="239">
        <f t="shared" si="21"/>
        <v>0</v>
      </c>
      <c r="V75" s="214"/>
      <c r="W75" s="214"/>
      <c r="X75" s="214"/>
      <c r="Y75" s="214"/>
      <c r="Z75" s="214"/>
      <c r="AA75" s="214"/>
      <c r="AB75" s="214">
        <f t="shared" si="11"/>
        <v>0</v>
      </c>
      <c r="AC75" s="214"/>
      <c r="AD75" s="214"/>
      <c r="AE75" s="214"/>
      <c r="AF75" s="214">
        <f t="shared" si="12"/>
        <v>0</v>
      </c>
      <c r="AG75" s="214"/>
      <c r="AH75" s="214"/>
      <c r="AI75" s="214">
        <f t="shared" si="13"/>
        <v>0</v>
      </c>
      <c r="AJ75" s="214"/>
      <c r="AK75" s="214"/>
      <c r="AL75" s="214">
        <f t="shared" si="2"/>
        <v>97.422757799671587</v>
      </c>
      <c r="AM75" s="214">
        <f t="shared" si="2"/>
        <v>97.422757799671587</v>
      </c>
      <c r="AN75" s="214"/>
      <c r="AO75" s="194"/>
    </row>
    <row r="76" spans="1:41" s="297" customFormat="1" ht="48" customHeight="1" x14ac:dyDescent="0.25">
      <c r="A76" s="211" t="s">
        <v>872</v>
      </c>
      <c r="B76" s="212" t="s">
        <v>733</v>
      </c>
      <c r="C76" s="308">
        <f>C77+C98+C156+C161+C164+C186+C160</f>
        <v>27946.276042000001</v>
      </c>
      <c r="D76" s="308">
        <f>D77+D98+D156+D161+D164+D186+D160</f>
        <v>22248.56581</v>
      </c>
      <c r="E76" s="308">
        <f>E77+E98+E156+E161+E164+E186+E160</f>
        <v>5697.7102319999995</v>
      </c>
      <c r="F76" s="308">
        <f>F77+F98+F156+F161+F164+F186+F160</f>
        <v>0</v>
      </c>
      <c r="G76" s="308">
        <f>G77+G98+G156+G161+G164+G186+G160</f>
        <v>23505.966151999997</v>
      </c>
      <c r="H76" s="308">
        <f t="shared" ref="H76:AK76" si="22">H77+H98+H156+H161+H164+H186+H160</f>
        <v>18130.912781999999</v>
      </c>
      <c r="I76" s="308">
        <f t="shared" si="22"/>
        <v>5375.0533699999996</v>
      </c>
      <c r="J76" s="308">
        <f t="shared" si="22"/>
        <v>15761.993836999998</v>
      </c>
      <c r="K76" s="308">
        <f t="shared" si="22"/>
        <v>13750.337062999999</v>
      </c>
      <c r="L76" s="308">
        <f t="shared" si="22"/>
        <v>13750.337062999999</v>
      </c>
      <c r="M76" s="308">
        <f t="shared" si="22"/>
        <v>0</v>
      </c>
      <c r="N76" s="308">
        <f t="shared" si="22"/>
        <v>2011.656774</v>
      </c>
      <c r="O76" s="311">
        <f t="shared" si="22"/>
        <v>2011.656774</v>
      </c>
      <c r="P76" s="308">
        <f t="shared" si="22"/>
        <v>0</v>
      </c>
      <c r="Q76" s="240">
        <f t="shared" si="22"/>
        <v>3181.5636589999995</v>
      </c>
      <c r="R76" s="308">
        <f t="shared" si="22"/>
        <v>0</v>
      </c>
      <c r="S76" s="308">
        <f t="shared" si="22"/>
        <v>0</v>
      </c>
      <c r="T76" s="308">
        <f t="shared" si="22"/>
        <v>0</v>
      </c>
      <c r="U76" s="240">
        <f t="shared" si="22"/>
        <v>3181.5636589999995</v>
      </c>
      <c r="V76" s="308">
        <f t="shared" si="22"/>
        <v>3181.5636589999995</v>
      </c>
      <c r="W76" s="308">
        <f t="shared" si="22"/>
        <v>0</v>
      </c>
      <c r="X76" s="308">
        <f t="shared" si="22"/>
        <v>0</v>
      </c>
      <c r="Y76" s="308">
        <f t="shared" si="22"/>
        <v>0</v>
      </c>
      <c r="Z76" s="308">
        <f t="shared" si="22"/>
        <v>0</v>
      </c>
      <c r="AA76" s="308">
        <f t="shared" si="22"/>
        <v>0</v>
      </c>
      <c r="AB76" s="308">
        <f t="shared" si="22"/>
        <v>0</v>
      </c>
      <c r="AC76" s="308">
        <f t="shared" si="22"/>
        <v>0</v>
      </c>
      <c r="AD76" s="308">
        <f t="shared" si="22"/>
        <v>0</v>
      </c>
      <c r="AE76" s="308">
        <f t="shared" si="22"/>
        <v>4562.4086560000005</v>
      </c>
      <c r="AF76" s="308">
        <f t="shared" si="22"/>
        <v>4380.5757190000004</v>
      </c>
      <c r="AG76" s="308">
        <f t="shared" si="22"/>
        <v>0</v>
      </c>
      <c r="AH76" s="308">
        <f t="shared" si="22"/>
        <v>0</v>
      </c>
      <c r="AI76" s="308">
        <f t="shared" si="22"/>
        <v>181.83293700000002</v>
      </c>
      <c r="AJ76" s="308">
        <f t="shared" si="22"/>
        <v>181.83293700000002</v>
      </c>
      <c r="AK76" s="308">
        <f t="shared" si="22"/>
        <v>0</v>
      </c>
      <c r="AL76" s="308">
        <f t="shared" si="2"/>
        <v>84.111264472852369</v>
      </c>
      <c r="AM76" s="308">
        <f t="shared" si="2"/>
        <v>81.492501300244484</v>
      </c>
      <c r="AN76" s="308">
        <f>I76/E76%</f>
        <v>94.337078425156392</v>
      </c>
      <c r="AO76" s="316">
        <f>AO77+AO98+AO156+AO161+AO164+AO186</f>
        <v>0</v>
      </c>
    </row>
    <row r="77" spans="1:41" s="309" customFormat="1" ht="48" customHeight="1" x14ac:dyDescent="0.25">
      <c r="A77" s="215" t="s">
        <v>174</v>
      </c>
      <c r="B77" s="216" t="s">
        <v>795</v>
      </c>
      <c r="C77" s="307">
        <f>D77+E77</f>
        <v>1167.4196199999999</v>
      </c>
      <c r="D77" s="307">
        <f>SUM(D78:D97)</f>
        <v>1167.4196199999999</v>
      </c>
      <c r="E77" s="307">
        <f t="shared" ref="E77:AK77" si="23">SUM(E78:E97)</f>
        <v>0</v>
      </c>
      <c r="F77" s="307">
        <f t="shared" si="23"/>
        <v>0</v>
      </c>
      <c r="G77" s="242">
        <f>H77+I77</f>
        <v>1136.6784010000001</v>
      </c>
      <c r="H77" s="307">
        <f t="shared" si="5"/>
        <v>1136.6784010000001</v>
      </c>
      <c r="I77" s="307">
        <f t="shared" si="6"/>
        <v>0</v>
      </c>
      <c r="J77" s="307">
        <f t="shared" si="7"/>
        <v>1136.6784010000001</v>
      </c>
      <c r="K77" s="307">
        <f t="shared" si="8"/>
        <v>1136.6784010000001</v>
      </c>
      <c r="L77" s="307">
        <f t="shared" si="23"/>
        <v>1136.6784010000001</v>
      </c>
      <c r="M77" s="307">
        <f t="shared" si="23"/>
        <v>0</v>
      </c>
      <c r="N77" s="307">
        <f t="shared" si="23"/>
        <v>0</v>
      </c>
      <c r="O77" s="356">
        <f t="shared" si="23"/>
        <v>0</v>
      </c>
      <c r="P77" s="307">
        <f t="shared" si="23"/>
        <v>0</v>
      </c>
      <c r="Q77" s="242">
        <f t="shared" si="9"/>
        <v>0</v>
      </c>
      <c r="R77" s="307">
        <f t="shared" si="10"/>
        <v>0</v>
      </c>
      <c r="S77" s="307">
        <f t="shared" si="23"/>
        <v>0</v>
      </c>
      <c r="T77" s="307">
        <f t="shared" si="23"/>
        <v>0</v>
      </c>
      <c r="U77" s="242">
        <f>V77+W77</f>
        <v>0</v>
      </c>
      <c r="V77" s="307">
        <f t="shared" si="23"/>
        <v>0</v>
      </c>
      <c r="W77" s="307">
        <f t="shared" si="23"/>
        <v>0</v>
      </c>
      <c r="X77" s="307">
        <f t="shared" si="23"/>
        <v>0</v>
      </c>
      <c r="Y77" s="307">
        <f t="shared" si="23"/>
        <v>0</v>
      </c>
      <c r="Z77" s="307">
        <f t="shared" si="23"/>
        <v>0</v>
      </c>
      <c r="AA77" s="307">
        <f t="shared" si="23"/>
        <v>0</v>
      </c>
      <c r="AB77" s="307">
        <f t="shared" si="11"/>
        <v>0</v>
      </c>
      <c r="AC77" s="307">
        <f t="shared" si="23"/>
        <v>0</v>
      </c>
      <c r="AD77" s="307">
        <f t="shared" si="23"/>
        <v>0</v>
      </c>
      <c r="AE77" s="307">
        <f t="shared" si="23"/>
        <v>0</v>
      </c>
      <c r="AF77" s="307">
        <f t="shared" ref="AF77:AF140" si="24">AG77</f>
        <v>0</v>
      </c>
      <c r="AG77" s="307">
        <f t="shared" si="23"/>
        <v>0</v>
      </c>
      <c r="AH77" s="307">
        <f t="shared" si="23"/>
        <v>0</v>
      </c>
      <c r="AI77" s="307">
        <f t="shared" ref="AI77:AI140" si="25">AJ77</f>
        <v>0</v>
      </c>
      <c r="AJ77" s="307">
        <f t="shared" si="23"/>
        <v>0</v>
      </c>
      <c r="AK77" s="307">
        <f t="shared" si="23"/>
        <v>0</v>
      </c>
      <c r="AL77" s="308">
        <f t="shared" ref="AL77:AM140" si="26">G77/C77%</f>
        <v>97.366737848726601</v>
      </c>
      <c r="AM77" s="308">
        <f t="shared" si="26"/>
        <v>97.366737848726601</v>
      </c>
      <c r="AN77" s="308"/>
      <c r="AO77" s="215"/>
    </row>
    <row r="78" spans="1:41" ht="48" customHeight="1" x14ac:dyDescent="0.25">
      <c r="A78" s="194"/>
      <c r="B78" s="213" t="s">
        <v>55</v>
      </c>
      <c r="C78" s="214">
        <f t="shared" si="19"/>
        <v>38</v>
      </c>
      <c r="D78" s="313">
        <v>38</v>
      </c>
      <c r="E78" s="214"/>
      <c r="F78" s="214"/>
      <c r="G78" s="214">
        <f t="shared" ref="G78:G141" si="27">H78+I78</f>
        <v>38</v>
      </c>
      <c r="H78" s="214">
        <f t="shared" ref="H78:H141" si="28">K78+R78+Y78+AF78</f>
        <v>38</v>
      </c>
      <c r="I78" s="214">
        <f t="shared" si="6"/>
        <v>0</v>
      </c>
      <c r="J78" s="214">
        <f t="shared" ref="J78:J141" si="29">K78+N78</f>
        <v>38</v>
      </c>
      <c r="K78" s="214">
        <f t="shared" ref="K78:K141" si="30">L78</f>
        <v>38</v>
      </c>
      <c r="L78" s="313">
        <v>38</v>
      </c>
      <c r="M78" s="214"/>
      <c r="N78" s="214"/>
      <c r="O78" s="326"/>
      <c r="P78" s="214"/>
      <c r="Q78" s="239">
        <f t="shared" ref="Q78:Q141" si="31">R78+U78</f>
        <v>0</v>
      </c>
      <c r="R78" s="214">
        <f t="shared" ref="R78:R141" si="32">S78+T78</f>
        <v>0</v>
      </c>
      <c r="S78" s="214"/>
      <c r="T78" s="214"/>
      <c r="U78" s="239">
        <f t="shared" ref="U78:U141" si="33">V78+W78</f>
        <v>0</v>
      </c>
      <c r="V78" s="214"/>
      <c r="W78" s="214"/>
      <c r="X78" s="214"/>
      <c r="Y78" s="214"/>
      <c r="Z78" s="214"/>
      <c r="AA78" s="214"/>
      <c r="AB78" s="214">
        <f t="shared" ref="AB78:AB141" si="34">AC78+AD78</f>
        <v>0</v>
      </c>
      <c r="AC78" s="214"/>
      <c r="AD78" s="214"/>
      <c r="AE78" s="214"/>
      <c r="AF78" s="214">
        <f t="shared" si="24"/>
        <v>0</v>
      </c>
      <c r="AG78" s="214"/>
      <c r="AH78" s="214"/>
      <c r="AI78" s="214">
        <f t="shared" si="25"/>
        <v>0</v>
      </c>
      <c r="AJ78" s="214"/>
      <c r="AK78" s="214"/>
      <c r="AL78" s="214">
        <f t="shared" si="26"/>
        <v>100</v>
      </c>
      <c r="AM78" s="214">
        <f t="shared" si="26"/>
        <v>100</v>
      </c>
      <c r="AN78" s="214"/>
      <c r="AO78" s="194"/>
    </row>
    <row r="79" spans="1:41" ht="48" customHeight="1" x14ac:dyDescent="0.25">
      <c r="A79" s="194"/>
      <c r="B79" s="213" t="s">
        <v>56</v>
      </c>
      <c r="C79" s="214">
        <f t="shared" si="19"/>
        <v>30</v>
      </c>
      <c r="D79" s="313">
        <v>30</v>
      </c>
      <c r="E79" s="214"/>
      <c r="F79" s="214"/>
      <c r="G79" s="214">
        <f t="shared" si="27"/>
        <v>29.998242999999999</v>
      </c>
      <c r="H79" s="214">
        <f t="shared" si="28"/>
        <v>29.998242999999999</v>
      </c>
      <c r="I79" s="214">
        <f t="shared" ref="I79:I142" si="35">N79+U79+AB79+AI79</f>
        <v>0</v>
      </c>
      <c r="J79" s="214">
        <f t="shared" si="29"/>
        <v>29.998242999999999</v>
      </c>
      <c r="K79" s="214">
        <f t="shared" si="30"/>
        <v>29.998242999999999</v>
      </c>
      <c r="L79" s="313">
        <v>29.998242999999999</v>
      </c>
      <c r="M79" s="214"/>
      <c r="N79" s="214"/>
      <c r="O79" s="326"/>
      <c r="P79" s="214"/>
      <c r="Q79" s="239">
        <f t="shared" si="31"/>
        <v>0</v>
      </c>
      <c r="R79" s="214">
        <f t="shared" si="32"/>
        <v>0</v>
      </c>
      <c r="S79" s="214"/>
      <c r="T79" s="214"/>
      <c r="U79" s="239">
        <f t="shared" si="33"/>
        <v>0</v>
      </c>
      <c r="V79" s="214"/>
      <c r="W79" s="214"/>
      <c r="X79" s="214"/>
      <c r="Y79" s="214"/>
      <c r="Z79" s="214"/>
      <c r="AA79" s="214"/>
      <c r="AB79" s="214">
        <f t="shared" si="34"/>
        <v>0</v>
      </c>
      <c r="AC79" s="214"/>
      <c r="AD79" s="214"/>
      <c r="AE79" s="214"/>
      <c r="AF79" s="214">
        <f t="shared" si="24"/>
        <v>0</v>
      </c>
      <c r="AG79" s="214"/>
      <c r="AH79" s="214"/>
      <c r="AI79" s="214">
        <f t="shared" si="25"/>
        <v>0</v>
      </c>
      <c r="AJ79" s="214"/>
      <c r="AK79" s="214"/>
      <c r="AL79" s="214">
        <f t="shared" si="26"/>
        <v>99.994143333333326</v>
      </c>
      <c r="AM79" s="214">
        <f t="shared" si="26"/>
        <v>99.994143333333326</v>
      </c>
      <c r="AN79" s="214"/>
      <c r="AO79" s="194"/>
    </row>
    <row r="80" spans="1:41" ht="48" customHeight="1" x14ac:dyDescent="0.25">
      <c r="A80" s="194"/>
      <c r="B80" s="213" t="s">
        <v>444</v>
      </c>
      <c r="C80" s="214">
        <f t="shared" si="19"/>
        <v>2.7582949999999999</v>
      </c>
      <c r="D80" s="214">
        <v>2.7582949999999999</v>
      </c>
      <c r="E80" s="214"/>
      <c r="F80" s="214"/>
      <c r="G80" s="214">
        <f t="shared" si="27"/>
        <v>1.9991719999999999</v>
      </c>
      <c r="H80" s="214">
        <f t="shared" si="28"/>
        <v>1.9991719999999999</v>
      </c>
      <c r="I80" s="214">
        <f t="shared" si="35"/>
        <v>0</v>
      </c>
      <c r="J80" s="214">
        <f t="shared" si="29"/>
        <v>1.9991719999999999</v>
      </c>
      <c r="K80" s="214">
        <f t="shared" si="30"/>
        <v>1.9991719999999999</v>
      </c>
      <c r="L80" s="214">
        <v>1.9991719999999999</v>
      </c>
      <c r="M80" s="214"/>
      <c r="N80" s="214"/>
      <c r="O80" s="326"/>
      <c r="P80" s="214"/>
      <c r="Q80" s="239">
        <f t="shared" si="31"/>
        <v>0</v>
      </c>
      <c r="R80" s="214">
        <f t="shared" si="32"/>
        <v>0</v>
      </c>
      <c r="S80" s="214"/>
      <c r="T80" s="214"/>
      <c r="U80" s="239">
        <f t="shared" si="33"/>
        <v>0</v>
      </c>
      <c r="V80" s="214"/>
      <c r="W80" s="214"/>
      <c r="X80" s="214"/>
      <c r="Y80" s="214"/>
      <c r="Z80" s="214"/>
      <c r="AA80" s="214"/>
      <c r="AB80" s="214">
        <f t="shared" si="34"/>
        <v>0</v>
      </c>
      <c r="AC80" s="214"/>
      <c r="AD80" s="214"/>
      <c r="AE80" s="214"/>
      <c r="AF80" s="214">
        <f t="shared" si="24"/>
        <v>0</v>
      </c>
      <c r="AG80" s="214"/>
      <c r="AH80" s="214"/>
      <c r="AI80" s="214">
        <f t="shared" si="25"/>
        <v>0</v>
      </c>
      <c r="AJ80" s="214"/>
      <c r="AK80" s="214"/>
      <c r="AL80" s="214">
        <f t="shared" si="26"/>
        <v>72.478541997864625</v>
      </c>
      <c r="AM80" s="214">
        <f t="shared" si="26"/>
        <v>72.478541997864625</v>
      </c>
      <c r="AN80" s="214"/>
      <c r="AO80" s="194"/>
    </row>
    <row r="81" spans="1:41" ht="67.5" customHeight="1" x14ac:dyDescent="0.25">
      <c r="A81" s="194"/>
      <c r="B81" s="213" t="s">
        <v>372</v>
      </c>
      <c r="C81" s="214">
        <f t="shared" si="19"/>
        <v>68</v>
      </c>
      <c r="D81" s="214">
        <v>68</v>
      </c>
      <c r="E81" s="214"/>
      <c r="F81" s="214"/>
      <c r="G81" s="214">
        <f t="shared" si="27"/>
        <v>67.996437999999998</v>
      </c>
      <c r="H81" s="214">
        <f t="shared" si="28"/>
        <v>67.996437999999998</v>
      </c>
      <c r="I81" s="214">
        <f t="shared" si="35"/>
        <v>0</v>
      </c>
      <c r="J81" s="214">
        <f t="shared" si="29"/>
        <v>67.996437999999998</v>
      </c>
      <c r="K81" s="214">
        <f t="shared" si="30"/>
        <v>67.996437999999998</v>
      </c>
      <c r="L81" s="214">
        <v>67.996437999999998</v>
      </c>
      <c r="M81" s="214"/>
      <c r="N81" s="214"/>
      <c r="O81" s="326"/>
      <c r="P81" s="214"/>
      <c r="Q81" s="239">
        <f t="shared" si="31"/>
        <v>0</v>
      </c>
      <c r="R81" s="214">
        <f t="shared" si="32"/>
        <v>0</v>
      </c>
      <c r="S81" s="214"/>
      <c r="T81" s="214"/>
      <c r="U81" s="239">
        <f t="shared" si="33"/>
        <v>0</v>
      </c>
      <c r="V81" s="214"/>
      <c r="W81" s="214"/>
      <c r="X81" s="214"/>
      <c r="Y81" s="214"/>
      <c r="Z81" s="214"/>
      <c r="AA81" s="214"/>
      <c r="AB81" s="214">
        <f t="shared" si="34"/>
        <v>0</v>
      </c>
      <c r="AC81" s="214"/>
      <c r="AD81" s="214"/>
      <c r="AE81" s="214"/>
      <c r="AF81" s="214">
        <f t="shared" si="24"/>
        <v>0</v>
      </c>
      <c r="AG81" s="214"/>
      <c r="AH81" s="214"/>
      <c r="AI81" s="214">
        <f t="shared" si="25"/>
        <v>0</v>
      </c>
      <c r="AJ81" s="214"/>
      <c r="AK81" s="214"/>
      <c r="AL81" s="214">
        <f t="shared" si="26"/>
        <v>99.994761764705871</v>
      </c>
      <c r="AM81" s="214">
        <f t="shared" si="26"/>
        <v>99.994761764705871</v>
      </c>
      <c r="AN81" s="214"/>
      <c r="AO81" s="194"/>
    </row>
    <row r="82" spans="1:41" ht="48" customHeight="1" x14ac:dyDescent="0.25">
      <c r="A82" s="194"/>
      <c r="B82" s="213" t="s">
        <v>49</v>
      </c>
      <c r="C82" s="214">
        <f t="shared" si="19"/>
        <v>2.5052120000000002</v>
      </c>
      <c r="D82" s="214">
        <v>2.5052120000000002</v>
      </c>
      <c r="E82" s="214"/>
      <c r="F82" s="214"/>
      <c r="G82" s="214">
        <f t="shared" si="27"/>
        <v>2.0640100000000001</v>
      </c>
      <c r="H82" s="214">
        <f t="shared" si="28"/>
        <v>2.0640100000000001</v>
      </c>
      <c r="I82" s="214">
        <f t="shared" si="35"/>
        <v>0</v>
      </c>
      <c r="J82" s="214">
        <f t="shared" si="29"/>
        <v>2.0640100000000001</v>
      </c>
      <c r="K82" s="214">
        <f t="shared" si="30"/>
        <v>2.0640100000000001</v>
      </c>
      <c r="L82" s="214">
        <v>2.0640100000000001</v>
      </c>
      <c r="M82" s="214"/>
      <c r="N82" s="214"/>
      <c r="O82" s="326"/>
      <c r="P82" s="214"/>
      <c r="Q82" s="239">
        <f t="shared" si="31"/>
        <v>0</v>
      </c>
      <c r="R82" s="214">
        <f t="shared" si="32"/>
        <v>0</v>
      </c>
      <c r="S82" s="214"/>
      <c r="T82" s="214"/>
      <c r="U82" s="239">
        <f t="shared" si="33"/>
        <v>0</v>
      </c>
      <c r="V82" s="214"/>
      <c r="W82" s="214"/>
      <c r="X82" s="214"/>
      <c r="Y82" s="214"/>
      <c r="Z82" s="214"/>
      <c r="AA82" s="214"/>
      <c r="AB82" s="214">
        <f t="shared" si="34"/>
        <v>0</v>
      </c>
      <c r="AC82" s="214"/>
      <c r="AD82" s="214"/>
      <c r="AE82" s="214"/>
      <c r="AF82" s="214">
        <f t="shared" si="24"/>
        <v>0</v>
      </c>
      <c r="AG82" s="214"/>
      <c r="AH82" s="214"/>
      <c r="AI82" s="214">
        <f t="shared" si="25"/>
        <v>0</v>
      </c>
      <c r="AJ82" s="214"/>
      <c r="AK82" s="214"/>
      <c r="AL82" s="214">
        <f t="shared" si="26"/>
        <v>82.388636171310054</v>
      </c>
      <c r="AM82" s="214">
        <f t="shared" si="26"/>
        <v>82.388636171310054</v>
      </c>
      <c r="AN82" s="214"/>
      <c r="AO82" s="194"/>
    </row>
    <row r="83" spans="1:41" ht="48" customHeight="1" x14ac:dyDescent="0.25">
      <c r="A83" s="194"/>
      <c r="B83" s="213" t="s">
        <v>42</v>
      </c>
      <c r="C83" s="214">
        <f t="shared" si="19"/>
        <v>70</v>
      </c>
      <c r="D83" s="214">
        <v>70</v>
      </c>
      <c r="E83" s="214"/>
      <c r="F83" s="214"/>
      <c r="G83" s="214">
        <f t="shared" si="27"/>
        <v>69.550380000000004</v>
      </c>
      <c r="H83" s="214">
        <f t="shared" si="28"/>
        <v>69.550380000000004</v>
      </c>
      <c r="I83" s="214">
        <f t="shared" si="35"/>
        <v>0</v>
      </c>
      <c r="J83" s="214">
        <f t="shared" si="29"/>
        <v>69.550380000000004</v>
      </c>
      <c r="K83" s="214">
        <f t="shared" si="30"/>
        <v>69.550380000000004</v>
      </c>
      <c r="L83" s="214">
        <v>69.550380000000004</v>
      </c>
      <c r="M83" s="214"/>
      <c r="N83" s="214"/>
      <c r="O83" s="326"/>
      <c r="P83" s="214"/>
      <c r="Q83" s="239">
        <f t="shared" si="31"/>
        <v>0</v>
      </c>
      <c r="R83" s="214">
        <f t="shared" si="32"/>
        <v>0</v>
      </c>
      <c r="S83" s="214"/>
      <c r="T83" s="214"/>
      <c r="U83" s="239">
        <f t="shared" si="33"/>
        <v>0</v>
      </c>
      <c r="V83" s="214"/>
      <c r="W83" s="214"/>
      <c r="X83" s="214"/>
      <c r="Y83" s="214"/>
      <c r="Z83" s="214"/>
      <c r="AA83" s="214"/>
      <c r="AB83" s="214">
        <f t="shared" si="34"/>
        <v>0</v>
      </c>
      <c r="AC83" s="214"/>
      <c r="AD83" s="214"/>
      <c r="AE83" s="214"/>
      <c r="AF83" s="214">
        <f t="shared" si="24"/>
        <v>0</v>
      </c>
      <c r="AG83" s="214"/>
      <c r="AH83" s="214"/>
      <c r="AI83" s="214">
        <f t="shared" si="25"/>
        <v>0</v>
      </c>
      <c r="AJ83" s="214"/>
      <c r="AK83" s="214"/>
      <c r="AL83" s="214">
        <f t="shared" si="26"/>
        <v>99.357685714285722</v>
      </c>
      <c r="AM83" s="214">
        <f t="shared" si="26"/>
        <v>99.357685714285722</v>
      </c>
      <c r="AN83" s="214"/>
      <c r="AO83" s="194"/>
    </row>
    <row r="84" spans="1:41" ht="48" customHeight="1" x14ac:dyDescent="0.25">
      <c r="A84" s="194"/>
      <c r="B84" s="213" t="s">
        <v>311</v>
      </c>
      <c r="C84" s="214">
        <f t="shared" si="19"/>
        <v>60.872</v>
      </c>
      <c r="D84" s="214">
        <v>60.872</v>
      </c>
      <c r="E84" s="214"/>
      <c r="F84" s="214"/>
      <c r="G84" s="214">
        <f t="shared" si="27"/>
        <v>57.834446999999997</v>
      </c>
      <c r="H84" s="214">
        <f t="shared" si="28"/>
        <v>57.834446999999997</v>
      </c>
      <c r="I84" s="214">
        <f t="shared" si="35"/>
        <v>0</v>
      </c>
      <c r="J84" s="214">
        <f t="shared" si="29"/>
        <v>57.834446999999997</v>
      </c>
      <c r="K84" s="214">
        <f t="shared" si="30"/>
        <v>57.834446999999997</v>
      </c>
      <c r="L84" s="214">
        <v>57.834446999999997</v>
      </c>
      <c r="M84" s="214"/>
      <c r="N84" s="214"/>
      <c r="O84" s="326"/>
      <c r="P84" s="214"/>
      <c r="Q84" s="239">
        <f t="shared" si="31"/>
        <v>0</v>
      </c>
      <c r="R84" s="214">
        <f t="shared" si="32"/>
        <v>0</v>
      </c>
      <c r="S84" s="214"/>
      <c r="T84" s="214"/>
      <c r="U84" s="239">
        <f t="shared" si="33"/>
        <v>0</v>
      </c>
      <c r="V84" s="214"/>
      <c r="W84" s="214"/>
      <c r="X84" s="214"/>
      <c r="Y84" s="214"/>
      <c r="Z84" s="214"/>
      <c r="AA84" s="214"/>
      <c r="AB84" s="214">
        <f t="shared" si="34"/>
        <v>0</v>
      </c>
      <c r="AC84" s="214"/>
      <c r="AD84" s="214"/>
      <c r="AE84" s="214"/>
      <c r="AF84" s="214">
        <f t="shared" si="24"/>
        <v>0</v>
      </c>
      <c r="AG84" s="214"/>
      <c r="AH84" s="214"/>
      <c r="AI84" s="214">
        <f t="shared" si="25"/>
        <v>0</v>
      </c>
      <c r="AJ84" s="214"/>
      <c r="AK84" s="214"/>
      <c r="AL84" s="214">
        <f t="shared" si="26"/>
        <v>95.009933959784462</v>
      </c>
      <c r="AM84" s="214">
        <f t="shared" si="26"/>
        <v>95.009933959784462</v>
      </c>
      <c r="AN84" s="214"/>
      <c r="AO84" s="194"/>
    </row>
    <row r="85" spans="1:41" ht="48" customHeight="1" x14ac:dyDescent="0.25">
      <c r="A85" s="194"/>
      <c r="B85" s="213" t="s">
        <v>92</v>
      </c>
      <c r="C85" s="214">
        <f t="shared" si="19"/>
        <v>3.364474</v>
      </c>
      <c r="D85" s="214">
        <v>3.364474</v>
      </c>
      <c r="E85" s="214"/>
      <c r="F85" s="214"/>
      <c r="G85" s="214">
        <f t="shared" si="27"/>
        <v>2.032</v>
      </c>
      <c r="H85" s="214">
        <f t="shared" si="28"/>
        <v>2.032</v>
      </c>
      <c r="I85" s="214">
        <f t="shared" si="35"/>
        <v>0</v>
      </c>
      <c r="J85" s="214">
        <f t="shared" si="29"/>
        <v>2.032</v>
      </c>
      <c r="K85" s="214">
        <f t="shared" si="30"/>
        <v>2.032</v>
      </c>
      <c r="L85" s="214">
        <v>2.032</v>
      </c>
      <c r="M85" s="214"/>
      <c r="N85" s="214"/>
      <c r="O85" s="326"/>
      <c r="P85" s="214"/>
      <c r="Q85" s="239">
        <f t="shared" si="31"/>
        <v>0</v>
      </c>
      <c r="R85" s="214">
        <f t="shared" si="32"/>
        <v>0</v>
      </c>
      <c r="S85" s="214"/>
      <c r="T85" s="214"/>
      <c r="U85" s="239">
        <f t="shared" si="33"/>
        <v>0</v>
      </c>
      <c r="V85" s="214"/>
      <c r="W85" s="214"/>
      <c r="X85" s="214"/>
      <c r="Y85" s="214"/>
      <c r="Z85" s="214"/>
      <c r="AA85" s="214"/>
      <c r="AB85" s="214">
        <f t="shared" si="34"/>
        <v>0</v>
      </c>
      <c r="AC85" s="214"/>
      <c r="AD85" s="214"/>
      <c r="AE85" s="214"/>
      <c r="AF85" s="214">
        <f t="shared" si="24"/>
        <v>0</v>
      </c>
      <c r="AG85" s="214"/>
      <c r="AH85" s="214"/>
      <c r="AI85" s="214">
        <f t="shared" si="25"/>
        <v>0</v>
      </c>
      <c r="AJ85" s="214"/>
      <c r="AK85" s="214"/>
      <c r="AL85" s="214">
        <f t="shared" si="26"/>
        <v>60.395770631605416</v>
      </c>
      <c r="AM85" s="214">
        <f t="shared" si="26"/>
        <v>60.395770631605416</v>
      </c>
      <c r="AN85" s="214"/>
      <c r="AO85" s="194"/>
    </row>
    <row r="86" spans="1:41" ht="48" customHeight="1" x14ac:dyDescent="0.25">
      <c r="A86" s="194"/>
      <c r="B86" s="213" t="s">
        <v>393</v>
      </c>
      <c r="C86" s="214">
        <f t="shared" si="19"/>
        <v>145</v>
      </c>
      <c r="D86" s="214">
        <v>145</v>
      </c>
      <c r="E86" s="214"/>
      <c r="F86" s="214"/>
      <c r="G86" s="214">
        <f t="shared" si="27"/>
        <v>143.0453</v>
      </c>
      <c r="H86" s="214">
        <f t="shared" si="28"/>
        <v>143.0453</v>
      </c>
      <c r="I86" s="214">
        <f t="shared" si="35"/>
        <v>0</v>
      </c>
      <c r="J86" s="214">
        <f t="shared" si="29"/>
        <v>143.0453</v>
      </c>
      <c r="K86" s="214">
        <f t="shared" si="30"/>
        <v>143.0453</v>
      </c>
      <c r="L86" s="214">
        <v>143.0453</v>
      </c>
      <c r="M86" s="214"/>
      <c r="N86" s="214"/>
      <c r="O86" s="326"/>
      <c r="P86" s="214"/>
      <c r="Q86" s="239">
        <f t="shared" si="31"/>
        <v>0</v>
      </c>
      <c r="R86" s="214">
        <f t="shared" si="32"/>
        <v>0</v>
      </c>
      <c r="S86" s="214"/>
      <c r="T86" s="214"/>
      <c r="U86" s="239">
        <f t="shared" si="33"/>
        <v>0</v>
      </c>
      <c r="V86" s="214"/>
      <c r="W86" s="214"/>
      <c r="X86" s="214"/>
      <c r="Y86" s="214"/>
      <c r="Z86" s="214"/>
      <c r="AA86" s="214"/>
      <c r="AB86" s="214">
        <f t="shared" si="34"/>
        <v>0</v>
      </c>
      <c r="AC86" s="214"/>
      <c r="AD86" s="214"/>
      <c r="AE86" s="214"/>
      <c r="AF86" s="214">
        <f t="shared" si="24"/>
        <v>0</v>
      </c>
      <c r="AG86" s="214"/>
      <c r="AH86" s="214"/>
      <c r="AI86" s="214">
        <f t="shared" si="25"/>
        <v>0</v>
      </c>
      <c r="AJ86" s="214"/>
      <c r="AK86" s="214"/>
      <c r="AL86" s="214">
        <f t="shared" si="26"/>
        <v>98.651931034482757</v>
      </c>
      <c r="AM86" s="214">
        <f t="shared" si="26"/>
        <v>98.651931034482757</v>
      </c>
      <c r="AN86" s="214"/>
      <c r="AO86" s="194"/>
    </row>
    <row r="87" spans="1:41" ht="48" customHeight="1" x14ac:dyDescent="0.25">
      <c r="A87" s="194"/>
      <c r="B87" s="213" t="s">
        <v>394</v>
      </c>
      <c r="C87" s="214">
        <f t="shared" si="19"/>
        <v>125</v>
      </c>
      <c r="D87" s="214">
        <v>125</v>
      </c>
      <c r="E87" s="214"/>
      <c r="F87" s="214"/>
      <c r="G87" s="214">
        <f t="shared" si="27"/>
        <v>121.47927799999999</v>
      </c>
      <c r="H87" s="214">
        <f t="shared" si="28"/>
        <v>121.47927799999999</v>
      </c>
      <c r="I87" s="214">
        <f t="shared" si="35"/>
        <v>0</v>
      </c>
      <c r="J87" s="214">
        <f t="shared" si="29"/>
        <v>121.47927799999999</v>
      </c>
      <c r="K87" s="214">
        <f t="shared" si="30"/>
        <v>121.47927799999999</v>
      </c>
      <c r="L87" s="214">
        <v>121.47927799999999</v>
      </c>
      <c r="M87" s="214"/>
      <c r="N87" s="214"/>
      <c r="O87" s="326"/>
      <c r="P87" s="214"/>
      <c r="Q87" s="239">
        <f t="shared" si="31"/>
        <v>0</v>
      </c>
      <c r="R87" s="214">
        <f t="shared" si="32"/>
        <v>0</v>
      </c>
      <c r="S87" s="214"/>
      <c r="T87" s="214"/>
      <c r="U87" s="239">
        <f t="shared" si="33"/>
        <v>0</v>
      </c>
      <c r="V87" s="214"/>
      <c r="W87" s="214"/>
      <c r="X87" s="214"/>
      <c r="Y87" s="214"/>
      <c r="Z87" s="214"/>
      <c r="AA87" s="214"/>
      <c r="AB87" s="214">
        <f t="shared" si="34"/>
        <v>0</v>
      </c>
      <c r="AC87" s="214"/>
      <c r="AD87" s="214"/>
      <c r="AE87" s="214"/>
      <c r="AF87" s="214">
        <f t="shared" si="24"/>
        <v>0</v>
      </c>
      <c r="AG87" s="214"/>
      <c r="AH87" s="214"/>
      <c r="AI87" s="214">
        <f t="shared" si="25"/>
        <v>0</v>
      </c>
      <c r="AJ87" s="214"/>
      <c r="AK87" s="214"/>
      <c r="AL87" s="214">
        <f t="shared" si="26"/>
        <v>97.183422399999998</v>
      </c>
      <c r="AM87" s="214">
        <f t="shared" si="26"/>
        <v>97.183422399999998</v>
      </c>
      <c r="AN87" s="214"/>
      <c r="AO87" s="194"/>
    </row>
    <row r="88" spans="1:41" ht="48" customHeight="1" x14ac:dyDescent="0.25">
      <c r="A88" s="194"/>
      <c r="B88" s="213" t="s">
        <v>66</v>
      </c>
      <c r="C88" s="214">
        <f t="shared" si="19"/>
        <v>270</v>
      </c>
      <c r="D88" s="214">
        <v>270</v>
      </c>
      <c r="E88" s="214"/>
      <c r="F88" s="214"/>
      <c r="G88" s="214">
        <f t="shared" si="27"/>
        <v>269.71860700000002</v>
      </c>
      <c r="H88" s="214">
        <f t="shared" si="28"/>
        <v>269.71860700000002</v>
      </c>
      <c r="I88" s="214">
        <f t="shared" si="35"/>
        <v>0</v>
      </c>
      <c r="J88" s="214">
        <f t="shared" si="29"/>
        <v>269.71860700000002</v>
      </c>
      <c r="K88" s="214">
        <f t="shared" si="30"/>
        <v>269.71860700000002</v>
      </c>
      <c r="L88" s="214">
        <v>269.71860700000002</v>
      </c>
      <c r="M88" s="214"/>
      <c r="N88" s="214"/>
      <c r="O88" s="326"/>
      <c r="P88" s="214"/>
      <c r="Q88" s="239">
        <f t="shared" si="31"/>
        <v>0</v>
      </c>
      <c r="R88" s="214">
        <f t="shared" si="32"/>
        <v>0</v>
      </c>
      <c r="S88" s="214"/>
      <c r="T88" s="214"/>
      <c r="U88" s="239">
        <f t="shared" si="33"/>
        <v>0</v>
      </c>
      <c r="V88" s="214"/>
      <c r="W88" s="214"/>
      <c r="X88" s="214"/>
      <c r="Y88" s="214"/>
      <c r="Z88" s="214"/>
      <c r="AA88" s="214"/>
      <c r="AB88" s="214">
        <f t="shared" si="34"/>
        <v>0</v>
      </c>
      <c r="AC88" s="214"/>
      <c r="AD88" s="214"/>
      <c r="AE88" s="214"/>
      <c r="AF88" s="214">
        <f t="shared" si="24"/>
        <v>0</v>
      </c>
      <c r="AG88" s="214"/>
      <c r="AH88" s="214"/>
      <c r="AI88" s="214">
        <f t="shared" si="25"/>
        <v>0</v>
      </c>
      <c r="AJ88" s="214"/>
      <c r="AK88" s="214"/>
      <c r="AL88" s="214">
        <f t="shared" si="26"/>
        <v>99.895780370370375</v>
      </c>
      <c r="AM88" s="214">
        <f t="shared" si="26"/>
        <v>99.895780370370375</v>
      </c>
      <c r="AN88" s="214"/>
      <c r="AO88" s="194"/>
    </row>
    <row r="89" spans="1:41" ht="48" customHeight="1" x14ac:dyDescent="0.25">
      <c r="A89" s="194"/>
      <c r="B89" s="213" t="s">
        <v>397</v>
      </c>
      <c r="C89" s="214">
        <f t="shared" si="19"/>
        <v>68</v>
      </c>
      <c r="D89" s="214">
        <v>68</v>
      </c>
      <c r="E89" s="214"/>
      <c r="F89" s="214"/>
      <c r="G89" s="214">
        <f t="shared" si="27"/>
        <v>68</v>
      </c>
      <c r="H89" s="214">
        <f t="shared" si="28"/>
        <v>68</v>
      </c>
      <c r="I89" s="214">
        <f t="shared" si="35"/>
        <v>0</v>
      </c>
      <c r="J89" s="214">
        <f t="shared" si="29"/>
        <v>68</v>
      </c>
      <c r="K89" s="214">
        <f t="shared" si="30"/>
        <v>68</v>
      </c>
      <c r="L89" s="214">
        <v>68</v>
      </c>
      <c r="M89" s="214"/>
      <c r="N89" s="214"/>
      <c r="O89" s="326"/>
      <c r="P89" s="214"/>
      <c r="Q89" s="239">
        <f t="shared" si="31"/>
        <v>0</v>
      </c>
      <c r="R89" s="214">
        <f t="shared" si="32"/>
        <v>0</v>
      </c>
      <c r="S89" s="214"/>
      <c r="T89" s="214"/>
      <c r="U89" s="239">
        <f t="shared" si="33"/>
        <v>0</v>
      </c>
      <c r="V89" s="214"/>
      <c r="W89" s="214"/>
      <c r="X89" s="214"/>
      <c r="Y89" s="214"/>
      <c r="Z89" s="214"/>
      <c r="AA89" s="214"/>
      <c r="AB89" s="214">
        <f t="shared" si="34"/>
        <v>0</v>
      </c>
      <c r="AC89" s="214"/>
      <c r="AD89" s="214"/>
      <c r="AE89" s="214"/>
      <c r="AF89" s="214">
        <f t="shared" si="24"/>
        <v>0</v>
      </c>
      <c r="AG89" s="214"/>
      <c r="AH89" s="214"/>
      <c r="AI89" s="214">
        <f t="shared" si="25"/>
        <v>0</v>
      </c>
      <c r="AJ89" s="214"/>
      <c r="AK89" s="214"/>
      <c r="AL89" s="214">
        <f t="shared" si="26"/>
        <v>99.999999999999986</v>
      </c>
      <c r="AM89" s="214">
        <f t="shared" si="26"/>
        <v>99.999999999999986</v>
      </c>
      <c r="AN89" s="214"/>
      <c r="AO89" s="194"/>
    </row>
    <row r="90" spans="1:41" ht="48" customHeight="1" x14ac:dyDescent="0.25">
      <c r="A90" s="194"/>
      <c r="B90" s="213" t="s">
        <v>102</v>
      </c>
      <c r="C90" s="214">
        <f t="shared" si="19"/>
        <v>68</v>
      </c>
      <c r="D90" s="214">
        <v>68</v>
      </c>
      <c r="E90" s="214"/>
      <c r="F90" s="214"/>
      <c r="G90" s="214">
        <f t="shared" si="27"/>
        <v>68</v>
      </c>
      <c r="H90" s="214">
        <f t="shared" si="28"/>
        <v>68</v>
      </c>
      <c r="I90" s="214">
        <f t="shared" si="35"/>
        <v>0</v>
      </c>
      <c r="J90" s="214">
        <f t="shared" si="29"/>
        <v>68</v>
      </c>
      <c r="K90" s="214">
        <f t="shared" si="30"/>
        <v>68</v>
      </c>
      <c r="L90" s="214">
        <v>68</v>
      </c>
      <c r="M90" s="214"/>
      <c r="N90" s="214"/>
      <c r="O90" s="326"/>
      <c r="P90" s="214"/>
      <c r="Q90" s="239">
        <f t="shared" si="31"/>
        <v>0</v>
      </c>
      <c r="R90" s="214">
        <f t="shared" si="32"/>
        <v>0</v>
      </c>
      <c r="S90" s="214"/>
      <c r="T90" s="214"/>
      <c r="U90" s="239">
        <f t="shared" si="33"/>
        <v>0</v>
      </c>
      <c r="V90" s="214"/>
      <c r="W90" s="214"/>
      <c r="X90" s="214"/>
      <c r="Y90" s="214"/>
      <c r="Z90" s="214"/>
      <c r="AA90" s="214"/>
      <c r="AB90" s="214">
        <f t="shared" si="34"/>
        <v>0</v>
      </c>
      <c r="AC90" s="214"/>
      <c r="AD90" s="214"/>
      <c r="AE90" s="214"/>
      <c r="AF90" s="214">
        <f t="shared" si="24"/>
        <v>0</v>
      </c>
      <c r="AG90" s="214"/>
      <c r="AH90" s="214"/>
      <c r="AI90" s="214">
        <f t="shared" si="25"/>
        <v>0</v>
      </c>
      <c r="AJ90" s="214"/>
      <c r="AK90" s="214"/>
      <c r="AL90" s="214">
        <f t="shared" si="26"/>
        <v>99.999999999999986</v>
      </c>
      <c r="AM90" s="214">
        <f t="shared" si="26"/>
        <v>99.999999999999986</v>
      </c>
      <c r="AN90" s="214"/>
      <c r="AO90" s="194"/>
    </row>
    <row r="91" spans="1:41" ht="48" customHeight="1" x14ac:dyDescent="0.25">
      <c r="A91" s="194"/>
      <c r="B91" s="213" t="s">
        <v>81</v>
      </c>
      <c r="C91" s="214">
        <f t="shared" ref="C91:C154" si="36">D91+E91</f>
        <v>16</v>
      </c>
      <c r="D91" s="214">
        <v>16</v>
      </c>
      <c r="E91" s="214"/>
      <c r="F91" s="214"/>
      <c r="G91" s="214">
        <f t="shared" si="27"/>
        <v>15.986424</v>
      </c>
      <c r="H91" s="214">
        <f t="shared" si="28"/>
        <v>15.986424</v>
      </c>
      <c r="I91" s="214">
        <f t="shared" si="35"/>
        <v>0</v>
      </c>
      <c r="J91" s="214">
        <f t="shared" si="29"/>
        <v>15.986424</v>
      </c>
      <c r="K91" s="214">
        <f t="shared" si="30"/>
        <v>15.986424</v>
      </c>
      <c r="L91" s="214">
        <v>15.986424</v>
      </c>
      <c r="M91" s="214"/>
      <c r="N91" s="214"/>
      <c r="O91" s="326"/>
      <c r="P91" s="214"/>
      <c r="Q91" s="239">
        <f t="shared" si="31"/>
        <v>0</v>
      </c>
      <c r="R91" s="214">
        <f t="shared" si="32"/>
        <v>0</v>
      </c>
      <c r="S91" s="214"/>
      <c r="T91" s="214"/>
      <c r="U91" s="239">
        <f t="shared" si="33"/>
        <v>0</v>
      </c>
      <c r="V91" s="214"/>
      <c r="W91" s="214"/>
      <c r="X91" s="214"/>
      <c r="Y91" s="214"/>
      <c r="Z91" s="214"/>
      <c r="AA91" s="214"/>
      <c r="AB91" s="214">
        <f t="shared" si="34"/>
        <v>0</v>
      </c>
      <c r="AC91" s="214"/>
      <c r="AD91" s="214"/>
      <c r="AE91" s="214"/>
      <c r="AF91" s="214">
        <f t="shared" si="24"/>
        <v>0</v>
      </c>
      <c r="AG91" s="214"/>
      <c r="AH91" s="214"/>
      <c r="AI91" s="214">
        <f t="shared" si="25"/>
        <v>0</v>
      </c>
      <c r="AJ91" s="214"/>
      <c r="AK91" s="214"/>
      <c r="AL91" s="214">
        <f t="shared" si="26"/>
        <v>99.915149999999997</v>
      </c>
      <c r="AM91" s="214">
        <f t="shared" si="26"/>
        <v>99.915149999999997</v>
      </c>
      <c r="AN91" s="214"/>
      <c r="AO91" s="194"/>
    </row>
    <row r="92" spans="1:41" ht="48" customHeight="1" x14ac:dyDescent="0.25">
      <c r="A92" s="194"/>
      <c r="B92" s="213" t="s">
        <v>96</v>
      </c>
      <c r="C92" s="214">
        <f t="shared" si="36"/>
        <v>75</v>
      </c>
      <c r="D92" s="214">
        <v>75</v>
      </c>
      <c r="E92" s="214"/>
      <c r="F92" s="214"/>
      <c r="G92" s="214">
        <f t="shared" si="27"/>
        <v>67.537172999999996</v>
      </c>
      <c r="H92" s="214">
        <f t="shared" si="28"/>
        <v>67.537172999999996</v>
      </c>
      <c r="I92" s="214">
        <f t="shared" si="35"/>
        <v>0</v>
      </c>
      <c r="J92" s="214">
        <f t="shared" si="29"/>
        <v>67.537172999999996</v>
      </c>
      <c r="K92" s="214">
        <f t="shared" si="30"/>
        <v>67.537172999999996</v>
      </c>
      <c r="L92" s="214">
        <v>67.537172999999996</v>
      </c>
      <c r="M92" s="214"/>
      <c r="N92" s="214"/>
      <c r="O92" s="326"/>
      <c r="P92" s="214"/>
      <c r="Q92" s="239">
        <f t="shared" si="31"/>
        <v>0</v>
      </c>
      <c r="R92" s="214">
        <f t="shared" si="32"/>
        <v>0</v>
      </c>
      <c r="S92" s="214"/>
      <c r="T92" s="214"/>
      <c r="U92" s="239">
        <f t="shared" si="33"/>
        <v>0</v>
      </c>
      <c r="V92" s="214"/>
      <c r="W92" s="214"/>
      <c r="X92" s="214"/>
      <c r="Y92" s="214"/>
      <c r="Z92" s="214"/>
      <c r="AA92" s="214"/>
      <c r="AB92" s="214">
        <f t="shared" si="34"/>
        <v>0</v>
      </c>
      <c r="AC92" s="214"/>
      <c r="AD92" s="214"/>
      <c r="AE92" s="214"/>
      <c r="AF92" s="214">
        <f t="shared" si="24"/>
        <v>0</v>
      </c>
      <c r="AG92" s="214"/>
      <c r="AH92" s="214"/>
      <c r="AI92" s="214">
        <f t="shared" si="25"/>
        <v>0</v>
      </c>
      <c r="AJ92" s="214"/>
      <c r="AK92" s="214"/>
      <c r="AL92" s="214">
        <f t="shared" si="26"/>
        <v>90.04956399999999</v>
      </c>
      <c r="AM92" s="214">
        <f t="shared" si="26"/>
        <v>90.04956399999999</v>
      </c>
      <c r="AN92" s="214"/>
      <c r="AO92" s="194"/>
    </row>
    <row r="93" spans="1:41" ht="48" customHeight="1" x14ac:dyDescent="0.25">
      <c r="A93" s="194"/>
      <c r="B93" s="213" t="s">
        <v>71</v>
      </c>
      <c r="C93" s="214">
        <f t="shared" si="36"/>
        <v>14</v>
      </c>
      <c r="D93" s="214">
        <v>14</v>
      </c>
      <c r="E93" s="214"/>
      <c r="F93" s="214"/>
      <c r="G93" s="214">
        <f t="shared" si="27"/>
        <v>11.192843</v>
      </c>
      <c r="H93" s="214">
        <f t="shared" si="28"/>
        <v>11.192843</v>
      </c>
      <c r="I93" s="214">
        <f t="shared" si="35"/>
        <v>0</v>
      </c>
      <c r="J93" s="214">
        <f t="shared" si="29"/>
        <v>11.192843</v>
      </c>
      <c r="K93" s="214">
        <f t="shared" si="30"/>
        <v>11.192843</v>
      </c>
      <c r="L93" s="214">
        <v>11.192843</v>
      </c>
      <c r="M93" s="214"/>
      <c r="N93" s="214"/>
      <c r="O93" s="326"/>
      <c r="P93" s="214"/>
      <c r="Q93" s="239">
        <f t="shared" si="31"/>
        <v>0</v>
      </c>
      <c r="R93" s="214">
        <f t="shared" si="32"/>
        <v>0</v>
      </c>
      <c r="S93" s="214"/>
      <c r="T93" s="214"/>
      <c r="U93" s="239">
        <f t="shared" si="33"/>
        <v>0</v>
      </c>
      <c r="V93" s="214"/>
      <c r="W93" s="214"/>
      <c r="X93" s="214"/>
      <c r="Y93" s="214"/>
      <c r="Z93" s="214"/>
      <c r="AA93" s="214"/>
      <c r="AB93" s="214">
        <f t="shared" si="34"/>
        <v>0</v>
      </c>
      <c r="AC93" s="214"/>
      <c r="AD93" s="214"/>
      <c r="AE93" s="214"/>
      <c r="AF93" s="214">
        <f t="shared" si="24"/>
        <v>0</v>
      </c>
      <c r="AG93" s="214"/>
      <c r="AH93" s="214"/>
      <c r="AI93" s="214">
        <f t="shared" si="25"/>
        <v>0</v>
      </c>
      <c r="AJ93" s="214"/>
      <c r="AK93" s="214"/>
      <c r="AL93" s="214">
        <f t="shared" si="26"/>
        <v>79.948878571428565</v>
      </c>
      <c r="AM93" s="214">
        <f t="shared" si="26"/>
        <v>79.948878571428565</v>
      </c>
      <c r="AN93" s="214"/>
      <c r="AO93" s="194"/>
    </row>
    <row r="94" spans="1:41" ht="48" customHeight="1" x14ac:dyDescent="0.25">
      <c r="A94" s="194"/>
      <c r="B94" s="213" t="s">
        <v>87</v>
      </c>
      <c r="C94" s="214">
        <f t="shared" si="36"/>
        <v>61</v>
      </c>
      <c r="D94" s="214">
        <v>61</v>
      </c>
      <c r="E94" s="214"/>
      <c r="F94" s="214"/>
      <c r="G94" s="214">
        <f t="shared" si="27"/>
        <v>60.961364000000003</v>
      </c>
      <c r="H94" s="214">
        <f t="shared" si="28"/>
        <v>60.961364000000003</v>
      </c>
      <c r="I94" s="214">
        <f t="shared" si="35"/>
        <v>0</v>
      </c>
      <c r="J94" s="214">
        <f t="shared" si="29"/>
        <v>60.961364000000003</v>
      </c>
      <c r="K94" s="214">
        <f t="shared" si="30"/>
        <v>60.961364000000003</v>
      </c>
      <c r="L94" s="214">
        <v>60.961364000000003</v>
      </c>
      <c r="M94" s="214"/>
      <c r="N94" s="214"/>
      <c r="O94" s="326"/>
      <c r="P94" s="214"/>
      <c r="Q94" s="239">
        <f t="shared" si="31"/>
        <v>0</v>
      </c>
      <c r="R94" s="214">
        <f t="shared" si="32"/>
        <v>0</v>
      </c>
      <c r="S94" s="214"/>
      <c r="T94" s="214"/>
      <c r="U94" s="239">
        <f t="shared" si="33"/>
        <v>0</v>
      </c>
      <c r="V94" s="214"/>
      <c r="W94" s="214"/>
      <c r="X94" s="214"/>
      <c r="Y94" s="214"/>
      <c r="Z94" s="214"/>
      <c r="AA94" s="214"/>
      <c r="AB94" s="214">
        <f t="shared" si="34"/>
        <v>0</v>
      </c>
      <c r="AC94" s="214"/>
      <c r="AD94" s="214"/>
      <c r="AE94" s="214"/>
      <c r="AF94" s="214">
        <f t="shared" si="24"/>
        <v>0</v>
      </c>
      <c r="AG94" s="214"/>
      <c r="AH94" s="214"/>
      <c r="AI94" s="214">
        <f t="shared" si="25"/>
        <v>0</v>
      </c>
      <c r="AJ94" s="214"/>
      <c r="AK94" s="214"/>
      <c r="AL94" s="214">
        <f t="shared" si="26"/>
        <v>99.936662295081973</v>
      </c>
      <c r="AM94" s="214">
        <f t="shared" si="26"/>
        <v>99.936662295081973</v>
      </c>
      <c r="AN94" s="214"/>
      <c r="AO94" s="194"/>
    </row>
    <row r="95" spans="1:41" ht="48" customHeight="1" x14ac:dyDescent="0.25">
      <c r="A95" s="194"/>
      <c r="B95" s="213" t="s">
        <v>387</v>
      </c>
      <c r="C95" s="214">
        <f t="shared" si="36"/>
        <v>23</v>
      </c>
      <c r="D95" s="214">
        <v>23</v>
      </c>
      <c r="E95" s="214"/>
      <c r="F95" s="214"/>
      <c r="G95" s="214">
        <f t="shared" si="27"/>
        <v>16.484559999999998</v>
      </c>
      <c r="H95" s="214">
        <f t="shared" si="28"/>
        <v>16.484559999999998</v>
      </c>
      <c r="I95" s="214">
        <f t="shared" si="35"/>
        <v>0</v>
      </c>
      <c r="J95" s="214">
        <f t="shared" si="29"/>
        <v>16.484559999999998</v>
      </c>
      <c r="K95" s="214">
        <f t="shared" si="30"/>
        <v>16.484559999999998</v>
      </c>
      <c r="L95" s="214">
        <v>16.484559999999998</v>
      </c>
      <c r="M95" s="214"/>
      <c r="N95" s="214"/>
      <c r="O95" s="326"/>
      <c r="P95" s="214"/>
      <c r="Q95" s="239">
        <f t="shared" si="31"/>
        <v>0</v>
      </c>
      <c r="R95" s="214">
        <f t="shared" si="32"/>
        <v>0</v>
      </c>
      <c r="S95" s="214"/>
      <c r="T95" s="214"/>
      <c r="U95" s="239">
        <f t="shared" si="33"/>
        <v>0</v>
      </c>
      <c r="V95" s="214"/>
      <c r="W95" s="214"/>
      <c r="X95" s="214"/>
      <c r="Y95" s="214"/>
      <c r="Z95" s="214"/>
      <c r="AA95" s="214"/>
      <c r="AB95" s="214">
        <f t="shared" si="34"/>
        <v>0</v>
      </c>
      <c r="AC95" s="214"/>
      <c r="AD95" s="214"/>
      <c r="AE95" s="214"/>
      <c r="AF95" s="214">
        <f t="shared" si="24"/>
        <v>0</v>
      </c>
      <c r="AG95" s="214"/>
      <c r="AH95" s="214"/>
      <c r="AI95" s="214">
        <f t="shared" si="25"/>
        <v>0</v>
      </c>
      <c r="AJ95" s="214"/>
      <c r="AK95" s="214"/>
      <c r="AL95" s="214">
        <f t="shared" si="26"/>
        <v>71.671999999999983</v>
      </c>
      <c r="AM95" s="214">
        <f t="shared" si="26"/>
        <v>71.671999999999983</v>
      </c>
      <c r="AN95" s="214"/>
      <c r="AO95" s="194"/>
    </row>
    <row r="96" spans="1:41" ht="48" customHeight="1" x14ac:dyDescent="0.25">
      <c r="A96" s="194"/>
      <c r="B96" s="213" t="s">
        <v>388</v>
      </c>
      <c r="C96" s="214">
        <f t="shared" si="36"/>
        <v>24</v>
      </c>
      <c r="D96" s="214">
        <v>24</v>
      </c>
      <c r="E96" s="214"/>
      <c r="F96" s="214"/>
      <c r="G96" s="214">
        <f t="shared" si="27"/>
        <v>21.878523000000001</v>
      </c>
      <c r="H96" s="214">
        <f t="shared" si="28"/>
        <v>21.878523000000001</v>
      </c>
      <c r="I96" s="214">
        <f t="shared" si="35"/>
        <v>0</v>
      </c>
      <c r="J96" s="214">
        <f t="shared" si="29"/>
        <v>21.878523000000001</v>
      </c>
      <c r="K96" s="214">
        <f t="shared" si="30"/>
        <v>21.878523000000001</v>
      </c>
      <c r="L96" s="214">
        <v>21.878523000000001</v>
      </c>
      <c r="M96" s="214"/>
      <c r="N96" s="214"/>
      <c r="O96" s="326"/>
      <c r="P96" s="214"/>
      <c r="Q96" s="239">
        <f t="shared" si="31"/>
        <v>0</v>
      </c>
      <c r="R96" s="214">
        <f t="shared" si="32"/>
        <v>0</v>
      </c>
      <c r="S96" s="214"/>
      <c r="T96" s="214"/>
      <c r="U96" s="239">
        <f t="shared" si="33"/>
        <v>0</v>
      </c>
      <c r="V96" s="214"/>
      <c r="W96" s="214"/>
      <c r="X96" s="214"/>
      <c r="Y96" s="214"/>
      <c r="Z96" s="214"/>
      <c r="AA96" s="214"/>
      <c r="AB96" s="214">
        <f t="shared" si="34"/>
        <v>0</v>
      </c>
      <c r="AC96" s="214"/>
      <c r="AD96" s="214"/>
      <c r="AE96" s="214"/>
      <c r="AF96" s="214">
        <f t="shared" si="24"/>
        <v>0</v>
      </c>
      <c r="AG96" s="214"/>
      <c r="AH96" s="214"/>
      <c r="AI96" s="214">
        <f t="shared" si="25"/>
        <v>0</v>
      </c>
      <c r="AJ96" s="214"/>
      <c r="AK96" s="214"/>
      <c r="AL96" s="214">
        <f t="shared" si="26"/>
        <v>91.16051250000001</v>
      </c>
      <c r="AM96" s="214">
        <f t="shared" si="26"/>
        <v>91.16051250000001</v>
      </c>
      <c r="AN96" s="214"/>
      <c r="AO96" s="194"/>
    </row>
    <row r="97" spans="1:41" ht="48" customHeight="1" x14ac:dyDescent="0.25">
      <c r="A97" s="194"/>
      <c r="B97" s="213" t="s">
        <v>74</v>
      </c>
      <c r="C97" s="214">
        <f t="shared" si="36"/>
        <v>2.9196390000000001</v>
      </c>
      <c r="D97" s="214">
        <v>2.9196390000000001</v>
      </c>
      <c r="E97" s="214"/>
      <c r="F97" s="214"/>
      <c r="G97" s="214">
        <f t="shared" si="27"/>
        <v>2.9196390000000001</v>
      </c>
      <c r="H97" s="214">
        <f t="shared" si="28"/>
        <v>2.9196390000000001</v>
      </c>
      <c r="I97" s="214">
        <f t="shared" si="35"/>
        <v>0</v>
      </c>
      <c r="J97" s="214">
        <f t="shared" si="29"/>
        <v>2.9196390000000001</v>
      </c>
      <c r="K97" s="214">
        <f t="shared" si="30"/>
        <v>2.9196390000000001</v>
      </c>
      <c r="L97" s="214">
        <v>2.9196390000000001</v>
      </c>
      <c r="M97" s="214"/>
      <c r="N97" s="214"/>
      <c r="O97" s="326"/>
      <c r="P97" s="214"/>
      <c r="Q97" s="239">
        <f t="shared" si="31"/>
        <v>0</v>
      </c>
      <c r="R97" s="214">
        <f t="shared" si="32"/>
        <v>0</v>
      </c>
      <c r="S97" s="214"/>
      <c r="T97" s="214"/>
      <c r="U97" s="239">
        <f t="shared" si="33"/>
        <v>0</v>
      </c>
      <c r="V97" s="214"/>
      <c r="W97" s="214"/>
      <c r="X97" s="214"/>
      <c r="Y97" s="214"/>
      <c r="Z97" s="214"/>
      <c r="AA97" s="214"/>
      <c r="AB97" s="214">
        <f t="shared" si="34"/>
        <v>0</v>
      </c>
      <c r="AC97" s="214"/>
      <c r="AD97" s="214"/>
      <c r="AE97" s="214"/>
      <c r="AF97" s="214">
        <f t="shared" si="24"/>
        <v>0</v>
      </c>
      <c r="AG97" s="214"/>
      <c r="AH97" s="214"/>
      <c r="AI97" s="214">
        <f t="shared" si="25"/>
        <v>0</v>
      </c>
      <c r="AJ97" s="214"/>
      <c r="AK97" s="214"/>
      <c r="AL97" s="214">
        <f t="shared" si="26"/>
        <v>100</v>
      </c>
      <c r="AM97" s="214">
        <f t="shared" si="26"/>
        <v>100</v>
      </c>
      <c r="AN97" s="214"/>
      <c r="AO97" s="194"/>
    </row>
    <row r="98" spans="1:41" s="309" customFormat="1" ht="48" customHeight="1" x14ac:dyDescent="0.25">
      <c r="A98" s="215" t="s">
        <v>796</v>
      </c>
      <c r="B98" s="216" t="s">
        <v>172</v>
      </c>
      <c r="C98" s="307">
        <f t="shared" si="36"/>
        <v>16114</v>
      </c>
      <c r="D98" s="307">
        <f>SUM(D99:D155)</f>
        <v>16114</v>
      </c>
      <c r="E98" s="307">
        <f>SUM(E99:E155)</f>
        <v>0</v>
      </c>
      <c r="F98" s="307">
        <f>SUM(F99:F155)</f>
        <v>0</v>
      </c>
      <c r="G98" s="242">
        <f t="shared" si="27"/>
        <v>12613.658661999998</v>
      </c>
      <c r="H98" s="307">
        <f t="shared" si="28"/>
        <v>12613.658661999998</v>
      </c>
      <c r="I98" s="307">
        <f t="shared" si="35"/>
        <v>0</v>
      </c>
      <c r="J98" s="307">
        <f t="shared" si="29"/>
        <v>12613.658661999998</v>
      </c>
      <c r="K98" s="307">
        <f t="shared" si="30"/>
        <v>12613.658661999998</v>
      </c>
      <c r="L98" s="307">
        <f>SUM(L99:L155)</f>
        <v>12613.658661999998</v>
      </c>
      <c r="M98" s="307"/>
      <c r="N98" s="307"/>
      <c r="O98" s="356"/>
      <c r="P98" s="307"/>
      <c r="Q98" s="242">
        <f t="shared" si="31"/>
        <v>0</v>
      </c>
      <c r="R98" s="307">
        <f t="shared" si="32"/>
        <v>0</v>
      </c>
      <c r="S98" s="307"/>
      <c r="T98" s="307"/>
      <c r="U98" s="242">
        <f t="shared" si="33"/>
        <v>0</v>
      </c>
      <c r="V98" s="307"/>
      <c r="W98" s="307"/>
      <c r="X98" s="307"/>
      <c r="Y98" s="307"/>
      <c r="Z98" s="307"/>
      <c r="AA98" s="307"/>
      <c r="AB98" s="307">
        <f t="shared" si="34"/>
        <v>0</v>
      </c>
      <c r="AC98" s="307"/>
      <c r="AD98" s="307"/>
      <c r="AE98" s="307"/>
      <c r="AF98" s="307">
        <f t="shared" si="24"/>
        <v>0</v>
      </c>
      <c r="AG98" s="307"/>
      <c r="AH98" s="307"/>
      <c r="AI98" s="307">
        <f t="shared" si="25"/>
        <v>0</v>
      </c>
      <c r="AJ98" s="307"/>
      <c r="AK98" s="307"/>
      <c r="AL98" s="308">
        <f t="shared" si="26"/>
        <v>78.277638463447929</v>
      </c>
      <c r="AM98" s="308">
        <f t="shared" si="26"/>
        <v>78.277638463447929</v>
      </c>
      <c r="AN98" s="308"/>
      <c r="AO98" s="215"/>
    </row>
    <row r="99" spans="1:41" ht="48" customHeight="1" x14ac:dyDescent="0.25">
      <c r="A99" s="194"/>
      <c r="B99" s="213" t="s">
        <v>302</v>
      </c>
      <c r="C99" s="214">
        <f t="shared" si="36"/>
        <v>150</v>
      </c>
      <c r="D99" s="214">
        <v>150</v>
      </c>
      <c r="E99" s="214"/>
      <c r="F99" s="214"/>
      <c r="G99" s="214">
        <f t="shared" si="27"/>
        <v>149.997367</v>
      </c>
      <c r="H99" s="214">
        <f t="shared" si="28"/>
        <v>149.997367</v>
      </c>
      <c r="I99" s="214">
        <f t="shared" si="35"/>
        <v>0</v>
      </c>
      <c r="J99" s="214">
        <f t="shared" si="29"/>
        <v>149.997367</v>
      </c>
      <c r="K99" s="214">
        <f t="shared" si="30"/>
        <v>149.997367</v>
      </c>
      <c r="L99" s="214">
        <v>149.997367</v>
      </c>
      <c r="M99" s="214"/>
      <c r="N99" s="214"/>
      <c r="O99" s="326"/>
      <c r="P99" s="214"/>
      <c r="Q99" s="239">
        <f t="shared" si="31"/>
        <v>0</v>
      </c>
      <c r="R99" s="214">
        <f t="shared" si="32"/>
        <v>0</v>
      </c>
      <c r="S99" s="214"/>
      <c r="T99" s="214"/>
      <c r="U99" s="239">
        <f t="shared" si="33"/>
        <v>0</v>
      </c>
      <c r="V99" s="214"/>
      <c r="W99" s="214"/>
      <c r="X99" s="214"/>
      <c r="Y99" s="214"/>
      <c r="Z99" s="214"/>
      <c r="AA99" s="214"/>
      <c r="AB99" s="214">
        <f t="shared" si="34"/>
        <v>0</v>
      </c>
      <c r="AC99" s="214"/>
      <c r="AD99" s="214"/>
      <c r="AE99" s="214"/>
      <c r="AF99" s="214">
        <f t="shared" si="24"/>
        <v>0</v>
      </c>
      <c r="AG99" s="214"/>
      <c r="AH99" s="214"/>
      <c r="AI99" s="214">
        <f t="shared" si="25"/>
        <v>0</v>
      </c>
      <c r="AJ99" s="214"/>
      <c r="AK99" s="214"/>
      <c r="AL99" s="214">
        <f t="shared" si="26"/>
        <v>99.998244666666665</v>
      </c>
      <c r="AM99" s="214">
        <f t="shared" si="26"/>
        <v>99.998244666666665</v>
      </c>
      <c r="AN99" s="214"/>
      <c r="AO99" s="194"/>
    </row>
    <row r="100" spans="1:41" ht="48" customHeight="1" x14ac:dyDescent="0.25">
      <c r="A100" s="194"/>
      <c r="B100" s="213" t="s">
        <v>303</v>
      </c>
      <c r="C100" s="214">
        <f t="shared" si="36"/>
        <v>155</v>
      </c>
      <c r="D100" s="214">
        <v>155</v>
      </c>
      <c r="E100" s="214"/>
      <c r="F100" s="214"/>
      <c r="G100" s="214">
        <f t="shared" si="27"/>
        <v>154.98543000000001</v>
      </c>
      <c r="H100" s="214">
        <f t="shared" si="28"/>
        <v>154.98543000000001</v>
      </c>
      <c r="I100" s="214">
        <f t="shared" si="35"/>
        <v>0</v>
      </c>
      <c r="J100" s="214">
        <f t="shared" si="29"/>
        <v>154.98543000000001</v>
      </c>
      <c r="K100" s="214">
        <f t="shared" si="30"/>
        <v>154.98543000000001</v>
      </c>
      <c r="L100" s="214">
        <v>154.98543000000001</v>
      </c>
      <c r="M100" s="214"/>
      <c r="N100" s="214"/>
      <c r="O100" s="326"/>
      <c r="P100" s="214"/>
      <c r="Q100" s="239">
        <f t="shared" si="31"/>
        <v>0</v>
      </c>
      <c r="R100" s="214">
        <f t="shared" si="32"/>
        <v>0</v>
      </c>
      <c r="S100" s="214"/>
      <c r="T100" s="214"/>
      <c r="U100" s="239">
        <f t="shared" si="33"/>
        <v>0</v>
      </c>
      <c r="V100" s="214"/>
      <c r="W100" s="214"/>
      <c r="X100" s="214"/>
      <c r="Y100" s="214"/>
      <c r="Z100" s="214"/>
      <c r="AA100" s="214"/>
      <c r="AB100" s="214">
        <f t="shared" si="34"/>
        <v>0</v>
      </c>
      <c r="AC100" s="214"/>
      <c r="AD100" s="214"/>
      <c r="AE100" s="214"/>
      <c r="AF100" s="214">
        <f t="shared" si="24"/>
        <v>0</v>
      </c>
      <c r="AG100" s="214"/>
      <c r="AH100" s="214"/>
      <c r="AI100" s="214">
        <f t="shared" si="25"/>
        <v>0</v>
      </c>
      <c r="AJ100" s="214"/>
      <c r="AK100" s="214"/>
      <c r="AL100" s="214">
        <f t="shared" si="26"/>
        <v>99.990600000000001</v>
      </c>
      <c r="AM100" s="214">
        <f t="shared" si="26"/>
        <v>99.990600000000001</v>
      </c>
      <c r="AN100" s="214"/>
      <c r="AO100" s="194"/>
    </row>
    <row r="101" spans="1:41" ht="48" customHeight="1" x14ac:dyDescent="0.25">
      <c r="A101" s="194"/>
      <c r="B101" s="213" t="s">
        <v>307</v>
      </c>
      <c r="C101" s="214">
        <f t="shared" si="36"/>
        <v>427</v>
      </c>
      <c r="D101" s="214">
        <v>427</v>
      </c>
      <c r="E101" s="214"/>
      <c r="F101" s="214"/>
      <c r="G101" s="214">
        <f t="shared" si="27"/>
        <v>330</v>
      </c>
      <c r="H101" s="214">
        <f t="shared" si="28"/>
        <v>330</v>
      </c>
      <c r="I101" s="214">
        <f t="shared" si="35"/>
        <v>0</v>
      </c>
      <c r="J101" s="214">
        <f t="shared" si="29"/>
        <v>330</v>
      </c>
      <c r="K101" s="214">
        <f t="shared" si="30"/>
        <v>330</v>
      </c>
      <c r="L101" s="214">
        <v>330</v>
      </c>
      <c r="M101" s="214"/>
      <c r="N101" s="214"/>
      <c r="O101" s="326"/>
      <c r="P101" s="214"/>
      <c r="Q101" s="239">
        <f t="shared" si="31"/>
        <v>0</v>
      </c>
      <c r="R101" s="214">
        <f t="shared" si="32"/>
        <v>0</v>
      </c>
      <c r="S101" s="214"/>
      <c r="T101" s="214"/>
      <c r="U101" s="239">
        <f t="shared" si="33"/>
        <v>0</v>
      </c>
      <c r="V101" s="214"/>
      <c r="W101" s="214"/>
      <c r="X101" s="214"/>
      <c r="Y101" s="214"/>
      <c r="Z101" s="214"/>
      <c r="AA101" s="214"/>
      <c r="AB101" s="214">
        <f t="shared" si="34"/>
        <v>0</v>
      </c>
      <c r="AC101" s="214"/>
      <c r="AD101" s="214"/>
      <c r="AE101" s="214"/>
      <c r="AF101" s="214">
        <f t="shared" si="24"/>
        <v>0</v>
      </c>
      <c r="AG101" s="214"/>
      <c r="AH101" s="214"/>
      <c r="AI101" s="214">
        <f t="shared" si="25"/>
        <v>0</v>
      </c>
      <c r="AJ101" s="214"/>
      <c r="AK101" s="214"/>
      <c r="AL101" s="214">
        <f t="shared" si="26"/>
        <v>77.283372365339588</v>
      </c>
      <c r="AM101" s="214">
        <f t="shared" si="26"/>
        <v>77.283372365339588</v>
      </c>
      <c r="AN101" s="214"/>
      <c r="AO101" s="194"/>
    </row>
    <row r="102" spans="1:41" ht="48" customHeight="1" x14ac:dyDescent="0.25">
      <c r="A102" s="194"/>
      <c r="B102" s="213" t="s">
        <v>308</v>
      </c>
      <c r="C102" s="214">
        <f t="shared" si="36"/>
        <v>441</v>
      </c>
      <c r="D102" s="214">
        <v>441</v>
      </c>
      <c r="E102" s="214"/>
      <c r="F102" s="214"/>
      <c r="G102" s="214">
        <f t="shared" si="27"/>
        <v>340</v>
      </c>
      <c r="H102" s="214">
        <f t="shared" si="28"/>
        <v>340</v>
      </c>
      <c r="I102" s="214">
        <f t="shared" si="35"/>
        <v>0</v>
      </c>
      <c r="J102" s="214">
        <f t="shared" si="29"/>
        <v>340</v>
      </c>
      <c r="K102" s="214">
        <f t="shared" si="30"/>
        <v>340</v>
      </c>
      <c r="L102" s="214">
        <v>340</v>
      </c>
      <c r="M102" s="214"/>
      <c r="N102" s="214"/>
      <c r="O102" s="326"/>
      <c r="P102" s="214"/>
      <c r="Q102" s="239">
        <f t="shared" si="31"/>
        <v>0</v>
      </c>
      <c r="R102" s="214">
        <f t="shared" si="32"/>
        <v>0</v>
      </c>
      <c r="S102" s="214"/>
      <c r="T102" s="214"/>
      <c r="U102" s="239">
        <f t="shared" si="33"/>
        <v>0</v>
      </c>
      <c r="V102" s="214"/>
      <c r="W102" s="214"/>
      <c r="X102" s="214"/>
      <c r="Y102" s="214"/>
      <c r="Z102" s="214"/>
      <c r="AA102" s="214"/>
      <c r="AB102" s="214">
        <f t="shared" si="34"/>
        <v>0</v>
      </c>
      <c r="AC102" s="214"/>
      <c r="AD102" s="214"/>
      <c r="AE102" s="214"/>
      <c r="AF102" s="214">
        <f t="shared" si="24"/>
        <v>0</v>
      </c>
      <c r="AG102" s="214"/>
      <c r="AH102" s="214"/>
      <c r="AI102" s="214">
        <f t="shared" si="25"/>
        <v>0</v>
      </c>
      <c r="AJ102" s="214"/>
      <c r="AK102" s="214"/>
      <c r="AL102" s="214">
        <f t="shared" si="26"/>
        <v>77.097505668934232</v>
      </c>
      <c r="AM102" s="214">
        <f t="shared" si="26"/>
        <v>77.097505668934232</v>
      </c>
      <c r="AN102" s="214"/>
      <c r="AO102" s="194"/>
    </row>
    <row r="103" spans="1:41" ht="48" customHeight="1" x14ac:dyDescent="0.25">
      <c r="A103" s="194"/>
      <c r="B103" s="213" t="s">
        <v>309</v>
      </c>
      <c r="C103" s="214">
        <f t="shared" si="36"/>
        <v>270</v>
      </c>
      <c r="D103" s="214">
        <v>270</v>
      </c>
      <c r="E103" s="214"/>
      <c r="F103" s="214"/>
      <c r="G103" s="214">
        <f t="shared" si="27"/>
        <v>200</v>
      </c>
      <c r="H103" s="214">
        <f t="shared" si="28"/>
        <v>200</v>
      </c>
      <c r="I103" s="214">
        <f t="shared" si="35"/>
        <v>0</v>
      </c>
      <c r="J103" s="214">
        <f t="shared" si="29"/>
        <v>200</v>
      </c>
      <c r="K103" s="214">
        <f t="shared" si="30"/>
        <v>200</v>
      </c>
      <c r="L103" s="214">
        <v>200</v>
      </c>
      <c r="M103" s="214"/>
      <c r="N103" s="214"/>
      <c r="O103" s="326"/>
      <c r="P103" s="214"/>
      <c r="Q103" s="239">
        <f t="shared" si="31"/>
        <v>0</v>
      </c>
      <c r="R103" s="214">
        <f t="shared" si="32"/>
        <v>0</v>
      </c>
      <c r="S103" s="214"/>
      <c r="T103" s="214"/>
      <c r="U103" s="239">
        <f t="shared" si="33"/>
        <v>0</v>
      </c>
      <c r="V103" s="214"/>
      <c r="W103" s="214"/>
      <c r="X103" s="214"/>
      <c r="Y103" s="214"/>
      <c r="Z103" s="214"/>
      <c r="AA103" s="214"/>
      <c r="AB103" s="214">
        <f t="shared" si="34"/>
        <v>0</v>
      </c>
      <c r="AC103" s="214"/>
      <c r="AD103" s="214"/>
      <c r="AE103" s="214"/>
      <c r="AF103" s="214">
        <f t="shared" si="24"/>
        <v>0</v>
      </c>
      <c r="AG103" s="214"/>
      <c r="AH103" s="214"/>
      <c r="AI103" s="214">
        <f t="shared" si="25"/>
        <v>0</v>
      </c>
      <c r="AJ103" s="214"/>
      <c r="AK103" s="214"/>
      <c r="AL103" s="214">
        <f t="shared" si="26"/>
        <v>74.074074074074076</v>
      </c>
      <c r="AM103" s="214">
        <f t="shared" si="26"/>
        <v>74.074074074074076</v>
      </c>
      <c r="AN103" s="214"/>
      <c r="AO103" s="194"/>
    </row>
    <row r="104" spans="1:41" ht="48" customHeight="1" x14ac:dyDescent="0.25">
      <c r="A104" s="194"/>
      <c r="B104" s="213" t="s">
        <v>313</v>
      </c>
      <c r="C104" s="214">
        <f t="shared" si="36"/>
        <v>543</v>
      </c>
      <c r="D104" s="214">
        <v>543</v>
      </c>
      <c r="E104" s="214"/>
      <c r="F104" s="214"/>
      <c r="G104" s="214">
        <f t="shared" si="27"/>
        <v>540.99517100000003</v>
      </c>
      <c r="H104" s="214">
        <f t="shared" si="28"/>
        <v>540.99517100000003</v>
      </c>
      <c r="I104" s="214">
        <f t="shared" si="35"/>
        <v>0</v>
      </c>
      <c r="J104" s="214">
        <f t="shared" si="29"/>
        <v>540.99517100000003</v>
      </c>
      <c r="K104" s="214">
        <f t="shared" si="30"/>
        <v>540.99517100000003</v>
      </c>
      <c r="L104" s="214">
        <v>540.99517100000003</v>
      </c>
      <c r="M104" s="214"/>
      <c r="N104" s="214"/>
      <c r="O104" s="326"/>
      <c r="P104" s="214"/>
      <c r="Q104" s="239">
        <f t="shared" si="31"/>
        <v>0</v>
      </c>
      <c r="R104" s="214">
        <f t="shared" si="32"/>
        <v>0</v>
      </c>
      <c r="S104" s="214"/>
      <c r="T104" s="214"/>
      <c r="U104" s="239">
        <f t="shared" si="33"/>
        <v>0</v>
      </c>
      <c r="V104" s="214"/>
      <c r="W104" s="214"/>
      <c r="X104" s="214"/>
      <c r="Y104" s="214"/>
      <c r="Z104" s="214"/>
      <c r="AA104" s="214"/>
      <c r="AB104" s="214">
        <f t="shared" si="34"/>
        <v>0</v>
      </c>
      <c r="AC104" s="214"/>
      <c r="AD104" s="214"/>
      <c r="AE104" s="214"/>
      <c r="AF104" s="214">
        <f t="shared" si="24"/>
        <v>0</v>
      </c>
      <c r="AG104" s="214"/>
      <c r="AH104" s="214"/>
      <c r="AI104" s="214">
        <f t="shared" si="25"/>
        <v>0</v>
      </c>
      <c r="AJ104" s="214"/>
      <c r="AK104" s="214"/>
      <c r="AL104" s="214">
        <f t="shared" si="26"/>
        <v>99.63078655616944</v>
      </c>
      <c r="AM104" s="214">
        <f t="shared" si="26"/>
        <v>99.63078655616944</v>
      </c>
      <c r="AN104" s="214"/>
      <c r="AO104" s="194"/>
    </row>
    <row r="105" spans="1:41" ht="48" customHeight="1" x14ac:dyDescent="0.25">
      <c r="A105" s="194"/>
      <c r="B105" s="213" t="s">
        <v>314</v>
      </c>
      <c r="C105" s="214">
        <f t="shared" si="36"/>
        <v>345</v>
      </c>
      <c r="D105" s="214">
        <v>345</v>
      </c>
      <c r="E105" s="214"/>
      <c r="F105" s="214"/>
      <c r="G105" s="214">
        <f t="shared" si="27"/>
        <v>343.45425</v>
      </c>
      <c r="H105" s="214">
        <f t="shared" si="28"/>
        <v>343.45425</v>
      </c>
      <c r="I105" s="214">
        <f t="shared" si="35"/>
        <v>0</v>
      </c>
      <c r="J105" s="214">
        <f t="shared" si="29"/>
        <v>343.45425</v>
      </c>
      <c r="K105" s="214">
        <f t="shared" si="30"/>
        <v>343.45425</v>
      </c>
      <c r="L105" s="214">
        <v>343.45425</v>
      </c>
      <c r="M105" s="214"/>
      <c r="N105" s="214"/>
      <c r="O105" s="326"/>
      <c r="P105" s="214"/>
      <c r="Q105" s="239">
        <f t="shared" si="31"/>
        <v>0</v>
      </c>
      <c r="R105" s="214">
        <f t="shared" si="32"/>
        <v>0</v>
      </c>
      <c r="S105" s="214"/>
      <c r="T105" s="214"/>
      <c r="U105" s="239">
        <f t="shared" si="33"/>
        <v>0</v>
      </c>
      <c r="V105" s="214"/>
      <c r="W105" s="214"/>
      <c r="X105" s="214"/>
      <c r="Y105" s="214"/>
      <c r="Z105" s="214"/>
      <c r="AA105" s="214"/>
      <c r="AB105" s="214">
        <f t="shared" si="34"/>
        <v>0</v>
      </c>
      <c r="AC105" s="214"/>
      <c r="AD105" s="214"/>
      <c r="AE105" s="214"/>
      <c r="AF105" s="214">
        <f t="shared" si="24"/>
        <v>0</v>
      </c>
      <c r="AG105" s="214"/>
      <c r="AH105" s="214"/>
      <c r="AI105" s="214">
        <f t="shared" si="25"/>
        <v>0</v>
      </c>
      <c r="AJ105" s="214"/>
      <c r="AK105" s="214"/>
      <c r="AL105" s="214">
        <f t="shared" si="26"/>
        <v>99.551956521739129</v>
      </c>
      <c r="AM105" s="214">
        <f t="shared" si="26"/>
        <v>99.551956521739129</v>
      </c>
      <c r="AN105" s="214"/>
      <c r="AO105" s="194"/>
    </row>
    <row r="106" spans="1:41" ht="48" customHeight="1" x14ac:dyDescent="0.25">
      <c r="A106" s="194"/>
      <c r="B106" s="213" t="s">
        <v>315</v>
      </c>
      <c r="C106" s="214">
        <f t="shared" si="36"/>
        <v>250</v>
      </c>
      <c r="D106" s="214">
        <v>250</v>
      </c>
      <c r="E106" s="214"/>
      <c r="F106" s="214"/>
      <c r="G106" s="214">
        <f t="shared" si="27"/>
        <v>249.20571799999999</v>
      </c>
      <c r="H106" s="214">
        <f t="shared" si="28"/>
        <v>249.20571799999999</v>
      </c>
      <c r="I106" s="214">
        <f t="shared" si="35"/>
        <v>0</v>
      </c>
      <c r="J106" s="214">
        <f t="shared" si="29"/>
        <v>249.20571799999999</v>
      </c>
      <c r="K106" s="214">
        <f t="shared" si="30"/>
        <v>249.20571799999999</v>
      </c>
      <c r="L106" s="214">
        <v>249.20571799999999</v>
      </c>
      <c r="M106" s="214"/>
      <c r="N106" s="214"/>
      <c r="O106" s="326"/>
      <c r="P106" s="214"/>
      <c r="Q106" s="239">
        <f t="shared" si="31"/>
        <v>0</v>
      </c>
      <c r="R106" s="214">
        <f t="shared" si="32"/>
        <v>0</v>
      </c>
      <c r="S106" s="214"/>
      <c r="T106" s="214"/>
      <c r="U106" s="239">
        <f t="shared" si="33"/>
        <v>0</v>
      </c>
      <c r="V106" s="214"/>
      <c r="W106" s="214"/>
      <c r="X106" s="214"/>
      <c r="Y106" s="214"/>
      <c r="Z106" s="214"/>
      <c r="AA106" s="214"/>
      <c r="AB106" s="214">
        <f t="shared" si="34"/>
        <v>0</v>
      </c>
      <c r="AC106" s="214"/>
      <c r="AD106" s="214"/>
      <c r="AE106" s="214"/>
      <c r="AF106" s="214">
        <f t="shared" si="24"/>
        <v>0</v>
      </c>
      <c r="AG106" s="214"/>
      <c r="AH106" s="214"/>
      <c r="AI106" s="214">
        <f t="shared" si="25"/>
        <v>0</v>
      </c>
      <c r="AJ106" s="214"/>
      <c r="AK106" s="214"/>
      <c r="AL106" s="214">
        <f t="shared" si="26"/>
        <v>99.68228719999999</v>
      </c>
      <c r="AM106" s="214">
        <f t="shared" si="26"/>
        <v>99.68228719999999</v>
      </c>
      <c r="AN106" s="214"/>
      <c r="AO106" s="194"/>
    </row>
    <row r="107" spans="1:41" ht="48" customHeight="1" x14ac:dyDescent="0.25">
      <c r="A107" s="194"/>
      <c r="B107" s="213" t="s">
        <v>44</v>
      </c>
      <c r="C107" s="214">
        <f t="shared" si="36"/>
        <v>305</v>
      </c>
      <c r="D107" s="214">
        <v>305</v>
      </c>
      <c r="E107" s="214"/>
      <c r="F107" s="214"/>
      <c r="G107" s="214">
        <f t="shared" si="27"/>
        <v>304.19964900000002</v>
      </c>
      <c r="H107" s="214">
        <f t="shared" si="28"/>
        <v>304.19964900000002</v>
      </c>
      <c r="I107" s="214">
        <f t="shared" si="35"/>
        <v>0</v>
      </c>
      <c r="J107" s="214">
        <f t="shared" si="29"/>
        <v>304.19964900000002</v>
      </c>
      <c r="K107" s="214">
        <f t="shared" si="30"/>
        <v>304.19964900000002</v>
      </c>
      <c r="L107" s="214">
        <v>304.19964900000002</v>
      </c>
      <c r="M107" s="214"/>
      <c r="N107" s="214"/>
      <c r="O107" s="326"/>
      <c r="P107" s="214"/>
      <c r="Q107" s="239">
        <f t="shared" si="31"/>
        <v>0</v>
      </c>
      <c r="R107" s="214">
        <f t="shared" si="32"/>
        <v>0</v>
      </c>
      <c r="S107" s="214"/>
      <c r="T107" s="214"/>
      <c r="U107" s="239">
        <f t="shared" si="33"/>
        <v>0</v>
      </c>
      <c r="V107" s="214"/>
      <c r="W107" s="214"/>
      <c r="X107" s="214"/>
      <c r="Y107" s="214"/>
      <c r="Z107" s="214"/>
      <c r="AA107" s="214"/>
      <c r="AB107" s="214">
        <f t="shared" si="34"/>
        <v>0</v>
      </c>
      <c r="AC107" s="214"/>
      <c r="AD107" s="214"/>
      <c r="AE107" s="214"/>
      <c r="AF107" s="214">
        <f t="shared" si="24"/>
        <v>0</v>
      </c>
      <c r="AG107" s="214"/>
      <c r="AH107" s="214"/>
      <c r="AI107" s="214">
        <f t="shared" si="25"/>
        <v>0</v>
      </c>
      <c r="AJ107" s="214"/>
      <c r="AK107" s="214"/>
      <c r="AL107" s="214">
        <f t="shared" si="26"/>
        <v>99.737589836065581</v>
      </c>
      <c r="AM107" s="214">
        <f t="shared" si="26"/>
        <v>99.737589836065581</v>
      </c>
      <c r="AN107" s="214"/>
      <c r="AO107" s="194"/>
    </row>
    <row r="108" spans="1:41" ht="48" customHeight="1" x14ac:dyDescent="0.25">
      <c r="A108" s="194"/>
      <c r="B108" s="213" t="s">
        <v>53</v>
      </c>
      <c r="C108" s="214">
        <f t="shared" si="36"/>
        <v>305</v>
      </c>
      <c r="D108" s="214">
        <v>305</v>
      </c>
      <c r="E108" s="214"/>
      <c r="F108" s="214"/>
      <c r="G108" s="214">
        <f t="shared" si="27"/>
        <v>291.50277</v>
      </c>
      <c r="H108" s="214">
        <f t="shared" si="28"/>
        <v>291.50277</v>
      </c>
      <c r="I108" s="214">
        <f t="shared" si="35"/>
        <v>0</v>
      </c>
      <c r="J108" s="214">
        <f t="shared" si="29"/>
        <v>291.50277</v>
      </c>
      <c r="K108" s="214">
        <f t="shared" si="30"/>
        <v>291.50277</v>
      </c>
      <c r="L108" s="214">
        <v>291.50277</v>
      </c>
      <c r="M108" s="214"/>
      <c r="N108" s="214"/>
      <c r="O108" s="326"/>
      <c r="P108" s="214"/>
      <c r="Q108" s="239">
        <f t="shared" si="31"/>
        <v>0</v>
      </c>
      <c r="R108" s="214">
        <f t="shared" si="32"/>
        <v>0</v>
      </c>
      <c r="S108" s="214"/>
      <c r="T108" s="214"/>
      <c r="U108" s="239">
        <f t="shared" si="33"/>
        <v>0</v>
      </c>
      <c r="V108" s="214"/>
      <c r="W108" s="214"/>
      <c r="X108" s="214"/>
      <c r="Y108" s="214"/>
      <c r="Z108" s="214"/>
      <c r="AA108" s="214"/>
      <c r="AB108" s="214">
        <f t="shared" si="34"/>
        <v>0</v>
      </c>
      <c r="AC108" s="214"/>
      <c r="AD108" s="214"/>
      <c r="AE108" s="214"/>
      <c r="AF108" s="214">
        <f t="shared" si="24"/>
        <v>0</v>
      </c>
      <c r="AG108" s="214"/>
      <c r="AH108" s="214"/>
      <c r="AI108" s="214">
        <f t="shared" si="25"/>
        <v>0</v>
      </c>
      <c r="AJ108" s="214"/>
      <c r="AK108" s="214"/>
      <c r="AL108" s="214">
        <f t="shared" si="26"/>
        <v>95.5746786885246</v>
      </c>
      <c r="AM108" s="214">
        <f t="shared" si="26"/>
        <v>95.5746786885246</v>
      </c>
      <c r="AN108" s="214"/>
      <c r="AO108" s="194"/>
    </row>
    <row r="109" spans="1:41" ht="48" customHeight="1" x14ac:dyDescent="0.25">
      <c r="A109" s="194"/>
      <c r="B109" s="213" t="s">
        <v>325</v>
      </c>
      <c r="C109" s="214">
        <f t="shared" si="36"/>
        <v>180</v>
      </c>
      <c r="D109" s="214">
        <v>180</v>
      </c>
      <c r="E109" s="214"/>
      <c r="F109" s="214"/>
      <c r="G109" s="214">
        <f t="shared" si="27"/>
        <v>140.38999999999999</v>
      </c>
      <c r="H109" s="214">
        <f t="shared" si="28"/>
        <v>140.38999999999999</v>
      </c>
      <c r="I109" s="214">
        <f t="shared" si="35"/>
        <v>0</v>
      </c>
      <c r="J109" s="214">
        <f t="shared" si="29"/>
        <v>140.38999999999999</v>
      </c>
      <c r="K109" s="214">
        <f t="shared" si="30"/>
        <v>140.38999999999999</v>
      </c>
      <c r="L109" s="214">
        <v>140.38999999999999</v>
      </c>
      <c r="M109" s="214"/>
      <c r="N109" s="214"/>
      <c r="O109" s="326"/>
      <c r="P109" s="214"/>
      <c r="Q109" s="239">
        <f t="shared" si="31"/>
        <v>0</v>
      </c>
      <c r="R109" s="214">
        <f t="shared" si="32"/>
        <v>0</v>
      </c>
      <c r="S109" s="214"/>
      <c r="T109" s="214"/>
      <c r="U109" s="239">
        <f t="shared" si="33"/>
        <v>0</v>
      </c>
      <c r="V109" s="214"/>
      <c r="W109" s="214"/>
      <c r="X109" s="214"/>
      <c r="Y109" s="214"/>
      <c r="Z109" s="214"/>
      <c r="AA109" s="214"/>
      <c r="AB109" s="214">
        <f t="shared" si="34"/>
        <v>0</v>
      </c>
      <c r="AC109" s="214"/>
      <c r="AD109" s="214"/>
      <c r="AE109" s="214"/>
      <c r="AF109" s="214">
        <f t="shared" si="24"/>
        <v>0</v>
      </c>
      <c r="AG109" s="214"/>
      <c r="AH109" s="214"/>
      <c r="AI109" s="214">
        <f t="shared" si="25"/>
        <v>0</v>
      </c>
      <c r="AJ109" s="214"/>
      <c r="AK109" s="214"/>
      <c r="AL109" s="214">
        <f t="shared" si="26"/>
        <v>77.99444444444444</v>
      </c>
      <c r="AM109" s="214">
        <f t="shared" si="26"/>
        <v>77.99444444444444</v>
      </c>
      <c r="AN109" s="214"/>
      <c r="AO109" s="194"/>
    </row>
    <row r="110" spans="1:41" ht="48" customHeight="1" x14ac:dyDescent="0.25">
      <c r="A110" s="194"/>
      <c r="B110" s="213" t="s">
        <v>326</v>
      </c>
      <c r="C110" s="214">
        <f t="shared" si="36"/>
        <v>169</v>
      </c>
      <c r="D110" s="214">
        <v>169</v>
      </c>
      <c r="E110" s="214"/>
      <c r="F110" s="214"/>
      <c r="G110" s="214">
        <f t="shared" si="27"/>
        <v>132.25</v>
      </c>
      <c r="H110" s="214">
        <f t="shared" si="28"/>
        <v>132.25</v>
      </c>
      <c r="I110" s="214">
        <f t="shared" si="35"/>
        <v>0</v>
      </c>
      <c r="J110" s="214">
        <f t="shared" si="29"/>
        <v>132.25</v>
      </c>
      <c r="K110" s="214">
        <f t="shared" si="30"/>
        <v>132.25</v>
      </c>
      <c r="L110" s="214">
        <v>132.25</v>
      </c>
      <c r="M110" s="214"/>
      <c r="N110" s="214"/>
      <c r="O110" s="326"/>
      <c r="P110" s="214"/>
      <c r="Q110" s="239">
        <f t="shared" si="31"/>
        <v>0</v>
      </c>
      <c r="R110" s="214">
        <f t="shared" si="32"/>
        <v>0</v>
      </c>
      <c r="S110" s="214"/>
      <c r="T110" s="214"/>
      <c r="U110" s="239">
        <f t="shared" si="33"/>
        <v>0</v>
      </c>
      <c r="V110" s="214"/>
      <c r="W110" s="214"/>
      <c r="X110" s="214"/>
      <c r="Y110" s="214"/>
      <c r="Z110" s="214"/>
      <c r="AA110" s="214"/>
      <c r="AB110" s="214">
        <f t="shared" si="34"/>
        <v>0</v>
      </c>
      <c r="AC110" s="214"/>
      <c r="AD110" s="214"/>
      <c r="AE110" s="214"/>
      <c r="AF110" s="214">
        <f t="shared" si="24"/>
        <v>0</v>
      </c>
      <c r="AG110" s="214"/>
      <c r="AH110" s="214"/>
      <c r="AI110" s="214">
        <f t="shared" si="25"/>
        <v>0</v>
      </c>
      <c r="AJ110" s="214"/>
      <c r="AK110" s="214"/>
      <c r="AL110" s="214">
        <f t="shared" si="26"/>
        <v>78.254437869822482</v>
      </c>
      <c r="AM110" s="214">
        <f t="shared" si="26"/>
        <v>78.254437869822482</v>
      </c>
      <c r="AN110" s="214"/>
      <c r="AO110" s="194"/>
    </row>
    <row r="111" spans="1:41" ht="48" customHeight="1" x14ac:dyDescent="0.25">
      <c r="A111" s="194"/>
      <c r="B111" s="213" t="s">
        <v>57</v>
      </c>
      <c r="C111" s="214">
        <f t="shared" si="36"/>
        <v>305</v>
      </c>
      <c r="D111" s="214">
        <v>305</v>
      </c>
      <c r="E111" s="214"/>
      <c r="F111" s="214"/>
      <c r="G111" s="214">
        <f t="shared" si="27"/>
        <v>164.14776800000001</v>
      </c>
      <c r="H111" s="214">
        <f t="shared" si="28"/>
        <v>164.14776800000001</v>
      </c>
      <c r="I111" s="214">
        <f t="shared" si="35"/>
        <v>0</v>
      </c>
      <c r="J111" s="214">
        <f t="shared" si="29"/>
        <v>164.14776800000001</v>
      </c>
      <c r="K111" s="214">
        <f t="shared" si="30"/>
        <v>164.14776800000001</v>
      </c>
      <c r="L111" s="214">
        <v>164.14776800000001</v>
      </c>
      <c r="M111" s="214"/>
      <c r="N111" s="214"/>
      <c r="O111" s="326"/>
      <c r="P111" s="214"/>
      <c r="Q111" s="239">
        <f t="shared" si="31"/>
        <v>0</v>
      </c>
      <c r="R111" s="214">
        <f t="shared" si="32"/>
        <v>0</v>
      </c>
      <c r="S111" s="214"/>
      <c r="T111" s="214"/>
      <c r="U111" s="239">
        <f t="shared" si="33"/>
        <v>0</v>
      </c>
      <c r="V111" s="214"/>
      <c r="W111" s="214"/>
      <c r="X111" s="214"/>
      <c r="Y111" s="214"/>
      <c r="Z111" s="214"/>
      <c r="AA111" s="214"/>
      <c r="AB111" s="214">
        <f t="shared" si="34"/>
        <v>0</v>
      </c>
      <c r="AC111" s="214"/>
      <c r="AD111" s="214"/>
      <c r="AE111" s="214"/>
      <c r="AF111" s="214">
        <f t="shared" si="24"/>
        <v>0</v>
      </c>
      <c r="AG111" s="214"/>
      <c r="AH111" s="214"/>
      <c r="AI111" s="214">
        <f t="shared" si="25"/>
        <v>0</v>
      </c>
      <c r="AJ111" s="214"/>
      <c r="AK111" s="214"/>
      <c r="AL111" s="214">
        <f t="shared" si="26"/>
        <v>53.818940327868859</v>
      </c>
      <c r="AM111" s="214">
        <f t="shared" si="26"/>
        <v>53.818940327868859</v>
      </c>
      <c r="AN111" s="214"/>
      <c r="AO111" s="194"/>
    </row>
    <row r="112" spans="1:41" ht="48" customHeight="1" x14ac:dyDescent="0.25">
      <c r="A112" s="194"/>
      <c r="B112" s="213" t="s">
        <v>58</v>
      </c>
      <c r="C112" s="214">
        <f t="shared" si="36"/>
        <v>85</v>
      </c>
      <c r="D112" s="214">
        <v>85</v>
      </c>
      <c r="E112" s="214"/>
      <c r="F112" s="214"/>
      <c r="G112" s="214">
        <f t="shared" si="27"/>
        <v>85</v>
      </c>
      <c r="H112" s="214">
        <f t="shared" si="28"/>
        <v>85</v>
      </c>
      <c r="I112" s="214">
        <f t="shared" si="35"/>
        <v>0</v>
      </c>
      <c r="J112" s="214">
        <f t="shared" si="29"/>
        <v>85</v>
      </c>
      <c r="K112" s="214">
        <f t="shared" si="30"/>
        <v>85</v>
      </c>
      <c r="L112" s="214">
        <v>85</v>
      </c>
      <c r="M112" s="214"/>
      <c r="N112" s="214"/>
      <c r="O112" s="326"/>
      <c r="P112" s="214"/>
      <c r="Q112" s="239">
        <f t="shared" si="31"/>
        <v>0</v>
      </c>
      <c r="R112" s="214">
        <f t="shared" si="32"/>
        <v>0</v>
      </c>
      <c r="S112" s="214"/>
      <c r="T112" s="214"/>
      <c r="U112" s="239">
        <f t="shared" si="33"/>
        <v>0</v>
      </c>
      <c r="V112" s="214"/>
      <c r="W112" s="214"/>
      <c r="X112" s="214"/>
      <c r="Y112" s="214"/>
      <c r="Z112" s="214"/>
      <c r="AA112" s="214"/>
      <c r="AB112" s="214">
        <f t="shared" si="34"/>
        <v>0</v>
      </c>
      <c r="AC112" s="214"/>
      <c r="AD112" s="214"/>
      <c r="AE112" s="214"/>
      <c r="AF112" s="214">
        <f t="shared" si="24"/>
        <v>0</v>
      </c>
      <c r="AG112" s="214"/>
      <c r="AH112" s="214"/>
      <c r="AI112" s="214">
        <f t="shared" si="25"/>
        <v>0</v>
      </c>
      <c r="AJ112" s="214"/>
      <c r="AK112" s="214"/>
      <c r="AL112" s="214">
        <f t="shared" si="26"/>
        <v>100</v>
      </c>
      <c r="AM112" s="214">
        <f t="shared" si="26"/>
        <v>100</v>
      </c>
      <c r="AN112" s="214"/>
      <c r="AO112" s="194"/>
    </row>
    <row r="113" spans="1:41" ht="48" customHeight="1" x14ac:dyDescent="0.25">
      <c r="A113" s="194"/>
      <c r="B113" s="317" t="s">
        <v>59</v>
      </c>
      <c r="C113" s="214">
        <f t="shared" si="36"/>
        <v>105</v>
      </c>
      <c r="D113" s="214">
        <v>105</v>
      </c>
      <c r="E113" s="214"/>
      <c r="F113" s="214"/>
      <c r="G113" s="214">
        <f t="shared" si="27"/>
        <v>100</v>
      </c>
      <c r="H113" s="214">
        <f t="shared" si="28"/>
        <v>100</v>
      </c>
      <c r="I113" s="214">
        <f t="shared" si="35"/>
        <v>0</v>
      </c>
      <c r="J113" s="214">
        <f t="shared" si="29"/>
        <v>100</v>
      </c>
      <c r="K113" s="214">
        <f t="shared" si="30"/>
        <v>100</v>
      </c>
      <c r="L113" s="214">
        <v>100</v>
      </c>
      <c r="M113" s="214"/>
      <c r="N113" s="214"/>
      <c r="O113" s="326"/>
      <c r="P113" s="214"/>
      <c r="Q113" s="239">
        <f t="shared" si="31"/>
        <v>0</v>
      </c>
      <c r="R113" s="214">
        <f t="shared" si="32"/>
        <v>0</v>
      </c>
      <c r="S113" s="214"/>
      <c r="T113" s="214"/>
      <c r="U113" s="239">
        <f t="shared" si="33"/>
        <v>0</v>
      </c>
      <c r="V113" s="214"/>
      <c r="W113" s="214"/>
      <c r="X113" s="214"/>
      <c r="Y113" s="214"/>
      <c r="Z113" s="214"/>
      <c r="AA113" s="214"/>
      <c r="AB113" s="214">
        <f t="shared" si="34"/>
        <v>0</v>
      </c>
      <c r="AC113" s="214"/>
      <c r="AD113" s="214"/>
      <c r="AE113" s="214"/>
      <c r="AF113" s="214">
        <f t="shared" si="24"/>
        <v>0</v>
      </c>
      <c r="AG113" s="214"/>
      <c r="AH113" s="214"/>
      <c r="AI113" s="214">
        <f t="shared" si="25"/>
        <v>0</v>
      </c>
      <c r="AJ113" s="214"/>
      <c r="AK113" s="214"/>
      <c r="AL113" s="214">
        <f t="shared" si="26"/>
        <v>95.238095238095241</v>
      </c>
      <c r="AM113" s="214">
        <f t="shared" si="26"/>
        <v>95.238095238095241</v>
      </c>
      <c r="AN113" s="214"/>
      <c r="AO113" s="194"/>
    </row>
    <row r="114" spans="1:41" ht="48" customHeight="1" x14ac:dyDescent="0.25">
      <c r="A114" s="194"/>
      <c r="B114" s="317" t="s">
        <v>60</v>
      </c>
      <c r="C114" s="214">
        <f t="shared" si="36"/>
        <v>200</v>
      </c>
      <c r="D114" s="214">
        <v>200</v>
      </c>
      <c r="E114" s="214"/>
      <c r="F114" s="214"/>
      <c r="G114" s="214">
        <f t="shared" si="27"/>
        <v>199.30730299999999</v>
      </c>
      <c r="H114" s="214">
        <f t="shared" si="28"/>
        <v>199.30730299999999</v>
      </c>
      <c r="I114" s="214">
        <f t="shared" si="35"/>
        <v>0</v>
      </c>
      <c r="J114" s="214">
        <f t="shared" si="29"/>
        <v>199.30730299999999</v>
      </c>
      <c r="K114" s="214">
        <f t="shared" si="30"/>
        <v>199.30730299999999</v>
      </c>
      <c r="L114" s="214">
        <v>199.30730299999999</v>
      </c>
      <c r="M114" s="214"/>
      <c r="N114" s="214"/>
      <c r="O114" s="326"/>
      <c r="P114" s="214"/>
      <c r="Q114" s="239">
        <f t="shared" si="31"/>
        <v>0</v>
      </c>
      <c r="R114" s="214">
        <f t="shared" si="32"/>
        <v>0</v>
      </c>
      <c r="S114" s="214"/>
      <c r="T114" s="214"/>
      <c r="U114" s="239">
        <f t="shared" si="33"/>
        <v>0</v>
      </c>
      <c r="V114" s="214"/>
      <c r="W114" s="214"/>
      <c r="X114" s="214"/>
      <c r="Y114" s="214"/>
      <c r="Z114" s="214"/>
      <c r="AA114" s="214"/>
      <c r="AB114" s="214">
        <f t="shared" si="34"/>
        <v>0</v>
      </c>
      <c r="AC114" s="214"/>
      <c r="AD114" s="214"/>
      <c r="AE114" s="214"/>
      <c r="AF114" s="214">
        <f t="shared" si="24"/>
        <v>0</v>
      </c>
      <c r="AG114" s="214"/>
      <c r="AH114" s="214"/>
      <c r="AI114" s="214">
        <f t="shared" si="25"/>
        <v>0</v>
      </c>
      <c r="AJ114" s="214"/>
      <c r="AK114" s="214"/>
      <c r="AL114" s="214">
        <f t="shared" si="26"/>
        <v>99.653651499999995</v>
      </c>
      <c r="AM114" s="214">
        <f t="shared" si="26"/>
        <v>99.653651499999995</v>
      </c>
      <c r="AN114" s="214"/>
      <c r="AO114" s="194"/>
    </row>
    <row r="115" spans="1:41" ht="48" customHeight="1" x14ac:dyDescent="0.25">
      <c r="A115" s="194"/>
      <c r="B115" s="213" t="s">
        <v>61</v>
      </c>
      <c r="C115" s="214">
        <f t="shared" si="36"/>
        <v>497</v>
      </c>
      <c r="D115" s="214">
        <v>497</v>
      </c>
      <c r="E115" s="214"/>
      <c r="F115" s="214"/>
      <c r="G115" s="214">
        <f t="shared" si="27"/>
        <v>385</v>
      </c>
      <c r="H115" s="214">
        <f t="shared" si="28"/>
        <v>385</v>
      </c>
      <c r="I115" s="214">
        <f t="shared" si="35"/>
        <v>0</v>
      </c>
      <c r="J115" s="214">
        <f t="shared" si="29"/>
        <v>385</v>
      </c>
      <c r="K115" s="214">
        <f t="shared" si="30"/>
        <v>385</v>
      </c>
      <c r="L115" s="214">
        <v>385</v>
      </c>
      <c r="M115" s="214"/>
      <c r="N115" s="214"/>
      <c r="O115" s="326"/>
      <c r="P115" s="214"/>
      <c r="Q115" s="239">
        <f t="shared" si="31"/>
        <v>0</v>
      </c>
      <c r="R115" s="214">
        <f t="shared" si="32"/>
        <v>0</v>
      </c>
      <c r="S115" s="214"/>
      <c r="T115" s="214"/>
      <c r="U115" s="239">
        <f t="shared" si="33"/>
        <v>0</v>
      </c>
      <c r="V115" s="214"/>
      <c r="W115" s="214"/>
      <c r="X115" s="214"/>
      <c r="Y115" s="214"/>
      <c r="Z115" s="214"/>
      <c r="AA115" s="214"/>
      <c r="AB115" s="214">
        <f t="shared" si="34"/>
        <v>0</v>
      </c>
      <c r="AC115" s="214"/>
      <c r="AD115" s="214"/>
      <c r="AE115" s="214"/>
      <c r="AF115" s="214">
        <f t="shared" si="24"/>
        <v>0</v>
      </c>
      <c r="AG115" s="214"/>
      <c r="AH115" s="214"/>
      <c r="AI115" s="214">
        <f t="shared" si="25"/>
        <v>0</v>
      </c>
      <c r="AJ115" s="214"/>
      <c r="AK115" s="214"/>
      <c r="AL115" s="214">
        <f t="shared" si="26"/>
        <v>77.464788732394368</v>
      </c>
      <c r="AM115" s="214">
        <f t="shared" si="26"/>
        <v>77.464788732394368</v>
      </c>
      <c r="AN115" s="214"/>
      <c r="AO115" s="194"/>
    </row>
    <row r="116" spans="1:41" ht="48" customHeight="1" x14ac:dyDescent="0.25">
      <c r="A116" s="194"/>
      <c r="B116" s="213" t="s">
        <v>62</v>
      </c>
      <c r="C116" s="214">
        <f t="shared" si="36"/>
        <v>68</v>
      </c>
      <c r="D116" s="214">
        <v>68</v>
      </c>
      <c r="E116" s="214"/>
      <c r="F116" s="214"/>
      <c r="G116" s="214">
        <f t="shared" si="27"/>
        <v>52</v>
      </c>
      <c r="H116" s="214">
        <f t="shared" si="28"/>
        <v>52</v>
      </c>
      <c r="I116" s="214">
        <f t="shared" si="35"/>
        <v>0</v>
      </c>
      <c r="J116" s="214">
        <f t="shared" si="29"/>
        <v>52</v>
      </c>
      <c r="K116" s="214">
        <f t="shared" si="30"/>
        <v>52</v>
      </c>
      <c r="L116" s="214">
        <v>52</v>
      </c>
      <c r="M116" s="214"/>
      <c r="N116" s="214"/>
      <c r="O116" s="326"/>
      <c r="P116" s="214"/>
      <c r="Q116" s="239">
        <f t="shared" si="31"/>
        <v>0</v>
      </c>
      <c r="R116" s="214">
        <f t="shared" si="32"/>
        <v>0</v>
      </c>
      <c r="S116" s="214"/>
      <c r="T116" s="214"/>
      <c r="U116" s="239">
        <f t="shared" si="33"/>
        <v>0</v>
      </c>
      <c r="V116" s="214"/>
      <c r="W116" s="214"/>
      <c r="X116" s="214"/>
      <c r="Y116" s="214"/>
      <c r="Z116" s="214"/>
      <c r="AA116" s="214"/>
      <c r="AB116" s="214">
        <f t="shared" si="34"/>
        <v>0</v>
      </c>
      <c r="AC116" s="214"/>
      <c r="AD116" s="214"/>
      <c r="AE116" s="214"/>
      <c r="AF116" s="214">
        <f t="shared" si="24"/>
        <v>0</v>
      </c>
      <c r="AG116" s="214"/>
      <c r="AH116" s="214"/>
      <c r="AI116" s="214">
        <f t="shared" si="25"/>
        <v>0</v>
      </c>
      <c r="AJ116" s="214"/>
      <c r="AK116" s="214"/>
      <c r="AL116" s="214">
        <f t="shared" si="26"/>
        <v>76.470588235294116</v>
      </c>
      <c r="AM116" s="214">
        <f t="shared" si="26"/>
        <v>76.470588235294116</v>
      </c>
      <c r="AN116" s="214"/>
      <c r="AO116" s="194"/>
    </row>
    <row r="117" spans="1:41" ht="48" customHeight="1" x14ac:dyDescent="0.25">
      <c r="A117" s="194"/>
      <c r="B117" s="213" t="s">
        <v>798</v>
      </c>
      <c r="C117" s="214">
        <f t="shared" si="36"/>
        <v>100</v>
      </c>
      <c r="D117" s="214">
        <v>100</v>
      </c>
      <c r="E117" s="214"/>
      <c r="F117" s="214"/>
      <c r="G117" s="214">
        <f t="shared" si="27"/>
        <v>77</v>
      </c>
      <c r="H117" s="214">
        <f t="shared" si="28"/>
        <v>77</v>
      </c>
      <c r="I117" s="214">
        <f t="shared" si="35"/>
        <v>0</v>
      </c>
      <c r="J117" s="214">
        <f t="shared" si="29"/>
        <v>77</v>
      </c>
      <c r="K117" s="214">
        <f t="shared" si="30"/>
        <v>77</v>
      </c>
      <c r="L117" s="214">
        <v>77</v>
      </c>
      <c r="M117" s="214"/>
      <c r="N117" s="214"/>
      <c r="O117" s="326"/>
      <c r="P117" s="214"/>
      <c r="Q117" s="239">
        <f t="shared" si="31"/>
        <v>0</v>
      </c>
      <c r="R117" s="214">
        <f t="shared" si="32"/>
        <v>0</v>
      </c>
      <c r="S117" s="214"/>
      <c r="T117" s="214"/>
      <c r="U117" s="239">
        <f t="shared" si="33"/>
        <v>0</v>
      </c>
      <c r="V117" s="214"/>
      <c r="W117" s="214"/>
      <c r="X117" s="214"/>
      <c r="Y117" s="214"/>
      <c r="Z117" s="214"/>
      <c r="AA117" s="214"/>
      <c r="AB117" s="214">
        <f t="shared" si="34"/>
        <v>0</v>
      </c>
      <c r="AC117" s="214"/>
      <c r="AD117" s="214"/>
      <c r="AE117" s="214"/>
      <c r="AF117" s="214">
        <f t="shared" si="24"/>
        <v>0</v>
      </c>
      <c r="AG117" s="214"/>
      <c r="AH117" s="214"/>
      <c r="AI117" s="214">
        <f t="shared" si="25"/>
        <v>0</v>
      </c>
      <c r="AJ117" s="214"/>
      <c r="AK117" s="214"/>
      <c r="AL117" s="214">
        <f t="shared" si="26"/>
        <v>77</v>
      </c>
      <c r="AM117" s="214">
        <f t="shared" si="26"/>
        <v>77</v>
      </c>
      <c r="AN117" s="214"/>
      <c r="AO117" s="194"/>
    </row>
    <row r="118" spans="1:41" ht="48" customHeight="1" x14ac:dyDescent="0.25">
      <c r="A118" s="194"/>
      <c r="B118" s="213" t="s">
        <v>63</v>
      </c>
      <c r="C118" s="214">
        <f t="shared" si="36"/>
        <v>114</v>
      </c>
      <c r="D118" s="214">
        <v>114</v>
      </c>
      <c r="E118" s="214"/>
      <c r="F118" s="214"/>
      <c r="G118" s="214">
        <f t="shared" si="27"/>
        <v>89</v>
      </c>
      <c r="H118" s="214">
        <f t="shared" si="28"/>
        <v>89</v>
      </c>
      <c r="I118" s="214">
        <f t="shared" si="35"/>
        <v>0</v>
      </c>
      <c r="J118" s="214">
        <f t="shared" si="29"/>
        <v>89</v>
      </c>
      <c r="K118" s="214">
        <f t="shared" si="30"/>
        <v>89</v>
      </c>
      <c r="L118" s="214">
        <v>89</v>
      </c>
      <c r="M118" s="214"/>
      <c r="N118" s="214"/>
      <c r="O118" s="326"/>
      <c r="P118" s="214"/>
      <c r="Q118" s="239">
        <f t="shared" si="31"/>
        <v>0</v>
      </c>
      <c r="R118" s="214">
        <f t="shared" si="32"/>
        <v>0</v>
      </c>
      <c r="S118" s="214"/>
      <c r="T118" s="214"/>
      <c r="U118" s="239">
        <f t="shared" si="33"/>
        <v>0</v>
      </c>
      <c r="V118" s="214"/>
      <c r="W118" s="214"/>
      <c r="X118" s="214"/>
      <c r="Y118" s="214"/>
      <c r="Z118" s="214"/>
      <c r="AA118" s="214"/>
      <c r="AB118" s="214">
        <f t="shared" si="34"/>
        <v>0</v>
      </c>
      <c r="AC118" s="214"/>
      <c r="AD118" s="214"/>
      <c r="AE118" s="214"/>
      <c r="AF118" s="214">
        <f t="shared" si="24"/>
        <v>0</v>
      </c>
      <c r="AG118" s="214"/>
      <c r="AH118" s="214"/>
      <c r="AI118" s="214">
        <f t="shared" si="25"/>
        <v>0</v>
      </c>
      <c r="AJ118" s="214"/>
      <c r="AK118" s="214"/>
      <c r="AL118" s="214">
        <f t="shared" si="26"/>
        <v>78.070175438596493</v>
      </c>
      <c r="AM118" s="214">
        <f t="shared" si="26"/>
        <v>78.070175438596493</v>
      </c>
      <c r="AN118" s="214"/>
      <c r="AO118" s="194"/>
    </row>
    <row r="119" spans="1:41" ht="48" customHeight="1" x14ac:dyDescent="0.25">
      <c r="A119" s="194"/>
      <c r="B119" s="213" t="s">
        <v>64</v>
      </c>
      <c r="C119" s="214">
        <f t="shared" si="36"/>
        <v>359</v>
      </c>
      <c r="D119" s="214">
        <v>359</v>
      </c>
      <c r="E119" s="214"/>
      <c r="F119" s="214"/>
      <c r="G119" s="214">
        <f t="shared" si="27"/>
        <v>278</v>
      </c>
      <c r="H119" s="214">
        <f t="shared" si="28"/>
        <v>278</v>
      </c>
      <c r="I119" s="214">
        <f t="shared" si="35"/>
        <v>0</v>
      </c>
      <c r="J119" s="214">
        <f t="shared" si="29"/>
        <v>278</v>
      </c>
      <c r="K119" s="214">
        <f t="shared" si="30"/>
        <v>278</v>
      </c>
      <c r="L119" s="214">
        <v>278</v>
      </c>
      <c r="M119" s="214"/>
      <c r="N119" s="214"/>
      <c r="O119" s="326"/>
      <c r="P119" s="214"/>
      <c r="Q119" s="239">
        <f t="shared" si="31"/>
        <v>0</v>
      </c>
      <c r="R119" s="214">
        <f t="shared" si="32"/>
        <v>0</v>
      </c>
      <c r="S119" s="214"/>
      <c r="T119" s="214"/>
      <c r="U119" s="239">
        <f t="shared" si="33"/>
        <v>0</v>
      </c>
      <c r="V119" s="214"/>
      <c r="W119" s="214"/>
      <c r="X119" s="214"/>
      <c r="Y119" s="214"/>
      <c r="Z119" s="214"/>
      <c r="AA119" s="214"/>
      <c r="AB119" s="214">
        <f t="shared" si="34"/>
        <v>0</v>
      </c>
      <c r="AC119" s="214"/>
      <c r="AD119" s="214"/>
      <c r="AE119" s="214"/>
      <c r="AF119" s="214">
        <f t="shared" si="24"/>
        <v>0</v>
      </c>
      <c r="AG119" s="214"/>
      <c r="AH119" s="214"/>
      <c r="AI119" s="214">
        <f t="shared" si="25"/>
        <v>0</v>
      </c>
      <c r="AJ119" s="214"/>
      <c r="AK119" s="214"/>
      <c r="AL119" s="214">
        <f t="shared" si="26"/>
        <v>77.437325905292482</v>
      </c>
      <c r="AM119" s="214">
        <f t="shared" si="26"/>
        <v>77.437325905292482</v>
      </c>
      <c r="AN119" s="214"/>
      <c r="AO119" s="194"/>
    </row>
    <row r="120" spans="1:41" ht="48" customHeight="1" x14ac:dyDescent="0.25">
      <c r="A120" s="194"/>
      <c r="B120" s="213" t="s">
        <v>68</v>
      </c>
      <c r="C120" s="214">
        <f t="shared" si="36"/>
        <v>305</v>
      </c>
      <c r="D120" s="214">
        <v>305</v>
      </c>
      <c r="E120" s="214"/>
      <c r="F120" s="214"/>
      <c r="G120" s="214">
        <f t="shared" si="27"/>
        <v>296.97872599999999</v>
      </c>
      <c r="H120" s="214">
        <f t="shared" si="28"/>
        <v>296.97872599999999</v>
      </c>
      <c r="I120" s="214">
        <f t="shared" si="35"/>
        <v>0</v>
      </c>
      <c r="J120" s="214">
        <f t="shared" si="29"/>
        <v>296.97872599999999</v>
      </c>
      <c r="K120" s="214">
        <f t="shared" si="30"/>
        <v>296.97872599999999</v>
      </c>
      <c r="L120" s="214">
        <v>296.97872599999999</v>
      </c>
      <c r="M120" s="214"/>
      <c r="N120" s="214"/>
      <c r="O120" s="326"/>
      <c r="P120" s="214"/>
      <c r="Q120" s="239">
        <f t="shared" si="31"/>
        <v>0</v>
      </c>
      <c r="R120" s="214">
        <f t="shared" si="32"/>
        <v>0</v>
      </c>
      <c r="S120" s="214"/>
      <c r="T120" s="214"/>
      <c r="U120" s="239">
        <f t="shared" si="33"/>
        <v>0</v>
      </c>
      <c r="V120" s="214"/>
      <c r="W120" s="214"/>
      <c r="X120" s="214"/>
      <c r="Y120" s="214"/>
      <c r="Z120" s="214"/>
      <c r="AA120" s="214"/>
      <c r="AB120" s="214">
        <f t="shared" si="34"/>
        <v>0</v>
      </c>
      <c r="AC120" s="214"/>
      <c r="AD120" s="214"/>
      <c r="AE120" s="214"/>
      <c r="AF120" s="214">
        <f t="shared" si="24"/>
        <v>0</v>
      </c>
      <c r="AG120" s="214"/>
      <c r="AH120" s="214"/>
      <c r="AI120" s="214">
        <f t="shared" si="25"/>
        <v>0</v>
      </c>
      <c r="AJ120" s="214"/>
      <c r="AK120" s="214"/>
      <c r="AL120" s="214">
        <f t="shared" si="26"/>
        <v>97.370074098360661</v>
      </c>
      <c r="AM120" s="214">
        <f t="shared" si="26"/>
        <v>97.370074098360661</v>
      </c>
      <c r="AN120" s="214"/>
      <c r="AO120" s="194"/>
    </row>
    <row r="121" spans="1:41" ht="48" customHeight="1" x14ac:dyDescent="0.25">
      <c r="A121" s="194"/>
      <c r="B121" s="213" t="s">
        <v>72</v>
      </c>
      <c r="C121" s="214">
        <f t="shared" si="36"/>
        <v>280</v>
      </c>
      <c r="D121" s="214">
        <v>280</v>
      </c>
      <c r="E121" s="214"/>
      <c r="F121" s="214"/>
      <c r="G121" s="214">
        <f t="shared" si="27"/>
        <v>276.12938800000001</v>
      </c>
      <c r="H121" s="214">
        <f t="shared" si="28"/>
        <v>276.12938800000001</v>
      </c>
      <c r="I121" s="214">
        <f t="shared" si="35"/>
        <v>0</v>
      </c>
      <c r="J121" s="214">
        <f t="shared" si="29"/>
        <v>276.12938800000001</v>
      </c>
      <c r="K121" s="214">
        <f t="shared" si="30"/>
        <v>276.12938800000001</v>
      </c>
      <c r="L121" s="214">
        <v>276.12938800000001</v>
      </c>
      <c r="M121" s="214"/>
      <c r="N121" s="214"/>
      <c r="O121" s="326"/>
      <c r="P121" s="214"/>
      <c r="Q121" s="239">
        <f t="shared" si="31"/>
        <v>0</v>
      </c>
      <c r="R121" s="214">
        <f t="shared" si="32"/>
        <v>0</v>
      </c>
      <c r="S121" s="214"/>
      <c r="T121" s="214"/>
      <c r="U121" s="239">
        <f t="shared" si="33"/>
        <v>0</v>
      </c>
      <c r="V121" s="214"/>
      <c r="W121" s="214"/>
      <c r="X121" s="214"/>
      <c r="Y121" s="214"/>
      <c r="Z121" s="214"/>
      <c r="AA121" s="214"/>
      <c r="AB121" s="214">
        <f t="shared" si="34"/>
        <v>0</v>
      </c>
      <c r="AC121" s="214"/>
      <c r="AD121" s="214"/>
      <c r="AE121" s="214"/>
      <c r="AF121" s="214">
        <f t="shared" si="24"/>
        <v>0</v>
      </c>
      <c r="AG121" s="214"/>
      <c r="AH121" s="214"/>
      <c r="AI121" s="214">
        <f t="shared" si="25"/>
        <v>0</v>
      </c>
      <c r="AJ121" s="214"/>
      <c r="AK121" s="214"/>
      <c r="AL121" s="214">
        <f t="shared" si="26"/>
        <v>98.617638571428586</v>
      </c>
      <c r="AM121" s="214">
        <f t="shared" si="26"/>
        <v>98.617638571428586</v>
      </c>
      <c r="AN121" s="214"/>
      <c r="AO121" s="194"/>
    </row>
    <row r="122" spans="1:41" ht="48" customHeight="1" x14ac:dyDescent="0.25">
      <c r="A122" s="194"/>
      <c r="B122" s="213" t="s">
        <v>75</v>
      </c>
      <c r="C122" s="214">
        <f t="shared" si="36"/>
        <v>235</v>
      </c>
      <c r="D122" s="214">
        <v>235</v>
      </c>
      <c r="E122" s="214"/>
      <c r="F122" s="214"/>
      <c r="G122" s="214">
        <f t="shared" si="27"/>
        <v>182</v>
      </c>
      <c r="H122" s="214">
        <f t="shared" si="28"/>
        <v>182</v>
      </c>
      <c r="I122" s="214">
        <f t="shared" si="35"/>
        <v>0</v>
      </c>
      <c r="J122" s="214">
        <f t="shared" si="29"/>
        <v>182</v>
      </c>
      <c r="K122" s="214">
        <f t="shared" si="30"/>
        <v>182</v>
      </c>
      <c r="L122" s="214">
        <v>182</v>
      </c>
      <c r="M122" s="214"/>
      <c r="N122" s="214"/>
      <c r="O122" s="326"/>
      <c r="P122" s="214"/>
      <c r="Q122" s="239">
        <f t="shared" si="31"/>
        <v>0</v>
      </c>
      <c r="R122" s="214">
        <f t="shared" si="32"/>
        <v>0</v>
      </c>
      <c r="S122" s="214"/>
      <c r="T122" s="214"/>
      <c r="U122" s="239">
        <f t="shared" si="33"/>
        <v>0</v>
      </c>
      <c r="V122" s="214"/>
      <c r="W122" s="214"/>
      <c r="X122" s="214"/>
      <c r="Y122" s="214"/>
      <c r="Z122" s="214"/>
      <c r="AA122" s="214"/>
      <c r="AB122" s="214">
        <f t="shared" si="34"/>
        <v>0</v>
      </c>
      <c r="AC122" s="214"/>
      <c r="AD122" s="214"/>
      <c r="AE122" s="214"/>
      <c r="AF122" s="214">
        <f t="shared" si="24"/>
        <v>0</v>
      </c>
      <c r="AG122" s="214"/>
      <c r="AH122" s="214"/>
      <c r="AI122" s="214">
        <f t="shared" si="25"/>
        <v>0</v>
      </c>
      <c r="AJ122" s="214"/>
      <c r="AK122" s="214"/>
      <c r="AL122" s="214">
        <f t="shared" si="26"/>
        <v>77.446808510638292</v>
      </c>
      <c r="AM122" s="214">
        <f t="shared" si="26"/>
        <v>77.446808510638292</v>
      </c>
      <c r="AN122" s="214"/>
      <c r="AO122" s="194"/>
    </row>
    <row r="123" spans="1:41" ht="48" customHeight="1" x14ac:dyDescent="0.25">
      <c r="A123" s="194"/>
      <c r="B123" s="213" t="s">
        <v>83</v>
      </c>
      <c r="C123" s="214">
        <f t="shared" si="36"/>
        <v>493</v>
      </c>
      <c r="D123" s="214">
        <v>493</v>
      </c>
      <c r="E123" s="214"/>
      <c r="F123" s="214"/>
      <c r="G123" s="214">
        <f t="shared" si="27"/>
        <v>382</v>
      </c>
      <c r="H123" s="214">
        <f t="shared" si="28"/>
        <v>382</v>
      </c>
      <c r="I123" s="214">
        <f t="shared" si="35"/>
        <v>0</v>
      </c>
      <c r="J123" s="214">
        <f t="shared" si="29"/>
        <v>382</v>
      </c>
      <c r="K123" s="214">
        <f t="shared" si="30"/>
        <v>382</v>
      </c>
      <c r="L123" s="214">
        <v>382</v>
      </c>
      <c r="M123" s="214"/>
      <c r="N123" s="214"/>
      <c r="O123" s="326"/>
      <c r="P123" s="214"/>
      <c r="Q123" s="239">
        <f t="shared" si="31"/>
        <v>0</v>
      </c>
      <c r="R123" s="214">
        <f t="shared" si="32"/>
        <v>0</v>
      </c>
      <c r="S123" s="214"/>
      <c r="T123" s="214"/>
      <c r="U123" s="239">
        <f t="shared" si="33"/>
        <v>0</v>
      </c>
      <c r="V123" s="214"/>
      <c r="W123" s="214"/>
      <c r="X123" s="214"/>
      <c r="Y123" s="214"/>
      <c r="Z123" s="214"/>
      <c r="AA123" s="214"/>
      <c r="AB123" s="214">
        <f t="shared" si="34"/>
        <v>0</v>
      </c>
      <c r="AC123" s="214"/>
      <c r="AD123" s="214"/>
      <c r="AE123" s="214"/>
      <c r="AF123" s="214">
        <f t="shared" si="24"/>
        <v>0</v>
      </c>
      <c r="AG123" s="214"/>
      <c r="AH123" s="214"/>
      <c r="AI123" s="214">
        <f t="shared" si="25"/>
        <v>0</v>
      </c>
      <c r="AJ123" s="214"/>
      <c r="AK123" s="214"/>
      <c r="AL123" s="214">
        <f t="shared" si="26"/>
        <v>77.484787018255588</v>
      </c>
      <c r="AM123" s="214">
        <f t="shared" si="26"/>
        <v>77.484787018255588</v>
      </c>
      <c r="AN123" s="214"/>
      <c r="AO123" s="194"/>
    </row>
    <row r="124" spans="1:41" ht="48" customHeight="1" x14ac:dyDescent="0.25">
      <c r="A124" s="194"/>
      <c r="B124" s="213" t="s">
        <v>84</v>
      </c>
      <c r="C124" s="214">
        <f t="shared" si="36"/>
        <v>326</v>
      </c>
      <c r="D124" s="214">
        <v>326</v>
      </c>
      <c r="E124" s="214"/>
      <c r="F124" s="214"/>
      <c r="G124" s="214">
        <f t="shared" si="27"/>
        <v>252</v>
      </c>
      <c r="H124" s="214">
        <f t="shared" si="28"/>
        <v>252</v>
      </c>
      <c r="I124" s="214">
        <f t="shared" si="35"/>
        <v>0</v>
      </c>
      <c r="J124" s="214">
        <f t="shared" si="29"/>
        <v>252</v>
      </c>
      <c r="K124" s="214">
        <f t="shared" si="30"/>
        <v>252</v>
      </c>
      <c r="L124" s="214">
        <v>252</v>
      </c>
      <c r="M124" s="214"/>
      <c r="N124" s="214"/>
      <c r="O124" s="326"/>
      <c r="P124" s="214"/>
      <c r="Q124" s="239">
        <f t="shared" si="31"/>
        <v>0</v>
      </c>
      <c r="R124" s="214">
        <f t="shared" si="32"/>
        <v>0</v>
      </c>
      <c r="S124" s="214"/>
      <c r="T124" s="214"/>
      <c r="U124" s="239">
        <f t="shared" si="33"/>
        <v>0</v>
      </c>
      <c r="V124" s="214"/>
      <c r="W124" s="214"/>
      <c r="X124" s="214"/>
      <c r="Y124" s="214"/>
      <c r="Z124" s="214"/>
      <c r="AA124" s="214"/>
      <c r="AB124" s="214">
        <f t="shared" si="34"/>
        <v>0</v>
      </c>
      <c r="AC124" s="214"/>
      <c r="AD124" s="214"/>
      <c r="AE124" s="214"/>
      <c r="AF124" s="214">
        <f t="shared" si="24"/>
        <v>0</v>
      </c>
      <c r="AG124" s="214"/>
      <c r="AH124" s="214"/>
      <c r="AI124" s="214">
        <f t="shared" si="25"/>
        <v>0</v>
      </c>
      <c r="AJ124" s="214"/>
      <c r="AK124" s="214"/>
      <c r="AL124" s="214">
        <f t="shared" si="26"/>
        <v>77.300613496932527</v>
      </c>
      <c r="AM124" s="214">
        <f t="shared" si="26"/>
        <v>77.300613496932527</v>
      </c>
      <c r="AN124" s="214"/>
      <c r="AO124" s="194"/>
    </row>
    <row r="125" spans="1:41" ht="48" customHeight="1" x14ac:dyDescent="0.25">
      <c r="A125" s="194"/>
      <c r="B125" s="213" t="s">
        <v>85</v>
      </c>
      <c r="C125" s="214">
        <f t="shared" si="36"/>
        <v>319</v>
      </c>
      <c r="D125" s="214">
        <v>319</v>
      </c>
      <c r="E125" s="214"/>
      <c r="F125" s="214"/>
      <c r="G125" s="214">
        <f t="shared" si="27"/>
        <v>248</v>
      </c>
      <c r="H125" s="214">
        <f t="shared" si="28"/>
        <v>248</v>
      </c>
      <c r="I125" s="214">
        <f t="shared" si="35"/>
        <v>0</v>
      </c>
      <c r="J125" s="214">
        <f t="shared" si="29"/>
        <v>248</v>
      </c>
      <c r="K125" s="214">
        <f t="shared" si="30"/>
        <v>248</v>
      </c>
      <c r="L125" s="214">
        <v>248</v>
      </c>
      <c r="M125" s="214"/>
      <c r="N125" s="214"/>
      <c r="O125" s="326"/>
      <c r="P125" s="214"/>
      <c r="Q125" s="239">
        <f t="shared" si="31"/>
        <v>0</v>
      </c>
      <c r="R125" s="214">
        <f t="shared" si="32"/>
        <v>0</v>
      </c>
      <c r="S125" s="214"/>
      <c r="T125" s="214"/>
      <c r="U125" s="239">
        <f t="shared" si="33"/>
        <v>0</v>
      </c>
      <c r="V125" s="214"/>
      <c r="W125" s="214"/>
      <c r="X125" s="214"/>
      <c r="Y125" s="214"/>
      <c r="Z125" s="214"/>
      <c r="AA125" s="214"/>
      <c r="AB125" s="214">
        <f t="shared" si="34"/>
        <v>0</v>
      </c>
      <c r="AC125" s="214"/>
      <c r="AD125" s="214"/>
      <c r="AE125" s="214"/>
      <c r="AF125" s="214">
        <f t="shared" si="24"/>
        <v>0</v>
      </c>
      <c r="AG125" s="214"/>
      <c r="AH125" s="214"/>
      <c r="AI125" s="214">
        <f t="shared" si="25"/>
        <v>0</v>
      </c>
      <c r="AJ125" s="214"/>
      <c r="AK125" s="214"/>
      <c r="AL125" s="214">
        <f t="shared" si="26"/>
        <v>77.742946708463947</v>
      </c>
      <c r="AM125" s="214">
        <f t="shared" si="26"/>
        <v>77.742946708463947</v>
      </c>
      <c r="AN125" s="214"/>
      <c r="AO125" s="194"/>
    </row>
    <row r="126" spans="1:41" ht="48" customHeight="1" x14ac:dyDescent="0.25">
      <c r="A126" s="194"/>
      <c r="B126" s="213" t="s">
        <v>89</v>
      </c>
      <c r="C126" s="214">
        <f t="shared" si="36"/>
        <v>686</v>
      </c>
      <c r="D126" s="214">
        <v>686</v>
      </c>
      <c r="E126" s="214"/>
      <c r="F126" s="214"/>
      <c r="G126" s="214">
        <f t="shared" si="27"/>
        <v>502.8</v>
      </c>
      <c r="H126" s="214">
        <f t="shared" si="28"/>
        <v>502.8</v>
      </c>
      <c r="I126" s="214">
        <f t="shared" si="35"/>
        <v>0</v>
      </c>
      <c r="J126" s="214">
        <f t="shared" si="29"/>
        <v>502.8</v>
      </c>
      <c r="K126" s="214">
        <f t="shared" si="30"/>
        <v>502.8</v>
      </c>
      <c r="L126" s="214">
        <v>502.8</v>
      </c>
      <c r="M126" s="214"/>
      <c r="N126" s="214"/>
      <c r="O126" s="326"/>
      <c r="P126" s="214"/>
      <c r="Q126" s="239">
        <f t="shared" si="31"/>
        <v>0</v>
      </c>
      <c r="R126" s="214">
        <f t="shared" si="32"/>
        <v>0</v>
      </c>
      <c r="S126" s="214"/>
      <c r="T126" s="214"/>
      <c r="U126" s="239">
        <f t="shared" si="33"/>
        <v>0</v>
      </c>
      <c r="V126" s="214"/>
      <c r="W126" s="214"/>
      <c r="X126" s="214"/>
      <c r="Y126" s="214"/>
      <c r="Z126" s="214"/>
      <c r="AA126" s="214"/>
      <c r="AB126" s="214">
        <f t="shared" si="34"/>
        <v>0</v>
      </c>
      <c r="AC126" s="214"/>
      <c r="AD126" s="214"/>
      <c r="AE126" s="214"/>
      <c r="AF126" s="214">
        <f t="shared" si="24"/>
        <v>0</v>
      </c>
      <c r="AG126" s="214"/>
      <c r="AH126" s="214"/>
      <c r="AI126" s="214">
        <f t="shared" si="25"/>
        <v>0</v>
      </c>
      <c r="AJ126" s="214"/>
      <c r="AK126" s="214"/>
      <c r="AL126" s="214">
        <f t="shared" si="26"/>
        <v>73.294460641399411</v>
      </c>
      <c r="AM126" s="214">
        <f t="shared" si="26"/>
        <v>73.294460641399411</v>
      </c>
      <c r="AN126" s="214"/>
      <c r="AO126" s="194"/>
    </row>
    <row r="127" spans="1:41" ht="48" customHeight="1" x14ac:dyDescent="0.25">
      <c r="A127" s="194"/>
      <c r="B127" s="213" t="s">
        <v>93</v>
      </c>
      <c r="C127" s="214">
        <f t="shared" si="36"/>
        <v>942</v>
      </c>
      <c r="D127" s="214">
        <v>942</v>
      </c>
      <c r="E127" s="214"/>
      <c r="F127" s="214"/>
      <c r="G127" s="214">
        <f t="shared" si="27"/>
        <v>881.00369999999998</v>
      </c>
      <c r="H127" s="214">
        <f t="shared" si="28"/>
        <v>881.00369999999998</v>
      </c>
      <c r="I127" s="214">
        <f t="shared" si="35"/>
        <v>0</v>
      </c>
      <c r="J127" s="214">
        <f t="shared" si="29"/>
        <v>881.00369999999998</v>
      </c>
      <c r="K127" s="214">
        <f t="shared" si="30"/>
        <v>881.00369999999998</v>
      </c>
      <c r="L127" s="214">
        <v>881.00369999999998</v>
      </c>
      <c r="M127" s="214"/>
      <c r="N127" s="214"/>
      <c r="O127" s="326"/>
      <c r="P127" s="214"/>
      <c r="Q127" s="239">
        <f t="shared" si="31"/>
        <v>0</v>
      </c>
      <c r="R127" s="214">
        <f t="shared" si="32"/>
        <v>0</v>
      </c>
      <c r="S127" s="214"/>
      <c r="T127" s="214"/>
      <c r="U127" s="239">
        <f t="shared" si="33"/>
        <v>0</v>
      </c>
      <c r="V127" s="214"/>
      <c r="W127" s="214"/>
      <c r="X127" s="214"/>
      <c r="Y127" s="214"/>
      <c r="Z127" s="214"/>
      <c r="AA127" s="214"/>
      <c r="AB127" s="214">
        <f t="shared" si="34"/>
        <v>0</v>
      </c>
      <c r="AC127" s="214"/>
      <c r="AD127" s="214"/>
      <c r="AE127" s="214"/>
      <c r="AF127" s="214">
        <f t="shared" si="24"/>
        <v>0</v>
      </c>
      <c r="AG127" s="214"/>
      <c r="AH127" s="214"/>
      <c r="AI127" s="214">
        <f t="shared" si="25"/>
        <v>0</v>
      </c>
      <c r="AJ127" s="214"/>
      <c r="AK127" s="214"/>
      <c r="AL127" s="214">
        <f t="shared" si="26"/>
        <v>93.524808917197447</v>
      </c>
      <c r="AM127" s="214">
        <f t="shared" si="26"/>
        <v>93.524808917197447</v>
      </c>
      <c r="AN127" s="214"/>
      <c r="AO127" s="194"/>
    </row>
    <row r="128" spans="1:41" ht="48" customHeight="1" x14ac:dyDescent="0.25">
      <c r="A128" s="194"/>
      <c r="B128" s="213" t="s">
        <v>98</v>
      </c>
      <c r="C128" s="214">
        <f t="shared" si="36"/>
        <v>202</v>
      </c>
      <c r="D128" s="214">
        <v>202</v>
      </c>
      <c r="E128" s="214"/>
      <c r="F128" s="214"/>
      <c r="G128" s="214">
        <f t="shared" si="27"/>
        <v>202</v>
      </c>
      <c r="H128" s="214">
        <f t="shared" si="28"/>
        <v>202</v>
      </c>
      <c r="I128" s="214">
        <f t="shared" si="35"/>
        <v>0</v>
      </c>
      <c r="J128" s="214">
        <f t="shared" si="29"/>
        <v>202</v>
      </c>
      <c r="K128" s="214">
        <f t="shared" si="30"/>
        <v>202</v>
      </c>
      <c r="L128" s="214">
        <v>202</v>
      </c>
      <c r="M128" s="214"/>
      <c r="N128" s="214"/>
      <c r="O128" s="326"/>
      <c r="P128" s="214"/>
      <c r="Q128" s="239">
        <f t="shared" si="31"/>
        <v>0</v>
      </c>
      <c r="R128" s="214">
        <f t="shared" si="32"/>
        <v>0</v>
      </c>
      <c r="S128" s="214"/>
      <c r="T128" s="214"/>
      <c r="U128" s="239">
        <f t="shared" si="33"/>
        <v>0</v>
      </c>
      <c r="V128" s="214"/>
      <c r="W128" s="214"/>
      <c r="X128" s="214"/>
      <c r="Y128" s="214"/>
      <c r="Z128" s="214"/>
      <c r="AA128" s="214"/>
      <c r="AB128" s="214">
        <f t="shared" si="34"/>
        <v>0</v>
      </c>
      <c r="AC128" s="214"/>
      <c r="AD128" s="214"/>
      <c r="AE128" s="214"/>
      <c r="AF128" s="214">
        <f t="shared" si="24"/>
        <v>0</v>
      </c>
      <c r="AG128" s="214"/>
      <c r="AH128" s="214"/>
      <c r="AI128" s="214">
        <f t="shared" si="25"/>
        <v>0</v>
      </c>
      <c r="AJ128" s="214"/>
      <c r="AK128" s="214"/>
      <c r="AL128" s="214">
        <f t="shared" si="26"/>
        <v>100</v>
      </c>
      <c r="AM128" s="214">
        <f t="shared" si="26"/>
        <v>100</v>
      </c>
      <c r="AN128" s="214"/>
      <c r="AO128" s="194"/>
    </row>
    <row r="129" spans="1:41" ht="48" customHeight="1" x14ac:dyDescent="0.25">
      <c r="A129" s="194"/>
      <c r="B129" s="213" t="s">
        <v>94</v>
      </c>
      <c r="C129" s="214">
        <f t="shared" si="36"/>
        <v>196</v>
      </c>
      <c r="D129" s="214">
        <v>196</v>
      </c>
      <c r="E129" s="214"/>
      <c r="F129" s="214"/>
      <c r="G129" s="214">
        <f t="shared" si="27"/>
        <v>150.9</v>
      </c>
      <c r="H129" s="214">
        <f t="shared" si="28"/>
        <v>150.9</v>
      </c>
      <c r="I129" s="214">
        <f t="shared" si="35"/>
        <v>0</v>
      </c>
      <c r="J129" s="214">
        <f t="shared" si="29"/>
        <v>150.9</v>
      </c>
      <c r="K129" s="214">
        <f t="shared" si="30"/>
        <v>150.9</v>
      </c>
      <c r="L129" s="214">
        <v>150.9</v>
      </c>
      <c r="M129" s="214"/>
      <c r="N129" s="214"/>
      <c r="O129" s="326"/>
      <c r="P129" s="214"/>
      <c r="Q129" s="239">
        <f t="shared" si="31"/>
        <v>0</v>
      </c>
      <c r="R129" s="214">
        <f t="shared" si="32"/>
        <v>0</v>
      </c>
      <c r="S129" s="214"/>
      <c r="T129" s="214"/>
      <c r="U129" s="239">
        <f t="shared" si="33"/>
        <v>0</v>
      </c>
      <c r="V129" s="214"/>
      <c r="W129" s="214"/>
      <c r="X129" s="214"/>
      <c r="Y129" s="214"/>
      <c r="Z129" s="214"/>
      <c r="AA129" s="214"/>
      <c r="AB129" s="214">
        <f t="shared" si="34"/>
        <v>0</v>
      </c>
      <c r="AC129" s="214"/>
      <c r="AD129" s="214"/>
      <c r="AE129" s="214"/>
      <c r="AF129" s="214">
        <f t="shared" si="24"/>
        <v>0</v>
      </c>
      <c r="AG129" s="214"/>
      <c r="AH129" s="214"/>
      <c r="AI129" s="214">
        <f t="shared" si="25"/>
        <v>0</v>
      </c>
      <c r="AJ129" s="214"/>
      <c r="AK129" s="214"/>
      <c r="AL129" s="214">
        <f t="shared" si="26"/>
        <v>76.989795918367349</v>
      </c>
      <c r="AM129" s="214">
        <f t="shared" si="26"/>
        <v>76.989795918367349</v>
      </c>
      <c r="AN129" s="214"/>
      <c r="AO129" s="194"/>
    </row>
    <row r="130" spans="1:41" ht="48" customHeight="1" x14ac:dyDescent="0.25">
      <c r="A130" s="194"/>
      <c r="B130" s="213" t="s">
        <v>76</v>
      </c>
      <c r="C130" s="214">
        <f t="shared" si="36"/>
        <v>130</v>
      </c>
      <c r="D130" s="214">
        <v>130</v>
      </c>
      <c r="E130" s="214"/>
      <c r="F130" s="214"/>
      <c r="G130" s="214">
        <f t="shared" si="27"/>
        <v>104</v>
      </c>
      <c r="H130" s="214">
        <f t="shared" si="28"/>
        <v>104</v>
      </c>
      <c r="I130" s="214">
        <f t="shared" si="35"/>
        <v>0</v>
      </c>
      <c r="J130" s="214">
        <f t="shared" si="29"/>
        <v>104</v>
      </c>
      <c r="K130" s="214">
        <f t="shared" si="30"/>
        <v>104</v>
      </c>
      <c r="L130" s="214">
        <v>104</v>
      </c>
      <c r="M130" s="214"/>
      <c r="N130" s="214"/>
      <c r="O130" s="326"/>
      <c r="P130" s="214"/>
      <c r="Q130" s="239">
        <f t="shared" si="31"/>
        <v>0</v>
      </c>
      <c r="R130" s="214">
        <f t="shared" si="32"/>
        <v>0</v>
      </c>
      <c r="S130" s="214"/>
      <c r="T130" s="214"/>
      <c r="U130" s="239">
        <f t="shared" si="33"/>
        <v>0</v>
      </c>
      <c r="V130" s="214"/>
      <c r="W130" s="214"/>
      <c r="X130" s="214"/>
      <c r="Y130" s="214"/>
      <c r="Z130" s="214"/>
      <c r="AA130" s="214"/>
      <c r="AB130" s="214">
        <f t="shared" si="34"/>
        <v>0</v>
      </c>
      <c r="AC130" s="214"/>
      <c r="AD130" s="214"/>
      <c r="AE130" s="214"/>
      <c r="AF130" s="214">
        <f t="shared" si="24"/>
        <v>0</v>
      </c>
      <c r="AG130" s="214"/>
      <c r="AH130" s="214"/>
      <c r="AI130" s="214">
        <f t="shared" si="25"/>
        <v>0</v>
      </c>
      <c r="AJ130" s="214"/>
      <c r="AK130" s="214"/>
      <c r="AL130" s="214">
        <f t="shared" si="26"/>
        <v>80</v>
      </c>
      <c r="AM130" s="214">
        <f t="shared" si="26"/>
        <v>80</v>
      </c>
      <c r="AN130" s="214"/>
      <c r="AO130" s="194"/>
    </row>
    <row r="131" spans="1:41" ht="48" customHeight="1" x14ac:dyDescent="0.25">
      <c r="A131" s="194"/>
      <c r="B131" s="213" t="s">
        <v>357</v>
      </c>
      <c r="C131" s="214">
        <f t="shared" si="36"/>
        <v>91</v>
      </c>
      <c r="D131" s="214">
        <v>91</v>
      </c>
      <c r="E131" s="214"/>
      <c r="F131" s="214"/>
      <c r="G131" s="214">
        <f t="shared" si="27"/>
        <v>82.900323999999998</v>
      </c>
      <c r="H131" s="214">
        <f t="shared" si="28"/>
        <v>82.900323999999998</v>
      </c>
      <c r="I131" s="214">
        <f t="shared" si="35"/>
        <v>0</v>
      </c>
      <c r="J131" s="214">
        <f t="shared" si="29"/>
        <v>82.900323999999998</v>
      </c>
      <c r="K131" s="214">
        <f t="shared" si="30"/>
        <v>82.900323999999998</v>
      </c>
      <c r="L131" s="214">
        <v>82.900323999999998</v>
      </c>
      <c r="M131" s="214"/>
      <c r="N131" s="214"/>
      <c r="O131" s="326"/>
      <c r="P131" s="214"/>
      <c r="Q131" s="239">
        <f t="shared" si="31"/>
        <v>0</v>
      </c>
      <c r="R131" s="214">
        <f t="shared" si="32"/>
        <v>0</v>
      </c>
      <c r="S131" s="214"/>
      <c r="T131" s="214"/>
      <c r="U131" s="239">
        <f t="shared" si="33"/>
        <v>0</v>
      </c>
      <c r="V131" s="214"/>
      <c r="W131" s="214"/>
      <c r="X131" s="214"/>
      <c r="Y131" s="214"/>
      <c r="Z131" s="214"/>
      <c r="AA131" s="214"/>
      <c r="AB131" s="214">
        <f t="shared" si="34"/>
        <v>0</v>
      </c>
      <c r="AC131" s="214"/>
      <c r="AD131" s="214"/>
      <c r="AE131" s="214"/>
      <c r="AF131" s="214">
        <f t="shared" si="24"/>
        <v>0</v>
      </c>
      <c r="AG131" s="214"/>
      <c r="AH131" s="214"/>
      <c r="AI131" s="214">
        <f t="shared" si="25"/>
        <v>0</v>
      </c>
      <c r="AJ131" s="214"/>
      <c r="AK131" s="214"/>
      <c r="AL131" s="214">
        <f t="shared" si="26"/>
        <v>91.099257142857141</v>
      </c>
      <c r="AM131" s="214">
        <f t="shared" si="26"/>
        <v>91.099257142857141</v>
      </c>
      <c r="AN131" s="214"/>
      <c r="AO131" s="194"/>
    </row>
    <row r="132" spans="1:41" ht="48" customHeight="1" x14ac:dyDescent="0.25">
      <c r="A132" s="194"/>
      <c r="B132" s="213" t="s">
        <v>358</v>
      </c>
      <c r="C132" s="214">
        <f t="shared" si="36"/>
        <v>117</v>
      </c>
      <c r="D132" s="214">
        <v>117</v>
      </c>
      <c r="E132" s="214"/>
      <c r="F132" s="214"/>
      <c r="G132" s="214">
        <f t="shared" si="27"/>
        <v>91</v>
      </c>
      <c r="H132" s="214">
        <f t="shared" si="28"/>
        <v>91</v>
      </c>
      <c r="I132" s="214">
        <f t="shared" si="35"/>
        <v>0</v>
      </c>
      <c r="J132" s="214">
        <f t="shared" si="29"/>
        <v>91</v>
      </c>
      <c r="K132" s="214">
        <f t="shared" si="30"/>
        <v>91</v>
      </c>
      <c r="L132" s="214">
        <v>91</v>
      </c>
      <c r="M132" s="214"/>
      <c r="N132" s="214"/>
      <c r="O132" s="326"/>
      <c r="P132" s="214"/>
      <c r="Q132" s="239">
        <f t="shared" si="31"/>
        <v>0</v>
      </c>
      <c r="R132" s="214">
        <f t="shared" si="32"/>
        <v>0</v>
      </c>
      <c r="S132" s="214"/>
      <c r="T132" s="214"/>
      <c r="U132" s="239">
        <f t="shared" si="33"/>
        <v>0</v>
      </c>
      <c r="V132" s="214"/>
      <c r="W132" s="214"/>
      <c r="X132" s="214"/>
      <c r="Y132" s="214"/>
      <c r="Z132" s="214"/>
      <c r="AA132" s="214"/>
      <c r="AB132" s="214">
        <f t="shared" si="34"/>
        <v>0</v>
      </c>
      <c r="AC132" s="214"/>
      <c r="AD132" s="214"/>
      <c r="AE132" s="214"/>
      <c r="AF132" s="214">
        <f t="shared" si="24"/>
        <v>0</v>
      </c>
      <c r="AG132" s="214"/>
      <c r="AH132" s="214"/>
      <c r="AI132" s="214">
        <f t="shared" si="25"/>
        <v>0</v>
      </c>
      <c r="AJ132" s="214"/>
      <c r="AK132" s="214"/>
      <c r="AL132" s="214">
        <f t="shared" si="26"/>
        <v>77.777777777777786</v>
      </c>
      <c r="AM132" s="214">
        <f t="shared" si="26"/>
        <v>77.777777777777786</v>
      </c>
      <c r="AN132" s="214"/>
      <c r="AO132" s="194"/>
    </row>
    <row r="133" spans="1:41" ht="48" customHeight="1" x14ac:dyDescent="0.25">
      <c r="A133" s="194"/>
      <c r="B133" s="213" t="s">
        <v>359</v>
      </c>
      <c r="C133" s="214">
        <f t="shared" si="36"/>
        <v>117</v>
      </c>
      <c r="D133" s="214">
        <v>117</v>
      </c>
      <c r="E133" s="214"/>
      <c r="F133" s="214"/>
      <c r="G133" s="214">
        <f t="shared" si="27"/>
        <v>57</v>
      </c>
      <c r="H133" s="214">
        <f t="shared" si="28"/>
        <v>57</v>
      </c>
      <c r="I133" s="214">
        <f t="shared" si="35"/>
        <v>0</v>
      </c>
      <c r="J133" s="214">
        <f t="shared" si="29"/>
        <v>57</v>
      </c>
      <c r="K133" s="214">
        <f t="shared" si="30"/>
        <v>57</v>
      </c>
      <c r="L133" s="214">
        <v>57</v>
      </c>
      <c r="M133" s="214"/>
      <c r="N133" s="214"/>
      <c r="O133" s="326"/>
      <c r="P133" s="214"/>
      <c r="Q133" s="239">
        <f t="shared" si="31"/>
        <v>0</v>
      </c>
      <c r="R133" s="214">
        <f t="shared" si="32"/>
        <v>0</v>
      </c>
      <c r="S133" s="214"/>
      <c r="T133" s="214"/>
      <c r="U133" s="239">
        <f t="shared" si="33"/>
        <v>0</v>
      </c>
      <c r="V133" s="214"/>
      <c r="W133" s="214"/>
      <c r="X133" s="214"/>
      <c r="Y133" s="214"/>
      <c r="Z133" s="214"/>
      <c r="AA133" s="214"/>
      <c r="AB133" s="214">
        <f t="shared" si="34"/>
        <v>0</v>
      </c>
      <c r="AC133" s="214"/>
      <c r="AD133" s="214"/>
      <c r="AE133" s="214"/>
      <c r="AF133" s="214">
        <f t="shared" si="24"/>
        <v>0</v>
      </c>
      <c r="AG133" s="214"/>
      <c r="AH133" s="214"/>
      <c r="AI133" s="214">
        <f t="shared" si="25"/>
        <v>0</v>
      </c>
      <c r="AJ133" s="214"/>
      <c r="AK133" s="214"/>
      <c r="AL133" s="214">
        <f t="shared" si="26"/>
        <v>48.717948717948723</v>
      </c>
      <c r="AM133" s="214">
        <f t="shared" si="26"/>
        <v>48.717948717948723</v>
      </c>
      <c r="AN133" s="214"/>
      <c r="AO133" s="194"/>
    </row>
    <row r="134" spans="1:41" ht="48" customHeight="1" x14ac:dyDescent="0.25">
      <c r="A134" s="194"/>
      <c r="B134" s="213" t="s">
        <v>360</v>
      </c>
      <c r="C134" s="214">
        <f t="shared" si="36"/>
        <v>130</v>
      </c>
      <c r="D134" s="214">
        <v>130</v>
      </c>
      <c r="E134" s="214"/>
      <c r="F134" s="214"/>
      <c r="G134" s="214">
        <f t="shared" si="27"/>
        <v>125.68021</v>
      </c>
      <c r="H134" s="214">
        <f t="shared" si="28"/>
        <v>125.68021</v>
      </c>
      <c r="I134" s="214">
        <f t="shared" si="35"/>
        <v>0</v>
      </c>
      <c r="J134" s="214">
        <f t="shared" si="29"/>
        <v>125.68021</v>
      </c>
      <c r="K134" s="214">
        <f t="shared" si="30"/>
        <v>125.68021</v>
      </c>
      <c r="L134" s="214">
        <v>125.68021</v>
      </c>
      <c r="M134" s="214"/>
      <c r="N134" s="214"/>
      <c r="O134" s="326"/>
      <c r="P134" s="214"/>
      <c r="Q134" s="239">
        <f t="shared" si="31"/>
        <v>0</v>
      </c>
      <c r="R134" s="214">
        <f t="shared" si="32"/>
        <v>0</v>
      </c>
      <c r="S134" s="214"/>
      <c r="T134" s="214"/>
      <c r="U134" s="239">
        <f t="shared" si="33"/>
        <v>0</v>
      </c>
      <c r="V134" s="214"/>
      <c r="W134" s="214"/>
      <c r="X134" s="214"/>
      <c r="Y134" s="214"/>
      <c r="Z134" s="214"/>
      <c r="AA134" s="214"/>
      <c r="AB134" s="214">
        <f t="shared" si="34"/>
        <v>0</v>
      </c>
      <c r="AC134" s="214"/>
      <c r="AD134" s="214"/>
      <c r="AE134" s="214"/>
      <c r="AF134" s="214">
        <f t="shared" si="24"/>
        <v>0</v>
      </c>
      <c r="AG134" s="214"/>
      <c r="AH134" s="214"/>
      <c r="AI134" s="214">
        <f t="shared" si="25"/>
        <v>0</v>
      </c>
      <c r="AJ134" s="214"/>
      <c r="AK134" s="214"/>
      <c r="AL134" s="214">
        <f t="shared" si="26"/>
        <v>96.677084615384615</v>
      </c>
      <c r="AM134" s="214">
        <f t="shared" si="26"/>
        <v>96.677084615384615</v>
      </c>
      <c r="AN134" s="214"/>
      <c r="AO134" s="194"/>
    </row>
    <row r="135" spans="1:41" ht="48" customHeight="1" x14ac:dyDescent="0.25">
      <c r="A135" s="194"/>
      <c r="B135" s="213" t="s">
        <v>361</v>
      </c>
      <c r="C135" s="214">
        <f t="shared" si="36"/>
        <v>117</v>
      </c>
      <c r="D135" s="214">
        <v>117</v>
      </c>
      <c r="E135" s="214"/>
      <c r="F135" s="214"/>
      <c r="G135" s="214">
        <f t="shared" si="27"/>
        <v>78</v>
      </c>
      <c r="H135" s="214">
        <f t="shared" si="28"/>
        <v>78</v>
      </c>
      <c r="I135" s="214">
        <f t="shared" si="35"/>
        <v>0</v>
      </c>
      <c r="J135" s="214">
        <f t="shared" si="29"/>
        <v>78</v>
      </c>
      <c r="K135" s="214">
        <f t="shared" si="30"/>
        <v>78</v>
      </c>
      <c r="L135" s="214">
        <v>78</v>
      </c>
      <c r="M135" s="214"/>
      <c r="N135" s="214"/>
      <c r="O135" s="326"/>
      <c r="P135" s="214"/>
      <c r="Q135" s="239">
        <f t="shared" si="31"/>
        <v>0</v>
      </c>
      <c r="R135" s="214">
        <f t="shared" si="32"/>
        <v>0</v>
      </c>
      <c r="S135" s="214"/>
      <c r="T135" s="214"/>
      <c r="U135" s="239">
        <f t="shared" si="33"/>
        <v>0</v>
      </c>
      <c r="V135" s="214"/>
      <c r="W135" s="214"/>
      <c r="X135" s="214"/>
      <c r="Y135" s="214"/>
      <c r="Z135" s="214"/>
      <c r="AA135" s="214"/>
      <c r="AB135" s="214">
        <f t="shared" si="34"/>
        <v>0</v>
      </c>
      <c r="AC135" s="214"/>
      <c r="AD135" s="214"/>
      <c r="AE135" s="214"/>
      <c r="AF135" s="214">
        <f t="shared" si="24"/>
        <v>0</v>
      </c>
      <c r="AG135" s="214"/>
      <c r="AH135" s="214"/>
      <c r="AI135" s="214">
        <f t="shared" si="25"/>
        <v>0</v>
      </c>
      <c r="AJ135" s="214"/>
      <c r="AK135" s="214"/>
      <c r="AL135" s="214">
        <f t="shared" si="26"/>
        <v>66.666666666666671</v>
      </c>
      <c r="AM135" s="214">
        <f t="shared" si="26"/>
        <v>66.666666666666671</v>
      </c>
      <c r="AN135" s="214"/>
      <c r="AO135" s="194"/>
    </row>
    <row r="136" spans="1:41" ht="48" customHeight="1" x14ac:dyDescent="0.25">
      <c r="A136" s="194"/>
      <c r="B136" s="213" t="s">
        <v>362</v>
      </c>
      <c r="C136" s="214">
        <f t="shared" si="36"/>
        <v>117</v>
      </c>
      <c r="D136" s="214">
        <v>117</v>
      </c>
      <c r="E136" s="214"/>
      <c r="F136" s="214"/>
      <c r="G136" s="214">
        <f t="shared" si="27"/>
        <v>57</v>
      </c>
      <c r="H136" s="214">
        <f t="shared" si="28"/>
        <v>57</v>
      </c>
      <c r="I136" s="214">
        <f t="shared" si="35"/>
        <v>0</v>
      </c>
      <c r="J136" s="214">
        <f t="shared" si="29"/>
        <v>57</v>
      </c>
      <c r="K136" s="214">
        <f t="shared" si="30"/>
        <v>57</v>
      </c>
      <c r="L136" s="214">
        <v>57</v>
      </c>
      <c r="M136" s="214"/>
      <c r="N136" s="214"/>
      <c r="O136" s="326"/>
      <c r="P136" s="214"/>
      <c r="Q136" s="239">
        <f t="shared" si="31"/>
        <v>0</v>
      </c>
      <c r="R136" s="214">
        <f t="shared" si="32"/>
        <v>0</v>
      </c>
      <c r="S136" s="214"/>
      <c r="T136" s="214"/>
      <c r="U136" s="239">
        <f t="shared" si="33"/>
        <v>0</v>
      </c>
      <c r="V136" s="214"/>
      <c r="W136" s="214"/>
      <c r="X136" s="214"/>
      <c r="Y136" s="214"/>
      <c r="Z136" s="214"/>
      <c r="AA136" s="214"/>
      <c r="AB136" s="214">
        <f t="shared" si="34"/>
        <v>0</v>
      </c>
      <c r="AC136" s="214"/>
      <c r="AD136" s="214"/>
      <c r="AE136" s="214"/>
      <c r="AF136" s="214">
        <f t="shared" si="24"/>
        <v>0</v>
      </c>
      <c r="AG136" s="214"/>
      <c r="AH136" s="214"/>
      <c r="AI136" s="214">
        <f t="shared" si="25"/>
        <v>0</v>
      </c>
      <c r="AJ136" s="214"/>
      <c r="AK136" s="214"/>
      <c r="AL136" s="214">
        <f t="shared" si="26"/>
        <v>48.717948717948723</v>
      </c>
      <c r="AM136" s="214">
        <f t="shared" si="26"/>
        <v>48.717948717948723</v>
      </c>
      <c r="AN136" s="214"/>
      <c r="AO136" s="194"/>
    </row>
    <row r="137" spans="1:41" ht="48" customHeight="1" x14ac:dyDescent="0.25">
      <c r="A137" s="194"/>
      <c r="B137" s="213" t="s">
        <v>363</v>
      </c>
      <c r="C137" s="214">
        <f t="shared" si="36"/>
        <v>91</v>
      </c>
      <c r="D137" s="214">
        <v>91</v>
      </c>
      <c r="E137" s="214"/>
      <c r="F137" s="214"/>
      <c r="G137" s="214">
        <f t="shared" si="27"/>
        <v>64</v>
      </c>
      <c r="H137" s="214">
        <f t="shared" si="28"/>
        <v>64</v>
      </c>
      <c r="I137" s="214">
        <f t="shared" si="35"/>
        <v>0</v>
      </c>
      <c r="J137" s="214">
        <f t="shared" si="29"/>
        <v>64</v>
      </c>
      <c r="K137" s="214">
        <f t="shared" si="30"/>
        <v>64</v>
      </c>
      <c r="L137" s="214">
        <v>64</v>
      </c>
      <c r="M137" s="214"/>
      <c r="N137" s="214"/>
      <c r="O137" s="326"/>
      <c r="P137" s="214"/>
      <c r="Q137" s="239">
        <f t="shared" si="31"/>
        <v>0</v>
      </c>
      <c r="R137" s="214">
        <f t="shared" si="32"/>
        <v>0</v>
      </c>
      <c r="S137" s="214"/>
      <c r="T137" s="214"/>
      <c r="U137" s="239">
        <f t="shared" si="33"/>
        <v>0</v>
      </c>
      <c r="V137" s="214"/>
      <c r="W137" s="214"/>
      <c r="X137" s="214"/>
      <c r="Y137" s="214"/>
      <c r="Z137" s="214"/>
      <c r="AA137" s="214"/>
      <c r="AB137" s="214">
        <f t="shared" si="34"/>
        <v>0</v>
      </c>
      <c r="AC137" s="214"/>
      <c r="AD137" s="214"/>
      <c r="AE137" s="214"/>
      <c r="AF137" s="214">
        <f t="shared" si="24"/>
        <v>0</v>
      </c>
      <c r="AG137" s="214"/>
      <c r="AH137" s="214"/>
      <c r="AI137" s="214">
        <f t="shared" si="25"/>
        <v>0</v>
      </c>
      <c r="AJ137" s="214"/>
      <c r="AK137" s="214"/>
      <c r="AL137" s="214">
        <f t="shared" si="26"/>
        <v>70.329670329670321</v>
      </c>
      <c r="AM137" s="214">
        <f t="shared" si="26"/>
        <v>70.329670329670321</v>
      </c>
      <c r="AN137" s="214"/>
      <c r="AO137" s="194"/>
    </row>
    <row r="138" spans="1:41" ht="48" customHeight="1" x14ac:dyDescent="0.25">
      <c r="A138" s="194"/>
      <c r="B138" s="213" t="s">
        <v>364</v>
      </c>
      <c r="C138" s="214">
        <f t="shared" si="36"/>
        <v>130</v>
      </c>
      <c r="D138" s="214">
        <v>130</v>
      </c>
      <c r="E138" s="214"/>
      <c r="F138" s="214"/>
      <c r="G138" s="214">
        <f t="shared" si="27"/>
        <v>62</v>
      </c>
      <c r="H138" s="214">
        <f t="shared" si="28"/>
        <v>62</v>
      </c>
      <c r="I138" s="214">
        <f t="shared" si="35"/>
        <v>0</v>
      </c>
      <c r="J138" s="214">
        <f t="shared" si="29"/>
        <v>62</v>
      </c>
      <c r="K138" s="214">
        <f t="shared" si="30"/>
        <v>62</v>
      </c>
      <c r="L138" s="214">
        <v>62</v>
      </c>
      <c r="M138" s="214"/>
      <c r="N138" s="214"/>
      <c r="O138" s="326"/>
      <c r="P138" s="214"/>
      <c r="Q138" s="239">
        <f t="shared" si="31"/>
        <v>0</v>
      </c>
      <c r="R138" s="214">
        <f t="shared" si="32"/>
        <v>0</v>
      </c>
      <c r="S138" s="214"/>
      <c r="T138" s="214"/>
      <c r="U138" s="239">
        <f t="shared" si="33"/>
        <v>0</v>
      </c>
      <c r="V138" s="214"/>
      <c r="W138" s="214"/>
      <c r="X138" s="214"/>
      <c r="Y138" s="214"/>
      <c r="Z138" s="214"/>
      <c r="AA138" s="214"/>
      <c r="AB138" s="214">
        <f t="shared" si="34"/>
        <v>0</v>
      </c>
      <c r="AC138" s="214"/>
      <c r="AD138" s="214"/>
      <c r="AE138" s="214"/>
      <c r="AF138" s="214">
        <f t="shared" si="24"/>
        <v>0</v>
      </c>
      <c r="AG138" s="214"/>
      <c r="AH138" s="214"/>
      <c r="AI138" s="214">
        <f t="shared" si="25"/>
        <v>0</v>
      </c>
      <c r="AJ138" s="214"/>
      <c r="AK138" s="214"/>
      <c r="AL138" s="214">
        <f t="shared" si="26"/>
        <v>47.692307692307693</v>
      </c>
      <c r="AM138" s="214">
        <f t="shared" si="26"/>
        <v>47.692307692307693</v>
      </c>
      <c r="AN138" s="214"/>
      <c r="AO138" s="194"/>
    </row>
    <row r="139" spans="1:41" ht="48" customHeight="1" x14ac:dyDescent="0.25">
      <c r="A139" s="194"/>
      <c r="B139" s="213" t="s">
        <v>370</v>
      </c>
      <c r="C139" s="214">
        <f t="shared" si="36"/>
        <v>205</v>
      </c>
      <c r="D139" s="214">
        <v>205</v>
      </c>
      <c r="E139" s="214"/>
      <c r="F139" s="214"/>
      <c r="G139" s="214">
        <f t="shared" si="27"/>
        <v>152</v>
      </c>
      <c r="H139" s="214">
        <f t="shared" si="28"/>
        <v>152</v>
      </c>
      <c r="I139" s="214">
        <f t="shared" si="35"/>
        <v>0</v>
      </c>
      <c r="J139" s="214">
        <f t="shared" si="29"/>
        <v>152</v>
      </c>
      <c r="K139" s="214">
        <f t="shared" si="30"/>
        <v>152</v>
      </c>
      <c r="L139" s="214">
        <v>152</v>
      </c>
      <c r="M139" s="214"/>
      <c r="N139" s="214"/>
      <c r="O139" s="326"/>
      <c r="P139" s="214"/>
      <c r="Q139" s="239">
        <f t="shared" si="31"/>
        <v>0</v>
      </c>
      <c r="R139" s="214">
        <f t="shared" si="32"/>
        <v>0</v>
      </c>
      <c r="S139" s="214"/>
      <c r="T139" s="214"/>
      <c r="U139" s="239">
        <f t="shared" si="33"/>
        <v>0</v>
      </c>
      <c r="V139" s="214"/>
      <c r="W139" s="214"/>
      <c r="X139" s="214"/>
      <c r="Y139" s="214"/>
      <c r="Z139" s="214"/>
      <c r="AA139" s="214"/>
      <c r="AB139" s="214">
        <f t="shared" si="34"/>
        <v>0</v>
      </c>
      <c r="AC139" s="214"/>
      <c r="AD139" s="214"/>
      <c r="AE139" s="214"/>
      <c r="AF139" s="214">
        <f t="shared" si="24"/>
        <v>0</v>
      </c>
      <c r="AG139" s="214"/>
      <c r="AH139" s="214"/>
      <c r="AI139" s="214">
        <f t="shared" si="25"/>
        <v>0</v>
      </c>
      <c r="AJ139" s="214"/>
      <c r="AK139" s="214"/>
      <c r="AL139" s="214">
        <f t="shared" si="26"/>
        <v>74.146341463414643</v>
      </c>
      <c r="AM139" s="214">
        <f t="shared" si="26"/>
        <v>74.146341463414643</v>
      </c>
      <c r="AN139" s="214"/>
      <c r="AO139" s="194"/>
    </row>
    <row r="140" spans="1:41" ht="48" customHeight="1" x14ac:dyDescent="0.25">
      <c r="A140" s="194"/>
      <c r="B140" s="213" t="s">
        <v>371</v>
      </c>
      <c r="C140" s="214">
        <f t="shared" si="36"/>
        <v>100</v>
      </c>
      <c r="D140" s="214">
        <v>100</v>
      </c>
      <c r="E140" s="214"/>
      <c r="F140" s="214"/>
      <c r="G140" s="214">
        <f t="shared" si="27"/>
        <v>75</v>
      </c>
      <c r="H140" s="214">
        <f t="shared" si="28"/>
        <v>75</v>
      </c>
      <c r="I140" s="214">
        <f t="shared" si="35"/>
        <v>0</v>
      </c>
      <c r="J140" s="214">
        <f t="shared" si="29"/>
        <v>75</v>
      </c>
      <c r="K140" s="214">
        <f t="shared" si="30"/>
        <v>75</v>
      </c>
      <c r="L140" s="214">
        <v>75</v>
      </c>
      <c r="M140" s="214"/>
      <c r="N140" s="214"/>
      <c r="O140" s="326"/>
      <c r="P140" s="214"/>
      <c r="Q140" s="239">
        <f t="shared" si="31"/>
        <v>0</v>
      </c>
      <c r="R140" s="214">
        <f t="shared" si="32"/>
        <v>0</v>
      </c>
      <c r="S140" s="214"/>
      <c r="T140" s="214"/>
      <c r="U140" s="239">
        <f t="shared" si="33"/>
        <v>0</v>
      </c>
      <c r="V140" s="214"/>
      <c r="W140" s="214"/>
      <c r="X140" s="214"/>
      <c r="Y140" s="214"/>
      <c r="Z140" s="214"/>
      <c r="AA140" s="214"/>
      <c r="AB140" s="214">
        <f t="shared" si="34"/>
        <v>0</v>
      </c>
      <c r="AC140" s="214"/>
      <c r="AD140" s="214"/>
      <c r="AE140" s="214"/>
      <c r="AF140" s="214">
        <f t="shared" si="24"/>
        <v>0</v>
      </c>
      <c r="AG140" s="214"/>
      <c r="AH140" s="214"/>
      <c r="AI140" s="214">
        <f t="shared" si="25"/>
        <v>0</v>
      </c>
      <c r="AJ140" s="214"/>
      <c r="AK140" s="214"/>
      <c r="AL140" s="214">
        <f t="shared" si="26"/>
        <v>75</v>
      </c>
      <c r="AM140" s="214">
        <f t="shared" si="26"/>
        <v>75</v>
      </c>
      <c r="AN140" s="214"/>
      <c r="AO140" s="194"/>
    </row>
    <row r="141" spans="1:41" ht="48" customHeight="1" x14ac:dyDescent="0.25">
      <c r="A141" s="194"/>
      <c r="B141" s="213" t="s">
        <v>73</v>
      </c>
      <c r="C141" s="214">
        <f t="shared" si="36"/>
        <v>100</v>
      </c>
      <c r="D141" s="214">
        <v>100</v>
      </c>
      <c r="E141" s="214"/>
      <c r="F141" s="214"/>
      <c r="G141" s="214">
        <f t="shared" si="27"/>
        <v>98.258647999999994</v>
      </c>
      <c r="H141" s="214">
        <f t="shared" si="28"/>
        <v>98.258647999999994</v>
      </c>
      <c r="I141" s="214">
        <f t="shared" si="35"/>
        <v>0</v>
      </c>
      <c r="J141" s="214">
        <f t="shared" si="29"/>
        <v>98.258647999999994</v>
      </c>
      <c r="K141" s="214">
        <f t="shared" si="30"/>
        <v>98.258647999999994</v>
      </c>
      <c r="L141" s="214">
        <v>98.258647999999994</v>
      </c>
      <c r="M141" s="214"/>
      <c r="N141" s="214"/>
      <c r="O141" s="326"/>
      <c r="P141" s="214"/>
      <c r="Q141" s="239">
        <f t="shared" si="31"/>
        <v>0</v>
      </c>
      <c r="R141" s="214">
        <f t="shared" si="32"/>
        <v>0</v>
      </c>
      <c r="S141" s="214"/>
      <c r="T141" s="214"/>
      <c r="U141" s="239">
        <f t="shared" si="33"/>
        <v>0</v>
      </c>
      <c r="V141" s="214"/>
      <c r="W141" s="214"/>
      <c r="X141" s="214"/>
      <c r="Y141" s="214"/>
      <c r="Z141" s="214"/>
      <c r="AA141" s="214"/>
      <c r="AB141" s="214">
        <f t="shared" si="34"/>
        <v>0</v>
      </c>
      <c r="AC141" s="214"/>
      <c r="AD141" s="214"/>
      <c r="AE141" s="214"/>
      <c r="AF141" s="214">
        <f t="shared" ref="AF141:AF203" si="37">AG141</f>
        <v>0</v>
      </c>
      <c r="AG141" s="214"/>
      <c r="AH141" s="214"/>
      <c r="AI141" s="214">
        <f t="shared" ref="AI141:AI203" si="38">AJ141</f>
        <v>0</v>
      </c>
      <c r="AJ141" s="214"/>
      <c r="AK141" s="214"/>
      <c r="AL141" s="214">
        <f t="shared" ref="AL141:AM199" si="39">G141/C141%</f>
        <v>98.258647999999994</v>
      </c>
      <c r="AM141" s="214">
        <f t="shared" si="39"/>
        <v>98.258647999999994</v>
      </c>
      <c r="AN141" s="214"/>
      <c r="AO141" s="194"/>
    </row>
    <row r="142" spans="1:41" ht="48" customHeight="1" x14ac:dyDescent="0.25">
      <c r="A142" s="194"/>
      <c r="B142" s="213" t="s">
        <v>99</v>
      </c>
      <c r="C142" s="214">
        <f t="shared" si="36"/>
        <v>177</v>
      </c>
      <c r="D142" s="214">
        <v>177</v>
      </c>
      <c r="E142" s="214"/>
      <c r="F142" s="214"/>
      <c r="G142" s="214">
        <f t="shared" ref="G142:G205" si="40">H142+I142</f>
        <v>177</v>
      </c>
      <c r="H142" s="214">
        <f t="shared" ref="H142:H205" si="41">K142+R142+Y142+AF142</f>
        <v>177</v>
      </c>
      <c r="I142" s="214">
        <f t="shared" si="35"/>
        <v>0</v>
      </c>
      <c r="J142" s="214">
        <f t="shared" ref="J142:J205" si="42">K142+N142</f>
        <v>177</v>
      </c>
      <c r="K142" s="214">
        <f t="shared" ref="K142:K205" si="43">L142</f>
        <v>177</v>
      </c>
      <c r="L142" s="214">
        <v>177</v>
      </c>
      <c r="M142" s="214"/>
      <c r="N142" s="214"/>
      <c r="O142" s="326"/>
      <c r="P142" s="214"/>
      <c r="Q142" s="239">
        <f t="shared" ref="Q142:Q205" si="44">R142+U142</f>
        <v>0</v>
      </c>
      <c r="R142" s="214">
        <f t="shared" ref="R142:R205" si="45">S142+T142</f>
        <v>0</v>
      </c>
      <c r="S142" s="214"/>
      <c r="T142" s="214"/>
      <c r="U142" s="239">
        <f t="shared" ref="U142:U205" si="46">V142+W142</f>
        <v>0</v>
      </c>
      <c r="V142" s="214"/>
      <c r="W142" s="214"/>
      <c r="X142" s="214"/>
      <c r="Y142" s="214"/>
      <c r="Z142" s="214"/>
      <c r="AA142" s="214"/>
      <c r="AB142" s="214">
        <f t="shared" ref="AB142:AB205" si="47">AC142+AD142</f>
        <v>0</v>
      </c>
      <c r="AC142" s="214"/>
      <c r="AD142" s="214"/>
      <c r="AE142" s="214"/>
      <c r="AF142" s="214">
        <f t="shared" si="37"/>
        <v>0</v>
      </c>
      <c r="AG142" s="214"/>
      <c r="AH142" s="214"/>
      <c r="AI142" s="214">
        <f t="shared" si="38"/>
        <v>0</v>
      </c>
      <c r="AJ142" s="214"/>
      <c r="AK142" s="214"/>
      <c r="AL142" s="214">
        <f t="shared" si="39"/>
        <v>100</v>
      </c>
      <c r="AM142" s="214">
        <f t="shared" si="39"/>
        <v>100</v>
      </c>
      <c r="AN142" s="214"/>
      <c r="AO142" s="194"/>
    </row>
    <row r="143" spans="1:41" ht="55.5" customHeight="1" x14ac:dyDescent="0.25">
      <c r="A143" s="194"/>
      <c r="B143" s="213" t="s">
        <v>374</v>
      </c>
      <c r="C143" s="214">
        <f t="shared" si="36"/>
        <v>230</v>
      </c>
      <c r="D143" s="214">
        <v>230</v>
      </c>
      <c r="E143" s="214"/>
      <c r="F143" s="214"/>
      <c r="G143" s="214">
        <f t="shared" si="40"/>
        <v>221.113553</v>
      </c>
      <c r="H143" s="214">
        <f t="shared" si="41"/>
        <v>221.113553</v>
      </c>
      <c r="I143" s="214">
        <f t="shared" ref="I143:I206" si="48">N143+U143+AB143+AI143</f>
        <v>0</v>
      </c>
      <c r="J143" s="214">
        <f t="shared" si="42"/>
        <v>221.113553</v>
      </c>
      <c r="K143" s="214">
        <f t="shared" si="43"/>
        <v>221.113553</v>
      </c>
      <c r="L143" s="214">
        <v>221.113553</v>
      </c>
      <c r="M143" s="214"/>
      <c r="N143" s="214"/>
      <c r="O143" s="326"/>
      <c r="P143" s="214"/>
      <c r="Q143" s="239">
        <f t="shared" si="44"/>
        <v>0</v>
      </c>
      <c r="R143" s="214">
        <f t="shared" si="45"/>
        <v>0</v>
      </c>
      <c r="S143" s="214"/>
      <c r="T143" s="214"/>
      <c r="U143" s="239">
        <f t="shared" si="46"/>
        <v>0</v>
      </c>
      <c r="V143" s="214"/>
      <c r="W143" s="214"/>
      <c r="X143" s="214"/>
      <c r="Y143" s="214"/>
      <c r="Z143" s="214"/>
      <c r="AA143" s="214"/>
      <c r="AB143" s="214">
        <f t="shared" si="47"/>
        <v>0</v>
      </c>
      <c r="AC143" s="214"/>
      <c r="AD143" s="214"/>
      <c r="AE143" s="214"/>
      <c r="AF143" s="214">
        <f t="shared" si="37"/>
        <v>0</v>
      </c>
      <c r="AG143" s="214"/>
      <c r="AH143" s="214"/>
      <c r="AI143" s="214">
        <f t="shared" si="38"/>
        <v>0</v>
      </c>
      <c r="AJ143" s="214"/>
      <c r="AK143" s="214"/>
      <c r="AL143" s="214">
        <f t="shared" si="39"/>
        <v>96.136327391304349</v>
      </c>
      <c r="AM143" s="214">
        <f t="shared" si="39"/>
        <v>96.136327391304349</v>
      </c>
      <c r="AN143" s="214"/>
      <c r="AO143" s="194"/>
    </row>
    <row r="144" spans="1:41" ht="55.5" customHeight="1" x14ac:dyDescent="0.25">
      <c r="A144" s="194"/>
      <c r="B144" s="213" t="s">
        <v>375</v>
      </c>
      <c r="C144" s="214">
        <f t="shared" si="36"/>
        <v>248</v>
      </c>
      <c r="D144" s="214">
        <v>248</v>
      </c>
      <c r="E144" s="214"/>
      <c r="F144" s="214"/>
      <c r="G144" s="214">
        <f t="shared" si="40"/>
        <v>241.876105</v>
      </c>
      <c r="H144" s="214">
        <f t="shared" si="41"/>
        <v>241.876105</v>
      </c>
      <c r="I144" s="214">
        <f t="shared" si="48"/>
        <v>0</v>
      </c>
      <c r="J144" s="214">
        <f t="shared" si="42"/>
        <v>241.876105</v>
      </c>
      <c r="K144" s="214">
        <f t="shared" si="43"/>
        <v>241.876105</v>
      </c>
      <c r="L144" s="214">
        <v>241.876105</v>
      </c>
      <c r="M144" s="214"/>
      <c r="N144" s="214"/>
      <c r="O144" s="326"/>
      <c r="P144" s="214"/>
      <c r="Q144" s="239">
        <f t="shared" si="44"/>
        <v>0</v>
      </c>
      <c r="R144" s="214">
        <f t="shared" si="45"/>
        <v>0</v>
      </c>
      <c r="S144" s="214"/>
      <c r="T144" s="214"/>
      <c r="U144" s="239">
        <f t="shared" si="46"/>
        <v>0</v>
      </c>
      <c r="V144" s="214"/>
      <c r="W144" s="214"/>
      <c r="X144" s="214"/>
      <c r="Y144" s="214"/>
      <c r="Z144" s="214"/>
      <c r="AA144" s="214"/>
      <c r="AB144" s="214">
        <f t="shared" si="47"/>
        <v>0</v>
      </c>
      <c r="AC144" s="214"/>
      <c r="AD144" s="214"/>
      <c r="AE144" s="214"/>
      <c r="AF144" s="214">
        <f t="shared" si="37"/>
        <v>0</v>
      </c>
      <c r="AG144" s="214"/>
      <c r="AH144" s="214"/>
      <c r="AI144" s="214">
        <f t="shared" si="38"/>
        <v>0</v>
      </c>
      <c r="AJ144" s="214"/>
      <c r="AK144" s="214"/>
      <c r="AL144" s="214">
        <f t="shared" si="39"/>
        <v>97.530687499999999</v>
      </c>
      <c r="AM144" s="214">
        <f t="shared" si="39"/>
        <v>97.530687499999999</v>
      </c>
      <c r="AN144" s="214"/>
      <c r="AO144" s="194"/>
    </row>
    <row r="145" spans="1:41" ht="55.5" customHeight="1" x14ac:dyDescent="0.25">
      <c r="A145" s="194"/>
      <c r="B145" s="213" t="s">
        <v>376</v>
      </c>
      <c r="C145" s="214">
        <f t="shared" si="36"/>
        <v>80</v>
      </c>
      <c r="D145" s="214">
        <v>80</v>
      </c>
      <c r="E145" s="214"/>
      <c r="F145" s="214"/>
      <c r="G145" s="214">
        <f t="shared" si="40"/>
        <v>77.026636999999994</v>
      </c>
      <c r="H145" s="214">
        <f t="shared" si="41"/>
        <v>77.026636999999994</v>
      </c>
      <c r="I145" s="214">
        <f t="shared" si="48"/>
        <v>0</v>
      </c>
      <c r="J145" s="214">
        <f t="shared" si="42"/>
        <v>77.026636999999994</v>
      </c>
      <c r="K145" s="214">
        <f t="shared" si="43"/>
        <v>77.026636999999994</v>
      </c>
      <c r="L145" s="214">
        <v>77.026636999999994</v>
      </c>
      <c r="M145" s="214"/>
      <c r="N145" s="214"/>
      <c r="O145" s="326"/>
      <c r="P145" s="214"/>
      <c r="Q145" s="239">
        <f t="shared" si="44"/>
        <v>0</v>
      </c>
      <c r="R145" s="214">
        <f t="shared" si="45"/>
        <v>0</v>
      </c>
      <c r="S145" s="214"/>
      <c r="T145" s="214"/>
      <c r="U145" s="239">
        <f t="shared" si="46"/>
        <v>0</v>
      </c>
      <c r="V145" s="214"/>
      <c r="W145" s="214"/>
      <c r="X145" s="214"/>
      <c r="Y145" s="214"/>
      <c r="Z145" s="214"/>
      <c r="AA145" s="214"/>
      <c r="AB145" s="214">
        <f t="shared" si="47"/>
        <v>0</v>
      </c>
      <c r="AC145" s="214"/>
      <c r="AD145" s="214"/>
      <c r="AE145" s="214"/>
      <c r="AF145" s="214">
        <f t="shared" si="37"/>
        <v>0</v>
      </c>
      <c r="AG145" s="214"/>
      <c r="AH145" s="214"/>
      <c r="AI145" s="214">
        <f t="shared" si="38"/>
        <v>0</v>
      </c>
      <c r="AJ145" s="214"/>
      <c r="AK145" s="214"/>
      <c r="AL145" s="214">
        <f t="shared" si="39"/>
        <v>96.283296249999992</v>
      </c>
      <c r="AM145" s="214">
        <f t="shared" si="39"/>
        <v>96.283296249999992</v>
      </c>
      <c r="AN145" s="214"/>
      <c r="AO145" s="194"/>
    </row>
    <row r="146" spans="1:41" ht="55.5" customHeight="1" x14ac:dyDescent="0.25">
      <c r="A146" s="194"/>
      <c r="B146" s="213" t="s">
        <v>365</v>
      </c>
      <c r="C146" s="214">
        <f t="shared" si="36"/>
        <v>800</v>
      </c>
      <c r="D146" s="214">
        <v>800</v>
      </c>
      <c r="E146" s="214"/>
      <c r="F146" s="214"/>
      <c r="G146" s="214">
        <f t="shared" si="40"/>
        <v>554</v>
      </c>
      <c r="H146" s="214">
        <f t="shared" si="41"/>
        <v>554</v>
      </c>
      <c r="I146" s="214">
        <f t="shared" si="48"/>
        <v>0</v>
      </c>
      <c r="J146" s="214">
        <f t="shared" si="42"/>
        <v>554</v>
      </c>
      <c r="K146" s="214">
        <f t="shared" si="43"/>
        <v>554</v>
      </c>
      <c r="L146" s="214">
        <v>554</v>
      </c>
      <c r="M146" s="214"/>
      <c r="N146" s="214"/>
      <c r="O146" s="326"/>
      <c r="P146" s="214"/>
      <c r="Q146" s="239">
        <f t="shared" si="44"/>
        <v>0</v>
      </c>
      <c r="R146" s="214">
        <f t="shared" si="45"/>
        <v>0</v>
      </c>
      <c r="S146" s="214"/>
      <c r="T146" s="214"/>
      <c r="U146" s="239">
        <f t="shared" si="46"/>
        <v>0</v>
      </c>
      <c r="V146" s="214"/>
      <c r="W146" s="214"/>
      <c r="X146" s="214"/>
      <c r="Y146" s="214"/>
      <c r="Z146" s="214"/>
      <c r="AA146" s="214"/>
      <c r="AB146" s="214">
        <f t="shared" si="47"/>
        <v>0</v>
      </c>
      <c r="AC146" s="214"/>
      <c r="AD146" s="214"/>
      <c r="AE146" s="214"/>
      <c r="AF146" s="214">
        <f t="shared" si="37"/>
        <v>0</v>
      </c>
      <c r="AG146" s="214"/>
      <c r="AH146" s="214"/>
      <c r="AI146" s="214">
        <f t="shared" si="38"/>
        <v>0</v>
      </c>
      <c r="AJ146" s="214"/>
      <c r="AK146" s="214"/>
      <c r="AL146" s="214">
        <f t="shared" si="39"/>
        <v>69.25</v>
      </c>
      <c r="AM146" s="214">
        <f t="shared" si="39"/>
        <v>69.25</v>
      </c>
      <c r="AN146" s="214"/>
      <c r="AO146" s="194"/>
    </row>
    <row r="147" spans="1:41" ht="55.5" customHeight="1" x14ac:dyDescent="0.25">
      <c r="A147" s="194"/>
      <c r="B147" s="213" t="s">
        <v>390</v>
      </c>
      <c r="C147" s="214">
        <f t="shared" si="36"/>
        <v>460</v>
      </c>
      <c r="D147" s="214">
        <v>460</v>
      </c>
      <c r="E147" s="214"/>
      <c r="F147" s="214"/>
      <c r="G147" s="214">
        <f t="shared" si="40"/>
        <v>368</v>
      </c>
      <c r="H147" s="214">
        <f t="shared" si="41"/>
        <v>368</v>
      </c>
      <c r="I147" s="214">
        <f t="shared" si="48"/>
        <v>0</v>
      </c>
      <c r="J147" s="214">
        <f t="shared" si="42"/>
        <v>368</v>
      </c>
      <c r="K147" s="214">
        <f t="shared" si="43"/>
        <v>368</v>
      </c>
      <c r="L147" s="214">
        <v>368</v>
      </c>
      <c r="M147" s="214"/>
      <c r="N147" s="214"/>
      <c r="O147" s="326"/>
      <c r="P147" s="214"/>
      <c r="Q147" s="239">
        <f t="shared" si="44"/>
        <v>0</v>
      </c>
      <c r="R147" s="214">
        <f t="shared" si="45"/>
        <v>0</v>
      </c>
      <c r="S147" s="214"/>
      <c r="T147" s="214"/>
      <c r="U147" s="239">
        <f t="shared" si="46"/>
        <v>0</v>
      </c>
      <c r="V147" s="214"/>
      <c r="W147" s="214"/>
      <c r="X147" s="214"/>
      <c r="Y147" s="214"/>
      <c r="Z147" s="214"/>
      <c r="AA147" s="214"/>
      <c r="AB147" s="214">
        <f t="shared" si="47"/>
        <v>0</v>
      </c>
      <c r="AC147" s="214"/>
      <c r="AD147" s="214"/>
      <c r="AE147" s="214"/>
      <c r="AF147" s="214">
        <f t="shared" si="37"/>
        <v>0</v>
      </c>
      <c r="AG147" s="214"/>
      <c r="AH147" s="214"/>
      <c r="AI147" s="214">
        <f t="shared" si="38"/>
        <v>0</v>
      </c>
      <c r="AJ147" s="214"/>
      <c r="AK147" s="214"/>
      <c r="AL147" s="214">
        <f t="shared" si="39"/>
        <v>80</v>
      </c>
      <c r="AM147" s="214">
        <f t="shared" si="39"/>
        <v>80</v>
      </c>
      <c r="AN147" s="214"/>
      <c r="AO147" s="194"/>
    </row>
    <row r="148" spans="1:41" ht="55.5" customHeight="1" x14ac:dyDescent="0.25">
      <c r="A148" s="194"/>
      <c r="B148" s="213" t="s">
        <v>391</v>
      </c>
      <c r="C148" s="214">
        <f t="shared" si="36"/>
        <v>666</v>
      </c>
      <c r="D148" s="214">
        <v>666</v>
      </c>
      <c r="E148" s="214"/>
      <c r="F148" s="214"/>
      <c r="G148" s="214">
        <f t="shared" si="40"/>
        <v>532.79999999999995</v>
      </c>
      <c r="H148" s="214">
        <f t="shared" si="41"/>
        <v>532.79999999999995</v>
      </c>
      <c r="I148" s="214">
        <f t="shared" si="48"/>
        <v>0</v>
      </c>
      <c r="J148" s="214">
        <f t="shared" si="42"/>
        <v>532.79999999999995</v>
      </c>
      <c r="K148" s="214">
        <f t="shared" si="43"/>
        <v>532.79999999999995</v>
      </c>
      <c r="L148" s="214">
        <v>532.79999999999995</v>
      </c>
      <c r="M148" s="214"/>
      <c r="N148" s="214"/>
      <c r="O148" s="326"/>
      <c r="P148" s="214"/>
      <c r="Q148" s="239">
        <f t="shared" si="44"/>
        <v>0</v>
      </c>
      <c r="R148" s="214">
        <f t="shared" si="45"/>
        <v>0</v>
      </c>
      <c r="S148" s="214"/>
      <c r="T148" s="214"/>
      <c r="U148" s="239">
        <f t="shared" si="46"/>
        <v>0</v>
      </c>
      <c r="V148" s="214"/>
      <c r="W148" s="214"/>
      <c r="X148" s="214"/>
      <c r="Y148" s="214"/>
      <c r="Z148" s="214"/>
      <c r="AA148" s="214"/>
      <c r="AB148" s="214">
        <f t="shared" si="47"/>
        <v>0</v>
      </c>
      <c r="AC148" s="214"/>
      <c r="AD148" s="214"/>
      <c r="AE148" s="214"/>
      <c r="AF148" s="214">
        <f t="shared" si="37"/>
        <v>0</v>
      </c>
      <c r="AG148" s="214"/>
      <c r="AH148" s="214"/>
      <c r="AI148" s="214">
        <f t="shared" si="38"/>
        <v>0</v>
      </c>
      <c r="AJ148" s="214"/>
      <c r="AK148" s="214"/>
      <c r="AL148" s="214">
        <f t="shared" si="39"/>
        <v>79.999999999999986</v>
      </c>
      <c r="AM148" s="214">
        <f t="shared" si="39"/>
        <v>79.999999999999986</v>
      </c>
      <c r="AN148" s="214"/>
      <c r="AO148" s="194"/>
    </row>
    <row r="149" spans="1:41" ht="48" customHeight="1" x14ac:dyDescent="0.25">
      <c r="A149" s="194"/>
      <c r="B149" s="213" t="s">
        <v>366</v>
      </c>
      <c r="C149" s="214">
        <f t="shared" si="36"/>
        <v>1500</v>
      </c>
      <c r="D149" s="214">
        <v>1500</v>
      </c>
      <c r="E149" s="214"/>
      <c r="F149" s="214"/>
      <c r="G149" s="214">
        <f t="shared" si="40"/>
        <v>403</v>
      </c>
      <c r="H149" s="214">
        <f t="shared" si="41"/>
        <v>403</v>
      </c>
      <c r="I149" s="214">
        <f t="shared" si="48"/>
        <v>0</v>
      </c>
      <c r="J149" s="214">
        <f t="shared" si="42"/>
        <v>403</v>
      </c>
      <c r="K149" s="214">
        <f t="shared" si="43"/>
        <v>403</v>
      </c>
      <c r="L149" s="214">
        <v>403</v>
      </c>
      <c r="M149" s="214"/>
      <c r="N149" s="214"/>
      <c r="O149" s="326"/>
      <c r="P149" s="214"/>
      <c r="Q149" s="239">
        <f t="shared" si="44"/>
        <v>0</v>
      </c>
      <c r="R149" s="214">
        <f t="shared" si="45"/>
        <v>0</v>
      </c>
      <c r="S149" s="214"/>
      <c r="T149" s="214"/>
      <c r="U149" s="239">
        <f t="shared" si="46"/>
        <v>0</v>
      </c>
      <c r="V149" s="214"/>
      <c r="W149" s="214"/>
      <c r="X149" s="214"/>
      <c r="Y149" s="214"/>
      <c r="Z149" s="214"/>
      <c r="AA149" s="214"/>
      <c r="AB149" s="214">
        <f t="shared" si="47"/>
        <v>0</v>
      </c>
      <c r="AC149" s="214"/>
      <c r="AD149" s="214"/>
      <c r="AE149" s="214"/>
      <c r="AF149" s="214">
        <f t="shared" si="37"/>
        <v>0</v>
      </c>
      <c r="AG149" s="214"/>
      <c r="AH149" s="214"/>
      <c r="AI149" s="214">
        <f t="shared" si="38"/>
        <v>0</v>
      </c>
      <c r="AJ149" s="214"/>
      <c r="AK149" s="214"/>
      <c r="AL149" s="214">
        <f t="shared" si="39"/>
        <v>26.866666666666667</v>
      </c>
      <c r="AM149" s="214">
        <f t="shared" si="39"/>
        <v>26.866666666666667</v>
      </c>
      <c r="AN149" s="214"/>
      <c r="AO149" s="194"/>
    </row>
    <row r="150" spans="1:41" ht="48" customHeight="1" x14ac:dyDescent="0.25">
      <c r="A150" s="194"/>
      <c r="B150" s="213" t="s">
        <v>396</v>
      </c>
      <c r="C150" s="214">
        <f t="shared" si="36"/>
        <v>305</v>
      </c>
      <c r="D150" s="214">
        <v>305</v>
      </c>
      <c r="E150" s="214"/>
      <c r="F150" s="214"/>
      <c r="G150" s="214">
        <f t="shared" si="40"/>
        <v>234.47138100000001</v>
      </c>
      <c r="H150" s="214">
        <f t="shared" si="41"/>
        <v>234.47138100000001</v>
      </c>
      <c r="I150" s="214">
        <f t="shared" si="48"/>
        <v>0</v>
      </c>
      <c r="J150" s="214">
        <f t="shared" si="42"/>
        <v>234.47138100000001</v>
      </c>
      <c r="K150" s="214">
        <f t="shared" si="43"/>
        <v>234.47138100000001</v>
      </c>
      <c r="L150" s="214">
        <v>234.47138100000001</v>
      </c>
      <c r="M150" s="214"/>
      <c r="N150" s="214"/>
      <c r="O150" s="326"/>
      <c r="P150" s="214"/>
      <c r="Q150" s="239">
        <f t="shared" si="44"/>
        <v>0</v>
      </c>
      <c r="R150" s="214">
        <f t="shared" si="45"/>
        <v>0</v>
      </c>
      <c r="S150" s="214"/>
      <c r="T150" s="214"/>
      <c r="U150" s="239">
        <f t="shared" si="46"/>
        <v>0</v>
      </c>
      <c r="V150" s="214"/>
      <c r="W150" s="214"/>
      <c r="X150" s="214"/>
      <c r="Y150" s="214"/>
      <c r="Z150" s="214"/>
      <c r="AA150" s="214"/>
      <c r="AB150" s="214">
        <f t="shared" si="47"/>
        <v>0</v>
      </c>
      <c r="AC150" s="214"/>
      <c r="AD150" s="214"/>
      <c r="AE150" s="214"/>
      <c r="AF150" s="214">
        <f t="shared" si="37"/>
        <v>0</v>
      </c>
      <c r="AG150" s="214"/>
      <c r="AH150" s="214"/>
      <c r="AI150" s="214">
        <f t="shared" si="38"/>
        <v>0</v>
      </c>
      <c r="AJ150" s="214"/>
      <c r="AK150" s="214"/>
      <c r="AL150" s="214">
        <f t="shared" si="39"/>
        <v>76.875862622950834</v>
      </c>
      <c r="AM150" s="214">
        <f t="shared" si="39"/>
        <v>76.875862622950834</v>
      </c>
      <c r="AN150" s="214"/>
      <c r="AO150" s="194"/>
    </row>
    <row r="151" spans="1:41" ht="48" customHeight="1" x14ac:dyDescent="0.25">
      <c r="A151" s="194"/>
      <c r="B151" s="213" t="s">
        <v>91</v>
      </c>
      <c r="C151" s="214">
        <f t="shared" si="36"/>
        <v>160</v>
      </c>
      <c r="D151" s="214">
        <v>160</v>
      </c>
      <c r="E151" s="214"/>
      <c r="F151" s="214"/>
      <c r="G151" s="214">
        <f t="shared" si="40"/>
        <v>123</v>
      </c>
      <c r="H151" s="214">
        <f t="shared" si="41"/>
        <v>123</v>
      </c>
      <c r="I151" s="214">
        <f t="shared" si="48"/>
        <v>0</v>
      </c>
      <c r="J151" s="214">
        <f t="shared" si="42"/>
        <v>123</v>
      </c>
      <c r="K151" s="214">
        <f t="shared" si="43"/>
        <v>123</v>
      </c>
      <c r="L151" s="214">
        <v>123</v>
      </c>
      <c r="M151" s="214"/>
      <c r="N151" s="214"/>
      <c r="O151" s="326"/>
      <c r="P151" s="214"/>
      <c r="Q151" s="239">
        <f t="shared" si="44"/>
        <v>0</v>
      </c>
      <c r="R151" s="214">
        <f t="shared" si="45"/>
        <v>0</v>
      </c>
      <c r="S151" s="214"/>
      <c r="T151" s="214"/>
      <c r="U151" s="239">
        <f t="shared" si="46"/>
        <v>0</v>
      </c>
      <c r="V151" s="214"/>
      <c r="W151" s="214"/>
      <c r="X151" s="214"/>
      <c r="Y151" s="214"/>
      <c r="Z151" s="214"/>
      <c r="AA151" s="214"/>
      <c r="AB151" s="214">
        <f t="shared" si="47"/>
        <v>0</v>
      </c>
      <c r="AC151" s="214"/>
      <c r="AD151" s="214"/>
      <c r="AE151" s="214"/>
      <c r="AF151" s="214">
        <f t="shared" si="37"/>
        <v>0</v>
      </c>
      <c r="AG151" s="214"/>
      <c r="AH151" s="214"/>
      <c r="AI151" s="214">
        <f t="shared" si="38"/>
        <v>0</v>
      </c>
      <c r="AJ151" s="214"/>
      <c r="AK151" s="214"/>
      <c r="AL151" s="214">
        <f t="shared" si="39"/>
        <v>76.875</v>
      </c>
      <c r="AM151" s="214">
        <f t="shared" si="39"/>
        <v>76.875</v>
      </c>
      <c r="AN151" s="214"/>
      <c r="AO151" s="194"/>
    </row>
    <row r="152" spans="1:41" ht="48" customHeight="1" x14ac:dyDescent="0.25">
      <c r="A152" s="194"/>
      <c r="B152" s="213" t="s">
        <v>90</v>
      </c>
      <c r="C152" s="214">
        <f t="shared" si="36"/>
        <v>106</v>
      </c>
      <c r="D152" s="214">
        <v>106</v>
      </c>
      <c r="E152" s="214"/>
      <c r="F152" s="214"/>
      <c r="G152" s="214">
        <f t="shared" si="40"/>
        <v>82</v>
      </c>
      <c r="H152" s="214">
        <f t="shared" si="41"/>
        <v>82</v>
      </c>
      <c r="I152" s="214">
        <f t="shared" si="48"/>
        <v>0</v>
      </c>
      <c r="J152" s="214">
        <f t="shared" si="42"/>
        <v>82</v>
      </c>
      <c r="K152" s="214">
        <f t="shared" si="43"/>
        <v>82</v>
      </c>
      <c r="L152" s="214">
        <v>82</v>
      </c>
      <c r="M152" s="214"/>
      <c r="N152" s="214"/>
      <c r="O152" s="326"/>
      <c r="P152" s="214"/>
      <c r="Q152" s="239">
        <f t="shared" si="44"/>
        <v>0</v>
      </c>
      <c r="R152" s="214">
        <f t="shared" si="45"/>
        <v>0</v>
      </c>
      <c r="S152" s="214"/>
      <c r="T152" s="214"/>
      <c r="U152" s="239">
        <f t="shared" si="46"/>
        <v>0</v>
      </c>
      <c r="V152" s="214"/>
      <c r="W152" s="214"/>
      <c r="X152" s="214"/>
      <c r="Y152" s="214"/>
      <c r="Z152" s="214"/>
      <c r="AA152" s="214"/>
      <c r="AB152" s="214">
        <f t="shared" si="47"/>
        <v>0</v>
      </c>
      <c r="AC152" s="214"/>
      <c r="AD152" s="214"/>
      <c r="AE152" s="214"/>
      <c r="AF152" s="214">
        <f t="shared" si="37"/>
        <v>0</v>
      </c>
      <c r="AG152" s="214"/>
      <c r="AH152" s="214"/>
      <c r="AI152" s="214">
        <f t="shared" si="38"/>
        <v>0</v>
      </c>
      <c r="AJ152" s="214"/>
      <c r="AK152" s="214"/>
      <c r="AL152" s="214">
        <f t="shared" si="39"/>
        <v>77.35849056603773</v>
      </c>
      <c r="AM152" s="214">
        <f t="shared" si="39"/>
        <v>77.35849056603773</v>
      </c>
      <c r="AN152" s="214"/>
      <c r="AO152" s="194"/>
    </row>
    <row r="153" spans="1:41" ht="54" customHeight="1" x14ac:dyDescent="0.25">
      <c r="A153" s="194"/>
      <c r="B153" s="213" t="s">
        <v>382</v>
      </c>
      <c r="C153" s="214">
        <f t="shared" si="36"/>
        <v>117</v>
      </c>
      <c r="D153" s="214">
        <v>117</v>
      </c>
      <c r="E153" s="214"/>
      <c r="F153" s="214"/>
      <c r="G153" s="214">
        <f t="shared" si="40"/>
        <v>114.84644299999999</v>
      </c>
      <c r="H153" s="214">
        <f t="shared" si="41"/>
        <v>114.84644299999999</v>
      </c>
      <c r="I153" s="214">
        <f t="shared" si="48"/>
        <v>0</v>
      </c>
      <c r="J153" s="214">
        <f t="shared" si="42"/>
        <v>114.84644299999999</v>
      </c>
      <c r="K153" s="214">
        <f t="shared" si="43"/>
        <v>114.84644299999999</v>
      </c>
      <c r="L153" s="214">
        <v>114.84644299999999</v>
      </c>
      <c r="M153" s="214"/>
      <c r="N153" s="214"/>
      <c r="O153" s="326"/>
      <c r="P153" s="214"/>
      <c r="Q153" s="239">
        <f t="shared" si="44"/>
        <v>0</v>
      </c>
      <c r="R153" s="214">
        <f t="shared" si="45"/>
        <v>0</v>
      </c>
      <c r="S153" s="214"/>
      <c r="T153" s="214"/>
      <c r="U153" s="239">
        <f t="shared" si="46"/>
        <v>0</v>
      </c>
      <c r="V153" s="214"/>
      <c r="W153" s="214"/>
      <c r="X153" s="214"/>
      <c r="Y153" s="214"/>
      <c r="Z153" s="214"/>
      <c r="AA153" s="214"/>
      <c r="AB153" s="214">
        <f t="shared" si="47"/>
        <v>0</v>
      </c>
      <c r="AC153" s="214"/>
      <c r="AD153" s="214"/>
      <c r="AE153" s="214"/>
      <c r="AF153" s="214">
        <f t="shared" si="37"/>
        <v>0</v>
      </c>
      <c r="AG153" s="214"/>
      <c r="AH153" s="214"/>
      <c r="AI153" s="214">
        <f t="shared" si="38"/>
        <v>0</v>
      </c>
      <c r="AJ153" s="214"/>
      <c r="AK153" s="214"/>
      <c r="AL153" s="214">
        <f t="shared" si="39"/>
        <v>98.159352991452991</v>
      </c>
      <c r="AM153" s="214">
        <f t="shared" si="39"/>
        <v>98.159352991452991</v>
      </c>
      <c r="AN153" s="214"/>
      <c r="AO153" s="194"/>
    </row>
    <row r="154" spans="1:41" ht="54.75" customHeight="1" x14ac:dyDescent="0.25">
      <c r="A154" s="194"/>
      <c r="B154" s="213" t="s">
        <v>383</v>
      </c>
      <c r="C154" s="214">
        <f t="shared" si="36"/>
        <v>60</v>
      </c>
      <c r="D154" s="214">
        <v>60</v>
      </c>
      <c r="E154" s="214"/>
      <c r="F154" s="214"/>
      <c r="G154" s="214">
        <f t="shared" si="40"/>
        <v>59.893790000000003</v>
      </c>
      <c r="H154" s="214">
        <f t="shared" si="41"/>
        <v>59.893790000000003</v>
      </c>
      <c r="I154" s="214">
        <f t="shared" si="48"/>
        <v>0</v>
      </c>
      <c r="J154" s="214">
        <f t="shared" si="42"/>
        <v>59.893790000000003</v>
      </c>
      <c r="K154" s="214">
        <f t="shared" si="43"/>
        <v>59.893790000000003</v>
      </c>
      <c r="L154" s="214">
        <v>59.893790000000003</v>
      </c>
      <c r="M154" s="214"/>
      <c r="N154" s="214"/>
      <c r="O154" s="326"/>
      <c r="P154" s="214"/>
      <c r="Q154" s="239">
        <f t="shared" si="44"/>
        <v>0</v>
      </c>
      <c r="R154" s="214">
        <f t="shared" si="45"/>
        <v>0</v>
      </c>
      <c r="S154" s="214"/>
      <c r="T154" s="214"/>
      <c r="U154" s="239">
        <f t="shared" si="46"/>
        <v>0</v>
      </c>
      <c r="V154" s="214"/>
      <c r="W154" s="214"/>
      <c r="X154" s="214"/>
      <c r="Y154" s="214"/>
      <c r="Z154" s="214"/>
      <c r="AA154" s="214"/>
      <c r="AB154" s="214">
        <f t="shared" si="47"/>
        <v>0</v>
      </c>
      <c r="AC154" s="214"/>
      <c r="AD154" s="214"/>
      <c r="AE154" s="214"/>
      <c r="AF154" s="214">
        <f t="shared" si="37"/>
        <v>0</v>
      </c>
      <c r="AG154" s="214"/>
      <c r="AH154" s="214"/>
      <c r="AI154" s="214">
        <f t="shared" si="38"/>
        <v>0</v>
      </c>
      <c r="AJ154" s="214"/>
      <c r="AK154" s="214"/>
      <c r="AL154" s="214">
        <f t="shared" si="39"/>
        <v>99.82298333333334</v>
      </c>
      <c r="AM154" s="214">
        <f t="shared" si="39"/>
        <v>99.82298333333334</v>
      </c>
      <c r="AN154" s="214"/>
      <c r="AO154" s="194"/>
    </row>
    <row r="155" spans="1:41" ht="57.75" customHeight="1" x14ac:dyDescent="0.25">
      <c r="A155" s="194"/>
      <c r="B155" s="213" t="s">
        <v>384</v>
      </c>
      <c r="C155" s="214">
        <f t="shared" ref="C155:C218" si="49">D155+E155</f>
        <v>403</v>
      </c>
      <c r="D155" s="214">
        <v>403</v>
      </c>
      <c r="E155" s="214"/>
      <c r="F155" s="214"/>
      <c r="G155" s="214">
        <f t="shared" si="40"/>
        <v>397.544331</v>
      </c>
      <c r="H155" s="214">
        <f t="shared" si="41"/>
        <v>397.544331</v>
      </c>
      <c r="I155" s="214">
        <f t="shared" si="48"/>
        <v>0</v>
      </c>
      <c r="J155" s="214">
        <f t="shared" si="42"/>
        <v>397.544331</v>
      </c>
      <c r="K155" s="214">
        <f t="shared" si="43"/>
        <v>397.544331</v>
      </c>
      <c r="L155" s="214">
        <v>397.544331</v>
      </c>
      <c r="M155" s="214"/>
      <c r="N155" s="214"/>
      <c r="O155" s="326"/>
      <c r="P155" s="214"/>
      <c r="Q155" s="239">
        <f t="shared" si="44"/>
        <v>0</v>
      </c>
      <c r="R155" s="214">
        <f t="shared" si="45"/>
        <v>0</v>
      </c>
      <c r="S155" s="214"/>
      <c r="T155" s="214"/>
      <c r="U155" s="239">
        <f t="shared" si="46"/>
        <v>0</v>
      </c>
      <c r="V155" s="214"/>
      <c r="W155" s="214"/>
      <c r="X155" s="214"/>
      <c r="Y155" s="214"/>
      <c r="Z155" s="214"/>
      <c r="AA155" s="214"/>
      <c r="AB155" s="214">
        <f t="shared" si="47"/>
        <v>0</v>
      </c>
      <c r="AC155" s="214"/>
      <c r="AD155" s="214"/>
      <c r="AE155" s="214"/>
      <c r="AF155" s="214">
        <f t="shared" si="37"/>
        <v>0</v>
      </c>
      <c r="AG155" s="214"/>
      <c r="AH155" s="214"/>
      <c r="AI155" s="214">
        <f t="shared" si="38"/>
        <v>0</v>
      </c>
      <c r="AJ155" s="214"/>
      <c r="AK155" s="214"/>
      <c r="AL155" s="214">
        <f t="shared" si="39"/>
        <v>98.646235980148873</v>
      </c>
      <c r="AM155" s="214">
        <f t="shared" si="39"/>
        <v>98.646235980148873</v>
      </c>
      <c r="AN155" s="214"/>
      <c r="AO155" s="194"/>
    </row>
    <row r="156" spans="1:41" s="309" customFormat="1" ht="32.25" customHeight="1" x14ac:dyDescent="0.25">
      <c r="A156" s="215" t="s">
        <v>1493</v>
      </c>
      <c r="B156" s="216" t="s">
        <v>797</v>
      </c>
      <c r="C156" s="307">
        <f t="shared" si="49"/>
        <v>1600</v>
      </c>
      <c r="D156" s="307"/>
      <c r="E156" s="307">
        <f>SUM(E157:E159)</f>
        <v>1600</v>
      </c>
      <c r="F156" s="307">
        <f t="shared" ref="F156:P156" si="50">SUM(F157:F159)</f>
        <v>0</v>
      </c>
      <c r="G156" s="318">
        <f>H156+I156</f>
        <v>1598.2406900000001</v>
      </c>
      <c r="H156" s="307">
        <f t="shared" si="41"/>
        <v>0</v>
      </c>
      <c r="I156" s="307">
        <f>N156+U156+AB156+AI156</f>
        <v>1598.2406900000001</v>
      </c>
      <c r="J156" s="307">
        <f>K156+N156</f>
        <v>1598.2406900000001</v>
      </c>
      <c r="K156" s="307">
        <f t="shared" si="43"/>
        <v>0</v>
      </c>
      <c r="L156" s="307">
        <f t="shared" si="50"/>
        <v>0</v>
      </c>
      <c r="M156" s="307">
        <f t="shared" si="50"/>
        <v>0</v>
      </c>
      <c r="N156" s="307">
        <f t="shared" si="50"/>
        <v>1598.2406900000001</v>
      </c>
      <c r="O156" s="356">
        <f t="shared" si="50"/>
        <v>1598.2406900000001</v>
      </c>
      <c r="P156" s="307">
        <f t="shared" si="50"/>
        <v>0</v>
      </c>
      <c r="Q156" s="242">
        <f t="shared" si="44"/>
        <v>0</v>
      </c>
      <c r="R156" s="307">
        <f t="shared" si="45"/>
        <v>0</v>
      </c>
      <c r="S156" s="307">
        <f t="shared" ref="S156:AO156" si="51">SUM(S157:S159)</f>
        <v>0</v>
      </c>
      <c r="T156" s="307">
        <f t="shared" si="51"/>
        <v>0</v>
      </c>
      <c r="U156" s="242">
        <f t="shared" si="46"/>
        <v>0</v>
      </c>
      <c r="V156" s="307">
        <f t="shared" si="51"/>
        <v>0</v>
      </c>
      <c r="W156" s="307">
        <f t="shared" si="51"/>
        <v>0</v>
      </c>
      <c r="X156" s="307">
        <f t="shared" si="51"/>
        <v>0</v>
      </c>
      <c r="Y156" s="307">
        <f t="shared" si="51"/>
        <v>0</v>
      </c>
      <c r="Z156" s="307">
        <f t="shared" si="51"/>
        <v>0</v>
      </c>
      <c r="AA156" s="307">
        <f t="shared" si="51"/>
        <v>0</v>
      </c>
      <c r="AB156" s="307">
        <f t="shared" si="47"/>
        <v>0</v>
      </c>
      <c r="AC156" s="307">
        <f t="shared" si="51"/>
        <v>0</v>
      </c>
      <c r="AD156" s="307">
        <f t="shared" si="51"/>
        <v>0</v>
      </c>
      <c r="AE156" s="307">
        <f t="shared" si="51"/>
        <v>0</v>
      </c>
      <c r="AF156" s="307">
        <f t="shared" si="37"/>
        <v>0</v>
      </c>
      <c r="AG156" s="307">
        <f t="shared" si="51"/>
        <v>0</v>
      </c>
      <c r="AH156" s="307">
        <f t="shared" si="51"/>
        <v>0</v>
      </c>
      <c r="AI156" s="307">
        <f t="shared" si="38"/>
        <v>0</v>
      </c>
      <c r="AJ156" s="307">
        <f t="shared" si="51"/>
        <v>0</v>
      </c>
      <c r="AK156" s="307">
        <f t="shared" si="51"/>
        <v>0</v>
      </c>
      <c r="AL156" s="308">
        <f t="shared" si="39"/>
        <v>99.890043125000005</v>
      </c>
      <c r="AM156" s="308"/>
      <c r="AN156" s="308">
        <f t="shared" ref="AN156:AN219" si="52">I156/E156%</f>
        <v>99.890043125000005</v>
      </c>
      <c r="AO156" s="319">
        <f t="shared" si="51"/>
        <v>0</v>
      </c>
    </row>
    <row r="157" spans="1:41" ht="32.25" customHeight="1" x14ac:dyDescent="0.25">
      <c r="A157" s="194"/>
      <c r="B157" s="213" t="s">
        <v>657</v>
      </c>
      <c r="C157" s="214">
        <f t="shared" si="49"/>
        <v>300</v>
      </c>
      <c r="D157" s="313"/>
      <c r="E157" s="214">
        <v>300</v>
      </c>
      <c r="F157" s="214"/>
      <c r="G157" s="239">
        <f t="shared" si="40"/>
        <v>299.94754399999999</v>
      </c>
      <c r="H157" s="214">
        <f t="shared" si="41"/>
        <v>0</v>
      </c>
      <c r="I157" s="214">
        <f t="shared" si="48"/>
        <v>299.94754399999999</v>
      </c>
      <c r="J157" s="214">
        <f t="shared" si="42"/>
        <v>299.94754399999999</v>
      </c>
      <c r="K157" s="214">
        <f t="shared" si="43"/>
        <v>0</v>
      </c>
      <c r="L157" s="214"/>
      <c r="M157" s="214"/>
      <c r="N157" s="214">
        <f>O157+P157</f>
        <v>299.94754399999999</v>
      </c>
      <c r="O157" s="326">
        <v>299.94754399999999</v>
      </c>
      <c r="P157" s="214"/>
      <c r="Q157" s="239">
        <f t="shared" si="44"/>
        <v>0</v>
      </c>
      <c r="R157" s="214">
        <f t="shared" si="45"/>
        <v>0</v>
      </c>
      <c r="S157" s="214"/>
      <c r="T157" s="214"/>
      <c r="U157" s="239">
        <f t="shared" si="46"/>
        <v>0</v>
      </c>
      <c r="V157" s="214"/>
      <c r="W157" s="214"/>
      <c r="X157" s="214"/>
      <c r="Y157" s="214"/>
      <c r="Z157" s="214"/>
      <c r="AA157" s="214"/>
      <c r="AB157" s="214">
        <f t="shared" si="47"/>
        <v>0</v>
      </c>
      <c r="AC157" s="214"/>
      <c r="AD157" s="214"/>
      <c r="AE157" s="214"/>
      <c r="AF157" s="214">
        <f t="shared" si="37"/>
        <v>0</v>
      </c>
      <c r="AG157" s="214"/>
      <c r="AH157" s="214"/>
      <c r="AI157" s="214">
        <f t="shared" si="38"/>
        <v>0</v>
      </c>
      <c r="AJ157" s="214"/>
      <c r="AK157" s="214"/>
      <c r="AL157" s="214">
        <f t="shared" si="39"/>
        <v>99.98251466666666</v>
      </c>
      <c r="AM157" s="214"/>
      <c r="AN157" s="214">
        <f t="shared" si="52"/>
        <v>99.98251466666666</v>
      </c>
      <c r="AO157" s="194"/>
    </row>
    <row r="158" spans="1:41" ht="32.25" customHeight="1" x14ac:dyDescent="0.25">
      <c r="A158" s="194"/>
      <c r="B158" s="213" t="s">
        <v>656</v>
      </c>
      <c r="C158" s="214">
        <f t="shared" si="49"/>
        <v>1000</v>
      </c>
      <c r="D158" s="313"/>
      <c r="E158" s="214">
        <v>1000</v>
      </c>
      <c r="F158" s="214"/>
      <c r="G158" s="239">
        <f t="shared" si="40"/>
        <v>999.85635300000001</v>
      </c>
      <c r="H158" s="214">
        <f t="shared" si="41"/>
        <v>0</v>
      </c>
      <c r="I158" s="214">
        <f t="shared" si="48"/>
        <v>999.85635300000001</v>
      </c>
      <c r="J158" s="214">
        <f t="shared" si="42"/>
        <v>999.85635300000001</v>
      </c>
      <c r="K158" s="214">
        <f t="shared" si="43"/>
        <v>0</v>
      </c>
      <c r="L158" s="214"/>
      <c r="M158" s="214"/>
      <c r="N158" s="214">
        <f t="shared" ref="N158:N185" si="53">O158+P158</f>
        <v>999.85635300000001</v>
      </c>
      <c r="O158" s="326">
        <v>999.85635300000001</v>
      </c>
      <c r="P158" s="214"/>
      <c r="Q158" s="239">
        <f t="shared" si="44"/>
        <v>0</v>
      </c>
      <c r="R158" s="214">
        <f t="shared" si="45"/>
        <v>0</v>
      </c>
      <c r="S158" s="214"/>
      <c r="T158" s="214"/>
      <c r="U158" s="239">
        <f t="shared" si="46"/>
        <v>0</v>
      </c>
      <c r="V158" s="214"/>
      <c r="W158" s="214"/>
      <c r="X158" s="214"/>
      <c r="Y158" s="214"/>
      <c r="Z158" s="214"/>
      <c r="AA158" s="214"/>
      <c r="AB158" s="214">
        <f t="shared" si="47"/>
        <v>0</v>
      </c>
      <c r="AC158" s="214"/>
      <c r="AD158" s="214"/>
      <c r="AE158" s="214"/>
      <c r="AF158" s="214">
        <f t="shared" si="37"/>
        <v>0</v>
      </c>
      <c r="AG158" s="214"/>
      <c r="AH158" s="214"/>
      <c r="AI158" s="214">
        <f t="shared" si="38"/>
        <v>0</v>
      </c>
      <c r="AJ158" s="214"/>
      <c r="AK158" s="214"/>
      <c r="AL158" s="214">
        <f t="shared" si="39"/>
        <v>99.985635299999998</v>
      </c>
      <c r="AM158" s="214"/>
      <c r="AN158" s="214">
        <f t="shared" si="52"/>
        <v>99.985635299999998</v>
      </c>
      <c r="AO158" s="194"/>
    </row>
    <row r="159" spans="1:41" ht="32.25" customHeight="1" x14ac:dyDescent="0.25">
      <c r="A159" s="194"/>
      <c r="B159" s="213" t="s">
        <v>653</v>
      </c>
      <c r="C159" s="214">
        <f t="shared" si="49"/>
        <v>300</v>
      </c>
      <c r="D159" s="313"/>
      <c r="E159" s="214">
        <v>300</v>
      </c>
      <c r="F159" s="214"/>
      <c r="G159" s="239">
        <f t="shared" si="40"/>
        <v>298.43679300000002</v>
      </c>
      <c r="H159" s="214">
        <f t="shared" si="41"/>
        <v>0</v>
      </c>
      <c r="I159" s="214">
        <f t="shared" si="48"/>
        <v>298.43679300000002</v>
      </c>
      <c r="J159" s="214">
        <f t="shared" si="42"/>
        <v>298.43679300000002</v>
      </c>
      <c r="K159" s="214">
        <f t="shared" si="43"/>
        <v>0</v>
      </c>
      <c r="L159" s="214"/>
      <c r="M159" s="214"/>
      <c r="N159" s="214">
        <f t="shared" si="53"/>
        <v>298.43679300000002</v>
      </c>
      <c r="O159" s="326">
        <v>298.43679300000002</v>
      </c>
      <c r="P159" s="214"/>
      <c r="Q159" s="239">
        <f t="shared" si="44"/>
        <v>0</v>
      </c>
      <c r="R159" s="214">
        <f t="shared" si="45"/>
        <v>0</v>
      </c>
      <c r="S159" s="214"/>
      <c r="T159" s="214"/>
      <c r="U159" s="239">
        <f t="shared" si="46"/>
        <v>0</v>
      </c>
      <c r="V159" s="214"/>
      <c r="W159" s="214"/>
      <c r="X159" s="214"/>
      <c r="Y159" s="214"/>
      <c r="Z159" s="214"/>
      <c r="AA159" s="214"/>
      <c r="AB159" s="214">
        <f t="shared" si="47"/>
        <v>0</v>
      </c>
      <c r="AC159" s="214"/>
      <c r="AD159" s="214"/>
      <c r="AE159" s="214"/>
      <c r="AF159" s="214">
        <f t="shared" si="37"/>
        <v>0</v>
      </c>
      <c r="AG159" s="214"/>
      <c r="AH159" s="214"/>
      <c r="AI159" s="214">
        <f t="shared" si="38"/>
        <v>0</v>
      </c>
      <c r="AJ159" s="214"/>
      <c r="AK159" s="214"/>
      <c r="AL159" s="214">
        <f t="shared" si="39"/>
        <v>99.478931000000003</v>
      </c>
      <c r="AM159" s="214"/>
      <c r="AN159" s="214">
        <f t="shared" si="52"/>
        <v>99.478931000000003</v>
      </c>
      <c r="AO159" s="194"/>
    </row>
    <row r="160" spans="1:41" s="325" customFormat="1" ht="55.5" customHeight="1" x14ac:dyDescent="0.25">
      <c r="A160" s="320"/>
      <c r="B160" s="321" t="s">
        <v>1106</v>
      </c>
      <c r="C160" s="322">
        <f t="shared" si="49"/>
        <v>200</v>
      </c>
      <c r="D160" s="323"/>
      <c r="E160" s="322">
        <v>200</v>
      </c>
      <c r="F160" s="322"/>
      <c r="G160" s="324">
        <f t="shared" si="40"/>
        <v>185.99313100000001</v>
      </c>
      <c r="H160" s="322"/>
      <c r="I160" s="322">
        <f t="shared" si="48"/>
        <v>185.99313100000001</v>
      </c>
      <c r="J160" s="322">
        <f t="shared" si="42"/>
        <v>185.99313100000001</v>
      </c>
      <c r="K160" s="322"/>
      <c r="L160" s="322"/>
      <c r="M160" s="322"/>
      <c r="N160" s="322">
        <f t="shared" si="53"/>
        <v>185.99313100000001</v>
      </c>
      <c r="O160" s="362">
        <v>185.99313100000001</v>
      </c>
      <c r="P160" s="322"/>
      <c r="Q160" s="324"/>
      <c r="R160" s="322"/>
      <c r="S160" s="322"/>
      <c r="T160" s="322"/>
      <c r="U160" s="324"/>
      <c r="V160" s="322"/>
      <c r="W160" s="322"/>
      <c r="X160" s="322"/>
      <c r="Y160" s="322"/>
      <c r="Z160" s="322"/>
      <c r="AA160" s="322"/>
      <c r="AB160" s="322"/>
      <c r="AC160" s="322"/>
      <c r="AD160" s="322"/>
      <c r="AE160" s="322"/>
      <c r="AF160" s="322"/>
      <c r="AG160" s="322"/>
      <c r="AH160" s="322"/>
      <c r="AI160" s="322"/>
      <c r="AJ160" s="322"/>
      <c r="AK160" s="322"/>
      <c r="AL160" s="322"/>
      <c r="AM160" s="322"/>
      <c r="AN160" s="322"/>
      <c r="AO160" s="320"/>
    </row>
    <row r="161" spans="1:42" s="375" customFormat="1" ht="32.25" customHeight="1" x14ac:dyDescent="0.25">
      <c r="A161" s="368" t="s">
        <v>1492</v>
      </c>
      <c r="B161" s="369" t="s">
        <v>799</v>
      </c>
      <c r="C161" s="370">
        <f t="shared" si="49"/>
        <v>133.75</v>
      </c>
      <c r="D161" s="371"/>
      <c r="E161" s="371">
        <f>SUM(E162:E163)</f>
        <v>133.75</v>
      </c>
      <c r="F161" s="371">
        <f t="shared" ref="F161:P161" si="54">SUM(F162:F163)</f>
        <v>0</v>
      </c>
      <c r="G161" s="372">
        <f t="shared" si="40"/>
        <v>133.75</v>
      </c>
      <c r="H161" s="371">
        <f t="shared" si="41"/>
        <v>0</v>
      </c>
      <c r="I161" s="371">
        <f t="shared" si="48"/>
        <v>133.75</v>
      </c>
      <c r="J161" s="371">
        <f t="shared" si="42"/>
        <v>133.75</v>
      </c>
      <c r="K161" s="371">
        <f t="shared" si="43"/>
        <v>0</v>
      </c>
      <c r="L161" s="371">
        <f t="shared" si="54"/>
        <v>0</v>
      </c>
      <c r="M161" s="371">
        <f t="shared" si="54"/>
        <v>0</v>
      </c>
      <c r="N161" s="371">
        <f t="shared" si="53"/>
        <v>133.75</v>
      </c>
      <c r="O161" s="373">
        <f t="shared" si="54"/>
        <v>133.75</v>
      </c>
      <c r="P161" s="371">
        <f t="shared" si="54"/>
        <v>0</v>
      </c>
      <c r="Q161" s="373">
        <f t="shared" si="44"/>
        <v>0</v>
      </c>
      <c r="R161" s="371">
        <f t="shared" si="45"/>
        <v>0</v>
      </c>
      <c r="S161" s="371"/>
      <c r="T161" s="371"/>
      <c r="U161" s="373">
        <f t="shared" si="46"/>
        <v>0</v>
      </c>
      <c r="V161" s="371"/>
      <c r="W161" s="371"/>
      <c r="X161" s="371"/>
      <c r="Y161" s="371"/>
      <c r="Z161" s="371"/>
      <c r="AA161" s="371"/>
      <c r="AB161" s="371">
        <f t="shared" si="47"/>
        <v>0</v>
      </c>
      <c r="AC161" s="371"/>
      <c r="AD161" s="371"/>
      <c r="AE161" s="371"/>
      <c r="AF161" s="371">
        <f t="shared" si="37"/>
        <v>0</v>
      </c>
      <c r="AG161" s="371"/>
      <c r="AH161" s="371"/>
      <c r="AI161" s="371">
        <f t="shared" si="38"/>
        <v>0</v>
      </c>
      <c r="AJ161" s="371"/>
      <c r="AK161" s="371"/>
      <c r="AL161" s="374">
        <f t="shared" si="39"/>
        <v>100</v>
      </c>
      <c r="AM161" s="374"/>
      <c r="AN161" s="374">
        <f t="shared" si="52"/>
        <v>100</v>
      </c>
      <c r="AO161" s="368"/>
    </row>
    <row r="162" spans="1:42" ht="32.25" customHeight="1" x14ac:dyDescent="0.25">
      <c r="A162" s="194"/>
      <c r="B162" s="213" t="s">
        <v>656</v>
      </c>
      <c r="C162" s="214">
        <f t="shared" si="49"/>
        <v>83.75</v>
      </c>
      <c r="D162" s="214"/>
      <c r="E162" s="214">
        <v>83.75</v>
      </c>
      <c r="F162" s="214"/>
      <c r="G162" s="326">
        <f>H162+I162</f>
        <v>83.75</v>
      </c>
      <c r="H162" s="214">
        <f t="shared" si="41"/>
        <v>0</v>
      </c>
      <c r="I162" s="214">
        <f t="shared" si="48"/>
        <v>83.75</v>
      </c>
      <c r="J162" s="214">
        <f t="shared" si="42"/>
        <v>83.75</v>
      </c>
      <c r="K162" s="214">
        <f t="shared" si="43"/>
        <v>0</v>
      </c>
      <c r="L162" s="214"/>
      <c r="M162" s="214"/>
      <c r="N162" s="214">
        <f t="shared" si="53"/>
        <v>83.75</v>
      </c>
      <c r="O162" s="326">
        <v>83.75</v>
      </c>
      <c r="P162" s="214"/>
      <c r="Q162" s="239">
        <f t="shared" si="44"/>
        <v>0</v>
      </c>
      <c r="R162" s="214">
        <f t="shared" si="45"/>
        <v>0</v>
      </c>
      <c r="S162" s="214"/>
      <c r="T162" s="214"/>
      <c r="U162" s="239">
        <f t="shared" si="46"/>
        <v>0</v>
      </c>
      <c r="V162" s="214"/>
      <c r="W162" s="214"/>
      <c r="X162" s="214"/>
      <c r="Y162" s="214"/>
      <c r="Z162" s="214"/>
      <c r="AA162" s="214"/>
      <c r="AB162" s="214">
        <f t="shared" si="47"/>
        <v>0</v>
      </c>
      <c r="AC162" s="214"/>
      <c r="AD162" s="214"/>
      <c r="AE162" s="214"/>
      <c r="AF162" s="214">
        <f t="shared" si="37"/>
        <v>0</v>
      </c>
      <c r="AG162" s="214"/>
      <c r="AH162" s="214"/>
      <c r="AI162" s="214">
        <f t="shared" si="38"/>
        <v>0</v>
      </c>
      <c r="AJ162" s="214"/>
      <c r="AK162" s="214"/>
      <c r="AL162" s="214">
        <f t="shared" si="39"/>
        <v>100</v>
      </c>
      <c r="AM162" s="214"/>
      <c r="AN162" s="214">
        <f t="shared" si="52"/>
        <v>100</v>
      </c>
      <c r="AO162" s="194"/>
    </row>
    <row r="163" spans="1:42" ht="32.25" customHeight="1" x14ac:dyDescent="0.25">
      <c r="A163" s="194"/>
      <c r="B163" s="213" t="s">
        <v>653</v>
      </c>
      <c r="C163" s="214">
        <f t="shared" si="49"/>
        <v>50</v>
      </c>
      <c r="D163" s="214"/>
      <c r="E163" s="214">
        <v>50</v>
      </c>
      <c r="F163" s="214"/>
      <c r="G163" s="326">
        <f t="shared" si="40"/>
        <v>50</v>
      </c>
      <c r="H163" s="214">
        <f t="shared" si="41"/>
        <v>0</v>
      </c>
      <c r="I163" s="214">
        <f t="shared" si="48"/>
        <v>50</v>
      </c>
      <c r="J163" s="214">
        <f t="shared" si="42"/>
        <v>50</v>
      </c>
      <c r="K163" s="214">
        <f t="shared" si="43"/>
        <v>0</v>
      </c>
      <c r="L163" s="214"/>
      <c r="M163" s="214"/>
      <c r="N163" s="214">
        <f t="shared" si="53"/>
        <v>50</v>
      </c>
      <c r="O163" s="326">
        <v>50</v>
      </c>
      <c r="P163" s="214"/>
      <c r="Q163" s="239">
        <f t="shared" si="44"/>
        <v>0</v>
      </c>
      <c r="R163" s="214">
        <f t="shared" si="45"/>
        <v>0</v>
      </c>
      <c r="S163" s="214"/>
      <c r="T163" s="214"/>
      <c r="U163" s="239">
        <f t="shared" si="46"/>
        <v>0</v>
      </c>
      <c r="V163" s="214"/>
      <c r="W163" s="214"/>
      <c r="X163" s="214"/>
      <c r="Y163" s="214"/>
      <c r="Z163" s="214"/>
      <c r="AA163" s="214"/>
      <c r="AB163" s="214">
        <f t="shared" si="47"/>
        <v>0</v>
      </c>
      <c r="AC163" s="214"/>
      <c r="AD163" s="214"/>
      <c r="AE163" s="214"/>
      <c r="AF163" s="214">
        <f t="shared" si="37"/>
        <v>0</v>
      </c>
      <c r="AG163" s="214"/>
      <c r="AH163" s="214"/>
      <c r="AI163" s="214">
        <f t="shared" si="38"/>
        <v>0</v>
      </c>
      <c r="AJ163" s="214"/>
      <c r="AK163" s="214"/>
      <c r="AL163" s="214">
        <f t="shared" si="39"/>
        <v>100</v>
      </c>
      <c r="AM163" s="214"/>
      <c r="AN163" s="214">
        <f t="shared" si="52"/>
        <v>100</v>
      </c>
      <c r="AO163" s="194"/>
    </row>
    <row r="164" spans="1:42" s="309" customFormat="1" ht="32.25" customHeight="1" x14ac:dyDescent="0.25">
      <c r="A164" s="215" t="s">
        <v>1494</v>
      </c>
      <c r="B164" s="216" t="s">
        <v>800</v>
      </c>
      <c r="C164" s="307">
        <f t="shared" si="49"/>
        <v>105</v>
      </c>
      <c r="D164" s="307"/>
      <c r="E164" s="307">
        <f>SUM(E165:E185)</f>
        <v>105</v>
      </c>
      <c r="F164" s="307">
        <f t="shared" ref="F164:AD164" si="55">SUM(F165:F185)</f>
        <v>0</v>
      </c>
      <c r="G164" s="327">
        <f t="shared" si="40"/>
        <v>93.672953000000007</v>
      </c>
      <c r="H164" s="307">
        <f t="shared" si="41"/>
        <v>0</v>
      </c>
      <c r="I164" s="307">
        <f t="shared" si="48"/>
        <v>93.672953000000007</v>
      </c>
      <c r="J164" s="307">
        <f>K164+N164</f>
        <v>93.672953000000007</v>
      </c>
      <c r="K164" s="307">
        <f t="shared" si="43"/>
        <v>0</v>
      </c>
      <c r="L164" s="307">
        <f t="shared" si="55"/>
        <v>0</v>
      </c>
      <c r="M164" s="307">
        <f t="shared" si="55"/>
        <v>0</v>
      </c>
      <c r="N164" s="307">
        <f t="shared" si="53"/>
        <v>93.672953000000007</v>
      </c>
      <c r="O164" s="356">
        <f>SUM(O165:O185)</f>
        <v>93.672953000000007</v>
      </c>
      <c r="P164" s="307">
        <f t="shared" si="55"/>
        <v>0</v>
      </c>
      <c r="Q164" s="242">
        <f t="shared" si="44"/>
        <v>0</v>
      </c>
      <c r="R164" s="307">
        <f t="shared" si="45"/>
        <v>0</v>
      </c>
      <c r="S164" s="307">
        <f t="shared" si="55"/>
        <v>0</v>
      </c>
      <c r="T164" s="307">
        <f t="shared" si="55"/>
        <v>0</v>
      </c>
      <c r="U164" s="242">
        <f t="shared" si="46"/>
        <v>0</v>
      </c>
      <c r="V164" s="307">
        <f t="shared" si="55"/>
        <v>0</v>
      </c>
      <c r="W164" s="307">
        <f t="shared" si="55"/>
        <v>0</v>
      </c>
      <c r="X164" s="307">
        <f t="shared" si="55"/>
        <v>0</v>
      </c>
      <c r="Y164" s="307">
        <f t="shared" si="55"/>
        <v>0</v>
      </c>
      <c r="Z164" s="307">
        <f t="shared" si="55"/>
        <v>0</v>
      </c>
      <c r="AA164" s="307">
        <f t="shared" si="55"/>
        <v>0</v>
      </c>
      <c r="AB164" s="307">
        <f t="shared" si="47"/>
        <v>0</v>
      </c>
      <c r="AC164" s="307">
        <f t="shared" si="55"/>
        <v>0</v>
      </c>
      <c r="AD164" s="307">
        <f t="shared" si="55"/>
        <v>0</v>
      </c>
      <c r="AE164" s="307"/>
      <c r="AF164" s="307">
        <f t="shared" si="37"/>
        <v>0</v>
      </c>
      <c r="AG164" s="307"/>
      <c r="AH164" s="307"/>
      <c r="AI164" s="307">
        <f t="shared" si="38"/>
        <v>0</v>
      </c>
      <c r="AJ164" s="307"/>
      <c r="AK164" s="307"/>
      <c r="AL164" s="308">
        <f t="shared" si="39"/>
        <v>89.212336190476194</v>
      </c>
      <c r="AM164" s="308"/>
      <c r="AN164" s="308">
        <f t="shared" si="52"/>
        <v>89.212336190476194</v>
      </c>
      <c r="AO164" s="215"/>
      <c r="AP164" s="328">
        <f>E164-O164</f>
        <v>11.327046999999993</v>
      </c>
    </row>
    <row r="165" spans="1:42" ht="32.25" customHeight="1" x14ac:dyDescent="0.25">
      <c r="A165" s="194"/>
      <c r="B165" s="213" t="s">
        <v>344</v>
      </c>
      <c r="C165" s="214">
        <f t="shared" si="49"/>
        <v>5</v>
      </c>
      <c r="D165" s="214"/>
      <c r="E165" s="214">
        <v>5</v>
      </c>
      <c r="F165" s="214"/>
      <c r="G165" s="214">
        <f t="shared" si="40"/>
        <v>0</v>
      </c>
      <c r="H165" s="214">
        <f t="shared" si="41"/>
        <v>0</v>
      </c>
      <c r="I165" s="214">
        <f t="shared" si="48"/>
        <v>0</v>
      </c>
      <c r="J165" s="214">
        <f t="shared" si="42"/>
        <v>0</v>
      </c>
      <c r="K165" s="214">
        <f t="shared" si="43"/>
        <v>0</v>
      </c>
      <c r="L165" s="214"/>
      <c r="M165" s="214"/>
      <c r="N165" s="214">
        <f t="shared" si="53"/>
        <v>0</v>
      </c>
      <c r="O165" s="326">
        <v>0</v>
      </c>
      <c r="P165" s="214"/>
      <c r="Q165" s="239">
        <f t="shared" si="44"/>
        <v>0</v>
      </c>
      <c r="R165" s="214">
        <f t="shared" si="45"/>
        <v>0</v>
      </c>
      <c r="S165" s="214"/>
      <c r="T165" s="214"/>
      <c r="U165" s="239">
        <f t="shared" si="46"/>
        <v>0</v>
      </c>
      <c r="V165" s="214"/>
      <c r="W165" s="214"/>
      <c r="X165" s="214"/>
      <c r="Y165" s="214"/>
      <c r="Z165" s="214"/>
      <c r="AA165" s="214"/>
      <c r="AB165" s="214">
        <f t="shared" si="47"/>
        <v>0</v>
      </c>
      <c r="AC165" s="214"/>
      <c r="AD165" s="214"/>
      <c r="AE165" s="214"/>
      <c r="AF165" s="214">
        <f t="shared" si="37"/>
        <v>0</v>
      </c>
      <c r="AG165" s="214"/>
      <c r="AH165" s="214"/>
      <c r="AI165" s="214">
        <f t="shared" si="38"/>
        <v>0</v>
      </c>
      <c r="AJ165" s="214"/>
      <c r="AK165" s="214"/>
      <c r="AL165" s="214">
        <f t="shared" si="39"/>
        <v>0</v>
      </c>
      <c r="AM165" s="214"/>
      <c r="AN165" s="214">
        <f t="shared" si="52"/>
        <v>0</v>
      </c>
      <c r="AO165" s="194"/>
    </row>
    <row r="166" spans="1:42" ht="32.25" customHeight="1" x14ac:dyDescent="0.25">
      <c r="A166" s="194"/>
      <c r="B166" s="213" t="s">
        <v>345</v>
      </c>
      <c r="C166" s="214">
        <f t="shared" si="49"/>
        <v>5</v>
      </c>
      <c r="D166" s="214"/>
      <c r="E166" s="214">
        <v>5</v>
      </c>
      <c r="F166" s="214"/>
      <c r="G166" s="214">
        <f t="shared" si="40"/>
        <v>4.9800000000000004</v>
      </c>
      <c r="H166" s="214">
        <f t="shared" si="41"/>
        <v>0</v>
      </c>
      <c r="I166" s="214">
        <f t="shared" si="48"/>
        <v>4.9800000000000004</v>
      </c>
      <c r="J166" s="214">
        <f t="shared" si="42"/>
        <v>4.9800000000000004</v>
      </c>
      <c r="K166" s="214">
        <f t="shared" si="43"/>
        <v>0</v>
      </c>
      <c r="L166" s="214"/>
      <c r="M166" s="214"/>
      <c r="N166" s="214">
        <f t="shared" si="53"/>
        <v>4.9800000000000004</v>
      </c>
      <c r="O166" s="326">
        <v>4.9800000000000004</v>
      </c>
      <c r="P166" s="214"/>
      <c r="Q166" s="239">
        <f t="shared" si="44"/>
        <v>0</v>
      </c>
      <c r="R166" s="214">
        <f t="shared" si="45"/>
        <v>0</v>
      </c>
      <c r="S166" s="214"/>
      <c r="T166" s="214"/>
      <c r="U166" s="239">
        <f t="shared" si="46"/>
        <v>0</v>
      </c>
      <c r="V166" s="214"/>
      <c r="W166" s="214"/>
      <c r="X166" s="214"/>
      <c r="Y166" s="214"/>
      <c r="Z166" s="214"/>
      <c r="AA166" s="214"/>
      <c r="AB166" s="214">
        <f t="shared" si="47"/>
        <v>0</v>
      </c>
      <c r="AC166" s="214"/>
      <c r="AD166" s="214"/>
      <c r="AE166" s="214"/>
      <c r="AF166" s="214">
        <f t="shared" si="37"/>
        <v>0</v>
      </c>
      <c r="AG166" s="214"/>
      <c r="AH166" s="214"/>
      <c r="AI166" s="214">
        <f t="shared" si="38"/>
        <v>0</v>
      </c>
      <c r="AJ166" s="214"/>
      <c r="AK166" s="214"/>
      <c r="AL166" s="214">
        <f t="shared" si="39"/>
        <v>99.600000000000009</v>
      </c>
      <c r="AM166" s="214"/>
      <c r="AN166" s="214">
        <f t="shared" si="52"/>
        <v>99.600000000000009</v>
      </c>
      <c r="AO166" s="194"/>
    </row>
    <row r="167" spans="1:42" ht="32.25" customHeight="1" x14ac:dyDescent="0.25">
      <c r="A167" s="194"/>
      <c r="B167" s="213" t="s">
        <v>801</v>
      </c>
      <c r="C167" s="214">
        <f t="shared" si="49"/>
        <v>5</v>
      </c>
      <c r="D167" s="214"/>
      <c r="E167" s="214">
        <v>5</v>
      </c>
      <c r="F167" s="214"/>
      <c r="G167" s="214">
        <f t="shared" si="40"/>
        <v>5</v>
      </c>
      <c r="H167" s="214">
        <f t="shared" si="41"/>
        <v>0</v>
      </c>
      <c r="I167" s="214">
        <f t="shared" si="48"/>
        <v>5</v>
      </c>
      <c r="J167" s="214">
        <f t="shared" si="42"/>
        <v>5</v>
      </c>
      <c r="K167" s="214">
        <f t="shared" si="43"/>
        <v>0</v>
      </c>
      <c r="L167" s="214"/>
      <c r="M167" s="214"/>
      <c r="N167" s="214">
        <f t="shared" si="53"/>
        <v>5</v>
      </c>
      <c r="O167" s="326">
        <v>5</v>
      </c>
      <c r="P167" s="214"/>
      <c r="Q167" s="239">
        <f t="shared" si="44"/>
        <v>0</v>
      </c>
      <c r="R167" s="214">
        <f t="shared" si="45"/>
        <v>0</v>
      </c>
      <c r="S167" s="214"/>
      <c r="T167" s="214"/>
      <c r="U167" s="239">
        <f t="shared" si="46"/>
        <v>0</v>
      </c>
      <c r="V167" s="214"/>
      <c r="W167" s="214"/>
      <c r="X167" s="214"/>
      <c r="Y167" s="214"/>
      <c r="Z167" s="214"/>
      <c r="AA167" s="214"/>
      <c r="AB167" s="214">
        <f t="shared" si="47"/>
        <v>0</v>
      </c>
      <c r="AC167" s="214"/>
      <c r="AD167" s="214"/>
      <c r="AE167" s="214"/>
      <c r="AF167" s="214">
        <f t="shared" si="37"/>
        <v>0</v>
      </c>
      <c r="AG167" s="214"/>
      <c r="AH167" s="214"/>
      <c r="AI167" s="214">
        <f t="shared" si="38"/>
        <v>0</v>
      </c>
      <c r="AJ167" s="214"/>
      <c r="AK167" s="214"/>
      <c r="AL167" s="214">
        <f t="shared" si="39"/>
        <v>100</v>
      </c>
      <c r="AM167" s="214"/>
      <c r="AN167" s="214">
        <f t="shared" si="52"/>
        <v>100</v>
      </c>
      <c r="AO167" s="194"/>
    </row>
    <row r="168" spans="1:42" ht="32.25" customHeight="1" x14ac:dyDescent="0.25">
      <c r="A168" s="194"/>
      <c r="B168" s="213" t="s">
        <v>346</v>
      </c>
      <c r="C168" s="214">
        <f t="shared" si="49"/>
        <v>5</v>
      </c>
      <c r="D168" s="214"/>
      <c r="E168" s="214">
        <v>5</v>
      </c>
      <c r="F168" s="214"/>
      <c r="G168" s="214">
        <f t="shared" si="40"/>
        <v>5</v>
      </c>
      <c r="H168" s="214">
        <f t="shared" si="41"/>
        <v>0</v>
      </c>
      <c r="I168" s="214">
        <f t="shared" si="48"/>
        <v>5</v>
      </c>
      <c r="J168" s="214">
        <f t="shared" si="42"/>
        <v>5</v>
      </c>
      <c r="K168" s="214">
        <f t="shared" si="43"/>
        <v>0</v>
      </c>
      <c r="L168" s="214"/>
      <c r="M168" s="214"/>
      <c r="N168" s="214">
        <f t="shared" si="53"/>
        <v>5</v>
      </c>
      <c r="O168" s="326">
        <v>5</v>
      </c>
      <c r="P168" s="214"/>
      <c r="Q168" s="239">
        <f t="shared" si="44"/>
        <v>0</v>
      </c>
      <c r="R168" s="214">
        <f t="shared" si="45"/>
        <v>0</v>
      </c>
      <c r="S168" s="214"/>
      <c r="T168" s="214"/>
      <c r="U168" s="239">
        <f t="shared" si="46"/>
        <v>0</v>
      </c>
      <c r="V168" s="214"/>
      <c r="W168" s="214"/>
      <c r="X168" s="214"/>
      <c r="Y168" s="214"/>
      <c r="Z168" s="214"/>
      <c r="AA168" s="214"/>
      <c r="AB168" s="214">
        <f t="shared" si="47"/>
        <v>0</v>
      </c>
      <c r="AC168" s="214"/>
      <c r="AD168" s="214"/>
      <c r="AE168" s="214"/>
      <c r="AF168" s="214">
        <f t="shared" si="37"/>
        <v>0</v>
      </c>
      <c r="AG168" s="214"/>
      <c r="AH168" s="214"/>
      <c r="AI168" s="214">
        <f t="shared" si="38"/>
        <v>0</v>
      </c>
      <c r="AJ168" s="214"/>
      <c r="AK168" s="214"/>
      <c r="AL168" s="214">
        <f t="shared" si="39"/>
        <v>100</v>
      </c>
      <c r="AM168" s="214"/>
      <c r="AN168" s="214">
        <f t="shared" si="52"/>
        <v>100</v>
      </c>
      <c r="AO168" s="194"/>
    </row>
    <row r="169" spans="1:42" ht="32.25" customHeight="1" x14ac:dyDescent="0.25">
      <c r="A169" s="194"/>
      <c r="B169" s="213" t="s">
        <v>347</v>
      </c>
      <c r="C169" s="214">
        <f t="shared" si="49"/>
        <v>5</v>
      </c>
      <c r="D169" s="214"/>
      <c r="E169" s="214">
        <v>5</v>
      </c>
      <c r="F169" s="214"/>
      <c r="G169" s="214">
        <f t="shared" si="40"/>
        <v>5</v>
      </c>
      <c r="H169" s="214">
        <f t="shared" si="41"/>
        <v>0</v>
      </c>
      <c r="I169" s="214">
        <f t="shared" si="48"/>
        <v>5</v>
      </c>
      <c r="J169" s="214">
        <f t="shared" si="42"/>
        <v>5</v>
      </c>
      <c r="K169" s="214">
        <f t="shared" si="43"/>
        <v>0</v>
      </c>
      <c r="L169" s="214"/>
      <c r="M169" s="214"/>
      <c r="N169" s="214">
        <f t="shared" si="53"/>
        <v>5</v>
      </c>
      <c r="O169" s="326">
        <v>5</v>
      </c>
      <c r="P169" s="214"/>
      <c r="Q169" s="239">
        <f t="shared" si="44"/>
        <v>0</v>
      </c>
      <c r="R169" s="214">
        <f t="shared" si="45"/>
        <v>0</v>
      </c>
      <c r="S169" s="214"/>
      <c r="T169" s="214"/>
      <c r="U169" s="239">
        <f t="shared" si="46"/>
        <v>0</v>
      </c>
      <c r="V169" s="214"/>
      <c r="W169" s="214"/>
      <c r="X169" s="214"/>
      <c r="Y169" s="214"/>
      <c r="Z169" s="214"/>
      <c r="AA169" s="214"/>
      <c r="AB169" s="214">
        <f t="shared" si="47"/>
        <v>0</v>
      </c>
      <c r="AC169" s="214"/>
      <c r="AD169" s="214"/>
      <c r="AE169" s="214"/>
      <c r="AF169" s="214">
        <f t="shared" si="37"/>
        <v>0</v>
      </c>
      <c r="AG169" s="214"/>
      <c r="AH169" s="214"/>
      <c r="AI169" s="214">
        <f t="shared" si="38"/>
        <v>0</v>
      </c>
      <c r="AJ169" s="214"/>
      <c r="AK169" s="214"/>
      <c r="AL169" s="214">
        <f t="shared" si="39"/>
        <v>100</v>
      </c>
      <c r="AM169" s="214"/>
      <c r="AN169" s="214">
        <f t="shared" si="52"/>
        <v>100</v>
      </c>
      <c r="AO169" s="194"/>
    </row>
    <row r="170" spans="1:42" ht="32.25" customHeight="1" x14ac:dyDescent="0.25">
      <c r="A170" s="194"/>
      <c r="B170" s="213" t="s">
        <v>348</v>
      </c>
      <c r="C170" s="214">
        <f t="shared" si="49"/>
        <v>5</v>
      </c>
      <c r="D170" s="214"/>
      <c r="E170" s="214">
        <v>5</v>
      </c>
      <c r="F170" s="214"/>
      <c r="G170" s="214">
        <f t="shared" si="40"/>
        <v>4.9999979999999997</v>
      </c>
      <c r="H170" s="214">
        <f t="shared" si="41"/>
        <v>0</v>
      </c>
      <c r="I170" s="214">
        <f t="shared" si="48"/>
        <v>4.9999979999999997</v>
      </c>
      <c r="J170" s="214">
        <f t="shared" si="42"/>
        <v>4.9999979999999997</v>
      </c>
      <c r="K170" s="214">
        <f t="shared" si="43"/>
        <v>0</v>
      </c>
      <c r="L170" s="214"/>
      <c r="M170" s="214"/>
      <c r="N170" s="214">
        <f t="shared" si="53"/>
        <v>4.9999979999999997</v>
      </c>
      <c r="O170" s="326">
        <v>4.9999979999999997</v>
      </c>
      <c r="P170" s="214"/>
      <c r="Q170" s="239">
        <f t="shared" si="44"/>
        <v>0</v>
      </c>
      <c r="R170" s="214">
        <f t="shared" si="45"/>
        <v>0</v>
      </c>
      <c r="S170" s="214"/>
      <c r="T170" s="214"/>
      <c r="U170" s="239">
        <f t="shared" si="46"/>
        <v>0</v>
      </c>
      <c r="V170" s="214"/>
      <c r="W170" s="214"/>
      <c r="X170" s="214"/>
      <c r="Y170" s="214"/>
      <c r="Z170" s="214"/>
      <c r="AA170" s="214"/>
      <c r="AB170" s="214">
        <f t="shared" si="47"/>
        <v>0</v>
      </c>
      <c r="AC170" s="214"/>
      <c r="AD170" s="214"/>
      <c r="AE170" s="214"/>
      <c r="AF170" s="214">
        <f t="shared" si="37"/>
        <v>0</v>
      </c>
      <c r="AG170" s="214"/>
      <c r="AH170" s="214"/>
      <c r="AI170" s="214">
        <f t="shared" si="38"/>
        <v>0</v>
      </c>
      <c r="AJ170" s="214"/>
      <c r="AK170" s="214"/>
      <c r="AL170" s="214">
        <f t="shared" si="39"/>
        <v>99.999959999999987</v>
      </c>
      <c r="AM170" s="214"/>
      <c r="AN170" s="214">
        <f t="shared" si="52"/>
        <v>99.999959999999987</v>
      </c>
      <c r="AO170" s="194"/>
    </row>
    <row r="171" spans="1:42" ht="32.25" customHeight="1" x14ac:dyDescent="0.25">
      <c r="A171" s="194"/>
      <c r="B171" s="213" t="s">
        <v>349</v>
      </c>
      <c r="C171" s="214">
        <f t="shared" si="49"/>
        <v>5</v>
      </c>
      <c r="D171" s="214"/>
      <c r="E171" s="214">
        <v>5</v>
      </c>
      <c r="F171" s="214"/>
      <c r="G171" s="214">
        <f t="shared" si="40"/>
        <v>5</v>
      </c>
      <c r="H171" s="214">
        <f t="shared" si="41"/>
        <v>0</v>
      </c>
      <c r="I171" s="214">
        <f t="shared" si="48"/>
        <v>5</v>
      </c>
      <c r="J171" s="214">
        <f t="shared" si="42"/>
        <v>5</v>
      </c>
      <c r="K171" s="214">
        <f t="shared" si="43"/>
        <v>0</v>
      </c>
      <c r="L171" s="214"/>
      <c r="M171" s="214"/>
      <c r="N171" s="214">
        <f t="shared" si="53"/>
        <v>5</v>
      </c>
      <c r="O171" s="326">
        <v>5</v>
      </c>
      <c r="P171" s="214"/>
      <c r="Q171" s="239">
        <f t="shared" si="44"/>
        <v>0</v>
      </c>
      <c r="R171" s="214">
        <f t="shared" si="45"/>
        <v>0</v>
      </c>
      <c r="S171" s="214"/>
      <c r="T171" s="214"/>
      <c r="U171" s="239">
        <f t="shared" si="46"/>
        <v>0</v>
      </c>
      <c r="V171" s="214"/>
      <c r="W171" s="214"/>
      <c r="X171" s="214"/>
      <c r="Y171" s="214"/>
      <c r="Z171" s="214"/>
      <c r="AA171" s="214"/>
      <c r="AB171" s="214">
        <f t="shared" si="47"/>
        <v>0</v>
      </c>
      <c r="AC171" s="214"/>
      <c r="AD171" s="214"/>
      <c r="AE171" s="214"/>
      <c r="AF171" s="214">
        <f t="shared" si="37"/>
        <v>0</v>
      </c>
      <c r="AG171" s="214"/>
      <c r="AH171" s="214"/>
      <c r="AI171" s="214">
        <f t="shared" si="38"/>
        <v>0</v>
      </c>
      <c r="AJ171" s="214"/>
      <c r="AK171" s="214"/>
      <c r="AL171" s="214">
        <f t="shared" si="39"/>
        <v>100</v>
      </c>
      <c r="AM171" s="214"/>
      <c r="AN171" s="214">
        <f t="shared" si="52"/>
        <v>100</v>
      </c>
      <c r="AO171" s="194"/>
    </row>
    <row r="172" spans="1:42" ht="32.25" customHeight="1" x14ac:dyDescent="0.25">
      <c r="A172" s="194"/>
      <c r="B172" s="213" t="s">
        <v>350</v>
      </c>
      <c r="C172" s="214">
        <f t="shared" si="49"/>
        <v>5</v>
      </c>
      <c r="D172" s="214"/>
      <c r="E172" s="214">
        <v>5</v>
      </c>
      <c r="F172" s="214"/>
      <c r="G172" s="214">
        <f t="shared" si="40"/>
        <v>4.9599549999999999</v>
      </c>
      <c r="H172" s="214">
        <f t="shared" si="41"/>
        <v>0</v>
      </c>
      <c r="I172" s="214">
        <f t="shared" si="48"/>
        <v>4.9599549999999999</v>
      </c>
      <c r="J172" s="214">
        <f t="shared" si="42"/>
        <v>4.9599549999999999</v>
      </c>
      <c r="K172" s="214">
        <f t="shared" si="43"/>
        <v>0</v>
      </c>
      <c r="L172" s="214"/>
      <c r="M172" s="214"/>
      <c r="N172" s="214">
        <f t="shared" si="53"/>
        <v>4.9599549999999999</v>
      </c>
      <c r="O172" s="326">
        <v>4.9599549999999999</v>
      </c>
      <c r="P172" s="214"/>
      <c r="Q172" s="239">
        <f t="shared" si="44"/>
        <v>0</v>
      </c>
      <c r="R172" s="214">
        <f t="shared" si="45"/>
        <v>0</v>
      </c>
      <c r="S172" s="214"/>
      <c r="T172" s="214"/>
      <c r="U172" s="239">
        <f t="shared" si="46"/>
        <v>0</v>
      </c>
      <c r="V172" s="214"/>
      <c r="W172" s="214"/>
      <c r="X172" s="214"/>
      <c r="Y172" s="214"/>
      <c r="Z172" s="214"/>
      <c r="AA172" s="214"/>
      <c r="AB172" s="214">
        <f t="shared" si="47"/>
        <v>0</v>
      </c>
      <c r="AC172" s="214"/>
      <c r="AD172" s="214"/>
      <c r="AE172" s="214"/>
      <c r="AF172" s="214">
        <f t="shared" si="37"/>
        <v>0</v>
      </c>
      <c r="AG172" s="214"/>
      <c r="AH172" s="214"/>
      <c r="AI172" s="214">
        <f t="shared" si="38"/>
        <v>0</v>
      </c>
      <c r="AJ172" s="214"/>
      <c r="AK172" s="214"/>
      <c r="AL172" s="214">
        <f t="shared" si="39"/>
        <v>99.199099999999987</v>
      </c>
      <c r="AM172" s="214"/>
      <c r="AN172" s="214">
        <f t="shared" si="52"/>
        <v>99.199099999999987</v>
      </c>
      <c r="AO172" s="194"/>
    </row>
    <row r="173" spans="1:42" ht="32.25" customHeight="1" x14ac:dyDescent="0.25">
      <c r="A173" s="194"/>
      <c r="B173" s="213" t="s">
        <v>351</v>
      </c>
      <c r="C173" s="214">
        <f t="shared" si="49"/>
        <v>5</v>
      </c>
      <c r="D173" s="214"/>
      <c r="E173" s="214">
        <v>5</v>
      </c>
      <c r="F173" s="214"/>
      <c r="G173" s="214">
        <f t="shared" si="40"/>
        <v>5</v>
      </c>
      <c r="H173" s="214">
        <f t="shared" si="41"/>
        <v>0</v>
      </c>
      <c r="I173" s="214">
        <f t="shared" si="48"/>
        <v>5</v>
      </c>
      <c r="J173" s="214">
        <f t="shared" si="42"/>
        <v>5</v>
      </c>
      <c r="K173" s="214">
        <f t="shared" si="43"/>
        <v>0</v>
      </c>
      <c r="L173" s="214"/>
      <c r="M173" s="214"/>
      <c r="N173" s="214">
        <f t="shared" si="53"/>
        <v>5</v>
      </c>
      <c r="O173" s="326">
        <v>5</v>
      </c>
      <c r="P173" s="214"/>
      <c r="Q173" s="239">
        <f t="shared" si="44"/>
        <v>0</v>
      </c>
      <c r="R173" s="214">
        <f t="shared" si="45"/>
        <v>0</v>
      </c>
      <c r="S173" s="214"/>
      <c r="T173" s="214"/>
      <c r="U173" s="239">
        <f t="shared" si="46"/>
        <v>0</v>
      </c>
      <c r="V173" s="214"/>
      <c r="W173" s="214"/>
      <c r="X173" s="214"/>
      <c r="Y173" s="214"/>
      <c r="Z173" s="214"/>
      <c r="AA173" s="214"/>
      <c r="AB173" s="214">
        <f t="shared" si="47"/>
        <v>0</v>
      </c>
      <c r="AC173" s="214"/>
      <c r="AD173" s="214"/>
      <c r="AE173" s="214"/>
      <c r="AF173" s="214">
        <f t="shared" si="37"/>
        <v>0</v>
      </c>
      <c r="AG173" s="214"/>
      <c r="AH173" s="214"/>
      <c r="AI173" s="214">
        <f t="shared" si="38"/>
        <v>0</v>
      </c>
      <c r="AJ173" s="214"/>
      <c r="AK173" s="214"/>
      <c r="AL173" s="214">
        <f t="shared" si="39"/>
        <v>100</v>
      </c>
      <c r="AM173" s="214"/>
      <c r="AN173" s="214">
        <f t="shared" si="52"/>
        <v>100</v>
      </c>
      <c r="AO173" s="194"/>
    </row>
    <row r="174" spans="1:42" ht="32.25" customHeight="1" x14ac:dyDescent="0.25">
      <c r="A174" s="194"/>
      <c r="B174" s="213" t="s">
        <v>352</v>
      </c>
      <c r="C174" s="214">
        <f t="shared" si="49"/>
        <v>5</v>
      </c>
      <c r="D174" s="214"/>
      <c r="E174" s="214">
        <v>5</v>
      </c>
      <c r="F174" s="214"/>
      <c r="G174" s="214">
        <f t="shared" si="40"/>
        <v>5</v>
      </c>
      <c r="H174" s="214">
        <f t="shared" si="41"/>
        <v>0</v>
      </c>
      <c r="I174" s="214">
        <f t="shared" si="48"/>
        <v>5</v>
      </c>
      <c r="J174" s="214">
        <f t="shared" si="42"/>
        <v>5</v>
      </c>
      <c r="K174" s="214">
        <f t="shared" si="43"/>
        <v>0</v>
      </c>
      <c r="L174" s="214"/>
      <c r="M174" s="214"/>
      <c r="N174" s="214">
        <f t="shared" si="53"/>
        <v>5</v>
      </c>
      <c r="O174" s="326">
        <v>5</v>
      </c>
      <c r="P174" s="214"/>
      <c r="Q174" s="239">
        <f t="shared" si="44"/>
        <v>0</v>
      </c>
      <c r="R174" s="214">
        <f t="shared" si="45"/>
        <v>0</v>
      </c>
      <c r="S174" s="214"/>
      <c r="T174" s="214"/>
      <c r="U174" s="239">
        <f t="shared" si="46"/>
        <v>0</v>
      </c>
      <c r="V174" s="214"/>
      <c r="W174" s="214"/>
      <c r="X174" s="214"/>
      <c r="Y174" s="214"/>
      <c r="Z174" s="214"/>
      <c r="AA174" s="214"/>
      <c r="AB174" s="214">
        <f t="shared" si="47"/>
        <v>0</v>
      </c>
      <c r="AC174" s="214"/>
      <c r="AD174" s="214"/>
      <c r="AE174" s="214"/>
      <c r="AF174" s="214">
        <f t="shared" si="37"/>
        <v>0</v>
      </c>
      <c r="AG174" s="214"/>
      <c r="AH174" s="214"/>
      <c r="AI174" s="214">
        <f t="shared" si="38"/>
        <v>0</v>
      </c>
      <c r="AJ174" s="214"/>
      <c r="AK174" s="214"/>
      <c r="AL174" s="214">
        <f t="shared" si="39"/>
        <v>100</v>
      </c>
      <c r="AM174" s="214"/>
      <c r="AN174" s="214">
        <f t="shared" si="52"/>
        <v>100</v>
      </c>
      <c r="AO174" s="194"/>
    </row>
    <row r="175" spans="1:42" ht="32.25" customHeight="1" x14ac:dyDescent="0.25">
      <c r="A175" s="194"/>
      <c r="B175" s="213" t="s">
        <v>353</v>
      </c>
      <c r="C175" s="214">
        <f t="shared" si="49"/>
        <v>5</v>
      </c>
      <c r="D175" s="214"/>
      <c r="E175" s="214">
        <v>5</v>
      </c>
      <c r="F175" s="214"/>
      <c r="G175" s="214">
        <f t="shared" si="40"/>
        <v>5</v>
      </c>
      <c r="H175" s="214">
        <f t="shared" si="41"/>
        <v>0</v>
      </c>
      <c r="I175" s="214">
        <f t="shared" si="48"/>
        <v>5</v>
      </c>
      <c r="J175" s="214">
        <f t="shared" si="42"/>
        <v>5</v>
      </c>
      <c r="K175" s="214">
        <f t="shared" si="43"/>
        <v>0</v>
      </c>
      <c r="L175" s="214"/>
      <c r="M175" s="214"/>
      <c r="N175" s="214">
        <f t="shared" si="53"/>
        <v>5</v>
      </c>
      <c r="O175" s="326">
        <v>5</v>
      </c>
      <c r="P175" s="214"/>
      <c r="Q175" s="239">
        <f t="shared" si="44"/>
        <v>0</v>
      </c>
      <c r="R175" s="214">
        <f t="shared" si="45"/>
        <v>0</v>
      </c>
      <c r="S175" s="214"/>
      <c r="T175" s="214"/>
      <c r="U175" s="239">
        <f t="shared" si="46"/>
        <v>0</v>
      </c>
      <c r="V175" s="214"/>
      <c r="W175" s="214"/>
      <c r="X175" s="214"/>
      <c r="Y175" s="214"/>
      <c r="Z175" s="214"/>
      <c r="AA175" s="214"/>
      <c r="AB175" s="214">
        <f t="shared" si="47"/>
        <v>0</v>
      </c>
      <c r="AC175" s="214"/>
      <c r="AD175" s="214"/>
      <c r="AE175" s="214"/>
      <c r="AF175" s="214">
        <f t="shared" si="37"/>
        <v>0</v>
      </c>
      <c r="AG175" s="214"/>
      <c r="AH175" s="214"/>
      <c r="AI175" s="214">
        <f t="shared" si="38"/>
        <v>0</v>
      </c>
      <c r="AJ175" s="214"/>
      <c r="AK175" s="214"/>
      <c r="AL175" s="214">
        <f t="shared" si="39"/>
        <v>100</v>
      </c>
      <c r="AM175" s="214"/>
      <c r="AN175" s="214">
        <f t="shared" si="52"/>
        <v>100</v>
      </c>
      <c r="AO175" s="194"/>
    </row>
    <row r="176" spans="1:42" ht="32.25" customHeight="1" x14ac:dyDescent="0.25">
      <c r="A176" s="194"/>
      <c r="B176" s="213" t="s">
        <v>354</v>
      </c>
      <c r="C176" s="214">
        <f t="shared" si="49"/>
        <v>5</v>
      </c>
      <c r="D176" s="214"/>
      <c r="E176" s="214">
        <v>5</v>
      </c>
      <c r="F176" s="214"/>
      <c r="G176" s="214">
        <f t="shared" si="40"/>
        <v>5</v>
      </c>
      <c r="H176" s="214">
        <f t="shared" si="41"/>
        <v>0</v>
      </c>
      <c r="I176" s="214">
        <f t="shared" si="48"/>
        <v>5</v>
      </c>
      <c r="J176" s="214">
        <f t="shared" si="42"/>
        <v>5</v>
      </c>
      <c r="K176" s="214">
        <f t="shared" si="43"/>
        <v>0</v>
      </c>
      <c r="L176" s="214"/>
      <c r="M176" s="214"/>
      <c r="N176" s="214">
        <f t="shared" si="53"/>
        <v>5</v>
      </c>
      <c r="O176" s="326">
        <v>5</v>
      </c>
      <c r="P176" s="214"/>
      <c r="Q176" s="239">
        <f t="shared" si="44"/>
        <v>0</v>
      </c>
      <c r="R176" s="214">
        <f t="shared" si="45"/>
        <v>0</v>
      </c>
      <c r="S176" s="214"/>
      <c r="T176" s="214"/>
      <c r="U176" s="239">
        <f t="shared" si="46"/>
        <v>0</v>
      </c>
      <c r="V176" s="214"/>
      <c r="W176" s="214"/>
      <c r="X176" s="214"/>
      <c r="Y176" s="214"/>
      <c r="Z176" s="214"/>
      <c r="AA176" s="214"/>
      <c r="AB176" s="214">
        <f t="shared" si="47"/>
        <v>0</v>
      </c>
      <c r="AC176" s="214"/>
      <c r="AD176" s="214"/>
      <c r="AE176" s="214"/>
      <c r="AF176" s="214">
        <f t="shared" si="37"/>
        <v>0</v>
      </c>
      <c r="AG176" s="214"/>
      <c r="AH176" s="214"/>
      <c r="AI176" s="214">
        <f t="shared" si="38"/>
        <v>0</v>
      </c>
      <c r="AJ176" s="214"/>
      <c r="AK176" s="214"/>
      <c r="AL176" s="214">
        <f t="shared" si="39"/>
        <v>100</v>
      </c>
      <c r="AM176" s="214"/>
      <c r="AN176" s="214">
        <f t="shared" si="52"/>
        <v>100</v>
      </c>
      <c r="AO176" s="194"/>
    </row>
    <row r="177" spans="1:41" ht="32.25" customHeight="1" x14ac:dyDescent="0.25">
      <c r="A177" s="194"/>
      <c r="B177" s="213" t="s">
        <v>355</v>
      </c>
      <c r="C177" s="214">
        <f t="shared" si="49"/>
        <v>5</v>
      </c>
      <c r="D177" s="214"/>
      <c r="E177" s="214">
        <v>5</v>
      </c>
      <c r="F177" s="214"/>
      <c r="G177" s="214">
        <f t="shared" si="40"/>
        <v>5</v>
      </c>
      <c r="H177" s="214">
        <f t="shared" si="41"/>
        <v>0</v>
      </c>
      <c r="I177" s="214">
        <f t="shared" si="48"/>
        <v>5</v>
      </c>
      <c r="J177" s="214">
        <f t="shared" si="42"/>
        <v>5</v>
      </c>
      <c r="K177" s="214">
        <f t="shared" si="43"/>
        <v>0</v>
      </c>
      <c r="L177" s="214"/>
      <c r="M177" s="214"/>
      <c r="N177" s="214">
        <f t="shared" si="53"/>
        <v>5</v>
      </c>
      <c r="O177" s="326">
        <v>5</v>
      </c>
      <c r="P177" s="214"/>
      <c r="Q177" s="239">
        <f t="shared" si="44"/>
        <v>0</v>
      </c>
      <c r="R177" s="214">
        <f t="shared" si="45"/>
        <v>0</v>
      </c>
      <c r="S177" s="214"/>
      <c r="T177" s="214"/>
      <c r="U177" s="239">
        <f t="shared" si="46"/>
        <v>0</v>
      </c>
      <c r="V177" s="214"/>
      <c r="W177" s="214"/>
      <c r="X177" s="214"/>
      <c r="Y177" s="214"/>
      <c r="Z177" s="214"/>
      <c r="AA177" s="214"/>
      <c r="AB177" s="214">
        <f t="shared" si="47"/>
        <v>0</v>
      </c>
      <c r="AC177" s="214"/>
      <c r="AD177" s="214"/>
      <c r="AE177" s="214"/>
      <c r="AF177" s="214">
        <f t="shared" si="37"/>
        <v>0</v>
      </c>
      <c r="AG177" s="214"/>
      <c r="AH177" s="214"/>
      <c r="AI177" s="214">
        <f t="shared" si="38"/>
        <v>0</v>
      </c>
      <c r="AJ177" s="214"/>
      <c r="AK177" s="214"/>
      <c r="AL177" s="214">
        <f t="shared" si="39"/>
        <v>100</v>
      </c>
      <c r="AM177" s="214"/>
      <c r="AN177" s="214">
        <f t="shared" si="52"/>
        <v>100</v>
      </c>
      <c r="AO177" s="194"/>
    </row>
    <row r="178" spans="1:41" ht="20.25" customHeight="1" x14ac:dyDescent="0.25">
      <c r="A178" s="329"/>
      <c r="B178" s="329" t="s">
        <v>356</v>
      </c>
      <c r="C178" s="214">
        <f t="shared" si="49"/>
        <v>5</v>
      </c>
      <c r="D178" s="313"/>
      <c r="E178" s="313">
        <v>5</v>
      </c>
      <c r="F178" s="313"/>
      <c r="G178" s="214">
        <f t="shared" si="40"/>
        <v>5</v>
      </c>
      <c r="H178" s="214">
        <f t="shared" si="41"/>
        <v>0</v>
      </c>
      <c r="I178" s="214">
        <f t="shared" si="48"/>
        <v>5</v>
      </c>
      <c r="J178" s="214">
        <f t="shared" si="42"/>
        <v>5</v>
      </c>
      <c r="K178" s="214">
        <f t="shared" si="43"/>
        <v>0</v>
      </c>
      <c r="L178" s="313"/>
      <c r="M178" s="313"/>
      <c r="N178" s="214">
        <f t="shared" si="53"/>
        <v>5</v>
      </c>
      <c r="O178" s="363">
        <v>5</v>
      </c>
      <c r="P178" s="313"/>
      <c r="Q178" s="239">
        <f t="shared" si="44"/>
        <v>0</v>
      </c>
      <c r="R178" s="214">
        <f t="shared" si="45"/>
        <v>0</v>
      </c>
      <c r="S178" s="313"/>
      <c r="T178" s="313"/>
      <c r="U178" s="239">
        <f t="shared" si="46"/>
        <v>0</v>
      </c>
      <c r="V178" s="313"/>
      <c r="W178" s="313"/>
      <c r="X178" s="313"/>
      <c r="Y178" s="313"/>
      <c r="Z178" s="313"/>
      <c r="AA178" s="313"/>
      <c r="AB178" s="214">
        <f t="shared" si="47"/>
        <v>0</v>
      </c>
      <c r="AC178" s="313"/>
      <c r="AD178" s="313"/>
      <c r="AE178" s="313"/>
      <c r="AF178" s="214">
        <f t="shared" si="37"/>
        <v>0</v>
      </c>
      <c r="AG178" s="313"/>
      <c r="AH178" s="313"/>
      <c r="AI178" s="214">
        <f t="shared" si="38"/>
        <v>0</v>
      </c>
      <c r="AJ178" s="313"/>
      <c r="AK178" s="313"/>
      <c r="AL178" s="214">
        <f t="shared" si="39"/>
        <v>100</v>
      </c>
      <c r="AM178" s="214"/>
      <c r="AN178" s="214">
        <f t="shared" si="52"/>
        <v>100</v>
      </c>
      <c r="AO178" s="329"/>
    </row>
    <row r="179" spans="1:41" ht="20.25" customHeight="1" x14ac:dyDescent="0.25">
      <c r="A179" s="330"/>
      <c r="B179" s="329" t="s">
        <v>555</v>
      </c>
      <c r="C179" s="214">
        <f t="shared" si="49"/>
        <v>5</v>
      </c>
      <c r="D179" s="313"/>
      <c r="E179" s="313">
        <v>5</v>
      </c>
      <c r="F179" s="313"/>
      <c r="G179" s="214">
        <f t="shared" si="40"/>
        <v>5</v>
      </c>
      <c r="H179" s="214">
        <f t="shared" si="41"/>
        <v>0</v>
      </c>
      <c r="I179" s="214">
        <f t="shared" si="48"/>
        <v>5</v>
      </c>
      <c r="J179" s="214">
        <f t="shared" si="42"/>
        <v>5</v>
      </c>
      <c r="K179" s="214">
        <f t="shared" si="43"/>
        <v>0</v>
      </c>
      <c r="L179" s="313"/>
      <c r="M179" s="313"/>
      <c r="N179" s="214">
        <f t="shared" si="53"/>
        <v>5</v>
      </c>
      <c r="O179" s="363">
        <v>5</v>
      </c>
      <c r="P179" s="313"/>
      <c r="Q179" s="239">
        <f t="shared" si="44"/>
        <v>0</v>
      </c>
      <c r="R179" s="214">
        <f t="shared" si="45"/>
        <v>0</v>
      </c>
      <c r="S179" s="313"/>
      <c r="T179" s="313"/>
      <c r="U179" s="239">
        <f t="shared" si="46"/>
        <v>0</v>
      </c>
      <c r="V179" s="313"/>
      <c r="W179" s="313"/>
      <c r="X179" s="313"/>
      <c r="Y179" s="313"/>
      <c r="Z179" s="313"/>
      <c r="AA179" s="313"/>
      <c r="AB179" s="214">
        <f t="shared" si="47"/>
        <v>0</v>
      </c>
      <c r="AC179" s="313"/>
      <c r="AD179" s="313"/>
      <c r="AE179" s="313"/>
      <c r="AF179" s="214">
        <f t="shared" si="37"/>
        <v>0</v>
      </c>
      <c r="AG179" s="313"/>
      <c r="AH179" s="313"/>
      <c r="AI179" s="214">
        <f t="shared" si="38"/>
        <v>0</v>
      </c>
      <c r="AJ179" s="313"/>
      <c r="AK179" s="313"/>
      <c r="AL179" s="214">
        <f t="shared" si="39"/>
        <v>100</v>
      </c>
      <c r="AM179" s="214"/>
      <c r="AN179" s="214">
        <f t="shared" si="52"/>
        <v>100</v>
      </c>
      <c r="AO179" s="329"/>
    </row>
    <row r="180" spans="1:41" ht="20.25" customHeight="1" x14ac:dyDescent="0.25">
      <c r="A180" s="329"/>
      <c r="B180" s="329" t="s">
        <v>556</v>
      </c>
      <c r="C180" s="214">
        <f t="shared" si="49"/>
        <v>5</v>
      </c>
      <c r="D180" s="313"/>
      <c r="E180" s="313">
        <v>5</v>
      </c>
      <c r="F180" s="313"/>
      <c r="G180" s="214">
        <f t="shared" si="40"/>
        <v>5</v>
      </c>
      <c r="H180" s="214">
        <f t="shared" si="41"/>
        <v>0</v>
      </c>
      <c r="I180" s="214">
        <f t="shared" si="48"/>
        <v>5</v>
      </c>
      <c r="J180" s="214">
        <f t="shared" si="42"/>
        <v>5</v>
      </c>
      <c r="K180" s="214">
        <f t="shared" si="43"/>
        <v>0</v>
      </c>
      <c r="L180" s="313"/>
      <c r="M180" s="313"/>
      <c r="N180" s="214">
        <f t="shared" si="53"/>
        <v>5</v>
      </c>
      <c r="O180" s="363">
        <v>5</v>
      </c>
      <c r="P180" s="313"/>
      <c r="Q180" s="239">
        <f t="shared" si="44"/>
        <v>0</v>
      </c>
      <c r="R180" s="214">
        <f t="shared" si="45"/>
        <v>0</v>
      </c>
      <c r="S180" s="313"/>
      <c r="T180" s="313"/>
      <c r="U180" s="239">
        <f t="shared" si="46"/>
        <v>0</v>
      </c>
      <c r="V180" s="313"/>
      <c r="W180" s="313"/>
      <c r="X180" s="313"/>
      <c r="Y180" s="313"/>
      <c r="Z180" s="313"/>
      <c r="AA180" s="313"/>
      <c r="AB180" s="214">
        <f t="shared" si="47"/>
        <v>0</v>
      </c>
      <c r="AC180" s="313"/>
      <c r="AD180" s="313"/>
      <c r="AE180" s="313"/>
      <c r="AF180" s="214">
        <f t="shared" si="37"/>
        <v>0</v>
      </c>
      <c r="AG180" s="313"/>
      <c r="AH180" s="313"/>
      <c r="AI180" s="214">
        <f t="shared" si="38"/>
        <v>0</v>
      </c>
      <c r="AJ180" s="313"/>
      <c r="AK180" s="313"/>
      <c r="AL180" s="214">
        <f t="shared" si="39"/>
        <v>100</v>
      </c>
      <c r="AM180" s="214"/>
      <c r="AN180" s="214">
        <f t="shared" si="52"/>
        <v>100</v>
      </c>
      <c r="AO180" s="329"/>
    </row>
    <row r="181" spans="1:41" ht="20.25" customHeight="1" x14ac:dyDescent="0.25">
      <c r="A181" s="329"/>
      <c r="B181" s="329" t="s">
        <v>557</v>
      </c>
      <c r="C181" s="214">
        <f t="shared" si="49"/>
        <v>5</v>
      </c>
      <c r="D181" s="313"/>
      <c r="E181" s="313">
        <v>5</v>
      </c>
      <c r="F181" s="313"/>
      <c r="G181" s="214">
        <f t="shared" si="40"/>
        <v>3.7330000000000001</v>
      </c>
      <c r="H181" s="214">
        <f t="shared" si="41"/>
        <v>0</v>
      </c>
      <c r="I181" s="214">
        <f t="shared" si="48"/>
        <v>3.7330000000000001</v>
      </c>
      <c r="J181" s="214">
        <f t="shared" si="42"/>
        <v>3.7330000000000001</v>
      </c>
      <c r="K181" s="214">
        <f t="shared" si="43"/>
        <v>0</v>
      </c>
      <c r="L181" s="313"/>
      <c r="M181" s="313"/>
      <c r="N181" s="214">
        <f t="shared" si="53"/>
        <v>3.7330000000000001</v>
      </c>
      <c r="O181" s="363">
        <v>3.7330000000000001</v>
      </c>
      <c r="P181" s="313"/>
      <c r="Q181" s="239">
        <f t="shared" si="44"/>
        <v>0</v>
      </c>
      <c r="R181" s="214">
        <f t="shared" si="45"/>
        <v>0</v>
      </c>
      <c r="S181" s="313"/>
      <c r="T181" s="313"/>
      <c r="U181" s="239">
        <f t="shared" si="46"/>
        <v>0</v>
      </c>
      <c r="V181" s="313"/>
      <c r="W181" s="313"/>
      <c r="X181" s="313"/>
      <c r="Y181" s="313"/>
      <c r="Z181" s="313"/>
      <c r="AA181" s="313"/>
      <c r="AB181" s="214">
        <f t="shared" si="47"/>
        <v>0</v>
      </c>
      <c r="AC181" s="313"/>
      <c r="AD181" s="313"/>
      <c r="AE181" s="313"/>
      <c r="AF181" s="214">
        <f t="shared" si="37"/>
        <v>0</v>
      </c>
      <c r="AG181" s="313"/>
      <c r="AH181" s="313"/>
      <c r="AI181" s="214">
        <f t="shared" si="38"/>
        <v>0</v>
      </c>
      <c r="AJ181" s="313"/>
      <c r="AK181" s="313"/>
      <c r="AL181" s="214">
        <f t="shared" si="39"/>
        <v>74.66</v>
      </c>
      <c r="AM181" s="214"/>
      <c r="AN181" s="214">
        <f t="shared" si="52"/>
        <v>74.66</v>
      </c>
      <c r="AO181" s="329"/>
    </row>
    <row r="182" spans="1:41" ht="20.25" customHeight="1" x14ac:dyDescent="0.25">
      <c r="A182" s="329"/>
      <c r="B182" s="329" t="s">
        <v>558</v>
      </c>
      <c r="C182" s="214">
        <f t="shared" si="49"/>
        <v>5</v>
      </c>
      <c r="D182" s="313"/>
      <c r="E182" s="313">
        <v>5</v>
      </c>
      <c r="F182" s="313"/>
      <c r="G182" s="214">
        <f t="shared" si="40"/>
        <v>5</v>
      </c>
      <c r="H182" s="214">
        <f t="shared" si="41"/>
        <v>0</v>
      </c>
      <c r="I182" s="214">
        <f t="shared" si="48"/>
        <v>5</v>
      </c>
      <c r="J182" s="214">
        <f t="shared" si="42"/>
        <v>5</v>
      </c>
      <c r="K182" s="214">
        <f t="shared" si="43"/>
        <v>0</v>
      </c>
      <c r="L182" s="313"/>
      <c r="M182" s="313"/>
      <c r="N182" s="214">
        <f t="shared" si="53"/>
        <v>5</v>
      </c>
      <c r="O182" s="363">
        <v>5</v>
      </c>
      <c r="P182" s="313"/>
      <c r="Q182" s="239">
        <f t="shared" si="44"/>
        <v>0</v>
      </c>
      <c r="R182" s="214">
        <f t="shared" si="45"/>
        <v>0</v>
      </c>
      <c r="S182" s="313"/>
      <c r="T182" s="313"/>
      <c r="U182" s="239">
        <f t="shared" si="46"/>
        <v>0</v>
      </c>
      <c r="V182" s="313"/>
      <c r="W182" s="313"/>
      <c r="X182" s="313"/>
      <c r="Y182" s="313"/>
      <c r="Z182" s="313"/>
      <c r="AA182" s="313"/>
      <c r="AB182" s="214">
        <f t="shared" si="47"/>
        <v>0</v>
      </c>
      <c r="AC182" s="313"/>
      <c r="AD182" s="313"/>
      <c r="AE182" s="313"/>
      <c r="AF182" s="214">
        <f t="shared" si="37"/>
        <v>0</v>
      </c>
      <c r="AG182" s="313"/>
      <c r="AH182" s="313"/>
      <c r="AI182" s="214">
        <f t="shared" si="38"/>
        <v>0</v>
      </c>
      <c r="AJ182" s="313"/>
      <c r="AK182" s="313"/>
      <c r="AL182" s="214">
        <f t="shared" si="39"/>
        <v>100</v>
      </c>
      <c r="AM182" s="214"/>
      <c r="AN182" s="214">
        <f t="shared" si="52"/>
        <v>100</v>
      </c>
      <c r="AO182" s="329"/>
    </row>
    <row r="183" spans="1:41" ht="20.25" customHeight="1" x14ac:dyDescent="0.25">
      <c r="A183" s="329"/>
      <c r="B183" s="329" t="s">
        <v>559</v>
      </c>
      <c r="C183" s="214">
        <f t="shared" si="49"/>
        <v>5</v>
      </c>
      <c r="D183" s="313"/>
      <c r="E183" s="313">
        <v>5</v>
      </c>
      <c r="F183" s="313"/>
      <c r="G183" s="214">
        <f t="shared" si="40"/>
        <v>0</v>
      </c>
      <c r="H183" s="214">
        <f t="shared" si="41"/>
        <v>0</v>
      </c>
      <c r="I183" s="214">
        <f t="shared" si="48"/>
        <v>0</v>
      </c>
      <c r="J183" s="214">
        <f t="shared" si="42"/>
        <v>0</v>
      </c>
      <c r="K183" s="214">
        <f t="shared" si="43"/>
        <v>0</v>
      </c>
      <c r="L183" s="313"/>
      <c r="M183" s="313"/>
      <c r="N183" s="214">
        <f t="shared" si="53"/>
        <v>0</v>
      </c>
      <c r="O183" s="363"/>
      <c r="P183" s="313"/>
      <c r="Q183" s="239">
        <f t="shared" si="44"/>
        <v>0</v>
      </c>
      <c r="R183" s="214">
        <f t="shared" si="45"/>
        <v>0</v>
      </c>
      <c r="S183" s="313"/>
      <c r="T183" s="313"/>
      <c r="U183" s="239">
        <f t="shared" si="46"/>
        <v>0</v>
      </c>
      <c r="V183" s="313"/>
      <c r="W183" s="313"/>
      <c r="X183" s="313"/>
      <c r="Y183" s="313"/>
      <c r="Z183" s="313"/>
      <c r="AA183" s="313"/>
      <c r="AB183" s="214">
        <f t="shared" si="47"/>
        <v>0</v>
      </c>
      <c r="AC183" s="313"/>
      <c r="AD183" s="313"/>
      <c r="AE183" s="313"/>
      <c r="AF183" s="214">
        <f t="shared" si="37"/>
        <v>0</v>
      </c>
      <c r="AG183" s="313"/>
      <c r="AH183" s="313"/>
      <c r="AI183" s="214">
        <f t="shared" si="38"/>
        <v>0</v>
      </c>
      <c r="AJ183" s="313"/>
      <c r="AK183" s="313"/>
      <c r="AL183" s="214">
        <f t="shared" si="39"/>
        <v>0</v>
      </c>
      <c r="AM183" s="214"/>
      <c r="AN183" s="214">
        <f t="shared" si="52"/>
        <v>0</v>
      </c>
      <c r="AO183" s="329"/>
    </row>
    <row r="184" spans="1:41" ht="20.25" customHeight="1" x14ac:dyDescent="0.25">
      <c r="A184" s="329"/>
      <c r="B184" s="329" t="s">
        <v>803</v>
      </c>
      <c r="C184" s="214">
        <f t="shared" si="49"/>
        <v>5</v>
      </c>
      <c r="D184" s="313"/>
      <c r="E184" s="313">
        <v>5</v>
      </c>
      <c r="F184" s="313"/>
      <c r="G184" s="214">
        <f t="shared" si="40"/>
        <v>5</v>
      </c>
      <c r="H184" s="214">
        <f t="shared" si="41"/>
        <v>0</v>
      </c>
      <c r="I184" s="214">
        <f t="shared" si="48"/>
        <v>5</v>
      </c>
      <c r="J184" s="214">
        <f t="shared" si="42"/>
        <v>5</v>
      </c>
      <c r="K184" s="214">
        <f t="shared" si="43"/>
        <v>0</v>
      </c>
      <c r="L184" s="313"/>
      <c r="M184" s="313"/>
      <c r="N184" s="214">
        <f t="shared" si="53"/>
        <v>5</v>
      </c>
      <c r="O184" s="363">
        <v>5</v>
      </c>
      <c r="P184" s="313"/>
      <c r="Q184" s="239">
        <f t="shared" si="44"/>
        <v>0</v>
      </c>
      <c r="R184" s="214">
        <f t="shared" si="45"/>
        <v>0</v>
      </c>
      <c r="S184" s="313"/>
      <c r="T184" s="313"/>
      <c r="U184" s="239">
        <f t="shared" si="46"/>
        <v>0</v>
      </c>
      <c r="V184" s="313"/>
      <c r="W184" s="313"/>
      <c r="X184" s="313"/>
      <c r="Y184" s="313"/>
      <c r="Z184" s="313"/>
      <c r="AA184" s="313"/>
      <c r="AB184" s="214">
        <f t="shared" si="47"/>
        <v>0</v>
      </c>
      <c r="AC184" s="313"/>
      <c r="AD184" s="313"/>
      <c r="AE184" s="313"/>
      <c r="AF184" s="214">
        <f t="shared" si="37"/>
        <v>0</v>
      </c>
      <c r="AG184" s="313"/>
      <c r="AH184" s="313"/>
      <c r="AI184" s="214">
        <f t="shared" si="38"/>
        <v>0</v>
      </c>
      <c r="AJ184" s="313"/>
      <c r="AK184" s="313"/>
      <c r="AL184" s="214">
        <f t="shared" si="39"/>
        <v>100</v>
      </c>
      <c r="AM184" s="214"/>
      <c r="AN184" s="214">
        <f t="shared" si="52"/>
        <v>100</v>
      </c>
      <c r="AO184" s="329"/>
    </row>
    <row r="185" spans="1:41" ht="20.25" customHeight="1" x14ac:dyDescent="0.25">
      <c r="A185" s="329"/>
      <c r="B185" s="329" t="s">
        <v>560</v>
      </c>
      <c r="C185" s="214">
        <f t="shared" si="49"/>
        <v>5</v>
      </c>
      <c r="D185" s="313"/>
      <c r="E185" s="313">
        <v>5</v>
      </c>
      <c r="F185" s="313"/>
      <c r="G185" s="214">
        <f t="shared" si="40"/>
        <v>5</v>
      </c>
      <c r="H185" s="214">
        <f t="shared" si="41"/>
        <v>0</v>
      </c>
      <c r="I185" s="214">
        <f t="shared" si="48"/>
        <v>5</v>
      </c>
      <c r="J185" s="214">
        <f t="shared" si="42"/>
        <v>5</v>
      </c>
      <c r="K185" s="214">
        <f t="shared" si="43"/>
        <v>0</v>
      </c>
      <c r="L185" s="313"/>
      <c r="M185" s="313"/>
      <c r="N185" s="214">
        <f t="shared" si="53"/>
        <v>5</v>
      </c>
      <c r="O185" s="363">
        <v>5</v>
      </c>
      <c r="P185" s="313"/>
      <c r="Q185" s="239">
        <f t="shared" si="44"/>
        <v>0</v>
      </c>
      <c r="R185" s="214">
        <f t="shared" si="45"/>
        <v>0</v>
      </c>
      <c r="S185" s="313"/>
      <c r="T185" s="313"/>
      <c r="U185" s="239">
        <f t="shared" si="46"/>
        <v>0</v>
      </c>
      <c r="V185" s="313"/>
      <c r="W185" s="313"/>
      <c r="X185" s="313"/>
      <c r="Y185" s="313"/>
      <c r="Z185" s="313"/>
      <c r="AA185" s="313"/>
      <c r="AB185" s="214">
        <f t="shared" si="47"/>
        <v>0</v>
      </c>
      <c r="AC185" s="313"/>
      <c r="AD185" s="313"/>
      <c r="AE185" s="313"/>
      <c r="AF185" s="214">
        <f t="shared" si="37"/>
        <v>0</v>
      </c>
      <c r="AG185" s="313"/>
      <c r="AH185" s="313"/>
      <c r="AI185" s="214">
        <f t="shared" si="38"/>
        <v>0</v>
      </c>
      <c r="AJ185" s="313"/>
      <c r="AK185" s="313"/>
      <c r="AL185" s="214">
        <f t="shared" si="39"/>
        <v>100</v>
      </c>
      <c r="AM185" s="214"/>
      <c r="AN185" s="214">
        <f t="shared" si="52"/>
        <v>100</v>
      </c>
      <c r="AO185" s="329"/>
    </row>
    <row r="186" spans="1:41" s="309" customFormat="1" ht="20.25" customHeight="1" x14ac:dyDescent="0.25">
      <c r="A186" s="331" t="s">
        <v>1495</v>
      </c>
      <c r="B186" s="331" t="s">
        <v>170</v>
      </c>
      <c r="C186" s="307">
        <f>C187+C205+C222+C204</f>
        <v>8626.1064220000007</v>
      </c>
      <c r="D186" s="307">
        <f>D187+D205+D222+D204</f>
        <v>4967.1461899999995</v>
      </c>
      <c r="E186" s="307">
        <f>E187+E205+E222+E204</f>
        <v>3658.9602319999999</v>
      </c>
      <c r="F186" s="307">
        <f>F187+F205+F222+F204</f>
        <v>0</v>
      </c>
      <c r="G186" s="307">
        <f>G187+G205+G222+G204</f>
        <v>7743.9723150000009</v>
      </c>
      <c r="H186" s="307">
        <f t="shared" ref="H186:AK186" si="56">H187+H205+H222+H204</f>
        <v>4380.5757190000004</v>
      </c>
      <c r="I186" s="307">
        <f t="shared" si="56"/>
        <v>3363.3965959999996</v>
      </c>
      <c r="J186" s="307">
        <f t="shared" si="56"/>
        <v>0</v>
      </c>
      <c r="K186" s="307">
        <f t="shared" si="56"/>
        <v>0</v>
      </c>
      <c r="L186" s="307">
        <f t="shared" si="56"/>
        <v>0</v>
      </c>
      <c r="M186" s="307">
        <f t="shared" si="56"/>
        <v>0</v>
      </c>
      <c r="N186" s="307">
        <f t="shared" si="56"/>
        <v>0</v>
      </c>
      <c r="O186" s="356">
        <f t="shared" si="56"/>
        <v>0</v>
      </c>
      <c r="P186" s="307">
        <f t="shared" si="56"/>
        <v>0</v>
      </c>
      <c r="Q186" s="242">
        <f t="shared" si="56"/>
        <v>3181.5636589999995</v>
      </c>
      <c r="R186" s="307">
        <f t="shared" si="56"/>
        <v>0</v>
      </c>
      <c r="S186" s="307">
        <f t="shared" si="56"/>
        <v>0</v>
      </c>
      <c r="T186" s="307">
        <f t="shared" si="56"/>
        <v>0</v>
      </c>
      <c r="U186" s="242">
        <f t="shared" si="56"/>
        <v>3181.5636589999995</v>
      </c>
      <c r="V186" s="307">
        <f t="shared" si="56"/>
        <v>3181.5636589999995</v>
      </c>
      <c r="W186" s="307">
        <f t="shared" si="56"/>
        <v>0</v>
      </c>
      <c r="X186" s="307">
        <f t="shared" si="56"/>
        <v>0</v>
      </c>
      <c r="Y186" s="307">
        <f t="shared" si="56"/>
        <v>0</v>
      </c>
      <c r="Z186" s="307">
        <f t="shared" si="56"/>
        <v>0</v>
      </c>
      <c r="AA186" s="307">
        <f t="shared" si="56"/>
        <v>0</v>
      </c>
      <c r="AB186" s="307">
        <f t="shared" si="56"/>
        <v>0</v>
      </c>
      <c r="AC186" s="307">
        <f t="shared" si="56"/>
        <v>0</v>
      </c>
      <c r="AD186" s="307">
        <f t="shared" si="56"/>
        <v>0</v>
      </c>
      <c r="AE186" s="307">
        <f t="shared" si="56"/>
        <v>4562.4086560000005</v>
      </c>
      <c r="AF186" s="307">
        <f t="shared" si="56"/>
        <v>4380.5757190000004</v>
      </c>
      <c r="AG186" s="307">
        <f t="shared" si="56"/>
        <v>0</v>
      </c>
      <c r="AH186" s="307">
        <f t="shared" si="56"/>
        <v>0</v>
      </c>
      <c r="AI186" s="307">
        <f t="shared" si="56"/>
        <v>181.83293700000002</v>
      </c>
      <c r="AJ186" s="307">
        <f t="shared" si="56"/>
        <v>181.83293700000002</v>
      </c>
      <c r="AK186" s="307">
        <f t="shared" si="56"/>
        <v>0</v>
      </c>
      <c r="AL186" s="308">
        <f t="shared" si="39"/>
        <v>89.773670021619409</v>
      </c>
      <c r="AM186" s="308"/>
      <c r="AN186" s="308">
        <f t="shared" si="52"/>
        <v>91.922195999423479</v>
      </c>
      <c r="AO186" s="215">
        <f>AO187+AO205+AO222</f>
        <v>0</v>
      </c>
    </row>
    <row r="187" spans="1:41" s="297" customFormat="1" ht="20.25" customHeight="1" x14ac:dyDescent="0.25">
      <c r="A187" s="332"/>
      <c r="B187" s="332" t="s">
        <v>804</v>
      </c>
      <c r="C187" s="308">
        <f t="shared" si="49"/>
        <v>624</v>
      </c>
      <c r="D187" s="333"/>
      <c r="E187" s="333">
        <f>SUM(E188:E203)</f>
        <v>624</v>
      </c>
      <c r="F187" s="333">
        <f t="shared" ref="F187:W187" si="57">SUM(F188:F203)</f>
        <v>0</v>
      </c>
      <c r="G187" s="334">
        <f t="shared" si="40"/>
        <v>553.27965000000006</v>
      </c>
      <c r="H187" s="308">
        <f t="shared" si="41"/>
        <v>0</v>
      </c>
      <c r="I187" s="308">
        <f t="shared" si="48"/>
        <v>553.27965000000006</v>
      </c>
      <c r="J187" s="308">
        <f t="shared" si="42"/>
        <v>0</v>
      </c>
      <c r="K187" s="308">
        <f t="shared" si="43"/>
        <v>0</v>
      </c>
      <c r="L187" s="333">
        <f t="shared" si="57"/>
        <v>0</v>
      </c>
      <c r="M187" s="333">
        <f t="shared" si="57"/>
        <v>0</v>
      </c>
      <c r="N187" s="333">
        <f t="shared" si="57"/>
        <v>0</v>
      </c>
      <c r="O187" s="364">
        <f t="shared" si="57"/>
        <v>0</v>
      </c>
      <c r="P187" s="333">
        <f t="shared" si="57"/>
        <v>0</v>
      </c>
      <c r="Q187" s="240">
        <f>R187+U187</f>
        <v>553.27965000000006</v>
      </c>
      <c r="R187" s="308">
        <f t="shared" si="45"/>
        <v>0</v>
      </c>
      <c r="S187" s="333">
        <f t="shared" si="57"/>
        <v>0</v>
      </c>
      <c r="T187" s="333">
        <f t="shared" si="57"/>
        <v>0</v>
      </c>
      <c r="U187" s="240">
        <f>V187+W187</f>
        <v>553.27965000000006</v>
      </c>
      <c r="V187" s="333">
        <f>SUM(V188:V203)</f>
        <v>553.27965000000006</v>
      </c>
      <c r="W187" s="333">
        <f t="shared" si="57"/>
        <v>0</v>
      </c>
      <c r="X187" s="333"/>
      <c r="Y187" s="333"/>
      <c r="Z187" s="333"/>
      <c r="AA187" s="333"/>
      <c r="AB187" s="308">
        <f t="shared" si="47"/>
        <v>0</v>
      </c>
      <c r="AC187" s="333"/>
      <c r="AD187" s="333"/>
      <c r="AE187" s="333"/>
      <c r="AF187" s="308">
        <f t="shared" si="37"/>
        <v>0</v>
      </c>
      <c r="AG187" s="333"/>
      <c r="AH187" s="333"/>
      <c r="AI187" s="308">
        <f t="shared" si="38"/>
        <v>0</v>
      </c>
      <c r="AJ187" s="333"/>
      <c r="AK187" s="333"/>
      <c r="AL187" s="308">
        <f t="shared" si="39"/>
        <v>88.666610576923077</v>
      </c>
      <c r="AM187" s="308"/>
      <c r="AN187" s="308">
        <f t="shared" si="52"/>
        <v>88.666610576923077</v>
      </c>
      <c r="AO187" s="332"/>
    </row>
    <row r="188" spans="1:41" ht="20.25" customHeight="1" x14ac:dyDescent="0.25">
      <c r="A188" s="329"/>
      <c r="B188" s="329" t="s">
        <v>344</v>
      </c>
      <c r="C188" s="214">
        <f t="shared" si="49"/>
        <v>30</v>
      </c>
      <c r="D188" s="313"/>
      <c r="E188" s="313">
        <v>30</v>
      </c>
      <c r="F188" s="313"/>
      <c r="G188" s="214">
        <f t="shared" si="40"/>
        <v>0</v>
      </c>
      <c r="H188" s="214">
        <f t="shared" si="41"/>
        <v>0</v>
      </c>
      <c r="I188" s="214">
        <f t="shared" si="48"/>
        <v>0</v>
      </c>
      <c r="J188" s="214">
        <f t="shared" si="42"/>
        <v>0</v>
      </c>
      <c r="K188" s="214">
        <f t="shared" si="43"/>
        <v>0</v>
      </c>
      <c r="L188" s="313"/>
      <c r="M188" s="313"/>
      <c r="N188" s="313"/>
      <c r="O188" s="363"/>
      <c r="P188" s="313"/>
      <c r="Q188" s="239">
        <f t="shared" si="44"/>
        <v>0</v>
      </c>
      <c r="R188" s="214">
        <f t="shared" si="45"/>
        <v>0</v>
      </c>
      <c r="S188" s="313"/>
      <c r="T188" s="313"/>
      <c r="U188" s="239">
        <f t="shared" si="46"/>
        <v>0</v>
      </c>
      <c r="V188" s="313">
        <v>0</v>
      </c>
      <c r="W188" s="313"/>
      <c r="X188" s="313"/>
      <c r="Y188" s="313"/>
      <c r="Z188" s="313"/>
      <c r="AA188" s="313"/>
      <c r="AB188" s="214">
        <f t="shared" si="47"/>
        <v>0</v>
      </c>
      <c r="AC188" s="313"/>
      <c r="AD188" s="313"/>
      <c r="AE188" s="313"/>
      <c r="AF188" s="214">
        <f t="shared" si="37"/>
        <v>0</v>
      </c>
      <c r="AG188" s="313"/>
      <c r="AH188" s="313"/>
      <c r="AI188" s="214">
        <f t="shared" si="38"/>
        <v>0</v>
      </c>
      <c r="AJ188" s="313"/>
      <c r="AK188" s="313"/>
      <c r="AL188" s="214">
        <f t="shared" si="39"/>
        <v>0</v>
      </c>
      <c r="AM188" s="214"/>
      <c r="AN188" s="214">
        <f t="shared" si="52"/>
        <v>0</v>
      </c>
      <c r="AO188" s="329"/>
    </row>
    <row r="189" spans="1:41" ht="20.25" customHeight="1" x14ac:dyDescent="0.25">
      <c r="A189" s="329"/>
      <c r="B189" s="329" t="s">
        <v>347</v>
      </c>
      <c r="C189" s="214">
        <f t="shared" si="49"/>
        <v>43</v>
      </c>
      <c r="D189" s="313"/>
      <c r="E189" s="313">
        <v>43</v>
      </c>
      <c r="F189" s="313"/>
      <c r="G189" s="214">
        <f t="shared" si="40"/>
        <v>42.790922000000002</v>
      </c>
      <c r="H189" s="214">
        <f t="shared" si="41"/>
        <v>0</v>
      </c>
      <c r="I189" s="214">
        <f t="shared" si="48"/>
        <v>42.790922000000002</v>
      </c>
      <c r="J189" s="214">
        <f t="shared" si="42"/>
        <v>0</v>
      </c>
      <c r="K189" s="214">
        <f t="shared" si="43"/>
        <v>0</v>
      </c>
      <c r="L189" s="313"/>
      <c r="M189" s="313"/>
      <c r="N189" s="313"/>
      <c r="O189" s="363"/>
      <c r="P189" s="313"/>
      <c r="Q189" s="239">
        <f t="shared" si="44"/>
        <v>42.790922000000002</v>
      </c>
      <c r="R189" s="214">
        <f t="shared" si="45"/>
        <v>0</v>
      </c>
      <c r="S189" s="313"/>
      <c r="T189" s="313"/>
      <c r="U189" s="239">
        <f t="shared" si="46"/>
        <v>42.790922000000002</v>
      </c>
      <c r="V189" s="313">
        <v>42.790922000000002</v>
      </c>
      <c r="W189" s="313"/>
      <c r="X189" s="313"/>
      <c r="Y189" s="313"/>
      <c r="Z189" s="313"/>
      <c r="AA189" s="313"/>
      <c r="AB189" s="214">
        <f t="shared" si="47"/>
        <v>0</v>
      </c>
      <c r="AC189" s="313"/>
      <c r="AD189" s="313"/>
      <c r="AE189" s="313"/>
      <c r="AF189" s="214">
        <f t="shared" si="37"/>
        <v>0</v>
      </c>
      <c r="AG189" s="313"/>
      <c r="AH189" s="313"/>
      <c r="AI189" s="214">
        <f t="shared" si="38"/>
        <v>0</v>
      </c>
      <c r="AJ189" s="313"/>
      <c r="AK189" s="313"/>
      <c r="AL189" s="214">
        <f t="shared" si="39"/>
        <v>99.513772093023263</v>
      </c>
      <c r="AM189" s="214"/>
      <c r="AN189" s="214">
        <f t="shared" si="52"/>
        <v>99.513772093023263</v>
      </c>
      <c r="AO189" s="329"/>
    </row>
    <row r="190" spans="1:41" ht="20.25" customHeight="1" x14ac:dyDescent="0.25">
      <c r="A190" s="329"/>
      <c r="B190" s="329" t="s">
        <v>348</v>
      </c>
      <c r="C190" s="214">
        <f t="shared" si="49"/>
        <v>42</v>
      </c>
      <c r="D190" s="313"/>
      <c r="E190" s="313">
        <v>42</v>
      </c>
      <c r="F190" s="313"/>
      <c r="G190" s="214">
        <f t="shared" si="40"/>
        <v>41.612934000000003</v>
      </c>
      <c r="H190" s="214">
        <f t="shared" si="41"/>
        <v>0</v>
      </c>
      <c r="I190" s="214">
        <f t="shared" si="48"/>
        <v>41.612934000000003</v>
      </c>
      <c r="J190" s="214">
        <f t="shared" si="42"/>
        <v>0</v>
      </c>
      <c r="K190" s="214">
        <f t="shared" si="43"/>
        <v>0</v>
      </c>
      <c r="L190" s="313"/>
      <c r="M190" s="313"/>
      <c r="N190" s="313"/>
      <c r="O190" s="363"/>
      <c r="P190" s="313"/>
      <c r="Q190" s="239">
        <f t="shared" si="44"/>
        <v>41.612934000000003</v>
      </c>
      <c r="R190" s="214">
        <f t="shared" si="45"/>
        <v>0</v>
      </c>
      <c r="S190" s="313"/>
      <c r="T190" s="313"/>
      <c r="U190" s="239">
        <f t="shared" si="46"/>
        <v>41.612934000000003</v>
      </c>
      <c r="V190" s="313">
        <v>41.612934000000003</v>
      </c>
      <c r="W190" s="313"/>
      <c r="X190" s="313"/>
      <c r="Y190" s="313"/>
      <c r="Z190" s="313"/>
      <c r="AA190" s="313"/>
      <c r="AB190" s="214">
        <f t="shared" si="47"/>
        <v>0</v>
      </c>
      <c r="AC190" s="313"/>
      <c r="AD190" s="313"/>
      <c r="AE190" s="313"/>
      <c r="AF190" s="214">
        <f t="shared" si="37"/>
        <v>0</v>
      </c>
      <c r="AG190" s="313"/>
      <c r="AH190" s="313"/>
      <c r="AI190" s="214">
        <f t="shared" si="38"/>
        <v>0</v>
      </c>
      <c r="AJ190" s="313"/>
      <c r="AK190" s="313"/>
      <c r="AL190" s="214">
        <f t="shared" si="39"/>
        <v>99.078414285714302</v>
      </c>
      <c r="AM190" s="214"/>
      <c r="AN190" s="214">
        <f t="shared" si="52"/>
        <v>99.078414285714302</v>
      </c>
      <c r="AO190" s="329"/>
    </row>
    <row r="191" spans="1:41" ht="20.25" customHeight="1" x14ac:dyDescent="0.25">
      <c r="A191" s="329"/>
      <c r="B191" s="329" t="s">
        <v>349</v>
      </c>
      <c r="C191" s="214">
        <f t="shared" si="49"/>
        <v>35</v>
      </c>
      <c r="D191" s="313"/>
      <c r="E191" s="313">
        <v>35</v>
      </c>
      <c r="F191" s="313"/>
      <c r="G191" s="214">
        <f t="shared" si="40"/>
        <v>35</v>
      </c>
      <c r="H191" s="214">
        <f t="shared" si="41"/>
        <v>0</v>
      </c>
      <c r="I191" s="214">
        <f t="shared" si="48"/>
        <v>35</v>
      </c>
      <c r="J191" s="214">
        <f t="shared" si="42"/>
        <v>0</v>
      </c>
      <c r="K191" s="214">
        <f t="shared" si="43"/>
        <v>0</v>
      </c>
      <c r="L191" s="313"/>
      <c r="M191" s="313"/>
      <c r="N191" s="313"/>
      <c r="O191" s="363"/>
      <c r="P191" s="313"/>
      <c r="Q191" s="239">
        <f t="shared" si="44"/>
        <v>35</v>
      </c>
      <c r="R191" s="214">
        <f t="shared" si="45"/>
        <v>0</v>
      </c>
      <c r="S191" s="313"/>
      <c r="T191" s="313"/>
      <c r="U191" s="239">
        <f t="shared" si="46"/>
        <v>35</v>
      </c>
      <c r="V191" s="313">
        <v>35</v>
      </c>
      <c r="W191" s="313"/>
      <c r="X191" s="313"/>
      <c r="Y191" s="313"/>
      <c r="Z191" s="313"/>
      <c r="AA191" s="313"/>
      <c r="AB191" s="214">
        <f t="shared" si="47"/>
        <v>0</v>
      </c>
      <c r="AC191" s="313"/>
      <c r="AD191" s="313"/>
      <c r="AE191" s="313"/>
      <c r="AF191" s="214">
        <f t="shared" si="37"/>
        <v>0</v>
      </c>
      <c r="AG191" s="313"/>
      <c r="AH191" s="313"/>
      <c r="AI191" s="214">
        <f t="shared" si="38"/>
        <v>0</v>
      </c>
      <c r="AJ191" s="313"/>
      <c r="AK191" s="313"/>
      <c r="AL191" s="214">
        <f t="shared" si="39"/>
        <v>100</v>
      </c>
      <c r="AM191" s="214"/>
      <c r="AN191" s="214">
        <f t="shared" si="52"/>
        <v>100</v>
      </c>
      <c r="AO191" s="329"/>
    </row>
    <row r="192" spans="1:41" ht="20.25" customHeight="1" x14ac:dyDescent="0.25">
      <c r="A192" s="329"/>
      <c r="B192" s="329" t="s">
        <v>351</v>
      </c>
      <c r="C192" s="214">
        <f t="shared" si="49"/>
        <v>43</v>
      </c>
      <c r="D192" s="313"/>
      <c r="E192" s="313">
        <v>43</v>
      </c>
      <c r="F192" s="313"/>
      <c r="G192" s="214">
        <f t="shared" si="40"/>
        <v>43</v>
      </c>
      <c r="H192" s="214">
        <f t="shared" si="41"/>
        <v>0</v>
      </c>
      <c r="I192" s="214">
        <f t="shared" si="48"/>
        <v>43</v>
      </c>
      <c r="J192" s="214">
        <f t="shared" si="42"/>
        <v>0</v>
      </c>
      <c r="K192" s="214">
        <f t="shared" si="43"/>
        <v>0</v>
      </c>
      <c r="L192" s="313"/>
      <c r="M192" s="313"/>
      <c r="N192" s="313"/>
      <c r="O192" s="363"/>
      <c r="P192" s="313"/>
      <c r="Q192" s="239">
        <f t="shared" si="44"/>
        <v>43</v>
      </c>
      <c r="R192" s="214">
        <f t="shared" si="45"/>
        <v>0</v>
      </c>
      <c r="S192" s="313"/>
      <c r="T192" s="313"/>
      <c r="U192" s="239">
        <f t="shared" si="46"/>
        <v>43</v>
      </c>
      <c r="V192" s="313">
        <v>43</v>
      </c>
      <c r="W192" s="313"/>
      <c r="X192" s="313"/>
      <c r="Y192" s="313"/>
      <c r="Z192" s="313"/>
      <c r="AA192" s="313"/>
      <c r="AB192" s="214">
        <f t="shared" si="47"/>
        <v>0</v>
      </c>
      <c r="AC192" s="313"/>
      <c r="AD192" s="313"/>
      <c r="AE192" s="313"/>
      <c r="AF192" s="214">
        <f t="shared" si="37"/>
        <v>0</v>
      </c>
      <c r="AG192" s="313"/>
      <c r="AH192" s="313"/>
      <c r="AI192" s="214">
        <f t="shared" si="38"/>
        <v>0</v>
      </c>
      <c r="AJ192" s="313"/>
      <c r="AK192" s="313"/>
      <c r="AL192" s="214">
        <f t="shared" si="39"/>
        <v>100</v>
      </c>
      <c r="AM192" s="214"/>
      <c r="AN192" s="214">
        <f t="shared" si="52"/>
        <v>100</v>
      </c>
      <c r="AO192" s="329"/>
    </row>
    <row r="193" spans="1:41" ht="20.25" customHeight="1" x14ac:dyDescent="0.25">
      <c r="A193" s="329"/>
      <c r="B193" s="329" t="s">
        <v>352</v>
      </c>
      <c r="C193" s="214">
        <f t="shared" si="49"/>
        <v>37</v>
      </c>
      <c r="D193" s="313"/>
      <c r="E193" s="313">
        <v>37</v>
      </c>
      <c r="F193" s="313"/>
      <c r="G193" s="214">
        <f t="shared" si="40"/>
        <v>37</v>
      </c>
      <c r="H193" s="214">
        <f t="shared" si="41"/>
        <v>0</v>
      </c>
      <c r="I193" s="214">
        <f t="shared" si="48"/>
        <v>37</v>
      </c>
      <c r="J193" s="214">
        <f t="shared" si="42"/>
        <v>0</v>
      </c>
      <c r="K193" s="214">
        <f t="shared" si="43"/>
        <v>0</v>
      </c>
      <c r="L193" s="313"/>
      <c r="M193" s="313"/>
      <c r="N193" s="313"/>
      <c r="O193" s="363"/>
      <c r="P193" s="313"/>
      <c r="Q193" s="239">
        <f t="shared" si="44"/>
        <v>37</v>
      </c>
      <c r="R193" s="214">
        <f t="shared" si="45"/>
        <v>0</v>
      </c>
      <c r="S193" s="313"/>
      <c r="T193" s="313"/>
      <c r="U193" s="239">
        <f t="shared" si="46"/>
        <v>37</v>
      </c>
      <c r="V193" s="313">
        <v>37</v>
      </c>
      <c r="W193" s="313"/>
      <c r="X193" s="313"/>
      <c r="Y193" s="313"/>
      <c r="Z193" s="313"/>
      <c r="AA193" s="313"/>
      <c r="AB193" s="214">
        <f t="shared" si="47"/>
        <v>0</v>
      </c>
      <c r="AC193" s="313"/>
      <c r="AD193" s="313"/>
      <c r="AE193" s="313"/>
      <c r="AF193" s="214">
        <f t="shared" si="37"/>
        <v>0</v>
      </c>
      <c r="AG193" s="313"/>
      <c r="AH193" s="313"/>
      <c r="AI193" s="214">
        <f t="shared" si="38"/>
        <v>0</v>
      </c>
      <c r="AJ193" s="313"/>
      <c r="AK193" s="313"/>
      <c r="AL193" s="214">
        <f t="shared" si="39"/>
        <v>100</v>
      </c>
      <c r="AM193" s="214"/>
      <c r="AN193" s="214">
        <f t="shared" si="52"/>
        <v>100</v>
      </c>
      <c r="AO193" s="329"/>
    </row>
    <row r="194" spans="1:41" ht="20.25" customHeight="1" x14ac:dyDescent="0.25">
      <c r="A194" s="329"/>
      <c r="B194" s="329" t="s">
        <v>353</v>
      </c>
      <c r="C194" s="214">
        <f t="shared" si="49"/>
        <v>50</v>
      </c>
      <c r="D194" s="313"/>
      <c r="E194" s="313">
        <v>50</v>
      </c>
      <c r="F194" s="313"/>
      <c r="G194" s="214">
        <f t="shared" si="40"/>
        <v>50</v>
      </c>
      <c r="H194" s="214">
        <f t="shared" si="41"/>
        <v>0</v>
      </c>
      <c r="I194" s="214">
        <f t="shared" si="48"/>
        <v>50</v>
      </c>
      <c r="J194" s="214">
        <f t="shared" si="42"/>
        <v>0</v>
      </c>
      <c r="K194" s="214">
        <f t="shared" si="43"/>
        <v>0</v>
      </c>
      <c r="L194" s="313"/>
      <c r="M194" s="313"/>
      <c r="N194" s="313"/>
      <c r="O194" s="363"/>
      <c r="P194" s="313"/>
      <c r="Q194" s="239">
        <f t="shared" si="44"/>
        <v>50</v>
      </c>
      <c r="R194" s="214">
        <f t="shared" si="45"/>
        <v>0</v>
      </c>
      <c r="S194" s="313"/>
      <c r="T194" s="313"/>
      <c r="U194" s="239">
        <f t="shared" si="46"/>
        <v>50</v>
      </c>
      <c r="V194" s="313">
        <v>50</v>
      </c>
      <c r="W194" s="313"/>
      <c r="X194" s="313"/>
      <c r="Y194" s="313"/>
      <c r="Z194" s="313"/>
      <c r="AA194" s="313"/>
      <c r="AB194" s="214">
        <f t="shared" si="47"/>
        <v>0</v>
      </c>
      <c r="AC194" s="313"/>
      <c r="AD194" s="313"/>
      <c r="AE194" s="313"/>
      <c r="AF194" s="214">
        <f t="shared" si="37"/>
        <v>0</v>
      </c>
      <c r="AG194" s="313"/>
      <c r="AH194" s="313"/>
      <c r="AI194" s="214">
        <f t="shared" si="38"/>
        <v>0</v>
      </c>
      <c r="AJ194" s="313"/>
      <c r="AK194" s="313"/>
      <c r="AL194" s="214">
        <f t="shared" si="39"/>
        <v>100</v>
      </c>
      <c r="AM194" s="214"/>
      <c r="AN194" s="214">
        <f t="shared" si="52"/>
        <v>100</v>
      </c>
      <c r="AO194" s="329"/>
    </row>
    <row r="195" spans="1:41" ht="20.25" customHeight="1" x14ac:dyDescent="0.25">
      <c r="A195" s="329"/>
      <c r="B195" s="329" t="s">
        <v>354</v>
      </c>
      <c r="C195" s="214">
        <f t="shared" si="49"/>
        <v>40</v>
      </c>
      <c r="D195" s="313"/>
      <c r="E195" s="313">
        <v>40</v>
      </c>
      <c r="F195" s="313"/>
      <c r="G195" s="214">
        <f t="shared" si="40"/>
        <v>40</v>
      </c>
      <c r="H195" s="214">
        <f t="shared" si="41"/>
        <v>0</v>
      </c>
      <c r="I195" s="214">
        <f t="shared" si="48"/>
        <v>40</v>
      </c>
      <c r="J195" s="214">
        <f t="shared" si="42"/>
        <v>0</v>
      </c>
      <c r="K195" s="214">
        <f t="shared" si="43"/>
        <v>0</v>
      </c>
      <c r="L195" s="313"/>
      <c r="M195" s="313"/>
      <c r="N195" s="313"/>
      <c r="O195" s="363"/>
      <c r="P195" s="313"/>
      <c r="Q195" s="239">
        <f t="shared" si="44"/>
        <v>40</v>
      </c>
      <c r="R195" s="214">
        <f t="shared" si="45"/>
        <v>0</v>
      </c>
      <c r="S195" s="313"/>
      <c r="T195" s="313"/>
      <c r="U195" s="239">
        <f t="shared" si="46"/>
        <v>40</v>
      </c>
      <c r="V195" s="313">
        <v>40</v>
      </c>
      <c r="W195" s="313"/>
      <c r="X195" s="313"/>
      <c r="Y195" s="313"/>
      <c r="Z195" s="313"/>
      <c r="AA195" s="313"/>
      <c r="AB195" s="214">
        <f t="shared" si="47"/>
        <v>0</v>
      </c>
      <c r="AC195" s="313"/>
      <c r="AD195" s="313"/>
      <c r="AE195" s="313"/>
      <c r="AF195" s="214">
        <f t="shared" si="37"/>
        <v>0</v>
      </c>
      <c r="AG195" s="313"/>
      <c r="AH195" s="313"/>
      <c r="AI195" s="214">
        <f t="shared" si="38"/>
        <v>0</v>
      </c>
      <c r="AJ195" s="313"/>
      <c r="AK195" s="313"/>
      <c r="AL195" s="214">
        <f t="shared" si="39"/>
        <v>100</v>
      </c>
      <c r="AM195" s="214"/>
      <c r="AN195" s="214">
        <f t="shared" si="52"/>
        <v>100</v>
      </c>
      <c r="AO195" s="329"/>
    </row>
    <row r="196" spans="1:41" ht="20.25" customHeight="1" x14ac:dyDescent="0.25">
      <c r="A196" s="329"/>
      <c r="B196" s="329" t="s">
        <v>802</v>
      </c>
      <c r="C196" s="214">
        <f t="shared" si="49"/>
        <v>36</v>
      </c>
      <c r="D196" s="313"/>
      <c r="E196" s="313">
        <v>36</v>
      </c>
      <c r="F196" s="313"/>
      <c r="G196" s="214">
        <f t="shared" si="40"/>
        <v>36</v>
      </c>
      <c r="H196" s="214">
        <f t="shared" si="41"/>
        <v>0</v>
      </c>
      <c r="I196" s="214">
        <f t="shared" si="48"/>
        <v>36</v>
      </c>
      <c r="J196" s="214">
        <f t="shared" si="42"/>
        <v>0</v>
      </c>
      <c r="K196" s="214">
        <f t="shared" si="43"/>
        <v>0</v>
      </c>
      <c r="L196" s="313"/>
      <c r="M196" s="313"/>
      <c r="N196" s="313"/>
      <c r="O196" s="363"/>
      <c r="P196" s="313"/>
      <c r="Q196" s="239">
        <f t="shared" si="44"/>
        <v>36</v>
      </c>
      <c r="R196" s="214">
        <f t="shared" si="45"/>
        <v>0</v>
      </c>
      <c r="S196" s="313"/>
      <c r="T196" s="313"/>
      <c r="U196" s="239">
        <f t="shared" si="46"/>
        <v>36</v>
      </c>
      <c r="V196" s="313">
        <v>36</v>
      </c>
      <c r="W196" s="313"/>
      <c r="X196" s="313"/>
      <c r="Y196" s="313"/>
      <c r="Z196" s="313"/>
      <c r="AA196" s="313"/>
      <c r="AB196" s="214">
        <f t="shared" si="47"/>
        <v>0</v>
      </c>
      <c r="AC196" s="313"/>
      <c r="AD196" s="313"/>
      <c r="AE196" s="313"/>
      <c r="AF196" s="214">
        <f t="shared" si="37"/>
        <v>0</v>
      </c>
      <c r="AG196" s="313"/>
      <c r="AH196" s="313"/>
      <c r="AI196" s="214">
        <f t="shared" si="38"/>
        <v>0</v>
      </c>
      <c r="AJ196" s="313"/>
      <c r="AK196" s="313"/>
      <c r="AL196" s="214">
        <f t="shared" si="39"/>
        <v>100</v>
      </c>
      <c r="AM196" s="214"/>
      <c r="AN196" s="214">
        <f t="shared" si="52"/>
        <v>100</v>
      </c>
      <c r="AO196" s="329"/>
    </row>
    <row r="197" spans="1:41" ht="20.25" customHeight="1" x14ac:dyDescent="0.25">
      <c r="A197" s="329"/>
      <c r="B197" s="329" t="s">
        <v>356</v>
      </c>
      <c r="C197" s="214">
        <f t="shared" si="49"/>
        <v>41</v>
      </c>
      <c r="D197" s="313"/>
      <c r="E197" s="313">
        <v>41</v>
      </c>
      <c r="F197" s="313"/>
      <c r="G197" s="214">
        <f t="shared" si="40"/>
        <v>41</v>
      </c>
      <c r="H197" s="214">
        <f t="shared" si="41"/>
        <v>0</v>
      </c>
      <c r="I197" s="214">
        <f t="shared" si="48"/>
        <v>41</v>
      </c>
      <c r="J197" s="214">
        <f t="shared" si="42"/>
        <v>0</v>
      </c>
      <c r="K197" s="214">
        <f t="shared" si="43"/>
        <v>0</v>
      </c>
      <c r="L197" s="313"/>
      <c r="M197" s="313"/>
      <c r="N197" s="313"/>
      <c r="O197" s="363"/>
      <c r="P197" s="313"/>
      <c r="Q197" s="239">
        <f t="shared" si="44"/>
        <v>41</v>
      </c>
      <c r="R197" s="214">
        <f t="shared" si="45"/>
        <v>0</v>
      </c>
      <c r="S197" s="313"/>
      <c r="T197" s="313"/>
      <c r="U197" s="239">
        <f t="shared" si="46"/>
        <v>41</v>
      </c>
      <c r="V197" s="313">
        <v>41</v>
      </c>
      <c r="W197" s="313"/>
      <c r="X197" s="313"/>
      <c r="Y197" s="313"/>
      <c r="Z197" s="313"/>
      <c r="AA197" s="313"/>
      <c r="AB197" s="214">
        <f t="shared" si="47"/>
        <v>0</v>
      </c>
      <c r="AC197" s="313"/>
      <c r="AD197" s="313"/>
      <c r="AE197" s="313"/>
      <c r="AF197" s="214">
        <f t="shared" si="37"/>
        <v>0</v>
      </c>
      <c r="AG197" s="313"/>
      <c r="AH197" s="313"/>
      <c r="AI197" s="214">
        <f t="shared" si="38"/>
        <v>0</v>
      </c>
      <c r="AJ197" s="313"/>
      <c r="AK197" s="313"/>
      <c r="AL197" s="214">
        <f t="shared" si="39"/>
        <v>100</v>
      </c>
      <c r="AM197" s="214"/>
      <c r="AN197" s="214">
        <f t="shared" si="52"/>
        <v>100</v>
      </c>
      <c r="AO197" s="329"/>
    </row>
    <row r="198" spans="1:41" ht="20.25" customHeight="1" x14ac:dyDescent="0.25">
      <c r="A198" s="329"/>
      <c r="B198" s="329" t="s">
        <v>555</v>
      </c>
      <c r="C198" s="214">
        <f t="shared" si="49"/>
        <v>45</v>
      </c>
      <c r="D198" s="313"/>
      <c r="E198" s="313">
        <v>45</v>
      </c>
      <c r="F198" s="313"/>
      <c r="G198" s="214">
        <f t="shared" si="40"/>
        <v>44.880265000000001</v>
      </c>
      <c r="H198" s="214">
        <f t="shared" si="41"/>
        <v>0</v>
      </c>
      <c r="I198" s="214">
        <f t="shared" si="48"/>
        <v>44.880265000000001</v>
      </c>
      <c r="J198" s="214">
        <f t="shared" si="42"/>
        <v>0</v>
      </c>
      <c r="K198" s="214">
        <f t="shared" si="43"/>
        <v>0</v>
      </c>
      <c r="L198" s="313"/>
      <c r="M198" s="313"/>
      <c r="N198" s="313"/>
      <c r="O198" s="363"/>
      <c r="P198" s="313"/>
      <c r="Q198" s="239">
        <f t="shared" si="44"/>
        <v>44.880265000000001</v>
      </c>
      <c r="R198" s="214">
        <f t="shared" si="45"/>
        <v>0</v>
      </c>
      <c r="S198" s="313"/>
      <c r="T198" s="313"/>
      <c r="U198" s="239">
        <f t="shared" si="46"/>
        <v>44.880265000000001</v>
      </c>
      <c r="V198" s="313">
        <v>44.880265000000001</v>
      </c>
      <c r="W198" s="313"/>
      <c r="X198" s="313"/>
      <c r="Y198" s="313"/>
      <c r="Z198" s="313"/>
      <c r="AA198" s="313"/>
      <c r="AB198" s="214">
        <f t="shared" si="47"/>
        <v>0</v>
      </c>
      <c r="AC198" s="313"/>
      <c r="AD198" s="313"/>
      <c r="AE198" s="313"/>
      <c r="AF198" s="214">
        <f t="shared" si="37"/>
        <v>0</v>
      </c>
      <c r="AG198" s="313"/>
      <c r="AH198" s="313"/>
      <c r="AI198" s="214">
        <f t="shared" si="38"/>
        <v>0</v>
      </c>
      <c r="AJ198" s="313"/>
      <c r="AK198" s="313"/>
      <c r="AL198" s="214">
        <f t="shared" si="39"/>
        <v>99.733922222222219</v>
      </c>
      <c r="AM198" s="214"/>
      <c r="AN198" s="214">
        <f t="shared" si="52"/>
        <v>99.733922222222219</v>
      </c>
      <c r="AO198" s="329"/>
    </row>
    <row r="199" spans="1:41" ht="20.25" customHeight="1" x14ac:dyDescent="0.25">
      <c r="A199" s="329"/>
      <c r="B199" s="329" t="s">
        <v>556</v>
      </c>
      <c r="C199" s="214">
        <f t="shared" si="49"/>
        <v>39</v>
      </c>
      <c r="D199" s="313"/>
      <c r="E199" s="313">
        <v>39</v>
      </c>
      <c r="F199" s="313"/>
      <c r="G199" s="214">
        <f t="shared" si="40"/>
        <v>29</v>
      </c>
      <c r="H199" s="214">
        <f t="shared" si="41"/>
        <v>0</v>
      </c>
      <c r="I199" s="214">
        <f t="shared" si="48"/>
        <v>29</v>
      </c>
      <c r="J199" s="214">
        <f t="shared" si="42"/>
        <v>0</v>
      </c>
      <c r="K199" s="214">
        <f t="shared" si="43"/>
        <v>0</v>
      </c>
      <c r="L199" s="313"/>
      <c r="M199" s="313"/>
      <c r="N199" s="313"/>
      <c r="O199" s="363"/>
      <c r="P199" s="313"/>
      <c r="Q199" s="239">
        <f t="shared" si="44"/>
        <v>29</v>
      </c>
      <c r="R199" s="214">
        <f t="shared" si="45"/>
        <v>0</v>
      </c>
      <c r="S199" s="313"/>
      <c r="T199" s="313"/>
      <c r="U199" s="239">
        <f t="shared" si="46"/>
        <v>29</v>
      </c>
      <c r="V199" s="313">
        <v>29</v>
      </c>
      <c r="W199" s="313"/>
      <c r="X199" s="313"/>
      <c r="Y199" s="313"/>
      <c r="Z199" s="313"/>
      <c r="AA199" s="313"/>
      <c r="AB199" s="214">
        <f t="shared" si="47"/>
        <v>0</v>
      </c>
      <c r="AC199" s="313"/>
      <c r="AD199" s="313"/>
      <c r="AE199" s="313"/>
      <c r="AF199" s="214">
        <f t="shared" si="37"/>
        <v>0</v>
      </c>
      <c r="AG199" s="313"/>
      <c r="AH199" s="313"/>
      <c r="AI199" s="214">
        <f t="shared" si="38"/>
        <v>0</v>
      </c>
      <c r="AJ199" s="313"/>
      <c r="AK199" s="313"/>
      <c r="AL199" s="214">
        <f t="shared" si="39"/>
        <v>74.358974358974351</v>
      </c>
      <c r="AM199" s="214"/>
      <c r="AN199" s="214">
        <f t="shared" si="52"/>
        <v>74.358974358974351</v>
      </c>
      <c r="AO199" s="329"/>
    </row>
    <row r="200" spans="1:41" ht="20.25" customHeight="1" x14ac:dyDescent="0.25">
      <c r="A200" s="329"/>
      <c r="B200" s="329" t="s">
        <v>557</v>
      </c>
      <c r="C200" s="214">
        <f t="shared" si="49"/>
        <v>27</v>
      </c>
      <c r="D200" s="313"/>
      <c r="E200" s="313">
        <v>27</v>
      </c>
      <c r="F200" s="313"/>
      <c r="G200" s="214">
        <f t="shared" si="40"/>
        <v>0</v>
      </c>
      <c r="H200" s="214">
        <f t="shared" si="41"/>
        <v>0</v>
      </c>
      <c r="I200" s="214">
        <f t="shared" si="48"/>
        <v>0</v>
      </c>
      <c r="J200" s="214">
        <f t="shared" si="42"/>
        <v>0</v>
      </c>
      <c r="K200" s="214">
        <f t="shared" si="43"/>
        <v>0</v>
      </c>
      <c r="L200" s="313"/>
      <c r="M200" s="313"/>
      <c r="N200" s="313"/>
      <c r="O200" s="363"/>
      <c r="P200" s="313"/>
      <c r="Q200" s="239">
        <f t="shared" si="44"/>
        <v>0</v>
      </c>
      <c r="R200" s="214">
        <f t="shared" si="45"/>
        <v>0</v>
      </c>
      <c r="S200" s="313"/>
      <c r="T200" s="313"/>
      <c r="U200" s="239">
        <f t="shared" si="46"/>
        <v>0</v>
      </c>
      <c r="V200" s="313">
        <v>0</v>
      </c>
      <c r="W200" s="313"/>
      <c r="X200" s="313"/>
      <c r="Y200" s="313"/>
      <c r="Z200" s="313"/>
      <c r="AA200" s="313"/>
      <c r="AB200" s="214">
        <f t="shared" si="47"/>
        <v>0</v>
      </c>
      <c r="AC200" s="313"/>
      <c r="AD200" s="313"/>
      <c r="AE200" s="313"/>
      <c r="AF200" s="214">
        <f t="shared" si="37"/>
        <v>0</v>
      </c>
      <c r="AG200" s="313"/>
      <c r="AH200" s="313"/>
      <c r="AI200" s="214">
        <f t="shared" si="38"/>
        <v>0</v>
      </c>
      <c r="AJ200" s="313"/>
      <c r="AK200" s="313"/>
      <c r="AL200" s="214">
        <f t="shared" ref="AL200:AL230" si="58">G200/C200%</f>
        <v>0</v>
      </c>
      <c r="AM200" s="214"/>
      <c r="AN200" s="214">
        <f t="shared" si="52"/>
        <v>0</v>
      </c>
      <c r="AO200" s="329"/>
    </row>
    <row r="201" spans="1:41" ht="20.25" customHeight="1" x14ac:dyDescent="0.25">
      <c r="A201" s="329"/>
      <c r="B201" s="329" t="s">
        <v>558</v>
      </c>
      <c r="C201" s="214">
        <f t="shared" si="49"/>
        <v>42</v>
      </c>
      <c r="D201" s="313"/>
      <c r="E201" s="313">
        <v>42</v>
      </c>
      <c r="F201" s="313"/>
      <c r="G201" s="214">
        <f t="shared" si="40"/>
        <v>42</v>
      </c>
      <c r="H201" s="214">
        <f t="shared" si="41"/>
        <v>0</v>
      </c>
      <c r="I201" s="214">
        <f t="shared" si="48"/>
        <v>42</v>
      </c>
      <c r="J201" s="214">
        <f t="shared" si="42"/>
        <v>0</v>
      </c>
      <c r="K201" s="214">
        <f t="shared" si="43"/>
        <v>0</v>
      </c>
      <c r="L201" s="313"/>
      <c r="M201" s="313"/>
      <c r="N201" s="313"/>
      <c r="O201" s="363"/>
      <c r="P201" s="313"/>
      <c r="Q201" s="239">
        <f t="shared" si="44"/>
        <v>42</v>
      </c>
      <c r="R201" s="214">
        <f t="shared" si="45"/>
        <v>0</v>
      </c>
      <c r="S201" s="313"/>
      <c r="T201" s="313"/>
      <c r="U201" s="239">
        <f t="shared" si="46"/>
        <v>42</v>
      </c>
      <c r="V201" s="313">
        <v>42</v>
      </c>
      <c r="W201" s="313"/>
      <c r="X201" s="313"/>
      <c r="Y201" s="313"/>
      <c r="Z201" s="313"/>
      <c r="AA201" s="313"/>
      <c r="AB201" s="214">
        <f t="shared" si="47"/>
        <v>0</v>
      </c>
      <c r="AC201" s="313"/>
      <c r="AD201" s="313"/>
      <c r="AE201" s="313"/>
      <c r="AF201" s="214">
        <f t="shared" si="37"/>
        <v>0</v>
      </c>
      <c r="AG201" s="313"/>
      <c r="AH201" s="313"/>
      <c r="AI201" s="214">
        <f t="shared" si="38"/>
        <v>0</v>
      </c>
      <c r="AJ201" s="313"/>
      <c r="AK201" s="313"/>
      <c r="AL201" s="214">
        <f t="shared" si="58"/>
        <v>100</v>
      </c>
      <c r="AM201" s="214"/>
      <c r="AN201" s="214">
        <f t="shared" si="52"/>
        <v>100</v>
      </c>
      <c r="AO201" s="329"/>
    </row>
    <row r="202" spans="1:41" ht="20.25" customHeight="1" x14ac:dyDescent="0.25">
      <c r="A202" s="329"/>
      <c r="B202" s="329" t="s">
        <v>803</v>
      </c>
      <c r="C202" s="214">
        <f t="shared" si="49"/>
        <v>11</v>
      </c>
      <c r="D202" s="313"/>
      <c r="E202" s="313">
        <v>11</v>
      </c>
      <c r="F202" s="313"/>
      <c r="G202" s="214">
        <f t="shared" si="40"/>
        <v>11</v>
      </c>
      <c r="H202" s="214">
        <f t="shared" si="41"/>
        <v>0</v>
      </c>
      <c r="I202" s="214">
        <f t="shared" si="48"/>
        <v>11</v>
      </c>
      <c r="J202" s="214">
        <f t="shared" si="42"/>
        <v>0</v>
      </c>
      <c r="K202" s="214">
        <f t="shared" si="43"/>
        <v>0</v>
      </c>
      <c r="L202" s="313"/>
      <c r="M202" s="313"/>
      <c r="N202" s="313"/>
      <c r="O202" s="363"/>
      <c r="P202" s="313"/>
      <c r="Q202" s="239">
        <f t="shared" si="44"/>
        <v>11</v>
      </c>
      <c r="R202" s="214">
        <f t="shared" si="45"/>
        <v>0</v>
      </c>
      <c r="S202" s="313"/>
      <c r="T202" s="313"/>
      <c r="U202" s="239">
        <f t="shared" si="46"/>
        <v>11</v>
      </c>
      <c r="V202" s="313">
        <v>11</v>
      </c>
      <c r="W202" s="313"/>
      <c r="X202" s="313"/>
      <c r="Y202" s="313"/>
      <c r="Z202" s="313"/>
      <c r="AA202" s="313"/>
      <c r="AB202" s="214">
        <f t="shared" si="47"/>
        <v>0</v>
      </c>
      <c r="AC202" s="313"/>
      <c r="AD202" s="313"/>
      <c r="AE202" s="313"/>
      <c r="AF202" s="214">
        <f t="shared" si="37"/>
        <v>0</v>
      </c>
      <c r="AG202" s="313"/>
      <c r="AH202" s="313"/>
      <c r="AI202" s="214">
        <f t="shared" si="38"/>
        <v>0</v>
      </c>
      <c r="AJ202" s="313"/>
      <c r="AK202" s="313"/>
      <c r="AL202" s="214">
        <f t="shared" si="58"/>
        <v>100</v>
      </c>
      <c r="AM202" s="214"/>
      <c r="AN202" s="214">
        <f t="shared" si="52"/>
        <v>100</v>
      </c>
      <c r="AO202" s="329"/>
    </row>
    <row r="203" spans="1:41" ht="20.25" customHeight="1" x14ac:dyDescent="0.25">
      <c r="A203" s="329"/>
      <c r="B203" s="329" t="s">
        <v>560</v>
      </c>
      <c r="C203" s="214">
        <f t="shared" si="49"/>
        <v>63</v>
      </c>
      <c r="D203" s="313"/>
      <c r="E203" s="313">
        <v>63</v>
      </c>
      <c r="F203" s="313"/>
      <c r="G203" s="214">
        <f t="shared" si="40"/>
        <v>59.995528999999998</v>
      </c>
      <c r="H203" s="214">
        <f t="shared" si="41"/>
        <v>0</v>
      </c>
      <c r="I203" s="214">
        <f t="shared" si="48"/>
        <v>59.995528999999998</v>
      </c>
      <c r="J203" s="214">
        <f t="shared" si="42"/>
        <v>0</v>
      </c>
      <c r="K203" s="214">
        <f t="shared" si="43"/>
        <v>0</v>
      </c>
      <c r="L203" s="313"/>
      <c r="M203" s="313"/>
      <c r="N203" s="313"/>
      <c r="O203" s="363"/>
      <c r="P203" s="313"/>
      <c r="Q203" s="239">
        <f t="shared" si="44"/>
        <v>59.995528999999998</v>
      </c>
      <c r="R203" s="214">
        <f t="shared" si="45"/>
        <v>0</v>
      </c>
      <c r="S203" s="313"/>
      <c r="T203" s="313"/>
      <c r="U203" s="239">
        <f t="shared" si="46"/>
        <v>59.995528999999998</v>
      </c>
      <c r="V203" s="313">
        <v>59.995528999999998</v>
      </c>
      <c r="W203" s="313"/>
      <c r="X203" s="313"/>
      <c r="Y203" s="313"/>
      <c r="Z203" s="313"/>
      <c r="AA203" s="313"/>
      <c r="AB203" s="214">
        <f t="shared" si="47"/>
        <v>0</v>
      </c>
      <c r="AC203" s="313"/>
      <c r="AD203" s="313"/>
      <c r="AE203" s="313"/>
      <c r="AF203" s="214">
        <f t="shared" si="37"/>
        <v>0</v>
      </c>
      <c r="AG203" s="313"/>
      <c r="AH203" s="313"/>
      <c r="AI203" s="214">
        <f t="shared" si="38"/>
        <v>0</v>
      </c>
      <c r="AJ203" s="313"/>
      <c r="AK203" s="313"/>
      <c r="AL203" s="214">
        <f t="shared" si="58"/>
        <v>95.230998412698412</v>
      </c>
      <c r="AM203" s="214"/>
      <c r="AN203" s="214">
        <f t="shared" si="52"/>
        <v>95.230998412698412</v>
      </c>
      <c r="AO203" s="329"/>
    </row>
    <row r="204" spans="1:41" s="325" customFormat="1" ht="40.5" customHeight="1" x14ac:dyDescent="0.25">
      <c r="A204" s="335"/>
      <c r="B204" s="321" t="s">
        <v>1107</v>
      </c>
      <c r="C204" s="322">
        <f t="shared" si="49"/>
        <v>43.393205000000002</v>
      </c>
      <c r="D204" s="323"/>
      <c r="E204" s="323">
        <v>43.393205000000002</v>
      </c>
      <c r="F204" s="323"/>
      <c r="G204" s="324">
        <f t="shared" si="40"/>
        <v>43.393205000000002</v>
      </c>
      <c r="H204" s="322"/>
      <c r="I204" s="322">
        <f t="shared" si="48"/>
        <v>43.393205000000002</v>
      </c>
      <c r="J204" s="322"/>
      <c r="K204" s="322"/>
      <c r="L204" s="323"/>
      <c r="M204" s="323"/>
      <c r="N204" s="323"/>
      <c r="O204" s="365"/>
      <c r="P204" s="323"/>
      <c r="Q204" s="324">
        <f t="shared" si="44"/>
        <v>43.393205000000002</v>
      </c>
      <c r="R204" s="322"/>
      <c r="S204" s="323"/>
      <c r="T204" s="323"/>
      <c r="U204" s="324">
        <f t="shared" si="46"/>
        <v>43.393205000000002</v>
      </c>
      <c r="V204" s="323">
        <v>43.393205000000002</v>
      </c>
      <c r="W204" s="323"/>
      <c r="X204" s="323"/>
      <c r="Y204" s="323"/>
      <c r="Z204" s="323"/>
      <c r="AA204" s="323"/>
      <c r="AB204" s="322"/>
      <c r="AC204" s="323"/>
      <c r="AD204" s="323"/>
      <c r="AE204" s="323"/>
      <c r="AF204" s="322"/>
      <c r="AG204" s="323"/>
      <c r="AH204" s="323"/>
      <c r="AI204" s="322"/>
      <c r="AJ204" s="323"/>
      <c r="AK204" s="323"/>
      <c r="AL204" s="322">
        <f t="shared" si="58"/>
        <v>100</v>
      </c>
      <c r="AM204" s="322"/>
      <c r="AN204" s="322">
        <f t="shared" si="52"/>
        <v>100</v>
      </c>
      <c r="AO204" s="335"/>
    </row>
    <row r="205" spans="1:41" s="297" customFormat="1" ht="20.25" customHeight="1" x14ac:dyDescent="0.25">
      <c r="A205" s="332"/>
      <c r="B205" s="332" t="s">
        <v>805</v>
      </c>
      <c r="C205" s="308">
        <f>D205+E205</f>
        <v>2807</v>
      </c>
      <c r="D205" s="333"/>
      <c r="E205" s="333">
        <f>SUM(E206:E221)</f>
        <v>2807</v>
      </c>
      <c r="F205" s="333">
        <f t="shared" ref="F205:AD205" si="59">SUM(F206:F221)</f>
        <v>0</v>
      </c>
      <c r="G205" s="334">
        <f t="shared" si="40"/>
        <v>2584.8908039999997</v>
      </c>
      <c r="H205" s="308">
        <f t="shared" si="41"/>
        <v>0</v>
      </c>
      <c r="I205" s="308">
        <f t="shared" si="48"/>
        <v>2584.8908039999997</v>
      </c>
      <c r="J205" s="308">
        <f t="shared" si="42"/>
        <v>0</v>
      </c>
      <c r="K205" s="308">
        <f t="shared" si="43"/>
        <v>0</v>
      </c>
      <c r="L205" s="333">
        <f t="shared" si="59"/>
        <v>0</v>
      </c>
      <c r="M205" s="333">
        <f t="shared" si="59"/>
        <v>0</v>
      </c>
      <c r="N205" s="333">
        <f t="shared" si="59"/>
        <v>0</v>
      </c>
      <c r="O205" s="364">
        <f t="shared" si="59"/>
        <v>0</v>
      </c>
      <c r="P205" s="333">
        <f t="shared" si="59"/>
        <v>0</v>
      </c>
      <c r="Q205" s="240">
        <f t="shared" si="44"/>
        <v>2584.8908039999997</v>
      </c>
      <c r="R205" s="308">
        <f t="shared" si="45"/>
        <v>0</v>
      </c>
      <c r="S205" s="333">
        <f t="shared" si="59"/>
        <v>0</v>
      </c>
      <c r="T205" s="333">
        <f t="shared" si="59"/>
        <v>0</v>
      </c>
      <c r="U205" s="240">
        <f t="shared" si="46"/>
        <v>2584.8908039999997</v>
      </c>
      <c r="V205" s="376">
        <f t="shared" si="59"/>
        <v>2584.8908039999997</v>
      </c>
      <c r="W205" s="333">
        <f t="shared" si="59"/>
        <v>0</v>
      </c>
      <c r="X205" s="333">
        <f t="shared" si="59"/>
        <v>0</v>
      </c>
      <c r="Y205" s="333">
        <f t="shared" si="59"/>
        <v>0</v>
      </c>
      <c r="Z205" s="333">
        <f t="shared" si="59"/>
        <v>0</v>
      </c>
      <c r="AA205" s="333">
        <f t="shared" si="59"/>
        <v>0</v>
      </c>
      <c r="AB205" s="308">
        <f t="shared" si="47"/>
        <v>0</v>
      </c>
      <c r="AC205" s="333">
        <f t="shared" si="59"/>
        <v>0</v>
      </c>
      <c r="AD205" s="333">
        <f t="shared" si="59"/>
        <v>0</v>
      </c>
      <c r="AE205" s="333"/>
      <c r="AF205" s="308">
        <f t="shared" ref="AF205:AF227" si="60">AG205</f>
        <v>0</v>
      </c>
      <c r="AG205" s="333"/>
      <c r="AH205" s="333"/>
      <c r="AI205" s="308">
        <f t="shared" ref="AI205:AI230" si="61">AJ205</f>
        <v>0</v>
      </c>
      <c r="AJ205" s="333"/>
      <c r="AK205" s="333"/>
      <c r="AL205" s="308">
        <f t="shared" si="58"/>
        <v>92.087310438190229</v>
      </c>
      <c r="AM205" s="308"/>
      <c r="AN205" s="308">
        <f t="shared" si="52"/>
        <v>92.087310438190229</v>
      </c>
      <c r="AO205" s="332"/>
    </row>
    <row r="206" spans="1:41" ht="24.75" customHeight="1" x14ac:dyDescent="0.25">
      <c r="A206" s="329"/>
      <c r="B206" s="329" t="s">
        <v>344</v>
      </c>
      <c r="C206" s="214">
        <f t="shared" si="49"/>
        <v>132</v>
      </c>
      <c r="D206" s="313"/>
      <c r="E206" s="313">
        <v>132</v>
      </c>
      <c r="F206" s="313"/>
      <c r="G206" s="214">
        <f t="shared" ref="G206:G231" si="62">H206+I206</f>
        <v>106</v>
      </c>
      <c r="H206" s="214">
        <f t="shared" ref="H206:H231" si="63">K206+R206+Y206+AF206</f>
        <v>0</v>
      </c>
      <c r="I206" s="214">
        <f t="shared" si="48"/>
        <v>106</v>
      </c>
      <c r="J206" s="214">
        <f t="shared" ref="J206:J227" si="64">K206+N206</f>
        <v>0</v>
      </c>
      <c r="K206" s="214">
        <f t="shared" ref="K206:K227" si="65">L206</f>
        <v>0</v>
      </c>
      <c r="L206" s="313"/>
      <c r="M206" s="313"/>
      <c r="N206" s="313"/>
      <c r="O206" s="363"/>
      <c r="P206" s="313"/>
      <c r="Q206" s="239">
        <f t="shared" ref="Q206:Q227" si="66">R206+U206</f>
        <v>106</v>
      </c>
      <c r="R206" s="214">
        <f t="shared" ref="R206:R227" si="67">S206+T206</f>
        <v>0</v>
      </c>
      <c r="S206" s="313"/>
      <c r="T206" s="313"/>
      <c r="U206" s="239">
        <f t="shared" ref="U206:U227" si="68">V206+W206</f>
        <v>106</v>
      </c>
      <c r="V206" s="313">
        <v>106</v>
      </c>
      <c r="W206" s="313"/>
      <c r="X206" s="313"/>
      <c r="Y206" s="313"/>
      <c r="Z206" s="313"/>
      <c r="AA206" s="313"/>
      <c r="AB206" s="214">
        <f t="shared" ref="AB206:AB227" si="69">AC206+AD206</f>
        <v>0</v>
      </c>
      <c r="AC206" s="313"/>
      <c r="AD206" s="313"/>
      <c r="AE206" s="313"/>
      <c r="AF206" s="214">
        <f t="shared" si="60"/>
        <v>0</v>
      </c>
      <c r="AG206" s="313"/>
      <c r="AH206" s="313"/>
      <c r="AI206" s="214">
        <f t="shared" si="61"/>
        <v>0</v>
      </c>
      <c r="AJ206" s="313"/>
      <c r="AK206" s="313"/>
      <c r="AL206" s="214">
        <f t="shared" si="58"/>
        <v>80.303030303030297</v>
      </c>
      <c r="AM206" s="214"/>
      <c r="AN206" s="214">
        <f t="shared" si="52"/>
        <v>80.303030303030297</v>
      </c>
      <c r="AO206" s="329"/>
    </row>
    <row r="207" spans="1:41" ht="24.75" customHeight="1" x14ac:dyDescent="0.25">
      <c r="A207" s="329"/>
      <c r="B207" s="329" t="s">
        <v>347</v>
      </c>
      <c r="C207" s="214">
        <f t="shared" si="49"/>
        <v>185</v>
      </c>
      <c r="D207" s="313"/>
      <c r="E207" s="313">
        <v>185</v>
      </c>
      <c r="F207" s="313"/>
      <c r="G207" s="214">
        <f t="shared" si="62"/>
        <v>184.72</v>
      </c>
      <c r="H207" s="214">
        <f t="shared" si="63"/>
        <v>0</v>
      </c>
      <c r="I207" s="214">
        <f t="shared" ref="I207:I226" si="70">N207+U207+AB207+AI207</f>
        <v>184.72</v>
      </c>
      <c r="J207" s="214">
        <f t="shared" si="64"/>
        <v>0</v>
      </c>
      <c r="K207" s="214">
        <f t="shared" si="65"/>
        <v>0</v>
      </c>
      <c r="L207" s="313"/>
      <c r="M207" s="313"/>
      <c r="N207" s="313"/>
      <c r="O207" s="363"/>
      <c r="P207" s="313"/>
      <c r="Q207" s="239">
        <f t="shared" si="66"/>
        <v>184.72</v>
      </c>
      <c r="R207" s="214">
        <f t="shared" si="67"/>
        <v>0</v>
      </c>
      <c r="S207" s="313"/>
      <c r="T207" s="313"/>
      <c r="U207" s="239">
        <f t="shared" si="68"/>
        <v>184.72</v>
      </c>
      <c r="V207" s="313">
        <v>184.72</v>
      </c>
      <c r="W207" s="313"/>
      <c r="X207" s="313"/>
      <c r="Y207" s="313"/>
      <c r="Z207" s="313"/>
      <c r="AA207" s="313"/>
      <c r="AB207" s="214">
        <f t="shared" si="69"/>
        <v>0</v>
      </c>
      <c r="AC207" s="313"/>
      <c r="AD207" s="313"/>
      <c r="AE207" s="313"/>
      <c r="AF207" s="214">
        <f t="shared" si="60"/>
        <v>0</v>
      </c>
      <c r="AG207" s="313"/>
      <c r="AH207" s="313"/>
      <c r="AI207" s="214">
        <f t="shared" si="61"/>
        <v>0</v>
      </c>
      <c r="AJ207" s="313"/>
      <c r="AK207" s="313"/>
      <c r="AL207" s="214">
        <f t="shared" si="58"/>
        <v>99.848648648648648</v>
      </c>
      <c r="AM207" s="214"/>
      <c r="AN207" s="214">
        <f t="shared" si="52"/>
        <v>99.848648648648648</v>
      </c>
      <c r="AO207" s="329"/>
    </row>
    <row r="208" spans="1:41" ht="24.75" customHeight="1" x14ac:dyDescent="0.25">
      <c r="A208" s="329"/>
      <c r="B208" s="329" t="s">
        <v>348</v>
      </c>
      <c r="C208" s="214">
        <f t="shared" si="49"/>
        <v>206</v>
      </c>
      <c r="D208" s="313"/>
      <c r="E208" s="313">
        <v>206</v>
      </c>
      <c r="F208" s="313"/>
      <c r="G208" s="214">
        <f t="shared" si="62"/>
        <v>206</v>
      </c>
      <c r="H208" s="214">
        <f t="shared" si="63"/>
        <v>0</v>
      </c>
      <c r="I208" s="214">
        <f t="shared" si="70"/>
        <v>206</v>
      </c>
      <c r="J208" s="214">
        <f t="shared" si="64"/>
        <v>0</v>
      </c>
      <c r="K208" s="214">
        <f t="shared" si="65"/>
        <v>0</v>
      </c>
      <c r="L208" s="313"/>
      <c r="M208" s="313"/>
      <c r="N208" s="313"/>
      <c r="O208" s="363"/>
      <c r="P208" s="313"/>
      <c r="Q208" s="239">
        <f t="shared" si="66"/>
        <v>206</v>
      </c>
      <c r="R208" s="214">
        <f t="shared" si="67"/>
        <v>0</v>
      </c>
      <c r="S208" s="313"/>
      <c r="T208" s="313"/>
      <c r="U208" s="239">
        <f t="shared" si="68"/>
        <v>206</v>
      </c>
      <c r="V208" s="313">
        <v>206</v>
      </c>
      <c r="W208" s="313"/>
      <c r="X208" s="313"/>
      <c r="Y208" s="313"/>
      <c r="Z208" s="313"/>
      <c r="AA208" s="313"/>
      <c r="AB208" s="214">
        <f t="shared" si="69"/>
        <v>0</v>
      </c>
      <c r="AC208" s="313"/>
      <c r="AD208" s="313"/>
      <c r="AE208" s="313"/>
      <c r="AF208" s="214">
        <f t="shared" si="60"/>
        <v>0</v>
      </c>
      <c r="AG208" s="313"/>
      <c r="AH208" s="313"/>
      <c r="AI208" s="214">
        <f t="shared" si="61"/>
        <v>0</v>
      </c>
      <c r="AJ208" s="313"/>
      <c r="AK208" s="313"/>
      <c r="AL208" s="214">
        <f t="shared" si="58"/>
        <v>100</v>
      </c>
      <c r="AM208" s="214"/>
      <c r="AN208" s="214">
        <f t="shared" si="52"/>
        <v>100</v>
      </c>
      <c r="AO208" s="329"/>
    </row>
    <row r="209" spans="1:41" ht="24.75" customHeight="1" x14ac:dyDescent="0.25">
      <c r="A209" s="329"/>
      <c r="B209" s="329" t="s">
        <v>349</v>
      </c>
      <c r="C209" s="214">
        <f t="shared" si="49"/>
        <v>137</v>
      </c>
      <c r="D209" s="313"/>
      <c r="E209" s="313">
        <v>137</v>
      </c>
      <c r="F209" s="313"/>
      <c r="G209" s="214">
        <f t="shared" si="62"/>
        <v>132</v>
      </c>
      <c r="H209" s="214">
        <f t="shared" si="63"/>
        <v>0</v>
      </c>
      <c r="I209" s="214">
        <f t="shared" si="70"/>
        <v>132</v>
      </c>
      <c r="J209" s="214">
        <f t="shared" si="64"/>
        <v>0</v>
      </c>
      <c r="K209" s="214">
        <f t="shared" si="65"/>
        <v>0</v>
      </c>
      <c r="L209" s="313"/>
      <c r="M209" s="313"/>
      <c r="N209" s="313"/>
      <c r="O209" s="363"/>
      <c r="P209" s="313"/>
      <c r="Q209" s="239">
        <f t="shared" si="66"/>
        <v>132</v>
      </c>
      <c r="R209" s="214">
        <f t="shared" si="67"/>
        <v>0</v>
      </c>
      <c r="S209" s="313"/>
      <c r="T209" s="313"/>
      <c r="U209" s="239">
        <f t="shared" si="68"/>
        <v>132</v>
      </c>
      <c r="V209" s="313">
        <v>132</v>
      </c>
      <c r="W209" s="313"/>
      <c r="X209" s="313"/>
      <c r="Y209" s="313"/>
      <c r="Z209" s="313"/>
      <c r="AA209" s="313"/>
      <c r="AB209" s="214">
        <f t="shared" si="69"/>
        <v>0</v>
      </c>
      <c r="AC209" s="313"/>
      <c r="AD209" s="313"/>
      <c r="AE209" s="313"/>
      <c r="AF209" s="214">
        <f t="shared" si="60"/>
        <v>0</v>
      </c>
      <c r="AG209" s="313"/>
      <c r="AH209" s="313"/>
      <c r="AI209" s="214">
        <f t="shared" si="61"/>
        <v>0</v>
      </c>
      <c r="AJ209" s="313"/>
      <c r="AK209" s="313"/>
      <c r="AL209" s="214">
        <f t="shared" si="58"/>
        <v>96.350364963503637</v>
      </c>
      <c r="AM209" s="214"/>
      <c r="AN209" s="214">
        <f t="shared" si="52"/>
        <v>96.350364963503637</v>
      </c>
      <c r="AO209" s="329"/>
    </row>
    <row r="210" spans="1:41" ht="24.75" customHeight="1" x14ac:dyDescent="0.25">
      <c r="A210" s="329"/>
      <c r="B210" s="329" t="s">
        <v>351</v>
      </c>
      <c r="C210" s="214">
        <f t="shared" si="49"/>
        <v>192</v>
      </c>
      <c r="D210" s="313"/>
      <c r="E210" s="313">
        <v>192</v>
      </c>
      <c r="F210" s="313"/>
      <c r="G210" s="214">
        <f t="shared" si="62"/>
        <v>192</v>
      </c>
      <c r="H210" s="214">
        <f t="shared" si="63"/>
        <v>0</v>
      </c>
      <c r="I210" s="214">
        <f t="shared" si="70"/>
        <v>192</v>
      </c>
      <c r="J210" s="214">
        <f t="shared" si="64"/>
        <v>0</v>
      </c>
      <c r="K210" s="214">
        <f t="shared" si="65"/>
        <v>0</v>
      </c>
      <c r="L210" s="313"/>
      <c r="M210" s="313"/>
      <c r="N210" s="313"/>
      <c r="O210" s="363"/>
      <c r="P210" s="313"/>
      <c r="Q210" s="239">
        <f t="shared" si="66"/>
        <v>192</v>
      </c>
      <c r="R210" s="214">
        <f t="shared" si="67"/>
        <v>0</v>
      </c>
      <c r="S210" s="313"/>
      <c r="T210" s="313"/>
      <c r="U210" s="239">
        <f t="shared" si="68"/>
        <v>192</v>
      </c>
      <c r="V210" s="313">
        <v>192</v>
      </c>
      <c r="W210" s="313"/>
      <c r="X210" s="313"/>
      <c r="Y210" s="313"/>
      <c r="Z210" s="313"/>
      <c r="AA210" s="313"/>
      <c r="AB210" s="214">
        <f t="shared" si="69"/>
        <v>0</v>
      </c>
      <c r="AC210" s="313"/>
      <c r="AD210" s="313"/>
      <c r="AE210" s="313"/>
      <c r="AF210" s="214">
        <f t="shared" si="60"/>
        <v>0</v>
      </c>
      <c r="AG210" s="313"/>
      <c r="AH210" s="313"/>
      <c r="AI210" s="214">
        <f t="shared" si="61"/>
        <v>0</v>
      </c>
      <c r="AJ210" s="313"/>
      <c r="AK210" s="313"/>
      <c r="AL210" s="214">
        <f t="shared" si="58"/>
        <v>100</v>
      </c>
      <c r="AM210" s="214"/>
      <c r="AN210" s="214">
        <f t="shared" si="52"/>
        <v>100</v>
      </c>
      <c r="AO210" s="329"/>
    </row>
    <row r="211" spans="1:41" ht="24.75" customHeight="1" x14ac:dyDescent="0.25">
      <c r="A211" s="329"/>
      <c r="B211" s="329" t="s">
        <v>352</v>
      </c>
      <c r="C211" s="214">
        <f t="shared" si="49"/>
        <v>190.2</v>
      </c>
      <c r="D211" s="313"/>
      <c r="E211" s="313">
        <v>190.2</v>
      </c>
      <c r="F211" s="313"/>
      <c r="G211" s="214">
        <f t="shared" si="62"/>
        <v>170.2</v>
      </c>
      <c r="H211" s="214">
        <f t="shared" si="63"/>
        <v>0</v>
      </c>
      <c r="I211" s="214">
        <f t="shared" si="70"/>
        <v>170.2</v>
      </c>
      <c r="J211" s="214">
        <f t="shared" si="64"/>
        <v>0</v>
      </c>
      <c r="K211" s="214">
        <f t="shared" si="65"/>
        <v>0</v>
      </c>
      <c r="L211" s="313"/>
      <c r="M211" s="313"/>
      <c r="N211" s="313"/>
      <c r="O211" s="363"/>
      <c r="P211" s="313"/>
      <c r="Q211" s="239">
        <f t="shared" si="66"/>
        <v>170.2</v>
      </c>
      <c r="R211" s="214">
        <f t="shared" si="67"/>
        <v>0</v>
      </c>
      <c r="S211" s="313"/>
      <c r="T211" s="313"/>
      <c r="U211" s="239">
        <f t="shared" si="68"/>
        <v>170.2</v>
      </c>
      <c r="V211" s="313">
        <v>170.2</v>
      </c>
      <c r="W211" s="313"/>
      <c r="X211" s="313"/>
      <c r="Y211" s="313"/>
      <c r="Z211" s="313"/>
      <c r="AA211" s="313"/>
      <c r="AB211" s="214">
        <f t="shared" si="69"/>
        <v>0</v>
      </c>
      <c r="AC211" s="313"/>
      <c r="AD211" s="313"/>
      <c r="AE211" s="313"/>
      <c r="AF211" s="214">
        <f t="shared" si="60"/>
        <v>0</v>
      </c>
      <c r="AG211" s="313"/>
      <c r="AH211" s="313"/>
      <c r="AI211" s="214">
        <f t="shared" si="61"/>
        <v>0</v>
      </c>
      <c r="AJ211" s="313"/>
      <c r="AK211" s="313"/>
      <c r="AL211" s="214">
        <f t="shared" si="58"/>
        <v>89.484752891692949</v>
      </c>
      <c r="AM211" s="214"/>
      <c r="AN211" s="214">
        <f t="shared" si="52"/>
        <v>89.484752891692949</v>
      </c>
      <c r="AO211" s="329"/>
    </row>
    <row r="212" spans="1:41" ht="24.75" customHeight="1" x14ac:dyDescent="0.25">
      <c r="A212" s="329"/>
      <c r="B212" s="329" t="s">
        <v>353</v>
      </c>
      <c r="C212" s="214">
        <f t="shared" si="49"/>
        <v>277</v>
      </c>
      <c r="D212" s="313"/>
      <c r="E212" s="313">
        <v>277</v>
      </c>
      <c r="F212" s="313"/>
      <c r="G212" s="214">
        <f t="shared" si="62"/>
        <v>246.99930000000001</v>
      </c>
      <c r="H212" s="214">
        <f t="shared" si="63"/>
        <v>0</v>
      </c>
      <c r="I212" s="214">
        <f t="shared" si="70"/>
        <v>246.99930000000001</v>
      </c>
      <c r="J212" s="214">
        <f t="shared" si="64"/>
        <v>0</v>
      </c>
      <c r="K212" s="214">
        <f t="shared" si="65"/>
        <v>0</v>
      </c>
      <c r="L212" s="313"/>
      <c r="M212" s="313"/>
      <c r="N212" s="313"/>
      <c r="O212" s="363"/>
      <c r="P212" s="313"/>
      <c r="Q212" s="239">
        <f t="shared" si="66"/>
        <v>246.99930000000001</v>
      </c>
      <c r="R212" s="214">
        <f t="shared" si="67"/>
        <v>0</v>
      </c>
      <c r="S212" s="313"/>
      <c r="T212" s="313"/>
      <c r="U212" s="239">
        <f t="shared" si="68"/>
        <v>246.99930000000001</v>
      </c>
      <c r="V212" s="313">
        <v>246.99930000000001</v>
      </c>
      <c r="W212" s="313"/>
      <c r="X212" s="313"/>
      <c r="Y212" s="313"/>
      <c r="Z212" s="313"/>
      <c r="AA212" s="313"/>
      <c r="AB212" s="214">
        <f t="shared" si="69"/>
        <v>0</v>
      </c>
      <c r="AC212" s="313"/>
      <c r="AD212" s="313"/>
      <c r="AE212" s="313"/>
      <c r="AF212" s="214">
        <f t="shared" si="60"/>
        <v>0</v>
      </c>
      <c r="AG212" s="313"/>
      <c r="AH212" s="313"/>
      <c r="AI212" s="214">
        <f t="shared" si="61"/>
        <v>0</v>
      </c>
      <c r="AJ212" s="313"/>
      <c r="AK212" s="313"/>
      <c r="AL212" s="214">
        <f t="shared" si="58"/>
        <v>89.169422382671485</v>
      </c>
      <c r="AM212" s="214"/>
      <c r="AN212" s="214">
        <f t="shared" si="52"/>
        <v>89.169422382671485</v>
      </c>
      <c r="AO212" s="329"/>
    </row>
    <row r="213" spans="1:41" ht="24.75" customHeight="1" x14ac:dyDescent="0.25">
      <c r="A213" s="329"/>
      <c r="B213" s="329" t="s">
        <v>354</v>
      </c>
      <c r="C213" s="214">
        <f t="shared" si="49"/>
        <v>192</v>
      </c>
      <c r="D213" s="313"/>
      <c r="E213" s="313">
        <v>192</v>
      </c>
      <c r="F213" s="313"/>
      <c r="G213" s="214">
        <f t="shared" si="62"/>
        <v>155.79900000000001</v>
      </c>
      <c r="H213" s="214">
        <f t="shared" si="63"/>
        <v>0</v>
      </c>
      <c r="I213" s="214">
        <f t="shared" si="70"/>
        <v>155.79900000000001</v>
      </c>
      <c r="J213" s="214">
        <f t="shared" si="64"/>
        <v>0</v>
      </c>
      <c r="K213" s="214">
        <f t="shared" si="65"/>
        <v>0</v>
      </c>
      <c r="L213" s="313"/>
      <c r="M213" s="313"/>
      <c r="N213" s="313"/>
      <c r="O213" s="363"/>
      <c r="P213" s="313"/>
      <c r="Q213" s="239">
        <f t="shared" si="66"/>
        <v>155.79900000000001</v>
      </c>
      <c r="R213" s="214">
        <f t="shared" si="67"/>
        <v>0</v>
      </c>
      <c r="S213" s="313"/>
      <c r="T213" s="313"/>
      <c r="U213" s="239">
        <f t="shared" si="68"/>
        <v>155.79900000000001</v>
      </c>
      <c r="V213" s="313">
        <v>155.79900000000001</v>
      </c>
      <c r="W213" s="313"/>
      <c r="X213" s="313"/>
      <c r="Y213" s="313"/>
      <c r="Z213" s="313"/>
      <c r="AA213" s="313"/>
      <c r="AB213" s="214">
        <f t="shared" si="69"/>
        <v>0</v>
      </c>
      <c r="AC213" s="313"/>
      <c r="AD213" s="313"/>
      <c r="AE213" s="313"/>
      <c r="AF213" s="214">
        <f t="shared" si="60"/>
        <v>0</v>
      </c>
      <c r="AG213" s="313"/>
      <c r="AH213" s="313"/>
      <c r="AI213" s="214">
        <f t="shared" si="61"/>
        <v>0</v>
      </c>
      <c r="AJ213" s="313"/>
      <c r="AK213" s="313"/>
      <c r="AL213" s="214">
        <f t="shared" si="58"/>
        <v>81.145312500000003</v>
      </c>
      <c r="AM213" s="214"/>
      <c r="AN213" s="214">
        <f t="shared" si="52"/>
        <v>81.145312500000003</v>
      </c>
      <c r="AO213" s="329"/>
    </row>
    <row r="214" spans="1:41" ht="24.75" customHeight="1" x14ac:dyDescent="0.25">
      <c r="A214" s="329"/>
      <c r="B214" s="329" t="s">
        <v>802</v>
      </c>
      <c r="C214" s="214">
        <f t="shared" si="49"/>
        <v>10.8</v>
      </c>
      <c r="D214" s="313"/>
      <c r="E214" s="313">
        <v>10.8</v>
      </c>
      <c r="F214" s="313"/>
      <c r="G214" s="214">
        <f t="shared" si="62"/>
        <v>0</v>
      </c>
      <c r="H214" s="214">
        <f t="shared" si="63"/>
        <v>0</v>
      </c>
      <c r="I214" s="214">
        <f t="shared" si="70"/>
        <v>0</v>
      </c>
      <c r="J214" s="214">
        <f t="shared" si="64"/>
        <v>0</v>
      </c>
      <c r="K214" s="214">
        <f t="shared" si="65"/>
        <v>0</v>
      </c>
      <c r="L214" s="313"/>
      <c r="M214" s="313"/>
      <c r="N214" s="313"/>
      <c r="O214" s="363"/>
      <c r="P214" s="313"/>
      <c r="Q214" s="239">
        <f t="shared" si="66"/>
        <v>0</v>
      </c>
      <c r="R214" s="214">
        <f t="shared" si="67"/>
        <v>0</v>
      </c>
      <c r="S214" s="313"/>
      <c r="T214" s="313"/>
      <c r="U214" s="239">
        <f t="shared" si="68"/>
        <v>0</v>
      </c>
      <c r="V214" s="313">
        <v>0</v>
      </c>
      <c r="W214" s="313"/>
      <c r="X214" s="313"/>
      <c r="Y214" s="313"/>
      <c r="Z214" s="313"/>
      <c r="AA214" s="313"/>
      <c r="AB214" s="214">
        <f t="shared" si="69"/>
        <v>0</v>
      </c>
      <c r="AC214" s="313"/>
      <c r="AD214" s="313"/>
      <c r="AE214" s="313"/>
      <c r="AF214" s="214">
        <f t="shared" si="60"/>
        <v>0</v>
      </c>
      <c r="AG214" s="313"/>
      <c r="AH214" s="313"/>
      <c r="AI214" s="214">
        <f t="shared" si="61"/>
        <v>0</v>
      </c>
      <c r="AJ214" s="313"/>
      <c r="AK214" s="313"/>
      <c r="AL214" s="214">
        <f t="shared" si="58"/>
        <v>0</v>
      </c>
      <c r="AM214" s="214"/>
      <c r="AN214" s="214">
        <f t="shared" si="52"/>
        <v>0</v>
      </c>
      <c r="AO214" s="329"/>
    </row>
    <row r="215" spans="1:41" ht="24.75" customHeight="1" x14ac:dyDescent="0.25">
      <c r="A215" s="329"/>
      <c r="B215" s="329" t="s">
        <v>356</v>
      </c>
      <c r="C215" s="214">
        <f t="shared" si="49"/>
        <v>221</v>
      </c>
      <c r="D215" s="313"/>
      <c r="E215" s="313">
        <f>199+22</f>
        <v>221</v>
      </c>
      <c r="F215" s="313"/>
      <c r="G215" s="214">
        <f t="shared" si="62"/>
        <v>194.68222</v>
      </c>
      <c r="H215" s="214">
        <f t="shared" si="63"/>
        <v>0</v>
      </c>
      <c r="I215" s="214">
        <f t="shared" si="70"/>
        <v>194.68222</v>
      </c>
      <c r="J215" s="214">
        <f t="shared" si="64"/>
        <v>0</v>
      </c>
      <c r="K215" s="214">
        <f t="shared" si="65"/>
        <v>0</v>
      </c>
      <c r="L215" s="313"/>
      <c r="M215" s="313"/>
      <c r="N215" s="313"/>
      <c r="O215" s="363"/>
      <c r="P215" s="313"/>
      <c r="Q215" s="239">
        <f t="shared" si="66"/>
        <v>194.68222</v>
      </c>
      <c r="R215" s="214">
        <f t="shared" si="67"/>
        <v>0</v>
      </c>
      <c r="S215" s="313"/>
      <c r="T215" s="313"/>
      <c r="U215" s="239">
        <f t="shared" si="68"/>
        <v>194.68222</v>
      </c>
      <c r="V215" s="313">
        <v>194.68222</v>
      </c>
      <c r="W215" s="313"/>
      <c r="X215" s="313"/>
      <c r="Y215" s="313"/>
      <c r="Z215" s="313"/>
      <c r="AA215" s="313"/>
      <c r="AB215" s="214">
        <f t="shared" si="69"/>
        <v>0</v>
      </c>
      <c r="AC215" s="313"/>
      <c r="AD215" s="313"/>
      <c r="AE215" s="313"/>
      <c r="AF215" s="214">
        <f t="shared" si="60"/>
        <v>0</v>
      </c>
      <c r="AG215" s="313"/>
      <c r="AH215" s="313"/>
      <c r="AI215" s="214">
        <f t="shared" si="61"/>
        <v>0</v>
      </c>
      <c r="AJ215" s="313"/>
      <c r="AK215" s="313"/>
      <c r="AL215" s="214">
        <f t="shared" si="58"/>
        <v>88.091502262443441</v>
      </c>
      <c r="AM215" s="214"/>
      <c r="AN215" s="214">
        <f t="shared" si="52"/>
        <v>88.091502262443441</v>
      </c>
      <c r="AO215" s="329"/>
    </row>
    <row r="216" spans="1:41" ht="24.75" customHeight="1" x14ac:dyDescent="0.25">
      <c r="A216" s="329"/>
      <c r="B216" s="329" t="s">
        <v>555</v>
      </c>
      <c r="C216" s="214">
        <f t="shared" si="49"/>
        <v>219</v>
      </c>
      <c r="D216" s="313"/>
      <c r="E216" s="313">
        <v>219</v>
      </c>
      <c r="F216" s="313"/>
      <c r="G216" s="214">
        <f t="shared" si="62"/>
        <v>219</v>
      </c>
      <c r="H216" s="214">
        <f t="shared" si="63"/>
        <v>0</v>
      </c>
      <c r="I216" s="214">
        <f t="shared" si="70"/>
        <v>219</v>
      </c>
      <c r="J216" s="214">
        <f t="shared" si="64"/>
        <v>0</v>
      </c>
      <c r="K216" s="214">
        <f t="shared" si="65"/>
        <v>0</v>
      </c>
      <c r="L216" s="313"/>
      <c r="M216" s="313"/>
      <c r="N216" s="313"/>
      <c r="O216" s="363"/>
      <c r="P216" s="313"/>
      <c r="Q216" s="239">
        <f t="shared" si="66"/>
        <v>219</v>
      </c>
      <c r="R216" s="214">
        <f t="shared" si="67"/>
        <v>0</v>
      </c>
      <c r="S216" s="313"/>
      <c r="T216" s="313"/>
      <c r="U216" s="239">
        <f t="shared" si="68"/>
        <v>219</v>
      </c>
      <c r="V216" s="313">
        <v>219</v>
      </c>
      <c r="W216" s="313"/>
      <c r="X216" s="313"/>
      <c r="Y216" s="313"/>
      <c r="Z216" s="313"/>
      <c r="AA216" s="313"/>
      <c r="AB216" s="214">
        <f t="shared" si="69"/>
        <v>0</v>
      </c>
      <c r="AC216" s="313"/>
      <c r="AD216" s="313"/>
      <c r="AE216" s="313"/>
      <c r="AF216" s="214">
        <f t="shared" si="60"/>
        <v>0</v>
      </c>
      <c r="AG216" s="313"/>
      <c r="AH216" s="313"/>
      <c r="AI216" s="214">
        <f t="shared" si="61"/>
        <v>0</v>
      </c>
      <c r="AJ216" s="313"/>
      <c r="AK216" s="313"/>
      <c r="AL216" s="214">
        <f t="shared" si="58"/>
        <v>100</v>
      </c>
      <c r="AM216" s="214"/>
      <c r="AN216" s="214">
        <f t="shared" si="52"/>
        <v>100</v>
      </c>
      <c r="AO216" s="329"/>
    </row>
    <row r="217" spans="1:41" ht="24.75" customHeight="1" x14ac:dyDescent="0.25">
      <c r="A217" s="329"/>
      <c r="B217" s="329" t="s">
        <v>556</v>
      </c>
      <c r="C217" s="214">
        <f t="shared" si="49"/>
        <v>144</v>
      </c>
      <c r="D217" s="313"/>
      <c r="E217" s="313">
        <v>144</v>
      </c>
      <c r="F217" s="313"/>
      <c r="G217" s="214">
        <f t="shared" si="62"/>
        <v>130.5</v>
      </c>
      <c r="H217" s="214">
        <f t="shared" si="63"/>
        <v>0</v>
      </c>
      <c r="I217" s="214">
        <f t="shared" si="70"/>
        <v>130.5</v>
      </c>
      <c r="J217" s="214">
        <f t="shared" si="64"/>
        <v>0</v>
      </c>
      <c r="K217" s="214">
        <f t="shared" si="65"/>
        <v>0</v>
      </c>
      <c r="L217" s="313"/>
      <c r="M217" s="313"/>
      <c r="N217" s="313"/>
      <c r="O217" s="363"/>
      <c r="P217" s="313"/>
      <c r="Q217" s="239">
        <f t="shared" si="66"/>
        <v>130.5</v>
      </c>
      <c r="R217" s="214">
        <f t="shared" si="67"/>
        <v>0</v>
      </c>
      <c r="S217" s="313"/>
      <c r="T217" s="313"/>
      <c r="U217" s="239">
        <f t="shared" si="68"/>
        <v>130.5</v>
      </c>
      <c r="V217" s="313">
        <v>130.5</v>
      </c>
      <c r="W217" s="313"/>
      <c r="X217" s="313"/>
      <c r="Y217" s="313"/>
      <c r="Z217" s="313"/>
      <c r="AA217" s="313"/>
      <c r="AB217" s="214">
        <f t="shared" si="69"/>
        <v>0</v>
      </c>
      <c r="AC217" s="313"/>
      <c r="AD217" s="313"/>
      <c r="AE217" s="313"/>
      <c r="AF217" s="214">
        <f t="shared" si="60"/>
        <v>0</v>
      </c>
      <c r="AG217" s="313"/>
      <c r="AH217" s="313"/>
      <c r="AI217" s="214">
        <f t="shared" si="61"/>
        <v>0</v>
      </c>
      <c r="AJ217" s="313"/>
      <c r="AK217" s="313"/>
      <c r="AL217" s="214">
        <f t="shared" si="58"/>
        <v>90.625</v>
      </c>
      <c r="AM217" s="214"/>
      <c r="AN217" s="214">
        <f t="shared" si="52"/>
        <v>90.625</v>
      </c>
      <c r="AO217" s="329"/>
    </row>
    <row r="218" spans="1:41" ht="24.75" customHeight="1" x14ac:dyDescent="0.25">
      <c r="A218" s="329"/>
      <c r="B218" s="329" t="s">
        <v>557</v>
      </c>
      <c r="C218" s="214">
        <f t="shared" si="49"/>
        <v>98</v>
      </c>
      <c r="D218" s="313"/>
      <c r="E218" s="313">
        <v>98</v>
      </c>
      <c r="F218" s="313"/>
      <c r="G218" s="214">
        <f t="shared" si="62"/>
        <v>97.990284000000003</v>
      </c>
      <c r="H218" s="214">
        <f t="shared" si="63"/>
        <v>0</v>
      </c>
      <c r="I218" s="214">
        <f t="shared" si="70"/>
        <v>97.990284000000003</v>
      </c>
      <c r="J218" s="214">
        <f t="shared" si="64"/>
        <v>0</v>
      </c>
      <c r="K218" s="214">
        <f t="shared" si="65"/>
        <v>0</v>
      </c>
      <c r="L218" s="313"/>
      <c r="M218" s="313"/>
      <c r="N218" s="313"/>
      <c r="O218" s="363"/>
      <c r="P218" s="313"/>
      <c r="Q218" s="239">
        <f t="shared" si="66"/>
        <v>97.990284000000003</v>
      </c>
      <c r="R218" s="214">
        <f t="shared" si="67"/>
        <v>0</v>
      </c>
      <c r="S218" s="313"/>
      <c r="T218" s="313"/>
      <c r="U218" s="239">
        <f t="shared" si="68"/>
        <v>97.990284000000003</v>
      </c>
      <c r="V218" s="313">
        <v>97.990284000000003</v>
      </c>
      <c r="W218" s="313"/>
      <c r="X218" s="313"/>
      <c r="Y218" s="313"/>
      <c r="Z218" s="313"/>
      <c r="AA218" s="313"/>
      <c r="AB218" s="214">
        <f t="shared" si="69"/>
        <v>0</v>
      </c>
      <c r="AC218" s="313"/>
      <c r="AD218" s="313"/>
      <c r="AE218" s="313"/>
      <c r="AF218" s="214">
        <f t="shared" si="60"/>
        <v>0</v>
      </c>
      <c r="AG218" s="313"/>
      <c r="AH218" s="313"/>
      <c r="AI218" s="214">
        <f t="shared" si="61"/>
        <v>0</v>
      </c>
      <c r="AJ218" s="313"/>
      <c r="AK218" s="313"/>
      <c r="AL218" s="214">
        <f t="shared" si="58"/>
        <v>99.990085714285712</v>
      </c>
      <c r="AM218" s="214"/>
      <c r="AN218" s="214">
        <f t="shared" si="52"/>
        <v>99.990085714285712</v>
      </c>
      <c r="AO218" s="329"/>
    </row>
    <row r="219" spans="1:41" ht="24.75" customHeight="1" x14ac:dyDescent="0.25">
      <c r="A219" s="329"/>
      <c r="B219" s="329" t="s">
        <v>558</v>
      </c>
      <c r="C219" s="214">
        <f>D219+E219</f>
        <v>205</v>
      </c>
      <c r="D219" s="313"/>
      <c r="E219" s="313">
        <v>205</v>
      </c>
      <c r="F219" s="313"/>
      <c r="G219" s="214">
        <f t="shared" si="62"/>
        <v>194</v>
      </c>
      <c r="H219" s="214">
        <f t="shared" si="63"/>
        <v>0</v>
      </c>
      <c r="I219" s="214">
        <f t="shared" si="70"/>
        <v>194</v>
      </c>
      <c r="J219" s="214">
        <f t="shared" si="64"/>
        <v>0</v>
      </c>
      <c r="K219" s="214">
        <f t="shared" si="65"/>
        <v>0</v>
      </c>
      <c r="L219" s="313"/>
      <c r="M219" s="313"/>
      <c r="N219" s="313"/>
      <c r="O219" s="363"/>
      <c r="P219" s="313"/>
      <c r="Q219" s="239">
        <f t="shared" si="66"/>
        <v>194</v>
      </c>
      <c r="R219" s="214">
        <f t="shared" si="67"/>
        <v>0</v>
      </c>
      <c r="S219" s="313"/>
      <c r="T219" s="313"/>
      <c r="U219" s="239">
        <f t="shared" si="68"/>
        <v>194</v>
      </c>
      <c r="V219" s="313">
        <v>194</v>
      </c>
      <c r="W219" s="313"/>
      <c r="X219" s="313"/>
      <c r="Y219" s="313"/>
      <c r="Z219" s="313"/>
      <c r="AA219" s="313"/>
      <c r="AB219" s="214">
        <f t="shared" si="69"/>
        <v>0</v>
      </c>
      <c r="AC219" s="313"/>
      <c r="AD219" s="313"/>
      <c r="AE219" s="313"/>
      <c r="AF219" s="214">
        <f t="shared" si="60"/>
        <v>0</v>
      </c>
      <c r="AG219" s="313"/>
      <c r="AH219" s="313"/>
      <c r="AI219" s="214">
        <f t="shared" si="61"/>
        <v>0</v>
      </c>
      <c r="AJ219" s="313"/>
      <c r="AK219" s="313"/>
      <c r="AL219" s="214">
        <f t="shared" si="58"/>
        <v>94.634146341463421</v>
      </c>
      <c r="AM219" s="214"/>
      <c r="AN219" s="214">
        <f t="shared" si="52"/>
        <v>94.634146341463421</v>
      </c>
      <c r="AO219" s="329"/>
    </row>
    <row r="220" spans="1:41" ht="24.75" customHeight="1" x14ac:dyDescent="0.25">
      <c r="A220" s="329"/>
      <c r="B220" s="329" t="s">
        <v>803</v>
      </c>
      <c r="C220" s="214">
        <f>D220+E220</f>
        <v>50</v>
      </c>
      <c r="D220" s="313"/>
      <c r="E220" s="313">
        <v>50</v>
      </c>
      <c r="F220" s="313"/>
      <c r="G220" s="214">
        <f t="shared" si="62"/>
        <v>45</v>
      </c>
      <c r="H220" s="214">
        <f t="shared" si="63"/>
        <v>0</v>
      </c>
      <c r="I220" s="214">
        <f t="shared" si="70"/>
        <v>45</v>
      </c>
      <c r="J220" s="214">
        <f t="shared" si="64"/>
        <v>0</v>
      </c>
      <c r="K220" s="214">
        <f t="shared" si="65"/>
        <v>0</v>
      </c>
      <c r="L220" s="313"/>
      <c r="M220" s="313"/>
      <c r="N220" s="313"/>
      <c r="O220" s="363"/>
      <c r="P220" s="313"/>
      <c r="Q220" s="239">
        <f t="shared" si="66"/>
        <v>45</v>
      </c>
      <c r="R220" s="214">
        <f t="shared" si="67"/>
        <v>0</v>
      </c>
      <c r="S220" s="313"/>
      <c r="T220" s="313"/>
      <c r="U220" s="239">
        <f t="shared" si="68"/>
        <v>45</v>
      </c>
      <c r="V220" s="313">
        <v>45</v>
      </c>
      <c r="W220" s="313"/>
      <c r="X220" s="313"/>
      <c r="Y220" s="313"/>
      <c r="Z220" s="313"/>
      <c r="AA220" s="313"/>
      <c r="AB220" s="214">
        <f t="shared" si="69"/>
        <v>0</v>
      </c>
      <c r="AC220" s="313"/>
      <c r="AD220" s="313"/>
      <c r="AE220" s="313"/>
      <c r="AF220" s="214">
        <f t="shared" si="60"/>
        <v>0</v>
      </c>
      <c r="AG220" s="313"/>
      <c r="AH220" s="313"/>
      <c r="AI220" s="214">
        <f t="shared" si="61"/>
        <v>0</v>
      </c>
      <c r="AJ220" s="313"/>
      <c r="AK220" s="313"/>
      <c r="AL220" s="214">
        <f t="shared" si="58"/>
        <v>90</v>
      </c>
      <c r="AM220" s="214"/>
      <c r="AN220" s="214">
        <f>I220/E220%</f>
        <v>90</v>
      </c>
      <c r="AO220" s="329"/>
    </row>
    <row r="221" spans="1:41" ht="24.75" customHeight="1" x14ac:dyDescent="0.25">
      <c r="A221" s="329"/>
      <c r="B221" s="329" t="s">
        <v>560</v>
      </c>
      <c r="C221" s="214">
        <f>D221+E221</f>
        <v>348</v>
      </c>
      <c r="D221" s="313"/>
      <c r="E221" s="313">
        <v>348</v>
      </c>
      <c r="F221" s="313"/>
      <c r="G221" s="214">
        <f t="shared" si="62"/>
        <v>310</v>
      </c>
      <c r="H221" s="214">
        <f t="shared" si="63"/>
        <v>0</v>
      </c>
      <c r="I221" s="214">
        <f t="shared" si="70"/>
        <v>310</v>
      </c>
      <c r="J221" s="214">
        <f t="shared" si="64"/>
        <v>0</v>
      </c>
      <c r="K221" s="214">
        <f t="shared" si="65"/>
        <v>0</v>
      </c>
      <c r="L221" s="313"/>
      <c r="M221" s="313"/>
      <c r="N221" s="313"/>
      <c r="O221" s="363"/>
      <c r="P221" s="313"/>
      <c r="Q221" s="239">
        <f t="shared" si="66"/>
        <v>310</v>
      </c>
      <c r="R221" s="214">
        <f t="shared" si="67"/>
        <v>0</v>
      </c>
      <c r="S221" s="313"/>
      <c r="T221" s="313"/>
      <c r="U221" s="239">
        <f t="shared" si="68"/>
        <v>310</v>
      </c>
      <c r="V221" s="313">
        <v>310</v>
      </c>
      <c r="W221" s="313"/>
      <c r="X221" s="313"/>
      <c r="Y221" s="313"/>
      <c r="Z221" s="313"/>
      <c r="AA221" s="313"/>
      <c r="AB221" s="214">
        <f t="shared" si="69"/>
        <v>0</v>
      </c>
      <c r="AC221" s="313"/>
      <c r="AD221" s="313"/>
      <c r="AE221" s="313"/>
      <c r="AF221" s="214">
        <f t="shared" si="60"/>
        <v>0</v>
      </c>
      <c r="AG221" s="313"/>
      <c r="AH221" s="313"/>
      <c r="AI221" s="214">
        <f t="shared" si="61"/>
        <v>0</v>
      </c>
      <c r="AJ221" s="313"/>
      <c r="AK221" s="313"/>
      <c r="AL221" s="214">
        <f t="shared" si="58"/>
        <v>89.080459770114942</v>
      </c>
      <c r="AM221" s="214"/>
      <c r="AN221" s="214">
        <f>I221/E221%</f>
        <v>89.080459770114942</v>
      </c>
      <c r="AO221" s="329"/>
    </row>
    <row r="222" spans="1:41" s="297" customFormat="1" ht="24.75" customHeight="1" x14ac:dyDescent="0.25">
      <c r="A222" s="332"/>
      <c r="B222" s="212" t="s">
        <v>1108</v>
      </c>
      <c r="C222" s="308">
        <f>C223+C228</f>
        <v>5151.7132169999995</v>
      </c>
      <c r="D222" s="308">
        <f t="shared" ref="D222:AK222" si="71">D223+D228</f>
        <v>4967.1461899999995</v>
      </c>
      <c r="E222" s="308">
        <f t="shared" si="71"/>
        <v>184.567027</v>
      </c>
      <c r="F222" s="308">
        <f t="shared" si="71"/>
        <v>0</v>
      </c>
      <c r="G222" s="308">
        <f t="shared" si="71"/>
        <v>4562.4086560000005</v>
      </c>
      <c r="H222" s="308">
        <f t="shared" si="71"/>
        <v>4380.5757190000004</v>
      </c>
      <c r="I222" s="308">
        <f t="shared" si="71"/>
        <v>181.83293700000002</v>
      </c>
      <c r="J222" s="308">
        <f t="shared" si="71"/>
        <v>0</v>
      </c>
      <c r="K222" s="308">
        <f t="shared" si="71"/>
        <v>0</v>
      </c>
      <c r="L222" s="308">
        <f t="shared" si="71"/>
        <v>0</v>
      </c>
      <c r="M222" s="308">
        <f t="shared" si="71"/>
        <v>0</v>
      </c>
      <c r="N222" s="308">
        <f t="shared" si="71"/>
        <v>0</v>
      </c>
      <c r="O222" s="311">
        <f t="shared" si="71"/>
        <v>0</v>
      </c>
      <c r="P222" s="308">
        <f t="shared" si="71"/>
        <v>0</v>
      </c>
      <c r="Q222" s="240">
        <f t="shared" si="71"/>
        <v>0</v>
      </c>
      <c r="R222" s="308">
        <f t="shared" si="71"/>
        <v>0</v>
      </c>
      <c r="S222" s="308">
        <f t="shared" si="71"/>
        <v>0</v>
      </c>
      <c r="T222" s="308">
        <f t="shared" si="71"/>
        <v>0</v>
      </c>
      <c r="U222" s="240">
        <f t="shared" si="71"/>
        <v>0</v>
      </c>
      <c r="V222" s="308">
        <f t="shared" si="71"/>
        <v>0</v>
      </c>
      <c r="W222" s="308">
        <f t="shared" si="71"/>
        <v>0</v>
      </c>
      <c r="X222" s="308">
        <f t="shared" si="71"/>
        <v>0</v>
      </c>
      <c r="Y222" s="308">
        <f t="shared" si="71"/>
        <v>0</v>
      </c>
      <c r="Z222" s="308">
        <f t="shared" si="71"/>
        <v>0</v>
      </c>
      <c r="AA222" s="308">
        <f t="shared" si="71"/>
        <v>0</v>
      </c>
      <c r="AB222" s="308">
        <f t="shared" si="71"/>
        <v>0</v>
      </c>
      <c r="AC222" s="308">
        <f t="shared" si="71"/>
        <v>0</v>
      </c>
      <c r="AD222" s="308">
        <f t="shared" si="71"/>
        <v>0</v>
      </c>
      <c r="AE222" s="308">
        <f t="shared" si="71"/>
        <v>4562.4086560000005</v>
      </c>
      <c r="AF222" s="308">
        <f t="shared" si="71"/>
        <v>4380.5757190000004</v>
      </c>
      <c r="AG222" s="308">
        <f t="shared" si="71"/>
        <v>0</v>
      </c>
      <c r="AH222" s="308">
        <f t="shared" si="71"/>
        <v>0</v>
      </c>
      <c r="AI222" s="308">
        <f t="shared" si="71"/>
        <v>181.83293700000002</v>
      </c>
      <c r="AJ222" s="308">
        <f t="shared" si="71"/>
        <v>181.83293700000002</v>
      </c>
      <c r="AK222" s="308">
        <f t="shared" si="71"/>
        <v>0</v>
      </c>
      <c r="AL222" s="241">
        <f>G222/C222%</f>
        <v>88.560998328568274</v>
      </c>
      <c r="AM222" s="308"/>
      <c r="AN222" s="308">
        <f>I222/E222%</f>
        <v>98.518646561934389</v>
      </c>
      <c r="AO222" s="332"/>
    </row>
    <row r="223" spans="1:41" s="297" customFormat="1" ht="24.75" customHeight="1" x14ac:dyDescent="0.25">
      <c r="A223" s="332"/>
      <c r="B223" s="212" t="s">
        <v>1109</v>
      </c>
      <c r="C223" s="308">
        <f>SUM(C224:C227)</f>
        <v>184.567027</v>
      </c>
      <c r="D223" s="308">
        <f t="shared" ref="D223:AK223" si="72">SUM(D224:D227)</f>
        <v>0</v>
      </c>
      <c r="E223" s="240">
        <f t="shared" si="72"/>
        <v>184.567027</v>
      </c>
      <c r="F223" s="308">
        <f t="shared" si="72"/>
        <v>0</v>
      </c>
      <c r="G223" s="240">
        <f t="shared" si="72"/>
        <v>181.83293700000002</v>
      </c>
      <c r="H223" s="308">
        <f t="shared" si="72"/>
        <v>0</v>
      </c>
      <c r="I223" s="310">
        <f t="shared" si="72"/>
        <v>181.83293700000002</v>
      </c>
      <c r="J223" s="308">
        <f t="shared" si="72"/>
        <v>0</v>
      </c>
      <c r="K223" s="308">
        <f t="shared" si="72"/>
        <v>0</v>
      </c>
      <c r="L223" s="308">
        <f t="shared" si="72"/>
        <v>0</v>
      </c>
      <c r="M223" s="308">
        <f t="shared" si="72"/>
        <v>0</v>
      </c>
      <c r="N223" s="308">
        <f t="shared" si="72"/>
        <v>0</v>
      </c>
      <c r="O223" s="311">
        <f t="shared" si="72"/>
        <v>0</v>
      </c>
      <c r="P223" s="308">
        <f t="shared" si="72"/>
        <v>0</v>
      </c>
      <c r="Q223" s="240">
        <f t="shared" si="72"/>
        <v>0</v>
      </c>
      <c r="R223" s="308">
        <f t="shared" si="72"/>
        <v>0</v>
      </c>
      <c r="S223" s="308">
        <f t="shared" si="72"/>
        <v>0</v>
      </c>
      <c r="T223" s="308">
        <f t="shared" si="72"/>
        <v>0</v>
      </c>
      <c r="U223" s="240">
        <f t="shared" si="72"/>
        <v>0</v>
      </c>
      <c r="V223" s="308">
        <f t="shared" si="72"/>
        <v>0</v>
      </c>
      <c r="W223" s="308">
        <f t="shared" si="72"/>
        <v>0</v>
      </c>
      <c r="X223" s="308">
        <f t="shared" si="72"/>
        <v>0</v>
      </c>
      <c r="Y223" s="308">
        <f t="shared" si="72"/>
        <v>0</v>
      </c>
      <c r="Z223" s="308">
        <f t="shared" si="72"/>
        <v>0</v>
      </c>
      <c r="AA223" s="308">
        <f t="shared" si="72"/>
        <v>0</v>
      </c>
      <c r="AB223" s="308">
        <f t="shared" si="72"/>
        <v>0</v>
      </c>
      <c r="AC223" s="308">
        <f t="shared" si="72"/>
        <v>0</v>
      </c>
      <c r="AD223" s="308">
        <f t="shared" si="72"/>
        <v>0</v>
      </c>
      <c r="AE223" s="308">
        <f t="shared" si="72"/>
        <v>181.83293700000002</v>
      </c>
      <c r="AF223" s="308">
        <f t="shared" si="72"/>
        <v>0</v>
      </c>
      <c r="AG223" s="308">
        <f t="shared" si="72"/>
        <v>0</v>
      </c>
      <c r="AH223" s="308">
        <f t="shared" si="72"/>
        <v>0</v>
      </c>
      <c r="AI223" s="308">
        <f t="shared" si="72"/>
        <v>181.83293700000002</v>
      </c>
      <c r="AJ223" s="308">
        <f t="shared" si="72"/>
        <v>181.83293700000002</v>
      </c>
      <c r="AK223" s="308">
        <f t="shared" si="72"/>
        <v>0</v>
      </c>
      <c r="AL223" s="241"/>
      <c r="AM223" s="308"/>
      <c r="AN223" s="308"/>
      <c r="AO223" s="336"/>
    </row>
    <row r="224" spans="1:41" s="295" customFormat="1" ht="24.75" customHeight="1" x14ac:dyDescent="0.25">
      <c r="A224" s="337"/>
      <c r="B224" s="337" t="s">
        <v>347</v>
      </c>
      <c r="C224" s="199">
        <f>D224+E224</f>
        <v>40</v>
      </c>
      <c r="D224" s="221"/>
      <c r="E224" s="221">
        <v>40</v>
      </c>
      <c r="F224" s="221"/>
      <c r="G224" s="338">
        <f t="shared" si="62"/>
        <v>40</v>
      </c>
      <c r="H224" s="199">
        <f t="shared" si="63"/>
        <v>0</v>
      </c>
      <c r="I224" s="338">
        <f t="shared" si="70"/>
        <v>40</v>
      </c>
      <c r="J224" s="199">
        <f t="shared" si="64"/>
        <v>0</v>
      </c>
      <c r="K224" s="199">
        <f t="shared" si="65"/>
        <v>0</v>
      </c>
      <c r="L224" s="221"/>
      <c r="M224" s="221"/>
      <c r="N224" s="221"/>
      <c r="O224" s="366"/>
      <c r="P224" s="221"/>
      <c r="Q224" s="380">
        <f t="shared" si="66"/>
        <v>0</v>
      </c>
      <c r="R224" s="199">
        <f t="shared" si="67"/>
        <v>0</v>
      </c>
      <c r="S224" s="221"/>
      <c r="T224" s="221"/>
      <c r="U224" s="380">
        <f t="shared" si="68"/>
        <v>0</v>
      </c>
      <c r="V224" s="221"/>
      <c r="W224" s="221"/>
      <c r="X224" s="221"/>
      <c r="Y224" s="221"/>
      <c r="Z224" s="221"/>
      <c r="AA224" s="221"/>
      <c r="AB224" s="199">
        <f t="shared" si="69"/>
        <v>0</v>
      </c>
      <c r="AC224" s="221"/>
      <c r="AD224" s="221"/>
      <c r="AE224" s="221">
        <f t="shared" ref="AE224:AE231" si="73">AF224+AI224</f>
        <v>40</v>
      </c>
      <c r="AF224" s="199">
        <f t="shared" si="60"/>
        <v>0</v>
      </c>
      <c r="AG224" s="221"/>
      <c r="AH224" s="221"/>
      <c r="AI224" s="199">
        <f t="shared" si="61"/>
        <v>40</v>
      </c>
      <c r="AJ224" s="221">
        <v>40</v>
      </c>
      <c r="AK224" s="221"/>
      <c r="AL224" s="199">
        <f t="shared" si="58"/>
        <v>100</v>
      </c>
      <c r="AM224" s="199"/>
      <c r="AN224" s="199">
        <f>I224/E224%</f>
        <v>100</v>
      </c>
      <c r="AO224" s="339"/>
    </row>
    <row r="225" spans="1:41" s="295" customFormat="1" ht="24.75" customHeight="1" x14ac:dyDescent="0.25">
      <c r="A225" s="337"/>
      <c r="B225" s="337" t="s">
        <v>348</v>
      </c>
      <c r="C225" s="199">
        <f>D225+E225</f>
        <v>50</v>
      </c>
      <c r="D225" s="221"/>
      <c r="E225" s="221">
        <v>50</v>
      </c>
      <c r="F225" s="221"/>
      <c r="G225" s="338">
        <f t="shared" si="62"/>
        <v>49.687837000000002</v>
      </c>
      <c r="H225" s="199">
        <f t="shared" si="63"/>
        <v>0</v>
      </c>
      <c r="I225" s="338">
        <f t="shared" si="70"/>
        <v>49.687837000000002</v>
      </c>
      <c r="J225" s="199">
        <f t="shared" si="64"/>
        <v>0</v>
      </c>
      <c r="K225" s="199">
        <f t="shared" si="65"/>
        <v>0</v>
      </c>
      <c r="L225" s="221"/>
      <c r="M225" s="221"/>
      <c r="N225" s="221"/>
      <c r="O225" s="366"/>
      <c r="P225" s="221"/>
      <c r="Q225" s="380">
        <f t="shared" si="66"/>
        <v>0</v>
      </c>
      <c r="R225" s="199">
        <f t="shared" si="67"/>
        <v>0</v>
      </c>
      <c r="S225" s="221"/>
      <c r="T225" s="221"/>
      <c r="U225" s="380">
        <f t="shared" si="68"/>
        <v>0</v>
      </c>
      <c r="V225" s="221"/>
      <c r="W225" s="221"/>
      <c r="X225" s="221"/>
      <c r="Y225" s="221"/>
      <c r="Z225" s="221"/>
      <c r="AA225" s="221"/>
      <c r="AB225" s="199">
        <f t="shared" si="69"/>
        <v>0</v>
      </c>
      <c r="AC225" s="221"/>
      <c r="AD225" s="221"/>
      <c r="AE225" s="221">
        <f t="shared" si="73"/>
        <v>49.687837000000002</v>
      </c>
      <c r="AF225" s="199">
        <f t="shared" si="60"/>
        <v>0</v>
      </c>
      <c r="AG225" s="221"/>
      <c r="AH225" s="221"/>
      <c r="AI225" s="199">
        <f t="shared" si="61"/>
        <v>49.687837000000002</v>
      </c>
      <c r="AJ225" s="221">
        <v>49.687837000000002</v>
      </c>
      <c r="AK225" s="221"/>
      <c r="AL225" s="199">
        <f t="shared" si="58"/>
        <v>99.375674000000004</v>
      </c>
      <c r="AM225" s="199"/>
      <c r="AN225" s="199">
        <f>I225/E225%</f>
        <v>99.375674000000004</v>
      </c>
      <c r="AO225" s="339"/>
    </row>
    <row r="226" spans="1:41" s="295" customFormat="1" ht="24.75" customHeight="1" x14ac:dyDescent="0.25">
      <c r="A226" s="337"/>
      <c r="B226" s="337" t="s">
        <v>558</v>
      </c>
      <c r="C226" s="199">
        <f>D226+E226</f>
        <v>64.567026999999996</v>
      </c>
      <c r="D226" s="221"/>
      <c r="E226" s="221">
        <v>64.567026999999996</v>
      </c>
      <c r="F226" s="221"/>
      <c r="G226" s="338">
        <f t="shared" si="62"/>
        <v>63.16825</v>
      </c>
      <c r="H226" s="199">
        <f t="shared" si="63"/>
        <v>0</v>
      </c>
      <c r="I226" s="338">
        <f t="shared" si="70"/>
        <v>63.16825</v>
      </c>
      <c r="J226" s="199">
        <f t="shared" si="64"/>
        <v>0</v>
      </c>
      <c r="K226" s="199">
        <f t="shared" si="65"/>
        <v>0</v>
      </c>
      <c r="L226" s="221"/>
      <c r="M226" s="221"/>
      <c r="N226" s="221"/>
      <c r="O226" s="366"/>
      <c r="P226" s="221"/>
      <c r="Q226" s="380">
        <f t="shared" si="66"/>
        <v>0</v>
      </c>
      <c r="R226" s="199">
        <f t="shared" si="67"/>
        <v>0</v>
      </c>
      <c r="S226" s="221"/>
      <c r="T226" s="221"/>
      <c r="U226" s="380">
        <f t="shared" si="68"/>
        <v>0</v>
      </c>
      <c r="V226" s="221"/>
      <c r="W226" s="221"/>
      <c r="X226" s="221"/>
      <c r="Y226" s="221"/>
      <c r="Z226" s="221"/>
      <c r="AA226" s="221"/>
      <c r="AB226" s="199">
        <f t="shared" si="69"/>
        <v>0</v>
      </c>
      <c r="AC226" s="221"/>
      <c r="AD226" s="221"/>
      <c r="AE226" s="221">
        <f t="shared" si="73"/>
        <v>63.16825</v>
      </c>
      <c r="AF226" s="199">
        <f t="shared" si="60"/>
        <v>0</v>
      </c>
      <c r="AG226" s="221"/>
      <c r="AH226" s="221"/>
      <c r="AI226" s="199">
        <f t="shared" si="61"/>
        <v>63.16825</v>
      </c>
      <c r="AJ226" s="221">
        <v>63.16825</v>
      </c>
      <c r="AK226" s="221"/>
      <c r="AL226" s="199">
        <f t="shared" si="58"/>
        <v>97.833604759283716</v>
      </c>
      <c r="AM226" s="199"/>
      <c r="AN226" s="199">
        <f>I226/E226%</f>
        <v>97.833604759283716</v>
      </c>
      <c r="AO226" s="339"/>
    </row>
    <row r="227" spans="1:41" s="295" customFormat="1" ht="24.75" customHeight="1" x14ac:dyDescent="0.25">
      <c r="A227" s="337"/>
      <c r="B227" s="337" t="s">
        <v>560</v>
      </c>
      <c r="C227" s="199">
        <f>D227+E227</f>
        <v>30</v>
      </c>
      <c r="D227" s="221"/>
      <c r="E227" s="221">
        <v>30</v>
      </c>
      <c r="F227" s="221"/>
      <c r="G227" s="338">
        <f t="shared" si="62"/>
        <v>28.976849999999999</v>
      </c>
      <c r="H227" s="199">
        <f t="shared" si="63"/>
        <v>0</v>
      </c>
      <c r="I227" s="338">
        <f>N227+U227+AB227+AI227</f>
        <v>28.976849999999999</v>
      </c>
      <c r="J227" s="199">
        <f t="shared" si="64"/>
        <v>0</v>
      </c>
      <c r="K227" s="199">
        <f t="shared" si="65"/>
        <v>0</v>
      </c>
      <c r="L227" s="221"/>
      <c r="M227" s="221"/>
      <c r="N227" s="221"/>
      <c r="O227" s="366"/>
      <c r="P227" s="221"/>
      <c r="Q227" s="380">
        <f t="shared" si="66"/>
        <v>0</v>
      </c>
      <c r="R227" s="199">
        <f t="shared" si="67"/>
        <v>0</v>
      </c>
      <c r="S227" s="221"/>
      <c r="T227" s="221"/>
      <c r="U227" s="380">
        <f t="shared" si="68"/>
        <v>0</v>
      </c>
      <c r="V227" s="221"/>
      <c r="W227" s="221"/>
      <c r="X227" s="221"/>
      <c r="Y227" s="221"/>
      <c r="Z227" s="221"/>
      <c r="AA227" s="221"/>
      <c r="AB227" s="199">
        <f t="shared" si="69"/>
        <v>0</v>
      </c>
      <c r="AC227" s="221"/>
      <c r="AD227" s="221"/>
      <c r="AE227" s="221">
        <f t="shared" si="73"/>
        <v>28.976849999999999</v>
      </c>
      <c r="AF227" s="199">
        <f t="shared" si="60"/>
        <v>0</v>
      </c>
      <c r="AG227" s="221"/>
      <c r="AH227" s="221"/>
      <c r="AI227" s="199">
        <f t="shared" si="61"/>
        <v>28.976849999999999</v>
      </c>
      <c r="AJ227" s="221">
        <v>28.976849999999999</v>
      </c>
      <c r="AK227" s="221"/>
      <c r="AL227" s="199">
        <f t="shared" si="58"/>
        <v>96.589500000000001</v>
      </c>
      <c r="AM227" s="199"/>
      <c r="AN227" s="199">
        <f>I227/E227%</f>
        <v>96.589500000000001</v>
      </c>
      <c r="AO227" s="339"/>
    </row>
    <row r="228" spans="1:41" s="325" customFormat="1" ht="24.75" customHeight="1" x14ac:dyDescent="0.25">
      <c r="A228" s="335"/>
      <c r="B228" s="321" t="s">
        <v>1110</v>
      </c>
      <c r="C228" s="322">
        <f>SUM(C229:C231)</f>
        <v>4967.1461899999995</v>
      </c>
      <c r="D228" s="322">
        <f t="shared" ref="D228:AK228" si="74">SUM(D229:D231)</f>
        <v>4967.1461899999995</v>
      </c>
      <c r="E228" s="322">
        <f t="shared" si="74"/>
        <v>0</v>
      </c>
      <c r="F228" s="322">
        <f t="shared" si="74"/>
        <v>0</v>
      </c>
      <c r="G228" s="322">
        <f t="shared" si="74"/>
        <v>4380.5757190000004</v>
      </c>
      <c r="H228" s="322">
        <f t="shared" si="74"/>
        <v>4380.5757190000004</v>
      </c>
      <c r="I228" s="322">
        <f t="shared" si="74"/>
        <v>0</v>
      </c>
      <c r="J228" s="322">
        <f t="shared" si="74"/>
        <v>0</v>
      </c>
      <c r="K228" s="322">
        <f t="shared" si="74"/>
        <v>0</v>
      </c>
      <c r="L228" s="322">
        <f t="shared" si="74"/>
        <v>0</v>
      </c>
      <c r="M228" s="322">
        <f t="shared" si="74"/>
        <v>0</v>
      </c>
      <c r="N228" s="322">
        <f t="shared" si="74"/>
        <v>0</v>
      </c>
      <c r="O228" s="362">
        <f t="shared" si="74"/>
        <v>0</v>
      </c>
      <c r="P228" s="322">
        <f t="shared" si="74"/>
        <v>0</v>
      </c>
      <c r="Q228" s="324">
        <f t="shared" si="74"/>
        <v>0</v>
      </c>
      <c r="R228" s="322">
        <f t="shared" si="74"/>
        <v>0</v>
      </c>
      <c r="S228" s="322">
        <f t="shared" si="74"/>
        <v>0</v>
      </c>
      <c r="T228" s="322">
        <f t="shared" si="74"/>
        <v>0</v>
      </c>
      <c r="U228" s="324">
        <f t="shared" si="74"/>
        <v>0</v>
      </c>
      <c r="V228" s="322">
        <f t="shared" si="74"/>
        <v>0</v>
      </c>
      <c r="W228" s="322">
        <f t="shared" si="74"/>
        <v>0</v>
      </c>
      <c r="X228" s="322">
        <f t="shared" si="74"/>
        <v>0</v>
      </c>
      <c r="Y228" s="322">
        <f t="shared" si="74"/>
        <v>0</v>
      </c>
      <c r="Z228" s="322">
        <f t="shared" si="74"/>
        <v>0</v>
      </c>
      <c r="AA228" s="322">
        <f t="shared" si="74"/>
        <v>0</v>
      </c>
      <c r="AB228" s="322">
        <f t="shared" si="74"/>
        <v>0</v>
      </c>
      <c r="AC228" s="322">
        <f t="shared" si="74"/>
        <v>0</v>
      </c>
      <c r="AD228" s="322">
        <f t="shared" si="74"/>
        <v>0</v>
      </c>
      <c r="AE228" s="322">
        <f t="shared" si="74"/>
        <v>4380.5757190000004</v>
      </c>
      <c r="AF228" s="322">
        <f t="shared" si="74"/>
        <v>4380.5757190000004</v>
      </c>
      <c r="AG228" s="322">
        <f t="shared" si="74"/>
        <v>0</v>
      </c>
      <c r="AH228" s="322">
        <f t="shared" si="74"/>
        <v>0</v>
      </c>
      <c r="AI228" s="322">
        <f t="shared" si="74"/>
        <v>0</v>
      </c>
      <c r="AJ228" s="322">
        <f t="shared" si="74"/>
        <v>0</v>
      </c>
      <c r="AK228" s="322">
        <f t="shared" si="74"/>
        <v>0</v>
      </c>
      <c r="AL228" s="322"/>
      <c r="AM228" s="322"/>
      <c r="AN228" s="322"/>
      <c r="AO228" s="340"/>
    </row>
    <row r="229" spans="1:41" s="295" customFormat="1" ht="51" customHeight="1" x14ac:dyDescent="0.25">
      <c r="A229" s="337"/>
      <c r="B229" s="198" t="s">
        <v>1111</v>
      </c>
      <c r="C229" s="199">
        <f>D229+E229</f>
        <v>1000</v>
      </c>
      <c r="D229" s="221">
        <v>1000</v>
      </c>
      <c r="E229" s="199"/>
      <c r="F229" s="221"/>
      <c r="G229" s="338">
        <f t="shared" si="62"/>
        <v>781.54</v>
      </c>
      <c r="H229" s="199">
        <f t="shared" si="63"/>
        <v>781.54</v>
      </c>
      <c r="I229" s="199">
        <f>N229+U229+AB229+AI229</f>
        <v>0</v>
      </c>
      <c r="J229" s="199"/>
      <c r="K229" s="199"/>
      <c r="L229" s="221"/>
      <c r="M229" s="221"/>
      <c r="N229" s="221"/>
      <c r="O229" s="366"/>
      <c r="P229" s="221"/>
      <c r="Q229" s="380"/>
      <c r="R229" s="199"/>
      <c r="S229" s="221"/>
      <c r="T229" s="221"/>
      <c r="U229" s="380"/>
      <c r="V229" s="221"/>
      <c r="W229" s="221"/>
      <c r="X229" s="221"/>
      <c r="Y229" s="221"/>
      <c r="Z229" s="221"/>
      <c r="AA229" s="221"/>
      <c r="AB229" s="199"/>
      <c r="AC229" s="221"/>
      <c r="AD229" s="221"/>
      <c r="AE229" s="221">
        <f t="shared" si="73"/>
        <v>781.54</v>
      </c>
      <c r="AF229" s="199">
        <v>781.54</v>
      </c>
      <c r="AG229" s="221"/>
      <c r="AH229" s="221"/>
      <c r="AI229" s="199">
        <f t="shared" si="61"/>
        <v>0</v>
      </c>
      <c r="AJ229" s="221"/>
      <c r="AK229" s="221"/>
      <c r="AL229" s="199">
        <f t="shared" si="58"/>
        <v>78.153999999999996</v>
      </c>
      <c r="AM229" s="199"/>
      <c r="AN229" s="199"/>
      <c r="AO229" s="341"/>
    </row>
    <row r="230" spans="1:41" s="295" customFormat="1" ht="42.75" customHeight="1" x14ac:dyDescent="0.25">
      <c r="A230" s="337"/>
      <c r="B230" s="198" t="s">
        <v>1112</v>
      </c>
      <c r="C230" s="199">
        <f>D230+E230</f>
        <v>1967.1461899999999</v>
      </c>
      <c r="D230" s="221">
        <v>1967.1461899999999</v>
      </c>
      <c r="E230" s="199"/>
      <c r="F230" s="221"/>
      <c r="G230" s="338">
        <f t="shared" si="62"/>
        <v>1675.7922000000001</v>
      </c>
      <c r="H230" s="199">
        <f t="shared" si="63"/>
        <v>1675.7922000000001</v>
      </c>
      <c r="I230" s="199">
        <f>N230+U230+AB230+AI230</f>
        <v>0</v>
      </c>
      <c r="J230" s="199"/>
      <c r="K230" s="199"/>
      <c r="L230" s="221"/>
      <c r="M230" s="221"/>
      <c r="N230" s="221"/>
      <c r="O230" s="366"/>
      <c r="P230" s="221"/>
      <c r="Q230" s="380"/>
      <c r="R230" s="199"/>
      <c r="S230" s="221"/>
      <c r="T230" s="221"/>
      <c r="U230" s="380"/>
      <c r="V230" s="221"/>
      <c r="W230" s="221"/>
      <c r="X230" s="221"/>
      <c r="Y230" s="221"/>
      <c r="Z230" s="221"/>
      <c r="AA230" s="221"/>
      <c r="AB230" s="199"/>
      <c r="AC230" s="221"/>
      <c r="AD230" s="221"/>
      <c r="AE230" s="221">
        <f t="shared" si="73"/>
        <v>1675.7922000000001</v>
      </c>
      <c r="AF230" s="199">
        <v>1675.7922000000001</v>
      </c>
      <c r="AG230" s="221"/>
      <c r="AH230" s="221"/>
      <c r="AI230" s="199">
        <f t="shared" si="61"/>
        <v>0</v>
      </c>
      <c r="AJ230" s="221"/>
      <c r="AK230" s="221"/>
      <c r="AL230" s="199">
        <f t="shared" si="58"/>
        <v>85.189001636934776</v>
      </c>
      <c r="AM230" s="199"/>
      <c r="AN230" s="199"/>
      <c r="AO230" s="341"/>
    </row>
    <row r="231" spans="1:41" s="295" customFormat="1" ht="38.25" x14ac:dyDescent="0.25">
      <c r="A231" s="342"/>
      <c r="B231" s="343" t="s">
        <v>1113</v>
      </c>
      <c r="C231" s="344">
        <f>D231+E231</f>
        <v>2000</v>
      </c>
      <c r="D231" s="342">
        <v>2000</v>
      </c>
      <c r="E231" s="342"/>
      <c r="F231" s="342"/>
      <c r="G231" s="345">
        <f t="shared" si="62"/>
        <v>1923.2435190000001</v>
      </c>
      <c r="H231" s="344">
        <f t="shared" si="63"/>
        <v>1923.2435190000001</v>
      </c>
      <c r="I231" s="342"/>
      <c r="J231" s="342"/>
      <c r="K231" s="342"/>
      <c r="L231" s="342"/>
      <c r="M231" s="342"/>
      <c r="N231" s="342"/>
      <c r="O231" s="367"/>
      <c r="P231" s="342"/>
      <c r="Q231" s="381"/>
      <c r="R231" s="342"/>
      <c r="S231" s="342"/>
      <c r="T231" s="342"/>
      <c r="U231" s="381"/>
      <c r="V231" s="342"/>
      <c r="W231" s="342"/>
      <c r="X231" s="342"/>
      <c r="Y231" s="342"/>
      <c r="Z231" s="342"/>
      <c r="AA231" s="342"/>
      <c r="AB231" s="342"/>
      <c r="AC231" s="342"/>
      <c r="AD231" s="342"/>
      <c r="AE231" s="346">
        <f t="shared" si="73"/>
        <v>1923.2435190000001</v>
      </c>
      <c r="AF231" s="342">
        <v>1923.2435190000001</v>
      </c>
      <c r="AG231" s="342"/>
      <c r="AH231" s="342"/>
      <c r="AI231" s="342"/>
      <c r="AJ231" s="342"/>
      <c r="AK231" s="342"/>
      <c r="AL231" s="342"/>
      <c r="AM231" s="342"/>
      <c r="AN231" s="342"/>
      <c r="AO231" s="347"/>
    </row>
    <row r="233" spans="1:41" ht="15.75" customHeight="1" x14ac:dyDescent="0.25">
      <c r="AF233" s="4366" t="s">
        <v>404</v>
      </c>
      <c r="AG233" s="4366"/>
      <c r="AH233" s="4366"/>
      <c r="AI233" s="4366"/>
      <c r="AJ233" s="4366"/>
      <c r="AK233" s="4366"/>
      <c r="AL233" s="4366"/>
      <c r="AM233" s="354"/>
    </row>
    <row r="234" spans="1:41" ht="15.75" customHeight="1" x14ac:dyDescent="0.25">
      <c r="AF234" s="4368" t="s">
        <v>638</v>
      </c>
      <c r="AG234" s="4368"/>
      <c r="AH234" s="4368"/>
      <c r="AI234" s="4368"/>
      <c r="AJ234" s="4368"/>
      <c r="AK234" s="4368"/>
      <c r="AL234" s="4368"/>
      <c r="AM234" s="354"/>
    </row>
    <row r="235" spans="1:41" ht="15.75" customHeight="1" x14ac:dyDescent="0.25">
      <c r="AF235" s="4368" t="s">
        <v>639</v>
      </c>
      <c r="AG235" s="4368"/>
      <c r="AH235" s="4368"/>
      <c r="AI235" s="4368"/>
      <c r="AJ235" s="4368"/>
      <c r="AK235" s="4368"/>
      <c r="AL235" s="4368"/>
      <c r="AM235" s="354"/>
    </row>
    <row r="236" spans="1:41" ht="15.75" x14ac:dyDescent="0.25">
      <c r="AF236" s="4659"/>
      <c r="AG236" s="4659"/>
      <c r="AH236" s="4659"/>
      <c r="AI236" s="4659"/>
      <c r="AJ236" s="354"/>
      <c r="AK236" s="354"/>
      <c r="AL236" s="354"/>
      <c r="AM236" s="354"/>
    </row>
    <row r="237" spans="1:41" ht="15" x14ac:dyDescent="0.25">
      <c r="AF237" s="355"/>
      <c r="AG237" s="355"/>
      <c r="AH237" s="355"/>
      <c r="AI237" s="355"/>
      <c r="AJ237" s="354"/>
      <c r="AK237" s="354"/>
      <c r="AL237" s="354"/>
      <c r="AM237" s="354"/>
    </row>
    <row r="238" spans="1:41" ht="15" x14ac:dyDescent="0.25">
      <c r="AF238" s="355"/>
      <c r="AG238" s="355"/>
      <c r="AH238" s="355"/>
      <c r="AI238" s="355"/>
      <c r="AJ238" s="354"/>
      <c r="AK238" s="354"/>
      <c r="AL238" s="354"/>
      <c r="AM238" s="354"/>
    </row>
    <row r="239" spans="1:41" ht="15" x14ac:dyDescent="0.25">
      <c r="AF239" s="355"/>
      <c r="AG239" s="355"/>
      <c r="AH239" s="355"/>
      <c r="AI239" s="355"/>
      <c r="AJ239" s="354"/>
      <c r="AK239" s="354"/>
      <c r="AL239" s="354"/>
      <c r="AM239" s="354"/>
    </row>
    <row r="240" spans="1:41" ht="15" x14ac:dyDescent="0.25">
      <c r="AF240" s="355"/>
      <c r="AG240" s="355"/>
      <c r="AH240" s="355"/>
      <c r="AI240" s="355"/>
      <c r="AJ240" s="354"/>
      <c r="AK240" s="354"/>
      <c r="AL240" s="354"/>
      <c r="AM240" s="354"/>
    </row>
    <row r="241" spans="32:39" ht="15" x14ac:dyDescent="0.25">
      <c r="AF241" s="355"/>
      <c r="AG241" s="355"/>
      <c r="AH241" s="355"/>
      <c r="AI241" s="355"/>
      <c r="AJ241" s="354"/>
      <c r="AK241" s="354"/>
      <c r="AL241" s="354"/>
      <c r="AM241" s="354"/>
    </row>
    <row r="242" spans="32:39" ht="18.75" x14ac:dyDescent="0.25">
      <c r="AF242" s="4660" t="s">
        <v>666</v>
      </c>
      <c r="AG242" s="4660"/>
      <c r="AH242" s="4660"/>
      <c r="AI242" s="4660"/>
      <c r="AJ242" s="4660"/>
      <c r="AK242" s="4660"/>
      <c r="AL242" s="4660"/>
      <c r="AM242" s="354"/>
    </row>
    <row r="243" spans="32:39" x14ac:dyDescent="0.25">
      <c r="AF243" s="354"/>
      <c r="AG243" s="354"/>
      <c r="AH243" s="354"/>
      <c r="AI243" s="354"/>
      <c r="AJ243" s="354"/>
      <c r="AK243" s="354"/>
      <c r="AL243" s="354"/>
      <c r="AM243" s="354"/>
    </row>
  </sheetData>
  <mergeCells count="62">
    <mergeCell ref="AF234:AL234"/>
    <mergeCell ref="AF235:AL235"/>
    <mergeCell ref="AF236:AI236"/>
    <mergeCell ref="AF242:AL242"/>
    <mergeCell ref="AC8:AD8"/>
    <mergeCell ref="AF8:AF9"/>
    <mergeCell ref="AG8:AH8"/>
    <mergeCell ref="AI8:AI9"/>
    <mergeCell ref="AJ8:AK8"/>
    <mergeCell ref="AF233:AL233"/>
    <mergeCell ref="AO6:AO9"/>
    <mergeCell ref="D7:D9"/>
    <mergeCell ref="E7:E9"/>
    <mergeCell ref="H7:H9"/>
    <mergeCell ref="I7:I9"/>
    <mergeCell ref="J7:J9"/>
    <mergeCell ref="K7:M7"/>
    <mergeCell ref="N7:P7"/>
    <mergeCell ref="Q7:Q9"/>
    <mergeCell ref="R7:T7"/>
    <mergeCell ref="AE7:AE9"/>
    <mergeCell ref="AF7:AH7"/>
    <mergeCell ref="AI7:AK7"/>
    <mergeCell ref="AM7:AM9"/>
    <mergeCell ref="AN7:AN9"/>
    <mergeCell ref="K8:K9"/>
    <mergeCell ref="AL5:AO5"/>
    <mergeCell ref="C6:C9"/>
    <mergeCell ref="D6:E6"/>
    <mergeCell ref="F6:F9"/>
    <mergeCell ref="G6:G9"/>
    <mergeCell ref="H6:I6"/>
    <mergeCell ref="J6:P6"/>
    <mergeCell ref="Q6:W6"/>
    <mergeCell ref="X6:AD6"/>
    <mergeCell ref="AE6:AK6"/>
    <mergeCell ref="AL6:AL9"/>
    <mergeCell ref="AM6:AN6"/>
    <mergeCell ref="U7:W7"/>
    <mergeCell ref="X7:X9"/>
    <mergeCell ref="Y7:AA7"/>
    <mergeCell ref="AB7:AD7"/>
    <mergeCell ref="J4:K4"/>
    <mergeCell ref="A5:A9"/>
    <mergeCell ref="B5:B9"/>
    <mergeCell ref="C5:F5"/>
    <mergeCell ref="G5:AK5"/>
    <mergeCell ref="L8:M8"/>
    <mergeCell ref="N8:N9"/>
    <mergeCell ref="O8:P8"/>
    <mergeCell ref="R8:R9"/>
    <mergeCell ref="S8:T8"/>
    <mergeCell ref="U8:U9"/>
    <mergeCell ref="V8:W8"/>
    <mergeCell ref="Y8:Y9"/>
    <mergeCell ref="Z8:AA8"/>
    <mergeCell ref="AB8:AB9"/>
    <mergeCell ref="D1:E1"/>
    <mergeCell ref="G1:H1"/>
    <mergeCell ref="AM1:AN1"/>
    <mergeCell ref="A2:AO2"/>
    <mergeCell ref="A3:AO3"/>
  </mergeCells>
  <pageMargins left="0.35433070866141703" right="0.15748031496063" top="0.75" bottom="0.75" header="0.31496062992126" footer="0.31496062992126"/>
  <pageSetup paperSize="9" scale="48" firstPageNumber="170" orientation="landscape" useFirstPageNumber="1"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sheetPr>
  <dimension ref="A1:AP243"/>
  <sheetViews>
    <sheetView zoomScale="90" zoomScaleNormal="90" workbookViewId="0">
      <pane xSplit="1" ySplit="9" topLeftCell="B47" activePane="bottomRight" state="frozen"/>
      <selection pane="topRight" activeCell="B1" sqref="B1"/>
      <selection pane="bottomLeft" activeCell="A10" sqref="A10"/>
      <selection pane="bottomRight" activeCell="D47" sqref="D47"/>
    </sheetView>
  </sheetViews>
  <sheetFormatPr defaultColWidth="9.140625" defaultRowHeight="12.75" x14ac:dyDescent="0.25"/>
  <cols>
    <col min="1" max="1" width="4.42578125" style="298" customWidth="1"/>
    <col min="2" max="2" width="18.140625" style="298" customWidth="1"/>
    <col min="3" max="3" width="11.140625" style="299" customWidth="1"/>
    <col min="4" max="4" width="10.85546875" style="299" customWidth="1"/>
    <col min="5" max="5" width="13.7109375" style="299" customWidth="1"/>
    <col min="6" max="6" width="6.140625" style="299" hidden="1" customWidth="1"/>
    <col min="7" max="7" width="15.5703125" style="299" customWidth="1"/>
    <col min="8" max="8" width="10.5703125" style="299" customWidth="1"/>
    <col min="9" max="9" width="18.5703125" style="299" customWidth="1"/>
    <col min="10" max="10" width="10.140625" style="299" customWidth="1"/>
    <col min="11" max="11" width="10.7109375" style="299" customWidth="1"/>
    <col min="12" max="12" width="9.85546875" style="299" customWidth="1"/>
    <col min="13" max="13" width="0" style="299" hidden="1" customWidth="1"/>
    <col min="14" max="14" width="10.140625" style="299" customWidth="1"/>
    <col min="15" max="15" width="14.42578125" style="357" customWidth="1"/>
    <col min="16" max="16" width="6.85546875" style="299" customWidth="1"/>
    <col min="17" max="17" width="16" style="377" customWidth="1"/>
    <col min="18" max="18" width="9.5703125" style="299" customWidth="1"/>
    <col min="19" max="19" width="10.85546875" style="299" customWidth="1"/>
    <col min="20" max="20" width="7" style="299" customWidth="1"/>
    <col min="21" max="21" width="13.28515625" style="377" customWidth="1"/>
    <col min="22" max="22" width="17.140625" style="299" customWidth="1"/>
    <col min="23" max="23" width="0" style="299" hidden="1" customWidth="1"/>
    <col min="24" max="24" width="6.7109375" style="299" customWidth="1"/>
    <col min="25" max="25" width="8.140625" style="299" customWidth="1"/>
    <col min="26" max="26" width="9.28515625" style="299" hidden="1" customWidth="1"/>
    <col min="27" max="27" width="7.85546875" style="299" hidden="1" customWidth="1"/>
    <col min="28" max="28" width="9.5703125" style="299" customWidth="1"/>
    <col min="29" max="29" width="9" style="299" customWidth="1"/>
    <col min="30" max="30" width="6.85546875" style="299" hidden="1" customWidth="1"/>
    <col min="31" max="31" width="10" style="299" customWidth="1"/>
    <col min="32" max="32" width="9.5703125" style="299" customWidth="1"/>
    <col min="33" max="33" width="9.28515625" style="299" hidden="1" customWidth="1"/>
    <col min="34" max="34" width="9.140625" style="299" hidden="1" customWidth="1"/>
    <col min="35" max="36" width="8.85546875" style="299" customWidth="1"/>
    <col min="37" max="37" width="7.5703125" style="299" customWidth="1"/>
    <col min="38" max="38" width="8" style="299" customWidth="1"/>
    <col min="39" max="39" width="7.85546875" style="299" customWidth="1"/>
    <col min="40" max="40" width="7.7109375" style="299" customWidth="1"/>
    <col min="41" max="41" width="7.5703125" style="298" hidden="1" customWidth="1"/>
    <col min="42" max="16384" width="9.140625" style="298"/>
  </cols>
  <sheetData>
    <row r="1" spans="1:41" x14ac:dyDescent="0.25">
      <c r="A1" s="297" t="s">
        <v>842</v>
      </c>
      <c r="D1" s="4641"/>
      <c r="E1" s="4641"/>
      <c r="G1" s="4642"/>
      <c r="H1" s="4642"/>
      <c r="I1" s="300"/>
      <c r="AM1" s="4641" t="s">
        <v>1258</v>
      </c>
      <c r="AN1" s="4641"/>
      <c r="AO1" s="301"/>
    </row>
    <row r="2" spans="1:41" ht="36" customHeight="1" x14ac:dyDescent="0.25">
      <c r="A2" s="3938" t="s">
        <v>214</v>
      </c>
      <c r="B2" s="3938"/>
      <c r="C2" s="3938"/>
      <c r="D2" s="3938"/>
      <c r="E2" s="3938"/>
      <c r="F2" s="3938"/>
      <c r="G2" s="3938"/>
      <c r="H2" s="3938"/>
      <c r="I2" s="3938"/>
      <c r="J2" s="3938"/>
      <c r="K2" s="3938"/>
      <c r="L2" s="3938"/>
      <c r="M2" s="3938"/>
      <c r="N2" s="3938"/>
      <c r="O2" s="3938"/>
      <c r="P2" s="3938"/>
      <c r="Q2" s="3938"/>
      <c r="R2" s="3938"/>
      <c r="S2" s="3938"/>
      <c r="T2" s="3938"/>
      <c r="U2" s="3938"/>
      <c r="V2" s="3938"/>
      <c r="W2" s="3938"/>
      <c r="X2" s="3938"/>
      <c r="Y2" s="3938"/>
      <c r="Z2" s="3938"/>
      <c r="AA2" s="3938"/>
      <c r="AB2" s="3938"/>
      <c r="AC2" s="3938"/>
      <c r="AD2" s="3938"/>
      <c r="AE2" s="3938"/>
      <c r="AF2" s="3938"/>
      <c r="AG2" s="3938"/>
      <c r="AH2" s="3938"/>
      <c r="AI2" s="3938"/>
      <c r="AJ2" s="3938"/>
      <c r="AK2" s="3938"/>
      <c r="AL2" s="3938"/>
      <c r="AM2" s="3938"/>
      <c r="AN2" s="3938"/>
      <c r="AO2" s="3938"/>
    </row>
    <row r="3" spans="1:41" ht="35.25" customHeight="1" x14ac:dyDescent="0.25">
      <c r="A3" s="4196" t="s">
        <v>3484</v>
      </c>
      <c r="B3" s="4196"/>
      <c r="C3" s="4196"/>
      <c r="D3" s="4196"/>
      <c r="E3" s="4196"/>
      <c r="F3" s="4196"/>
      <c r="G3" s="4196"/>
      <c r="H3" s="4196"/>
      <c r="I3" s="4196"/>
      <c r="J3" s="4196"/>
      <c r="K3" s="4196"/>
      <c r="L3" s="4196"/>
      <c r="M3" s="4196"/>
      <c r="N3" s="4196"/>
      <c r="O3" s="4196"/>
      <c r="P3" s="4196"/>
      <c r="Q3" s="4196"/>
      <c r="R3" s="4196"/>
      <c r="S3" s="4196"/>
      <c r="T3" s="4196"/>
      <c r="U3" s="4196"/>
      <c r="V3" s="4196"/>
      <c r="W3" s="4196"/>
      <c r="X3" s="4196"/>
      <c r="Y3" s="4196"/>
      <c r="Z3" s="4196"/>
      <c r="AA3" s="4196"/>
      <c r="AB3" s="4196"/>
      <c r="AC3" s="4196"/>
      <c r="AD3" s="4196"/>
      <c r="AE3" s="4196"/>
      <c r="AF3" s="4196"/>
      <c r="AG3" s="4196"/>
      <c r="AH3" s="4196"/>
      <c r="AI3" s="4196"/>
      <c r="AJ3" s="4196"/>
      <c r="AK3" s="4196"/>
      <c r="AL3" s="4196"/>
      <c r="AM3" s="4196"/>
      <c r="AN3" s="4196"/>
      <c r="AO3" s="4196"/>
    </row>
    <row r="4" spans="1:41" x14ac:dyDescent="0.25">
      <c r="J4" s="4643"/>
      <c r="K4" s="4643"/>
      <c r="AO4" s="302" t="s">
        <v>843</v>
      </c>
    </row>
    <row r="5" spans="1:41" ht="20.25" customHeight="1" x14ac:dyDescent="0.25">
      <c r="A5" s="4644" t="s">
        <v>844</v>
      </c>
      <c r="B5" s="4644" t="s">
        <v>12</v>
      </c>
      <c r="C5" s="4647" t="s">
        <v>846</v>
      </c>
      <c r="D5" s="4648"/>
      <c r="E5" s="4648"/>
      <c r="F5" s="4649"/>
      <c r="G5" s="4647" t="s">
        <v>13</v>
      </c>
      <c r="H5" s="4648"/>
      <c r="I5" s="4648"/>
      <c r="J5" s="4648"/>
      <c r="K5" s="4648"/>
      <c r="L5" s="4648"/>
      <c r="M5" s="4648"/>
      <c r="N5" s="4648"/>
      <c r="O5" s="4648"/>
      <c r="P5" s="4648"/>
      <c r="Q5" s="4648"/>
      <c r="R5" s="4648"/>
      <c r="S5" s="4648"/>
      <c r="T5" s="4648"/>
      <c r="U5" s="4648"/>
      <c r="V5" s="4648"/>
      <c r="W5" s="4648"/>
      <c r="X5" s="4648"/>
      <c r="Y5" s="4648"/>
      <c r="Z5" s="4648"/>
      <c r="AA5" s="4648"/>
      <c r="AB5" s="4648"/>
      <c r="AC5" s="4648"/>
      <c r="AD5" s="4648"/>
      <c r="AE5" s="4648"/>
      <c r="AF5" s="4648"/>
      <c r="AG5" s="4648"/>
      <c r="AH5" s="4648"/>
      <c r="AI5" s="4648"/>
      <c r="AJ5" s="4648"/>
      <c r="AK5" s="4649"/>
      <c r="AL5" s="4654" t="s">
        <v>28</v>
      </c>
      <c r="AM5" s="4655"/>
      <c r="AN5" s="4655"/>
      <c r="AO5" s="4656"/>
    </row>
    <row r="6" spans="1:41" ht="30.75" customHeight="1" x14ac:dyDescent="0.25">
      <c r="A6" s="4645"/>
      <c r="B6" s="4645"/>
      <c r="C6" s="4650" t="s">
        <v>868</v>
      </c>
      <c r="D6" s="4647" t="s">
        <v>907</v>
      </c>
      <c r="E6" s="4649"/>
      <c r="F6" s="4650" t="s">
        <v>890</v>
      </c>
      <c r="G6" s="4650" t="s">
        <v>868</v>
      </c>
      <c r="H6" s="4647" t="s">
        <v>907</v>
      </c>
      <c r="I6" s="4649"/>
      <c r="J6" s="4647" t="s">
        <v>1436</v>
      </c>
      <c r="K6" s="4648"/>
      <c r="L6" s="4648"/>
      <c r="M6" s="4648"/>
      <c r="N6" s="4648"/>
      <c r="O6" s="4648"/>
      <c r="P6" s="4649"/>
      <c r="Q6" s="4647" t="s">
        <v>1437</v>
      </c>
      <c r="R6" s="4648"/>
      <c r="S6" s="4648"/>
      <c r="T6" s="4648"/>
      <c r="U6" s="4648"/>
      <c r="V6" s="4648"/>
      <c r="W6" s="4649"/>
      <c r="X6" s="4647" t="s">
        <v>1438</v>
      </c>
      <c r="Y6" s="4648"/>
      <c r="Z6" s="4648"/>
      <c r="AA6" s="4648"/>
      <c r="AB6" s="4648"/>
      <c r="AC6" s="4648"/>
      <c r="AD6" s="4649"/>
      <c r="AE6" s="4647" t="s">
        <v>806</v>
      </c>
      <c r="AF6" s="4648"/>
      <c r="AG6" s="4648"/>
      <c r="AH6" s="4648"/>
      <c r="AI6" s="4648"/>
      <c r="AJ6" s="4648"/>
      <c r="AK6" s="4649"/>
      <c r="AL6" s="4650" t="s">
        <v>868</v>
      </c>
      <c r="AM6" s="4647" t="s">
        <v>907</v>
      </c>
      <c r="AN6" s="4649"/>
      <c r="AO6" s="4644" t="s">
        <v>890</v>
      </c>
    </row>
    <row r="7" spans="1:41" ht="57.75" customHeight="1" x14ac:dyDescent="0.25">
      <c r="A7" s="4645"/>
      <c r="B7" s="4645"/>
      <c r="C7" s="4657"/>
      <c r="D7" s="4650" t="s">
        <v>756</v>
      </c>
      <c r="E7" s="4650" t="s">
        <v>757</v>
      </c>
      <c r="F7" s="4657"/>
      <c r="G7" s="4657"/>
      <c r="H7" s="4650" t="s">
        <v>756</v>
      </c>
      <c r="I7" s="4650" t="s">
        <v>757</v>
      </c>
      <c r="J7" s="4650" t="s">
        <v>868</v>
      </c>
      <c r="K7" s="4647" t="s">
        <v>884</v>
      </c>
      <c r="L7" s="4648"/>
      <c r="M7" s="4649"/>
      <c r="N7" s="4647" t="s">
        <v>757</v>
      </c>
      <c r="O7" s="4648"/>
      <c r="P7" s="4649"/>
      <c r="Q7" s="4652" t="s">
        <v>868</v>
      </c>
      <c r="R7" s="4647" t="s">
        <v>884</v>
      </c>
      <c r="S7" s="4648"/>
      <c r="T7" s="4649"/>
      <c r="U7" s="4647" t="s">
        <v>757</v>
      </c>
      <c r="V7" s="4648"/>
      <c r="W7" s="4649"/>
      <c r="X7" s="4650" t="s">
        <v>868</v>
      </c>
      <c r="Y7" s="4647" t="s">
        <v>884</v>
      </c>
      <c r="Z7" s="4648"/>
      <c r="AA7" s="4649"/>
      <c r="AB7" s="4647" t="s">
        <v>757</v>
      </c>
      <c r="AC7" s="4648"/>
      <c r="AD7" s="4649"/>
      <c r="AE7" s="4650" t="s">
        <v>868</v>
      </c>
      <c r="AF7" s="4647" t="s">
        <v>884</v>
      </c>
      <c r="AG7" s="4648"/>
      <c r="AH7" s="4649"/>
      <c r="AI7" s="4647" t="s">
        <v>757</v>
      </c>
      <c r="AJ7" s="4648"/>
      <c r="AK7" s="4649"/>
      <c r="AL7" s="4657"/>
      <c r="AM7" s="4650" t="s">
        <v>884</v>
      </c>
      <c r="AN7" s="4650" t="s">
        <v>885</v>
      </c>
      <c r="AO7" s="4645"/>
    </row>
    <row r="8" spans="1:41" ht="20.25" customHeight="1" x14ac:dyDescent="0.25">
      <c r="A8" s="4645"/>
      <c r="B8" s="4645"/>
      <c r="C8" s="4657"/>
      <c r="D8" s="4657"/>
      <c r="E8" s="4657"/>
      <c r="F8" s="4657"/>
      <c r="G8" s="4657"/>
      <c r="H8" s="4657"/>
      <c r="I8" s="4657"/>
      <c r="J8" s="4657"/>
      <c r="K8" s="4650" t="s">
        <v>868</v>
      </c>
      <c r="L8" s="4647" t="s">
        <v>758</v>
      </c>
      <c r="M8" s="4649"/>
      <c r="N8" s="4650" t="s">
        <v>868</v>
      </c>
      <c r="O8" s="4647" t="s">
        <v>758</v>
      </c>
      <c r="P8" s="4649"/>
      <c r="Q8" s="4658"/>
      <c r="R8" s="4650" t="s">
        <v>868</v>
      </c>
      <c r="S8" s="4647" t="s">
        <v>758</v>
      </c>
      <c r="T8" s="4649"/>
      <c r="U8" s="4652" t="s">
        <v>868</v>
      </c>
      <c r="V8" s="4647" t="s">
        <v>758</v>
      </c>
      <c r="W8" s="4649"/>
      <c r="X8" s="4657"/>
      <c r="Y8" s="4650" t="s">
        <v>868</v>
      </c>
      <c r="Z8" s="4647" t="s">
        <v>758</v>
      </c>
      <c r="AA8" s="4649"/>
      <c r="AB8" s="4650" t="s">
        <v>868</v>
      </c>
      <c r="AC8" s="4647" t="s">
        <v>758</v>
      </c>
      <c r="AD8" s="4649"/>
      <c r="AE8" s="4657"/>
      <c r="AF8" s="4650" t="s">
        <v>868</v>
      </c>
      <c r="AG8" s="4647" t="s">
        <v>758</v>
      </c>
      <c r="AH8" s="4649"/>
      <c r="AI8" s="4650" t="s">
        <v>868</v>
      </c>
      <c r="AJ8" s="4647" t="s">
        <v>758</v>
      </c>
      <c r="AK8" s="4649"/>
      <c r="AL8" s="4657"/>
      <c r="AM8" s="4657"/>
      <c r="AN8" s="4657"/>
      <c r="AO8" s="4645"/>
    </row>
    <row r="9" spans="1:41" ht="39" customHeight="1" x14ac:dyDescent="0.25">
      <c r="A9" s="4646"/>
      <c r="B9" s="4646"/>
      <c r="C9" s="4651"/>
      <c r="D9" s="4651"/>
      <c r="E9" s="4651"/>
      <c r="F9" s="4651"/>
      <c r="G9" s="4651"/>
      <c r="H9" s="4651"/>
      <c r="I9" s="4651"/>
      <c r="J9" s="4651"/>
      <c r="K9" s="4651"/>
      <c r="L9" s="303" t="s">
        <v>917</v>
      </c>
      <c r="M9" s="303" t="s">
        <v>746</v>
      </c>
      <c r="N9" s="4651"/>
      <c r="O9" s="358" t="s">
        <v>917</v>
      </c>
      <c r="P9" s="303" t="s">
        <v>746</v>
      </c>
      <c r="Q9" s="4653"/>
      <c r="R9" s="4651"/>
      <c r="S9" s="303" t="s">
        <v>917</v>
      </c>
      <c r="T9" s="303" t="s">
        <v>746</v>
      </c>
      <c r="U9" s="4653"/>
      <c r="V9" s="303" t="s">
        <v>917</v>
      </c>
      <c r="W9" s="303" t="s">
        <v>746</v>
      </c>
      <c r="X9" s="4651"/>
      <c r="Y9" s="4651"/>
      <c r="Z9" s="303" t="s">
        <v>917</v>
      </c>
      <c r="AA9" s="303" t="s">
        <v>746</v>
      </c>
      <c r="AB9" s="4651"/>
      <c r="AC9" s="303" t="s">
        <v>917</v>
      </c>
      <c r="AD9" s="303" t="s">
        <v>746</v>
      </c>
      <c r="AE9" s="4651"/>
      <c r="AF9" s="4651"/>
      <c r="AG9" s="303" t="s">
        <v>917</v>
      </c>
      <c r="AH9" s="303" t="s">
        <v>746</v>
      </c>
      <c r="AI9" s="4651"/>
      <c r="AJ9" s="303" t="s">
        <v>917</v>
      </c>
      <c r="AK9" s="303" t="s">
        <v>746</v>
      </c>
      <c r="AL9" s="4651"/>
      <c r="AM9" s="4651"/>
      <c r="AN9" s="4651"/>
      <c r="AO9" s="4646"/>
    </row>
    <row r="10" spans="1:41" x14ac:dyDescent="0.25">
      <c r="A10" s="181" t="s">
        <v>847</v>
      </c>
      <c r="B10" s="181" t="s">
        <v>848</v>
      </c>
      <c r="C10" s="303">
        <v>1</v>
      </c>
      <c r="D10" s="303">
        <v>2</v>
      </c>
      <c r="E10" s="303">
        <v>3</v>
      </c>
      <c r="F10" s="303">
        <v>4</v>
      </c>
      <c r="G10" s="303">
        <v>5</v>
      </c>
      <c r="H10" s="303">
        <v>6</v>
      </c>
      <c r="I10" s="303">
        <v>7</v>
      </c>
      <c r="J10" s="303">
        <v>8</v>
      </c>
      <c r="K10" s="303">
        <v>9</v>
      </c>
      <c r="L10" s="303">
        <v>10</v>
      </c>
      <c r="M10" s="303">
        <v>11</v>
      </c>
      <c r="N10" s="303">
        <v>12</v>
      </c>
      <c r="O10" s="358">
        <v>13</v>
      </c>
      <c r="P10" s="303">
        <v>14</v>
      </c>
      <c r="Q10" s="209"/>
      <c r="R10" s="303"/>
      <c r="S10" s="303"/>
      <c r="T10" s="303"/>
      <c r="U10" s="209"/>
      <c r="V10" s="303"/>
      <c r="W10" s="303">
        <v>15</v>
      </c>
      <c r="X10" s="303"/>
      <c r="Y10" s="303"/>
      <c r="Z10" s="303"/>
      <c r="AA10" s="303"/>
      <c r="AB10" s="303"/>
      <c r="AC10" s="303"/>
      <c r="AD10" s="303"/>
      <c r="AE10" s="303"/>
      <c r="AF10" s="303"/>
      <c r="AG10" s="303"/>
      <c r="AH10" s="303"/>
      <c r="AI10" s="303"/>
      <c r="AJ10" s="303"/>
      <c r="AK10" s="303"/>
      <c r="AL10" s="303" t="s">
        <v>759</v>
      </c>
      <c r="AM10" s="303" t="s">
        <v>760</v>
      </c>
      <c r="AN10" s="303" t="s">
        <v>761</v>
      </c>
      <c r="AO10" s="181" t="s">
        <v>762</v>
      </c>
    </row>
    <row r="11" spans="1:41" s="297" customFormat="1" ht="32.25" customHeight="1" x14ac:dyDescent="0.25">
      <c r="A11" s="251"/>
      <c r="B11" s="193" t="s">
        <v>886</v>
      </c>
      <c r="C11" s="294">
        <f>C12+C76</f>
        <v>46715.647941999996</v>
      </c>
      <c r="D11" s="294">
        <f>D12+D76</f>
        <v>40199.56581</v>
      </c>
      <c r="E11" s="294">
        <f>E12+E76</f>
        <v>6516.0821319999995</v>
      </c>
      <c r="F11" s="294">
        <f>F12+F76</f>
        <v>0</v>
      </c>
      <c r="G11" s="254">
        <f>G12+G76</f>
        <v>40971.445515999992</v>
      </c>
      <c r="H11" s="294">
        <f t="shared" ref="H11:AN11" si="0">H12+H76</f>
        <v>34890.323145999995</v>
      </c>
      <c r="I11" s="294">
        <f t="shared" si="0"/>
        <v>6081.12237</v>
      </c>
      <c r="J11" s="294">
        <f t="shared" si="0"/>
        <v>15941.993836999998</v>
      </c>
      <c r="K11" s="294">
        <f t="shared" si="0"/>
        <v>13750.337062999999</v>
      </c>
      <c r="L11" s="294">
        <f t="shared" si="0"/>
        <v>13750.337062999999</v>
      </c>
      <c r="M11" s="294">
        <f t="shared" si="0"/>
        <v>0</v>
      </c>
      <c r="N11" s="294">
        <f t="shared" si="0"/>
        <v>2191.656774</v>
      </c>
      <c r="O11" s="359">
        <f t="shared" si="0"/>
        <v>2191.656774</v>
      </c>
      <c r="P11" s="294">
        <f t="shared" si="0"/>
        <v>0</v>
      </c>
      <c r="Q11" s="254">
        <f t="shared" si="0"/>
        <v>19944.574022999997</v>
      </c>
      <c r="R11" s="294">
        <f t="shared" si="0"/>
        <v>16759.410363999999</v>
      </c>
      <c r="S11" s="294">
        <f t="shared" si="0"/>
        <v>16759.410363999999</v>
      </c>
      <c r="T11" s="294">
        <f t="shared" si="0"/>
        <v>0</v>
      </c>
      <c r="U11" s="254">
        <f t="shared" si="0"/>
        <v>3185.1636589999994</v>
      </c>
      <c r="V11" s="294">
        <f t="shared" si="0"/>
        <v>3185.1636589999994</v>
      </c>
      <c r="W11" s="294">
        <f t="shared" si="0"/>
        <v>0</v>
      </c>
      <c r="X11" s="294">
        <f t="shared" si="0"/>
        <v>0</v>
      </c>
      <c r="Y11" s="294">
        <f t="shared" si="0"/>
        <v>0</v>
      </c>
      <c r="Z11" s="294">
        <f t="shared" si="0"/>
        <v>0</v>
      </c>
      <c r="AA11" s="294">
        <f t="shared" si="0"/>
        <v>0</v>
      </c>
      <c r="AB11" s="294">
        <f t="shared" si="0"/>
        <v>522.46900000000005</v>
      </c>
      <c r="AC11" s="294">
        <f t="shared" si="0"/>
        <v>522.46900000000005</v>
      </c>
      <c r="AD11" s="294">
        <f t="shared" si="0"/>
        <v>0</v>
      </c>
      <c r="AE11" s="294">
        <f t="shared" si="0"/>
        <v>4562.4086560000005</v>
      </c>
      <c r="AF11" s="294">
        <f t="shared" si="0"/>
        <v>4380.5757190000004</v>
      </c>
      <c r="AG11" s="294">
        <f t="shared" si="0"/>
        <v>0</v>
      </c>
      <c r="AH11" s="294">
        <f t="shared" si="0"/>
        <v>0</v>
      </c>
      <c r="AI11" s="294">
        <f t="shared" si="0"/>
        <v>181.83293700000002</v>
      </c>
      <c r="AJ11" s="294">
        <f t="shared" si="0"/>
        <v>181.83293700000002</v>
      </c>
      <c r="AK11" s="294">
        <f t="shared" si="0"/>
        <v>0</v>
      </c>
      <c r="AL11" s="294">
        <f t="shared" si="0"/>
        <v>177.16434827902918</v>
      </c>
      <c r="AM11" s="294">
        <f t="shared" si="0"/>
        <v>174.85448873269951</v>
      </c>
      <c r="AN11" s="294">
        <f t="shared" si="0"/>
        <v>180.61435651840472</v>
      </c>
      <c r="AO11" s="304">
        <f>AO12+AO76</f>
        <v>0</v>
      </c>
    </row>
    <row r="12" spans="1:41" ht="32.25" customHeight="1" x14ac:dyDescent="0.25">
      <c r="A12" s="210" t="s">
        <v>866</v>
      </c>
      <c r="B12" s="252" t="s">
        <v>732</v>
      </c>
      <c r="C12" s="305">
        <f>C13+C15+C21</f>
        <v>18769.371899999998</v>
      </c>
      <c r="D12" s="305">
        <f t="shared" ref="D12:AO12" si="1">D13+D15+D21</f>
        <v>17951</v>
      </c>
      <c r="E12" s="305">
        <f t="shared" si="1"/>
        <v>818.37189999999998</v>
      </c>
      <c r="F12" s="305">
        <f t="shared" si="1"/>
        <v>0</v>
      </c>
      <c r="G12" s="305">
        <f>G13+G15+G21</f>
        <v>17465.479363999999</v>
      </c>
      <c r="H12" s="305">
        <f t="shared" si="1"/>
        <v>16759.410363999999</v>
      </c>
      <c r="I12" s="305">
        <f t="shared" si="1"/>
        <v>706.06900000000007</v>
      </c>
      <c r="J12" s="305">
        <f t="shared" si="1"/>
        <v>180</v>
      </c>
      <c r="K12" s="305">
        <f t="shared" si="1"/>
        <v>0</v>
      </c>
      <c r="L12" s="305">
        <f t="shared" si="1"/>
        <v>0</v>
      </c>
      <c r="M12" s="305">
        <f t="shared" si="1"/>
        <v>0</v>
      </c>
      <c r="N12" s="305">
        <f t="shared" si="1"/>
        <v>180</v>
      </c>
      <c r="O12" s="360">
        <f t="shared" si="1"/>
        <v>180</v>
      </c>
      <c r="P12" s="305">
        <f t="shared" si="1"/>
        <v>0</v>
      </c>
      <c r="Q12" s="378">
        <f t="shared" si="1"/>
        <v>16763.010363999998</v>
      </c>
      <c r="R12" s="305">
        <f t="shared" si="1"/>
        <v>16759.410363999999</v>
      </c>
      <c r="S12" s="305">
        <f t="shared" si="1"/>
        <v>16759.410363999999</v>
      </c>
      <c r="T12" s="305">
        <f t="shared" si="1"/>
        <v>0</v>
      </c>
      <c r="U12" s="378">
        <f t="shared" si="1"/>
        <v>3.6</v>
      </c>
      <c r="V12" s="305">
        <f t="shared" si="1"/>
        <v>3.6</v>
      </c>
      <c r="W12" s="305">
        <f t="shared" si="1"/>
        <v>0</v>
      </c>
      <c r="X12" s="305">
        <f t="shared" si="1"/>
        <v>0</v>
      </c>
      <c r="Y12" s="305">
        <f t="shared" si="1"/>
        <v>0</v>
      </c>
      <c r="Z12" s="305">
        <f t="shared" si="1"/>
        <v>0</v>
      </c>
      <c r="AA12" s="305">
        <f t="shared" si="1"/>
        <v>0</v>
      </c>
      <c r="AB12" s="305">
        <f t="shared" si="1"/>
        <v>522.46900000000005</v>
      </c>
      <c r="AC12" s="305">
        <f t="shared" si="1"/>
        <v>522.46900000000005</v>
      </c>
      <c r="AD12" s="305">
        <f t="shared" si="1"/>
        <v>0</v>
      </c>
      <c r="AE12" s="305">
        <f t="shared" si="1"/>
        <v>0</v>
      </c>
      <c r="AF12" s="305">
        <f t="shared" si="1"/>
        <v>0</v>
      </c>
      <c r="AG12" s="305">
        <f t="shared" si="1"/>
        <v>0</v>
      </c>
      <c r="AH12" s="305">
        <f t="shared" si="1"/>
        <v>0</v>
      </c>
      <c r="AI12" s="305">
        <f t="shared" si="1"/>
        <v>0</v>
      </c>
      <c r="AJ12" s="305">
        <f t="shared" si="1"/>
        <v>0</v>
      </c>
      <c r="AK12" s="305">
        <f t="shared" si="1"/>
        <v>0</v>
      </c>
      <c r="AL12" s="253">
        <f t="shared" ref="AL12:AN76" si="2">G12/C12%</f>
        <v>93.053083806176801</v>
      </c>
      <c r="AM12" s="253">
        <f t="shared" si="2"/>
        <v>93.361987432455024</v>
      </c>
      <c r="AN12" s="253">
        <f t="shared" si="2"/>
        <v>86.277278093248327</v>
      </c>
      <c r="AO12" s="306">
        <f t="shared" si="1"/>
        <v>0</v>
      </c>
    </row>
    <row r="13" spans="1:41" s="309" customFormat="1" ht="32.25" customHeight="1" x14ac:dyDescent="0.25">
      <c r="A13" s="215" t="s">
        <v>851</v>
      </c>
      <c r="B13" s="216" t="s">
        <v>1439</v>
      </c>
      <c r="C13" s="307">
        <f>C14</f>
        <v>217</v>
      </c>
      <c r="D13" s="307">
        <f t="shared" ref="D13:AO13" si="3">D14</f>
        <v>0</v>
      </c>
      <c r="E13" s="307">
        <f t="shared" si="3"/>
        <v>217</v>
      </c>
      <c r="F13" s="307">
        <f t="shared" si="3"/>
        <v>0</v>
      </c>
      <c r="G13" s="307">
        <f t="shared" si="3"/>
        <v>217</v>
      </c>
      <c r="H13" s="307">
        <f t="shared" si="3"/>
        <v>0</v>
      </c>
      <c r="I13" s="307">
        <f t="shared" si="3"/>
        <v>217</v>
      </c>
      <c r="J13" s="307">
        <f t="shared" si="3"/>
        <v>0</v>
      </c>
      <c r="K13" s="307">
        <f t="shared" si="3"/>
        <v>0</v>
      </c>
      <c r="L13" s="307">
        <f t="shared" si="3"/>
        <v>0</v>
      </c>
      <c r="M13" s="307">
        <f t="shared" si="3"/>
        <v>0</v>
      </c>
      <c r="N13" s="307">
        <f t="shared" si="3"/>
        <v>0</v>
      </c>
      <c r="O13" s="356">
        <f t="shared" si="3"/>
        <v>0</v>
      </c>
      <c r="P13" s="307">
        <f t="shared" si="3"/>
        <v>0</v>
      </c>
      <c r="Q13" s="242">
        <f t="shared" si="3"/>
        <v>0</v>
      </c>
      <c r="R13" s="307">
        <f t="shared" si="3"/>
        <v>0</v>
      </c>
      <c r="S13" s="307">
        <f t="shared" si="3"/>
        <v>0</v>
      </c>
      <c r="T13" s="307">
        <f t="shared" si="3"/>
        <v>0</v>
      </c>
      <c r="U13" s="242">
        <f t="shared" si="3"/>
        <v>0</v>
      </c>
      <c r="V13" s="307">
        <f t="shared" si="3"/>
        <v>0</v>
      </c>
      <c r="W13" s="307">
        <f t="shared" si="3"/>
        <v>0</v>
      </c>
      <c r="X13" s="307">
        <f t="shared" si="3"/>
        <v>0</v>
      </c>
      <c r="Y13" s="307">
        <f t="shared" si="3"/>
        <v>0</v>
      </c>
      <c r="Z13" s="307">
        <f t="shared" si="3"/>
        <v>0</v>
      </c>
      <c r="AA13" s="307">
        <f t="shared" si="3"/>
        <v>0</v>
      </c>
      <c r="AB13" s="307">
        <f t="shared" si="3"/>
        <v>217</v>
      </c>
      <c r="AC13" s="307">
        <f t="shared" si="3"/>
        <v>217</v>
      </c>
      <c r="AD13" s="307">
        <f t="shared" si="3"/>
        <v>0</v>
      </c>
      <c r="AE13" s="307">
        <f t="shared" si="3"/>
        <v>0</v>
      </c>
      <c r="AF13" s="307">
        <f t="shared" si="3"/>
        <v>0</v>
      </c>
      <c r="AG13" s="307">
        <f t="shared" si="3"/>
        <v>0</v>
      </c>
      <c r="AH13" s="307">
        <f t="shared" si="3"/>
        <v>0</v>
      </c>
      <c r="AI13" s="307">
        <f t="shared" si="3"/>
        <v>0</v>
      </c>
      <c r="AJ13" s="307">
        <f t="shared" si="3"/>
        <v>0</v>
      </c>
      <c r="AK13" s="307">
        <f t="shared" si="3"/>
        <v>0</v>
      </c>
      <c r="AL13" s="308">
        <f t="shared" si="2"/>
        <v>100</v>
      </c>
      <c r="AM13" s="308"/>
      <c r="AN13" s="308">
        <f t="shared" si="2"/>
        <v>100</v>
      </c>
      <c r="AO13" s="215">
        <f t="shared" si="3"/>
        <v>0</v>
      </c>
    </row>
    <row r="14" spans="1:41" ht="32.25" customHeight="1" x14ac:dyDescent="0.25">
      <c r="A14" s="194" t="s">
        <v>175</v>
      </c>
      <c r="B14" s="213" t="s">
        <v>176</v>
      </c>
      <c r="C14" s="214">
        <f>D14+E14</f>
        <v>217</v>
      </c>
      <c r="D14" s="214"/>
      <c r="E14" s="214">
        <v>217</v>
      </c>
      <c r="F14" s="214"/>
      <c r="G14" s="214">
        <f t="shared" ref="G14:G75" si="4">H14+I14</f>
        <v>217</v>
      </c>
      <c r="H14" s="214">
        <f t="shared" ref="H14:H77" si="5">K14+R14+Y14+AF14</f>
        <v>0</v>
      </c>
      <c r="I14" s="214">
        <f t="shared" ref="I14:I78" si="6">N14+U14+AB14+AI14</f>
        <v>217</v>
      </c>
      <c r="J14" s="214">
        <f t="shared" ref="J14:J77" si="7">K14+N14</f>
        <v>0</v>
      </c>
      <c r="K14" s="214">
        <f t="shared" ref="K14:K77" si="8">L14</f>
        <v>0</v>
      </c>
      <c r="L14" s="214"/>
      <c r="M14" s="214"/>
      <c r="N14" s="214"/>
      <c r="O14" s="326"/>
      <c r="P14" s="214"/>
      <c r="Q14" s="239">
        <f t="shared" ref="Q14:Q77" si="9">R14+U14</f>
        <v>0</v>
      </c>
      <c r="R14" s="214">
        <f t="shared" ref="R14:R77" si="10">S14+T14</f>
        <v>0</v>
      </c>
      <c r="S14" s="214"/>
      <c r="T14" s="214"/>
      <c r="U14" s="239">
        <f>V14+W14</f>
        <v>0</v>
      </c>
      <c r="V14" s="214"/>
      <c r="W14" s="214"/>
      <c r="X14" s="214"/>
      <c r="Y14" s="214"/>
      <c r="Z14" s="214"/>
      <c r="AA14" s="214"/>
      <c r="AB14" s="214">
        <f t="shared" ref="AB14:AB77" si="11">AC14+AD14</f>
        <v>217</v>
      </c>
      <c r="AC14" s="214">
        <v>217</v>
      </c>
      <c r="AD14" s="214"/>
      <c r="AE14" s="214"/>
      <c r="AF14" s="214">
        <f t="shared" ref="AF14:AF75" si="12">AG14</f>
        <v>0</v>
      </c>
      <c r="AG14" s="214"/>
      <c r="AH14" s="214"/>
      <c r="AI14" s="214">
        <f t="shared" ref="AI14:AI75" si="13">AJ14</f>
        <v>0</v>
      </c>
      <c r="AJ14" s="214"/>
      <c r="AK14" s="214"/>
      <c r="AL14" s="214">
        <f t="shared" si="2"/>
        <v>100</v>
      </c>
      <c r="AM14" s="214"/>
      <c r="AN14" s="214">
        <f t="shared" si="2"/>
        <v>100</v>
      </c>
      <c r="AO14" s="194"/>
    </row>
    <row r="15" spans="1:41" s="309" customFormat="1" ht="32.25" customHeight="1" x14ac:dyDescent="0.25">
      <c r="A15" s="215"/>
      <c r="B15" s="216" t="s">
        <v>169</v>
      </c>
      <c r="C15" s="307">
        <f>C16+C17+C18+C19+C20</f>
        <v>507.37189999999998</v>
      </c>
      <c r="D15" s="307">
        <f t="shared" ref="D15:AO15" si="14">D16+D17+D18+D19+D20</f>
        <v>0</v>
      </c>
      <c r="E15" s="307">
        <f t="shared" si="14"/>
        <v>507.37189999999998</v>
      </c>
      <c r="F15" s="307">
        <f t="shared" si="14"/>
        <v>0</v>
      </c>
      <c r="G15" s="307">
        <f t="shared" si="14"/>
        <v>485.46899999999999</v>
      </c>
      <c r="H15" s="307">
        <f t="shared" si="14"/>
        <v>0</v>
      </c>
      <c r="I15" s="307">
        <f t="shared" si="14"/>
        <v>485.46899999999999</v>
      </c>
      <c r="J15" s="307">
        <f t="shared" si="14"/>
        <v>180</v>
      </c>
      <c r="K15" s="307">
        <f t="shared" si="14"/>
        <v>0</v>
      </c>
      <c r="L15" s="307">
        <f t="shared" si="14"/>
        <v>0</v>
      </c>
      <c r="M15" s="307">
        <f t="shared" si="14"/>
        <v>0</v>
      </c>
      <c r="N15" s="307">
        <f t="shared" si="14"/>
        <v>180</v>
      </c>
      <c r="O15" s="356">
        <f t="shared" si="14"/>
        <v>180</v>
      </c>
      <c r="P15" s="307">
        <f t="shared" si="14"/>
        <v>0</v>
      </c>
      <c r="Q15" s="242">
        <f t="shared" si="14"/>
        <v>0</v>
      </c>
      <c r="R15" s="307">
        <f t="shared" si="14"/>
        <v>0</v>
      </c>
      <c r="S15" s="307">
        <f t="shared" si="14"/>
        <v>0</v>
      </c>
      <c r="T15" s="307">
        <f t="shared" si="14"/>
        <v>0</v>
      </c>
      <c r="U15" s="242">
        <f t="shared" si="14"/>
        <v>0</v>
      </c>
      <c r="V15" s="307">
        <f t="shared" si="14"/>
        <v>0</v>
      </c>
      <c r="W15" s="307">
        <f t="shared" si="14"/>
        <v>0</v>
      </c>
      <c r="X15" s="307">
        <f t="shared" si="14"/>
        <v>0</v>
      </c>
      <c r="Y15" s="307">
        <f t="shared" si="14"/>
        <v>0</v>
      </c>
      <c r="Z15" s="307">
        <f t="shared" si="14"/>
        <v>0</v>
      </c>
      <c r="AA15" s="307">
        <f t="shared" si="14"/>
        <v>0</v>
      </c>
      <c r="AB15" s="307">
        <f t="shared" si="14"/>
        <v>305.46899999999999</v>
      </c>
      <c r="AC15" s="307">
        <f t="shared" si="14"/>
        <v>305.46899999999999</v>
      </c>
      <c r="AD15" s="307">
        <f t="shared" si="14"/>
        <v>0</v>
      </c>
      <c r="AE15" s="307">
        <f t="shared" si="14"/>
        <v>0</v>
      </c>
      <c r="AF15" s="307">
        <f t="shared" si="14"/>
        <v>0</v>
      </c>
      <c r="AG15" s="307">
        <f t="shared" si="14"/>
        <v>0</v>
      </c>
      <c r="AH15" s="307">
        <f t="shared" si="14"/>
        <v>0</v>
      </c>
      <c r="AI15" s="307">
        <f t="shared" si="14"/>
        <v>0</v>
      </c>
      <c r="AJ15" s="307">
        <f t="shared" si="14"/>
        <v>0</v>
      </c>
      <c r="AK15" s="307">
        <f t="shared" si="14"/>
        <v>0</v>
      </c>
      <c r="AL15" s="308">
        <f t="shared" si="2"/>
        <v>95.683067982282822</v>
      </c>
      <c r="AM15" s="308"/>
      <c r="AN15" s="308">
        <f t="shared" si="2"/>
        <v>95.683067982282822</v>
      </c>
      <c r="AO15" s="215">
        <f t="shared" si="14"/>
        <v>0</v>
      </c>
    </row>
    <row r="16" spans="1:41" ht="32.25" customHeight="1" x14ac:dyDescent="0.25">
      <c r="A16" s="194" t="s">
        <v>177</v>
      </c>
      <c r="B16" s="213" t="s">
        <v>178</v>
      </c>
      <c r="C16" s="214">
        <f>D16+E16</f>
        <v>277</v>
      </c>
      <c r="D16" s="214"/>
      <c r="E16" s="214">
        <v>277</v>
      </c>
      <c r="F16" s="214"/>
      <c r="G16" s="214">
        <f t="shared" si="4"/>
        <v>277</v>
      </c>
      <c r="H16" s="214">
        <f t="shared" si="5"/>
        <v>0</v>
      </c>
      <c r="I16" s="214">
        <f t="shared" si="6"/>
        <v>277</v>
      </c>
      <c r="J16" s="214">
        <f t="shared" si="7"/>
        <v>0</v>
      </c>
      <c r="K16" s="214">
        <f t="shared" si="8"/>
        <v>0</v>
      </c>
      <c r="L16" s="214"/>
      <c r="M16" s="214"/>
      <c r="N16" s="214"/>
      <c r="O16" s="326"/>
      <c r="P16" s="214"/>
      <c r="Q16" s="239">
        <f t="shared" si="9"/>
        <v>0</v>
      </c>
      <c r="R16" s="214">
        <f t="shared" si="10"/>
        <v>0</v>
      </c>
      <c r="S16" s="214"/>
      <c r="T16" s="214"/>
      <c r="U16" s="239">
        <f>V16+W16</f>
        <v>0</v>
      </c>
      <c r="V16" s="214"/>
      <c r="W16" s="214"/>
      <c r="X16" s="214"/>
      <c r="Y16" s="214"/>
      <c r="Z16" s="214"/>
      <c r="AA16" s="214"/>
      <c r="AB16" s="214">
        <f t="shared" si="11"/>
        <v>277</v>
      </c>
      <c r="AC16" s="214">
        <v>277</v>
      </c>
      <c r="AD16" s="214"/>
      <c r="AE16" s="214"/>
      <c r="AF16" s="214">
        <f t="shared" si="12"/>
        <v>0</v>
      </c>
      <c r="AG16" s="214"/>
      <c r="AH16" s="214"/>
      <c r="AI16" s="214">
        <f t="shared" si="13"/>
        <v>0</v>
      </c>
      <c r="AJ16" s="214"/>
      <c r="AK16" s="214"/>
      <c r="AL16" s="214">
        <f t="shared" si="2"/>
        <v>100</v>
      </c>
      <c r="AM16" s="214"/>
      <c r="AN16" s="214">
        <f t="shared" si="2"/>
        <v>100</v>
      </c>
      <c r="AO16" s="194"/>
    </row>
    <row r="17" spans="1:41" ht="32.25" customHeight="1" x14ac:dyDescent="0.25">
      <c r="A17" s="194" t="s">
        <v>165</v>
      </c>
      <c r="B17" s="213" t="s">
        <v>168</v>
      </c>
      <c r="C17" s="214">
        <f>D17+E17</f>
        <v>35</v>
      </c>
      <c r="D17" s="214"/>
      <c r="E17" s="214">
        <v>35</v>
      </c>
      <c r="F17" s="214"/>
      <c r="G17" s="239">
        <f t="shared" si="4"/>
        <v>13.468999999999999</v>
      </c>
      <c r="H17" s="214">
        <f t="shared" si="5"/>
        <v>0</v>
      </c>
      <c r="I17" s="214">
        <f t="shared" si="6"/>
        <v>13.468999999999999</v>
      </c>
      <c r="J17" s="214">
        <f t="shared" si="7"/>
        <v>0</v>
      </c>
      <c r="K17" s="214">
        <f t="shared" si="8"/>
        <v>0</v>
      </c>
      <c r="L17" s="214"/>
      <c r="M17" s="214"/>
      <c r="N17" s="214"/>
      <c r="O17" s="326"/>
      <c r="P17" s="214"/>
      <c r="Q17" s="239">
        <f t="shared" si="9"/>
        <v>0</v>
      </c>
      <c r="R17" s="214">
        <f t="shared" si="10"/>
        <v>0</v>
      </c>
      <c r="S17" s="214"/>
      <c r="T17" s="214"/>
      <c r="U17" s="239">
        <f>V17+W17</f>
        <v>0</v>
      </c>
      <c r="V17" s="214"/>
      <c r="W17" s="214"/>
      <c r="X17" s="214"/>
      <c r="Y17" s="214"/>
      <c r="Z17" s="214"/>
      <c r="AA17" s="214"/>
      <c r="AB17" s="214">
        <f t="shared" si="11"/>
        <v>13.468999999999999</v>
      </c>
      <c r="AC17" s="214">
        <v>13.468999999999999</v>
      </c>
      <c r="AD17" s="214"/>
      <c r="AE17" s="214"/>
      <c r="AF17" s="214">
        <f t="shared" si="12"/>
        <v>0</v>
      </c>
      <c r="AG17" s="214"/>
      <c r="AH17" s="214"/>
      <c r="AI17" s="214">
        <f t="shared" si="13"/>
        <v>0</v>
      </c>
      <c r="AJ17" s="214"/>
      <c r="AK17" s="214"/>
      <c r="AL17" s="214">
        <f t="shared" si="2"/>
        <v>38.482857142857142</v>
      </c>
      <c r="AM17" s="214"/>
      <c r="AN17" s="214">
        <f t="shared" si="2"/>
        <v>38.482857142857142</v>
      </c>
      <c r="AO17" s="194"/>
    </row>
    <row r="18" spans="1:41" ht="32.25" customHeight="1" x14ac:dyDescent="0.25">
      <c r="A18" s="194" t="s">
        <v>166</v>
      </c>
      <c r="B18" s="213" t="s">
        <v>167</v>
      </c>
      <c r="C18" s="214">
        <f>D18+E18</f>
        <v>15.3719</v>
      </c>
      <c r="D18" s="214"/>
      <c r="E18" s="214">
        <v>15.3719</v>
      </c>
      <c r="F18" s="214"/>
      <c r="G18" s="214">
        <f t="shared" si="4"/>
        <v>15</v>
      </c>
      <c r="H18" s="214">
        <f t="shared" si="5"/>
        <v>0</v>
      </c>
      <c r="I18" s="214">
        <f t="shared" si="6"/>
        <v>15</v>
      </c>
      <c r="J18" s="214">
        <f t="shared" si="7"/>
        <v>0</v>
      </c>
      <c r="K18" s="214">
        <f t="shared" si="8"/>
        <v>0</v>
      </c>
      <c r="L18" s="214"/>
      <c r="M18" s="214"/>
      <c r="N18" s="214"/>
      <c r="O18" s="326"/>
      <c r="P18" s="214"/>
      <c r="Q18" s="239">
        <f t="shared" si="9"/>
        <v>0</v>
      </c>
      <c r="R18" s="214">
        <f t="shared" si="10"/>
        <v>0</v>
      </c>
      <c r="S18" s="214"/>
      <c r="T18" s="214"/>
      <c r="U18" s="239">
        <f>V18+W18</f>
        <v>0</v>
      </c>
      <c r="V18" s="214"/>
      <c r="W18" s="214"/>
      <c r="X18" s="214"/>
      <c r="Y18" s="214"/>
      <c r="Z18" s="214"/>
      <c r="AA18" s="214"/>
      <c r="AB18" s="214">
        <f t="shared" si="11"/>
        <v>15</v>
      </c>
      <c r="AC18" s="214">
        <v>15</v>
      </c>
      <c r="AD18" s="214"/>
      <c r="AE18" s="214"/>
      <c r="AF18" s="214">
        <f t="shared" si="12"/>
        <v>0</v>
      </c>
      <c r="AG18" s="214"/>
      <c r="AH18" s="214"/>
      <c r="AI18" s="214">
        <f t="shared" si="13"/>
        <v>0</v>
      </c>
      <c r="AJ18" s="214"/>
      <c r="AK18" s="214"/>
      <c r="AL18" s="214">
        <f t="shared" si="2"/>
        <v>97.580650407561848</v>
      </c>
      <c r="AM18" s="214"/>
      <c r="AN18" s="214">
        <f t="shared" si="2"/>
        <v>97.580650407561848</v>
      </c>
      <c r="AO18" s="194"/>
    </row>
    <row r="19" spans="1:41" ht="32.25" customHeight="1" x14ac:dyDescent="0.25">
      <c r="A19" s="194" t="s">
        <v>179</v>
      </c>
      <c r="B19" s="213" t="s">
        <v>180</v>
      </c>
      <c r="C19" s="214">
        <f>D19+E19</f>
        <v>80</v>
      </c>
      <c r="D19" s="214"/>
      <c r="E19" s="214">
        <v>80</v>
      </c>
      <c r="F19" s="214"/>
      <c r="G19" s="214">
        <f t="shared" si="4"/>
        <v>80</v>
      </c>
      <c r="H19" s="214">
        <f t="shared" si="5"/>
        <v>0</v>
      </c>
      <c r="I19" s="214">
        <f t="shared" si="6"/>
        <v>80</v>
      </c>
      <c r="J19" s="214">
        <f t="shared" si="7"/>
        <v>80</v>
      </c>
      <c r="K19" s="214">
        <f t="shared" si="8"/>
        <v>0</v>
      </c>
      <c r="L19" s="214"/>
      <c r="M19" s="214"/>
      <c r="N19" s="214">
        <f>O19</f>
        <v>80</v>
      </c>
      <c r="O19" s="326">
        <v>80</v>
      </c>
      <c r="P19" s="214"/>
      <c r="Q19" s="239">
        <f t="shared" si="9"/>
        <v>0</v>
      </c>
      <c r="R19" s="214">
        <f t="shared" si="10"/>
        <v>0</v>
      </c>
      <c r="S19" s="214"/>
      <c r="T19" s="214"/>
      <c r="U19" s="239">
        <f>V19+W19</f>
        <v>0</v>
      </c>
      <c r="V19" s="214"/>
      <c r="W19" s="214"/>
      <c r="X19" s="214"/>
      <c r="Y19" s="214"/>
      <c r="Z19" s="214"/>
      <c r="AA19" s="214"/>
      <c r="AB19" s="214">
        <f t="shared" si="11"/>
        <v>0</v>
      </c>
      <c r="AC19" s="214"/>
      <c r="AD19" s="214"/>
      <c r="AE19" s="214"/>
      <c r="AF19" s="214">
        <f t="shared" si="12"/>
        <v>0</v>
      </c>
      <c r="AG19" s="214"/>
      <c r="AH19" s="214"/>
      <c r="AI19" s="214">
        <f t="shared" si="13"/>
        <v>0</v>
      </c>
      <c r="AJ19" s="214"/>
      <c r="AK19" s="214"/>
      <c r="AL19" s="214">
        <f t="shared" si="2"/>
        <v>100</v>
      </c>
      <c r="AM19" s="214"/>
      <c r="AN19" s="214">
        <f t="shared" si="2"/>
        <v>100</v>
      </c>
      <c r="AO19" s="194"/>
    </row>
    <row r="20" spans="1:41" ht="32.25" customHeight="1" x14ac:dyDescent="0.25">
      <c r="A20" s="194" t="s">
        <v>181</v>
      </c>
      <c r="B20" s="213" t="s">
        <v>164</v>
      </c>
      <c r="C20" s="214">
        <f>D20+E20</f>
        <v>100</v>
      </c>
      <c r="D20" s="214"/>
      <c r="E20" s="214">
        <v>100</v>
      </c>
      <c r="F20" s="214"/>
      <c r="G20" s="214">
        <f t="shared" si="4"/>
        <v>100</v>
      </c>
      <c r="H20" s="214">
        <f t="shared" si="5"/>
        <v>0</v>
      </c>
      <c r="I20" s="214">
        <f t="shared" si="6"/>
        <v>100</v>
      </c>
      <c r="J20" s="214">
        <f t="shared" si="7"/>
        <v>100</v>
      </c>
      <c r="K20" s="214">
        <f t="shared" si="8"/>
        <v>0</v>
      </c>
      <c r="L20" s="214"/>
      <c r="M20" s="214"/>
      <c r="N20" s="214">
        <f>O20</f>
        <v>100</v>
      </c>
      <c r="O20" s="326">
        <v>100</v>
      </c>
      <c r="P20" s="214"/>
      <c r="Q20" s="239">
        <f t="shared" si="9"/>
        <v>0</v>
      </c>
      <c r="R20" s="214">
        <f t="shared" si="10"/>
        <v>0</v>
      </c>
      <c r="S20" s="214"/>
      <c r="T20" s="214"/>
      <c r="U20" s="239">
        <f>V20+W20</f>
        <v>0</v>
      </c>
      <c r="V20" s="214"/>
      <c r="W20" s="214"/>
      <c r="X20" s="214"/>
      <c r="Y20" s="214"/>
      <c r="Z20" s="214"/>
      <c r="AA20" s="214"/>
      <c r="AB20" s="214">
        <f t="shared" si="11"/>
        <v>0</v>
      </c>
      <c r="AC20" s="214"/>
      <c r="AD20" s="214"/>
      <c r="AE20" s="214"/>
      <c r="AF20" s="214">
        <f t="shared" si="12"/>
        <v>0</v>
      </c>
      <c r="AG20" s="214"/>
      <c r="AH20" s="214"/>
      <c r="AI20" s="214">
        <f t="shared" si="13"/>
        <v>0</v>
      </c>
      <c r="AJ20" s="214"/>
      <c r="AK20" s="214"/>
      <c r="AL20" s="214">
        <f t="shared" si="2"/>
        <v>100</v>
      </c>
      <c r="AM20" s="214"/>
      <c r="AN20" s="214">
        <f t="shared" si="2"/>
        <v>100</v>
      </c>
      <c r="AO20" s="194"/>
    </row>
    <row r="21" spans="1:41" s="297" customFormat="1" ht="32.25" customHeight="1" x14ac:dyDescent="0.25">
      <c r="A21" s="211"/>
      <c r="B21" s="212" t="s">
        <v>170</v>
      </c>
      <c r="C21" s="308">
        <f>C22+C25</f>
        <v>18045</v>
      </c>
      <c r="D21" s="308">
        <f t="shared" ref="D21:AO21" si="15">D22+D25</f>
        <v>17951</v>
      </c>
      <c r="E21" s="308">
        <f t="shared" si="15"/>
        <v>94</v>
      </c>
      <c r="F21" s="308">
        <f t="shared" si="15"/>
        <v>0</v>
      </c>
      <c r="G21" s="310">
        <f>G22+G25</f>
        <v>16763.010363999998</v>
      </c>
      <c r="H21" s="308">
        <f t="shared" si="15"/>
        <v>16759.410363999999</v>
      </c>
      <c r="I21" s="308">
        <f t="shared" si="15"/>
        <v>3.6</v>
      </c>
      <c r="J21" s="308">
        <f t="shared" si="15"/>
        <v>0</v>
      </c>
      <c r="K21" s="308">
        <f t="shared" si="15"/>
        <v>0</v>
      </c>
      <c r="L21" s="308">
        <f t="shared" si="15"/>
        <v>0</v>
      </c>
      <c r="M21" s="308">
        <f t="shared" si="15"/>
        <v>0</v>
      </c>
      <c r="N21" s="308">
        <f t="shared" si="15"/>
        <v>0</v>
      </c>
      <c r="O21" s="311">
        <f t="shared" si="15"/>
        <v>0</v>
      </c>
      <c r="P21" s="308">
        <f t="shared" si="15"/>
        <v>0</v>
      </c>
      <c r="Q21" s="240">
        <f t="shared" si="15"/>
        <v>16763.010363999998</v>
      </c>
      <c r="R21" s="308">
        <f t="shared" si="15"/>
        <v>16759.410363999999</v>
      </c>
      <c r="S21" s="308">
        <f t="shared" si="15"/>
        <v>16759.410363999999</v>
      </c>
      <c r="T21" s="308">
        <f t="shared" si="15"/>
        <v>0</v>
      </c>
      <c r="U21" s="240">
        <f t="shared" si="15"/>
        <v>3.6</v>
      </c>
      <c r="V21" s="308">
        <f t="shared" si="15"/>
        <v>3.6</v>
      </c>
      <c r="W21" s="308">
        <f t="shared" si="15"/>
        <v>0</v>
      </c>
      <c r="X21" s="308">
        <f t="shared" si="15"/>
        <v>0</v>
      </c>
      <c r="Y21" s="308">
        <f t="shared" si="15"/>
        <v>0</v>
      </c>
      <c r="Z21" s="308">
        <f t="shared" si="15"/>
        <v>0</v>
      </c>
      <c r="AA21" s="308">
        <f t="shared" si="15"/>
        <v>0</v>
      </c>
      <c r="AB21" s="308">
        <f t="shared" si="15"/>
        <v>0</v>
      </c>
      <c r="AC21" s="308">
        <f t="shared" si="15"/>
        <v>0</v>
      </c>
      <c r="AD21" s="308">
        <f t="shared" si="15"/>
        <v>0</v>
      </c>
      <c r="AE21" s="308">
        <f t="shared" si="15"/>
        <v>0</v>
      </c>
      <c r="AF21" s="308">
        <f t="shared" si="15"/>
        <v>0</v>
      </c>
      <c r="AG21" s="308">
        <f t="shared" si="15"/>
        <v>0</v>
      </c>
      <c r="AH21" s="308">
        <f t="shared" si="15"/>
        <v>0</v>
      </c>
      <c r="AI21" s="308">
        <f t="shared" si="15"/>
        <v>0</v>
      </c>
      <c r="AJ21" s="308">
        <f t="shared" si="15"/>
        <v>0</v>
      </c>
      <c r="AK21" s="308">
        <f t="shared" si="15"/>
        <v>0</v>
      </c>
      <c r="AL21" s="308">
        <f t="shared" si="2"/>
        <v>92.895596364643936</v>
      </c>
      <c r="AM21" s="308">
        <f t="shared" si="2"/>
        <v>93.361987432455024</v>
      </c>
      <c r="AN21" s="308">
        <f t="shared" si="2"/>
        <v>3.8297872340425534</v>
      </c>
      <c r="AO21" s="211">
        <f t="shared" si="15"/>
        <v>0</v>
      </c>
    </row>
    <row r="22" spans="1:41" s="297" customFormat="1" ht="32.25" customHeight="1" x14ac:dyDescent="0.25">
      <c r="A22" s="211">
        <v>1</v>
      </c>
      <c r="B22" s="212" t="s">
        <v>169</v>
      </c>
      <c r="C22" s="308">
        <f>C23</f>
        <v>94</v>
      </c>
      <c r="D22" s="308">
        <f>D23</f>
        <v>0</v>
      </c>
      <c r="E22" s="308">
        <f>E23</f>
        <v>94</v>
      </c>
      <c r="F22" s="308">
        <f>F23</f>
        <v>0</v>
      </c>
      <c r="G22" s="308">
        <f>G23+G24</f>
        <v>3.6</v>
      </c>
      <c r="H22" s="308">
        <f t="shared" ref="H22:AK22" si="16">H23+H24</f>
        <v>0</v>
      </c>
      <c r="I22" s="308">
        <f t="shared" si="16"/>
        <v>3.6</v>
      </c>
      <c r="J22" s="308">
        <f t="shared" si="16"/>
        <v>0</v>
      </c>
      <c r="K22" s="308">
        <f t="shared" si="16"/>
        <v>0</v>
      </c>
      <c r="L22" s="308">
        <f t="shared" si="16"/>
        <v>0</v>
      </c>
      <c r="M22" s="308">
        <f t="shared" si="16"/>
        <v>0</v>
      </c>
      <c r="N22" s="308">
        <f t="shared" si="16"/>
        <v>0</v>
      </c>
      <c r="O22" s="311">
        <f t="shared" si="16"/>
        <v>0</v>
      </c>
      <c r="P22" s="308">
        <f t="shared" si="16"/>
        <v>0</v>
      </c>
      <c r="Q22" s="240">
        <f t="shared" si="16"/>
        <v>3.6</v>
      </c>
      <c r="R22" s="308">
        <f t="shared" si="16"/>
        <v>0</v>
      </c>
      <c r="S22" s="308">
        <f t="shared" si="16"/>
        <v>0</v>
      </c>
      <c r="T22" s="308">
        <f t="shared" si="16"/>
        <v>0</v>
      </c>
      <c r="U22" s="240">
        <f t="shared" si="16"/>
        <v>3.6</v>
      </c>
      <c r="V22" s="308">
        <f t="shared" si="16"/>
        <v>3.6</v>
      </c>
      <c r="W22" s="308">
        <f t="shared" si="16"/>
        <v>0</v>
      </c>
      <c r="X22" s="308">
        <f t="shared" si="16"/>
        <v>0</v>
      </c>
      <c r="Y22" s="308">
        <f t="shared" si="16"/>
        <v>0</v>
      </c>
      <c r="Z22" s="308">
        <f t="shared" si="16"/>
        <v>0</v>
      </c>
      <c r="AA22" s="308">
        <f t="shared" si="16"/>
        <v>0</v>
      </c>
      <c r="AB22" s="308">
        <f t="shared" si="16"/>
        <v>0</v>
      </c>
      <c r="AC22" s="308">
        <f t="shared" si="16"/>
        <v>0</v>
      </c>
      <c r="AD22" s="308">
        <f t="shared" si="16"/>
        <v>0</v>
      </c>
      <c r="AE22" s="308">
        <f t="shared" si="16"/>
        <v>0</v>
      </c>
      <c r="AF22" s="308">
        <f t="shared" si="16"/>
        <v>0</v>
      </c>
      <c r="AG22" s="308">
        <f t="shared" si="16"/>
        <v>0</v>
      </c>
      <c r="AH22" s="308">
        <f t="shared" si="16"/>
        <v>0</v>
      </c>
      <c r="AI22" s="308">
        <f t="shared" si="16"/>
        <v>0</v>
      </c>
      <c r="AJ22" s="308">
        <f t="shared" si="16"/>
        <v>0</v>
      </c>
      <c r="AK22" s="308">
        <f t="shared" si="16"/>
        <v>0</v>
      </c>
      <c r="AL22" s="308">
        <f t="shared" si="2"/>
        <v>3.8297872340425534</v>
      </c>
      <c r="AM22" s="308"/>
      <c r="AN22" s="308">
        <f t="shared" si="2"/>
        <v>3.8297872340425534</v>
      </c>
      <c r="AO22" s="211">
        <f>AO23</f>
        <v>0</v>
      </c>
    </row>
    <row r="23" spans="1:41" ht="32.25" customHeight="1" x14ac:dyDescent="0.25">
      <c r="A23" s="194"/>
      <c r="B23" s="213" t="s">
        <v>178</v>
      </c>
      <c r="C23" s="214">
        <f>D23+E23</f>
        <v>94</v>
      </c>
      <c r="D23" s="214"/>
      <c r="E23" s="214">
        <v>94</v>
      </c>
      <c r="F23" s="214"/>
      <c r="G23" s="214">
        <f t="shared" si="4"/>
        <v>0</v>
      </c>
      <c r="H23" s="214">
        <f t="shared" si="5"/>
        <v>0</v>
      </c>
      <c r="I23" s="214">
        <f t="shared" si="6"/>
        <v>0</v>
      </c>
      <c r="J23" s="214">
        <f t="shared" si="7"/>
        <v>0</v>
      </c>
      <c r="K23" s="214">
        <f t="shared" si="8"/>
        <v>0</v>
      </c>
      <c r="L23" s="214"/>
      <c r="M23" s="214"/>
      <c r="N23" s="214"/>
      <c r="O23" s="326"/>
      <c r="P23" s="214"/>
      <c r="Q23" s="239">
        <f t="shared" si="9"/>
        <v>0</v>
      </c>
      <c r="R23" s="214">
        <f t="shared" si="10"/>
        <v>0</v>
      </c>
      <c r="S23" s="214">
        <f>T23+U23</f>
        <v>0</v>
      </c>
      <c r="T23" s="214"/>
      <c r="U23" s="239">
        <f>V23+W23</f>
        <v>0</v>
      </c>
      <c r="V23" s="214">
        <f>W23+X23</f>
        <v>0</v>
      </c>
      <c r="W23" s="214"/>
      <c r="X23" s="214"/>
      <c r="Y23" s="214"/>
      <c r="Z23" s="214"/>
      <c r="AA23" s="214"/>
      <c r="AB23" s="214">
        <f t="shared" si="11"/>
        <v>0</v>
      </c>
      <c r="AC23" s="214"/>
      <c r="AD23" s="214"/>
      <c r="AE23" s="214"/>
      <c r="AF23" s="214">
        <f t="shared" si="12"/>
        <v>0</v>
      </c>
      <c r="AG23" s="214"/>
      <c r="AH23" s="214"/>
      <c r="AI23" s="214">
        <f t="shared" si="13"/>
        <v>0</v>
      </c>
      <c r="AJ23" s="214"/>
      <c r="AK23" s="214"/>
      <c r="AL23" s="214">
        <f t="shared" si="2"/>
        <v>0</v>
      </c>
      <c r="AM23" s="214"/>
      <c r="AN23" s="214">
        <f t="shared" si="2"/>
        <v>0</v>
      </c>
      <c r="AO23" s="194"/>
    </row>
    <row r="24" spans="1:41" ht="32.25" customHeight="1" x14ac:dyDescent="0.25">
      <c r="A24" s="194"/>
      <c r="B24" s="213" t="s">
        <v>1105</v>
      </c>
      <c r="C24" s="214">
        <v>3.6</v>
      </c>
      <c r="D24" s="214"/>
      <c r="E24" s="214">
        <v>3.6</v>
      </c>
      <c r="F24" s="214"/>
      <c r="G24" s="214">
        <f t="shared" si="4"/>
        <v>3.6</v>
      </c>
      <c r="H24" s="214">
        <f t="shared" si="5"/>
        <v>0</v>
      </c>
      <c r="I24" s="214">
        <f t="shared" si="6"/>
        <v>3.6</v>
      </c>
      <c r="J24" s="214"/>
      <c r="K24" s="214"/>
      <c r="L24" s="214"/>
      <c r="M24" s="214"/>
      <c r="N24" s="214"/>
      <c r="O24" s="326"/>
      <c r="P24" s="214"/>
      <c r="Q24" s="239">
        <f t="shared" si="9"/>
        <v>3.6</v>
      </c>
      <c r="R24" s="214">
        <f t="shared" si="10"/>
        <v>0</v>
      </c>
      <c r="S24" s="214"/>
      <c r="T24" s="214"/>
      <c r="U24" s="239">
        <v>3.6</v>
      </c>
      <c r="V24" s="214">
        <v>3.6</v>
      </c>
      <c r="W24" s="214"/>
      <c r="X24" s="214"/>
      <c r="Y24" s="214"/>
      <c r="Z24" s="214"/>
      <c r="AA24" s="214"/>
      <c r="AB24" s="214"/>
      <c r="AC24" s="214"/>
      <c r="AD24" s="214"/>
      <c r="AE24" s="214"/>
      <c r="AF24" s="214"/>
      <c r="AG24" s="214"/>
      <c r="AH24" s="214"/>
      <c r="AI24" s="214"/>
      <c r="AJ24" s="214"/>
      <c r="AK24" s="214"/>
      <c r="AL24" s="214"/>
      <c r="AM24" s="214"/>
      <c r="AN24" s="214"/>
      <c r="AO24" s="194"/>
    </row>
    <row r="25" spans="1:41" s="297" customFormat="1" ht="32.25" customHeight="1" x14ac:dyDescent="0.25">
      <c r="A25" s="211"/>
      <c r="B25" s="212" t="s">
        <v>171</v>
      </c>
      <c r="C25" s="308">
        <f>C26+C58</f>
        <v>17951</v>
      </c>
      <c r="D25" s="308">
        <f t="shared" ref="D25:AO25" si="17">D26+D58</f>
        <v>17951</v>
      </c>
      <c r="E25" s="308">
        <f t="shared" si="17"/>
        <v>0</v>
      </c>
      <c r="F25" s="308">
        <f t="shared" si="17"/>
        <v>0</v>
      </c>
      <c r="G25" s="311">
        <f>G26+G58</f>
        <v>16759.410363999999</v>
      </c>
      <c r="H25" s="308">
        <f t="shared" si="17"/>
        <v>16759.410363999999</v>
      </c>
      <c r="I25" s="308">
        <f t="shared" si="17"/>
        <v>0</v>
      </c>
      <c r="J25" s="308">
        <f t="shared" si="17"/>
        <v>0</v>
      </c>
      <c r="K25" s="308">
        <f t="shared" si="17"/>
        <v>0</v>
      </c>
      <c r="L25" s="308">
        <f t="shared" si="17"/>
        <v>0</v>
      </c>
      <c r="M25" s="308">
        <f t="shared" si="17"/>
        <v>0</v>
      </c>
      <c r="N25" s="308">
        <f t="shared" si="17"/>
        <v>0</v>
      </c>
      <c r="O25" s="311">
        <f t="shared" si="17"/>
        <v>0</v>
      </c>
      <c r="P25" s="308">
        <f t="shared" si="17"/>
        <v>0</v>
      </c>
      <c r="Q25" s="240">
        <f t="shared" si="17"/>
        <v>16759.410363999999</v>
      </c>
      <c r="R25" s="308">
        <f t="shared" si="17"/>
        <v>16759.410363999999</v>
      </c>
      <c r="S25" s="308">
        <f t="shared" si="17"/>
        <v>16759.410363999999</v>
      </c>
      <c r="T25" s="308">
        <f t="shared" si="17"/>
        <v>0</v>
      </c>
      <c r="U25" s="240">
        <f t="shared" si="17"/>
        <v>0</v>
      </c>
      <c r="V25" s="308">
        <f t="shared" si="17"/>
        <v>0</v>
      </c>
      <c r="W25" s="308">
        <f t="shared" si="17"/>
        <v>0</v>
      </c>
      <c r="X25" s="308">
        <f t="shared" si="17"/>
        <v>0</v>
      </c>
      <c r="Y25" s="308">
        <f t="shared" si="17"/>
        <v>0</v>
      </c>
      <c r="Z25" s="308">
        <f t="shared" si="17"/>
        <v>0</v>
      </c>
      <c r="AA25" s="308">
        <f t="shared" si="17"/>
        <v>0</v>
      </c>
      <c r="AB25" s="308">
        <f t="shared" si="17"/>
        <v>0</v>
      </c>
      <c r="AC25" s="308">
        <f t="shared" si="17"/>
        <v>0</v>
      </c>
      <c r="AD25" s="308">
        <f t="shared" si="17"/>
        <v>0</v>
      </c>
      <c r="AE25" s="308">
        <f t="shared" si="17"/>
        <v>0</v>
      </c>
      <c r="AF25" s="308">
        <f t="shared" si="17"/>
        <v>0</v>
      </c>
      <c r="AG25" s="308">
        <f t="shared" si="17"/>
        <v>0</v>
      </c>
      <c r="AH25" s="308">
        <f t="shared" si="17"/>
        <v>0</v>
      </c>
      <c r="AI25" s="308">
        <f t="shared" si="17"/>
        <v>0</v>
      </c>
      <c r="AJ25" s="308">
        <f t="shared" si="17"/>
        <v>0</v>
      </c>
      <c r="AK25" s="308">
        <f t="shared" si="17"/>
        <v>0</v>
      </c>
      <c r="AL25" s="308">
        <f t="shared" si="2"/>
        <v>93.361987432455024</v>
      </c>
      <c r="AM25" s="308">
        <f t="shared" si="2"/>
        <v>93.361987432455024</v>
      </c>
      <c r="AN25" s="308"/>
      <c r="AO25" s="312">
        <f t="shared" si="17"/>
        <v>0</v>
      </c>
    </row>
    <row r="26" spans="1:41" s="388" customFormat="1" ht="32.25" customHeight="1" x14ac:dyDescent="0.25">
      <c r="A26" s="382"/>
      <c r="B26" s="383" t="s">
        <v>172</v>
      </c>
      <c r="C26" s="384">
        <f>D26+E26</f>
        <v>9920</v>
      </c>
      <c r="D26" s="384">
        <f>SUM(D27:D57)</f>
        <v>9920</v>
      </c>
      <c r="E26" s="384"/>
      <c r="F26" s="384"/>
      <c r="G26" s="384">
        <f t="shared" si="4"/>
        <v>8893.5992970000007</v>
      </c>
      <c r="H26" s="384">
        <f t="shared" si="5"/>
        <v>8893.5992970000007</v>
      </c>
      <c r="I26" s="384">
        <f t="shared" si="6"/>
        <v>0</v>
      </c>
      <c r="J26" s="384">
        <f t="shared" si="7"/>
        <v>0</v>
      </c>
      <c r="K26" s="384">
        <f t="shared" si="8"/>
        <v>0</v>
      </c>
      <c r="L26" s="384"/>
      <c r="M26" s="384"/>
      <c r="N26" s="384"/>
      <c r="O26" s="385"/>
      <c r="P26" s="384"/>
      <c r="Q26" s="386">
        <f t="shared" si="9"/>
        <v>8893.5992970000007</v>
      </c>
      <c r="R26" s="384">
        <f t="shared" si="10"/>
        <v>8893.5992970000007</v>
      </c>
      <c r="S26" s="384">
        <f>SUM(S27:S57)</f>
        <v>8893.5992970000007</v>
      </c>
      <c r="T26" s="384"/>
      <c r="U26" s="386">
        <f t="shared" ref="U26:U57" si="18">V26+W26</f>
        <v>0</v>
      </c>
      <c r="V26" s="384"/>
      <c r="W26" s="384"/>
      <c r="X26" s="384"/>
      <c r="Y26" s="384"/>
      <c r="Z26" s="384"/>
      <c r="AA26" s="384"/>
      <c r="AB26" s="384">
        <f t="shared" si="11"/>
        <v>0</v>
      </c>
      <c r="AC26" s="384"/>
      <c r="AD26" s="384"/>
      <c r="AE26" s="384"/>
      <c r="AF26" s="384">
        <f t="shared" si="12"/>
        <v>0</v>
      </c>
      <c r="AG26" s="384"/>
      <c r="AH26" s="384"/>
      <c r="AI26" s="384">
        <f t="shared" si="13"/>
        <v>0</v>
      </c>
      <c r="AJ26" s="384"/>
      <c r="AK26" s="384"/>
      <c r="AL26" s="387">
        <f t="shared" si="2"/>
        <v>89.653218719758073</v>
      </c>
      <c r="AM26" s="387">
        <f t="shared" si="2"/>
        <v>89.653218719758073</v>
      </c>
      <c r="AN26" s="387"/>
      <c r="AO26" s="382"/>
    </row>
    <row r="27" spans="1:41" s="394" customFormat="1" ht="32.25" customHeight="1" x14ac:dyDescent="0.25">
      <c r="A27" s="389"/>
      <c r="B27" s="390" t="s">
        <v>304</v>
      </c>
      <c r="C27" s="391">
        <f t="shared" ref="C27:C90" si="19">D27+E27</f>
        <v>172</v>
      </c>
      <c r="D27" s="391">
        <v>172</v>
      </c>
      <c r="E27" s="391"/>
      <c r="F27" s="391"/>
      <c r="G27" s="391">
        <f t="shared" si="4"/>
        <v>172</v>
      </c>
      <c r="H27" s="391">
        <f t="shared" si="5"/>
        <v>172</v>
      </c>
      <c r="I27" s="391">
        <f t="shared" si="6"/>
        <v>0</v>
      </c>
      <c r="J27" s="391">
        <f t="shared" si="7"/>
        <v>0</v>
      </c>
      <c r="K27" s="391">
        <f t="shared" si="8"/>
        <v>0</v>
      </c>
      <c r="L27" s="391"/>
      <c r="M27" s="391"/>
      <c r="N27" s="391"/>
      <c r="O27" s="392"/>
      <c r="P27" s="391"/>
      <c r="Q27" s="393">
        <f t="shared" si="9"/>
        <v>172</v>
      </c>
      <c r="R27" s="391">
        <f t="shared" si="10"/>
        <v>172</v>
      </c>
      <c r="S27" s="391">
        <v>172</v>
      </c>
      <c r="T27" s="391"/>
      <c r="U27" s="393">
        <f t="shared" si="18"/>
        <v>0</v>
      </c>
      <c r="V27" s="391"/>
      <c r="W27" s="391"/>
      <c r="X27" s="391"/>
      <c r="Y27" s="391"/>
      <c r="Z27" s="391"/>
      <c r="AA27" s="391"/>
      <c r="AB27" s="391">
        <f t="shared" si="11"/>
        <v>0</v>
      </c>
      <c r="AC27" s="391"/>
      <c r="AD27" s="391"/>
      <c r="AE27" s="391"/>
      <c r="AF27" s="391">
        <f t="shared" si="12"/>
        <v>0</v>
      </c>
      <c r="AG27" s="391"/>
      <c r="AH27" s="391"/>
      <c r="AI27" s="391">
        <f t="shared" si="13"/>
        <v>0</v>
      </c>
      <c r="AJ27" s="391"/>
      <c r="AK27" s="391"/>
      <c r="AL27" s="391">
        <f t="shared" si="2"/>
        <v>100</v>
      </c>
      <c r="AM27" s="391">
        <f t="shared" si="2"/>
        <v>100</v>
      </c>
      <c r="AN27" s="391"/>
      <c r="AO27" s="389"/>
    </row>
    <row r="28" spans="1:41" s="394" customFormat="1" ht="32.25" customHeight="1" x14ac:dyDescent="0.25">
      <c r="A28" s="389"/>
      <c r="B28" s="390" t="s">
        <v>305</v>
      </c>
      <c r="C28" s="391">
        <f t="shared" si="19"/>
        <v>187</v>
      </c>
      <c r="D28" s="391">
        <v>187</v>
      </c>
      <c r="E28" s="391"/>
      <c r="F28" s="391"/>
      <c r="G28" s="391">
        <f t="shared" si="4"/>
        <v>187</v>
      </c>
      <c r="H28" s="391">
        <f t="shared" si="5"/>
        <v>187</v>
      </c>
      <c r="I28" s="391">
        <f t="shared" si="6"/>
        <v>0</v>
      </c>
      <c r="J28" s="391">
        <f t="shared" si="7"/>
        <v>0</v>
      </c>
      <c r="K28" s="391">
        <f t="shared" si="8"/>
        <v>0</v>
      </c>
      <c r="L28" s="391"/>
      <c r="M28" s="391"/>
      <c r="N28" s="391"/>
      <c r="O28" s="392"/>
      <c r="P28" s="391"/>
      <c r="Q28" s="393">
        <f t="shared" si="9"/>
        <v>187</v>
      </c>
      <c r="R28" s="391">
        <f t="shared" si="10"/>
        <v>187</v>
      </c>
      <c r="S28" s="391">
        <v>187</v>
      </c>
      <c r="T28" s="391"/>
      <c r="U28" s="393">
        <f t="shared" si="18"/>
        <v>0</v>
      </c>
      <c r="V28" s="391"/>
      <c r="W28" s="391"/>
      <c r="X28" s="391"/>
      <c r="Y28" s="391"/>
      <c r="Z28" s="391"/>
      <c r="AA28" s="391"/>
      <c r="AB28" s="391">
        <f t="shared" si="11"/>
        <v>0</v>
      </c>
      <c r="AC28" s="391"/>
      <c r="AD28" s="391"/>
      <c r="AE28" s="391"/>
      <c r="AF28" s="391">
        <f t="shared" si="12"/>
        <v>0</v>
      </c>
      <c r="AG28" s="391"/>
      <c r="AH28" s="391"/>
      <c r="AI28" s="391">
        <f t="shared" si="13"/>
        <v>0</v>
      </c>
      <c r="AJ28" s="391"/>
      <c r="AK28" s="391"/>
      <c r="AL28" s="391">
        <f t="shared" si="2"/>
        <v>100</v>
      </c>
      <c r="AM28" s="391">
        <f t="shared" si="2"/>
        <v>100</v>
      </c>
      <c r="AN28" s="391"/>
      <c r="AO28" s="389"/>
    </row>
    <row r="29" spans="1:41" s="401" customFormat="1" ht="32.25" customHeight="1" x14ac:dyDescent="0.25">
      <c r="A29" s="395"/>
      <c r="B29" s="396" t="s">
        <v>310</v>
      </c>
      <c r="C29" s="397">
        <f t="shared" si="19"/>
        <v>626</v>
      </c>
      <c r="D29" s="398">
        <f>852-226</f>
        <v>626</v>
      </c>
      <c r="E29" s="397"/>
      <c r="F29" s="397"/>
      <c r="G29" s="397">
        <f t="shared" si="4"/>
        <v>582.42600000000004</v>
      </c>
      <c r="H29" s="397">
        <f t="shared" si="5"/>
        <v>582.42600000000004</v>
      </c>
      <c r="I29" s="397">
        <f t="shared" si="6"/>
        <v>0</v>
      </c>
      <c r="J29" s="397">
        <f t="shared" si="7"/>
        <v>0</v>
      </c>
      <c r="K29" s="397">
        <f t="shared" si="8"/>
        <v>0</v>
      </c>
      <c r="L29" s="397"/>
      <c r="M29" s="397"/>
      <c r="N29" s="397"/>
      <c r="O29" s="399"/>
      <c r="P29" s="397"/>
      <c r="Q29" s="400">
        <f t="shared" si="9"/>
        <v>582.42600000000004</v>
      </c>
      <c r="R29" s="397">
        <f t="shared" si="10"/>
        <v>582.42600000000004</v>
      </c>
      <c r="S29" s="397">
        <f>808.426-226</f>
        <v>582.42600000000004</v>
      </c>
      <c r="T29" s="397"/>
      <c r="U29" s="400">
        <f t="shared" si="18"/>
        <v>0</v>
      </c>
      <c r="V29" s="397"/>
      <c r="W29" s="397"/>
      <c r="X29" s="397"/>
      <c r="Y29" s="397"/>
      <c r="Z29" s="397"/>
      <c r="AA29" s="397"/>
      <c r="AB29" s="397">
        <f t="shared" si="11"/>
        <v>0</v>
      </c>
      <c r="AC29" s="397"/>
      <c r="AD29" s="397"/>
      <c r="AE29" s="397"/>
      <c r="AF29" s="397">
        <f t="shared" si="12"/>
        <v>0</v>
      </c>
      <c r="AG29" s="397"/>
      <c r="AH29" s="397"/>
      <c r="AI29" s="397">
        <f t="shared" si="13"/>
        <v>0</v>
      </c>
      <c r="AJ29" s="397"/>
      <c r="AK29" s="397"/>
      <c r="AL29" s="397">
        <f t="shared" si="2"/>
        <v>93.039297124600651</v>
      </c>
      <c r="AM29" s="397">
        <f t="shared" si="2"/>
        <v>93.039297124600651</v>
      </c>
      <c r="AN29" s="397"/>
      <c r="AO29" s="395"/>
    </row>
    <row r="30" spans="1:41" s="401" customFormat="1" ht="51" customHeight="1" x14ac:dyDescent="0.25">
      <c r="A30" s="395"/>
      <c r="B30" s="402" t="s">
        <v>316</v>
      </c>
      <c r="C30" s="397">
        <f t="shared" si="19"/>
        <v>78</v>
      </c>
      <c r="D30" s="398">
        <f>195-117</f>
        <v>78</v>
      </c>
      <c r="E30" s="397"/>
      <c r="F30" s="397"/>
      <c r="G30" s="397">
        <f t="shared" si="4"/>
        <v>67.98572200000001</v>
      </c>
      <c r="H30" s="397">
        <f t="shared" si="5"/>
        <v>67.98572200000001</v>
      </c>
      <c r="I30" s="397">
        <f t="shared" si="6"/>
        <v>0</v>
      </c>
      <c r="J30" s="397">
        <f t="shared" si="7"/>
        <v>0</v>
      </c>
      <c r="K30" s="397">
        <f t="shared" si="8"/>
        <v>0</v>
      </c>
      <c r="L30" s="397"/>
      <c r="M30" s="397"/>
      <c r="N30" s="397"/>
      <c r="O30" s="399"/>
      <c r="P30" s="397"/>
      <c r="Q30" s="400">
        <f t="shared" si="9"/>
        <v>67.98572200000001</v>
      </c>
      <c r="R30" s="397">
        <f t="shared" si="10"/>
        <v>67.98572200000001</v>
      </c>
      <c r="S30" s="397">
        <f>184.985722-117</f>
        <v>67.98572200000001</v>
      </c>
      <c r="T30" s="397"/>
      <c r="U30" s="400">
        <f t="shared" si="18"/>
        <v>0</v>
      </c>
      <c r="V30" s="397"/>
      <c r="W30" s="397"/>
      <c r="X30" s="397"/>
      <c r="Y30" s="397"/>
      <c r="Z30" s="397"/>
      <c r="AA30" s="397"/>
      <c r="AB30" s="397">
        <f t="shared" si="11"/>
        <v>0</v>
      </c>
      <c r="AC30" s="397"/>
      <c r="AD30" s="397"/>
      <c r="AE30" s="397"/>
      <c r="AF30" s="397">
        <f t="shared" si="12"/>
        <v>0</v>
      </c>
      <c r="AG30" s="397"/>
      <c r="AH30" s="397"/>
      <c r="AI30" s="397">
        <f t="shared" si="13"/>
        <v>0</v>
      </c>
      <c r="AJ30" s="397"/>
      <c r="AK30" s="397"/>
      <c r="AL30" s="397">
        <f t="shared" si="2"/>
        <v>87.161182051282054</v>
      </c>
      <c r="AM30" s="397">
        <f t="shared" si="2"/>
        <v>87.161182051282054</v>
      </c>
      <c r="AN30" s="397"/>
      <c r="AO30" s="395"/>
    </row>
    <row r="31" spans="1:41" s="394" customFormat="1" ht="53.25" customHeight="1" x14ac:dyDescent="0.25">
      <c r="A31" s="389"/>
      <c r="B31" s="403" t="s">
        <v>317</v>
      </c>
      <c r="C31" s="391">
        <f t="shared" si="19"/>
        <v>191</v>
      </c>
      <c r="D31" s="404">
        <v>191</v>
      </c>
      <c r="E31" s="391"/>
      <c r="F31" s="391"/>
      <c r="G31" s="391">
        <f t="shared" si="4"/>
        <v>147</v>
      </c>
      <c r="H31" s="391">
        <f t="shared" si="5"/>
        <v>147</v>
      </c>
      <c r="I31" s="391">
        <f t="shared" si="6"/>
        <v>0</v>
      </c>
      <c r="J31" s="391">
        <f t="shared" si="7"/>
        <v>0</v>
      </c>
      <c r="K31" s="391">
        <f t="shared" si="8"/>
        <v>0</v>
      </c>
      <c r="L31" s="391"/>
      <c r="M31" s="391"/>
      <c r="N31" s="391"/>
      <c r="O31" s="392"/>
      <c r="P31" s="391"/>
      <c r="Q31" s="393">
        <f t="shared" si="9"/>
        <v>147</v>
      </c>
      <c r="R31" s="391">
        <f t="shared" si="10"/>
        <v>147</v>
      </c>
      <c r="S31" s="391">
        <v>147</v>
      </c>
      <c r="T31" s="391"/>
      <c r="U31" s="393">
        <f t="shared" si="18"/>
        <v>0</v>
      </c>
      <c r="V31" s="391"/>
      <c r="W31" s="391"/>
      <c r="X31" s="391"/>
      <c r="Y31" s="391"/>
      <c r="Z31" s="391"/>
      <c r="AA31" s="391"/>
      <c r="AB31" s="391">
        <f t="shared" si="11"/>
        <v>0</v>
      </c>
      <c r="AC31" s="391"/>
      <c r="AD31" s="391"/>
      <c r="AE31" s="391"/>
      <c r="AF31" s="391">
        <f t="shared" si="12"/>
        <v>0</v>
      </c>
      <c r="AG31" s="391"/>
      <c r="AH31" s="391"/>
      <c r="AI31" s="391">
        <f t="shared" si="13"/>
        <v>0</v>
      </c>
      <c r="AJ31" s="391"/>
      <c r="AK31" s="391"/>
      <c r="AL31" s="391">
        <f t="shared" si="2"/>
        <v>76.96335078534031</v>
      </c>
      <c r="AM31" s="391">
        <f t="shared" si="2"/>
        <v>76.96335078534031</v>
      </c>
      <c r="AN31" s="391"/>
      <c r="AO31" s="389"/>
    </row>
    <row r="32" spans="1:41" s="394" customFormat="1" ht="50.25" customHeight="1" x14ac:dyDescent="0.25">
      <c r="A32" s="389"/>
      <c r="B32" s="403" t="s">
        <v>318</v>
      </c>
      <c r="C32" s="391">
        <f t="shared" si="19"/>
        <v>199</v>
      </c>
      <c r="D32" s="404">
        <v>199</v>
      </c>
      <c r="E32" s="391"/>
      <c r="F32" s="391"/>
      <c r="G32" s="391">
        <f t="shared" si="4"/>
        <v>154</v>
      </c>
      <c r="H32" s="391">
        <f t="shared" si="5"/>
        <v>154</v>
      </c>
      <c r="I32" s="391">
        <f t="shared" si="6"/>
        <v>0</v>
      </c>
      <c r="J32" s="391">
        <f t="shared" si="7"/>
        <v>0</v>
      </c>
      <c r="K32" s="391">
        <f t="shared" si="8"/>
        <v>0</v>
      </c>
      <c r="L32" s="391"/>
      <c r="M32" s="391"/>
      <c r="N32" s="391"/>
      <c r="O32" s="392"/>
      <c r="P32" s="391"/>
      <c r="Q32" s="393">
        <f t="shared" si="9"/>
        <v>154</v>
      </c>
      <c r="R32" s="391">
        <f t="shared" si="10"/>
        <v>154</v>
      </c>
      <c r="S32" s="391">
        <v>154</v>
      </c>
      <c r="T32" s="391"/>
      <c r="U32" s="393">
        <f t="shared" si="18"/>
        <v>0</v>
      </c>
      <c r="V32" s="391"/>
      <c r="W32" s="391"/>
      <c r="X32" s="391"/>
      <c r="Y32" s="391"/>
      <c r="Z32" s="391"/>
      <c r="AA32" s="391"/>
      <c r="AB32" s="391">
        <f t="shared" si="11"/>
        <v>0</v>
      </c>
      <c r="AC32" s="391"/>
      <c r="AD32" s="391"/>
      <c r="AE32" s="391"/>
      <c r="AF32" s="391">
        <f t="shared" si="12"/>
        <v>0</v>
      </c>
      <c r="AG32" s="391"/>
      <c r="AH32" s="391"/>
      <c r="AI32" s="391">
        <f t="shared" si="13"/>
        <v>0</v>
      </c>
      <c r="AJ32" s="391"/>
      <c r="AK32" s="391"/>
      <c r="AL32" s="391">
        <f t="shared" si="2"/>
        <v>77.386934673366838</v>
      </c>
      <c r="AM32" s="391">
        <f t="shared" si="2"/>
        <v>77.386934673366838</v>
      </c>
      <c r="AN32" s="391"/>
      <c r="AO32" s="389"/>
    </row>
    <row r="33" spans="1:41" s="394" customFormat="1" ht="42" customHeight="1" x14ac:dyDescent="0.25">
      <c r="A33" s="389"/>
      <c r="B33" s="390" t="s">
        <v>45</v>
      </c>
      <c r="C33" s="391">
        <f t="shared" si="19"/>
        <v>161</v>
      </c>
      <c r="D33" s="404">
        <v>161</v>
      </c>
      <c r="E33" s="391"/>
      <c r="F33" s="391"/>
      <c r="G33" s="391">
        <f t="shared" si="4"/>
        <v>128.677716</v>
      </c>
      <c r="H33" s="391">
        <f t="shared" si="5"/>
        <v>128.677716</v>
      </c>
      <c r="I33" s="391">
        <f t="shared" si="6"/>
        <v>0</v>
      </c>
      <c r="J33" s="391">
        <f t="shared" si="7"/>
        <v>0</v>
      </c>
      <c r="K33" s="391">
        <f t="shared" si="8"/>
        <v>0</v>
      </c>
      <c r="L33" s="391"/>
      <c r="M33" s="391"/>
      <c r="N33" s="391"/>
      <c r="O33" s="392"/>
      <c r="P33" s="391"/>
      <c r="Q33" s="393">
        <f t="shared" si="9"/>
        <v>128.677716</v>
      </c>
      <c r="R33" s="391">
        <f t="shared" si="10"/>
        <v>128.677716</v>
      </c>
      <c r="S33" s="391">
        <v>128.677716</v>
      </c>
      <c r="T33" s="391"/>
      <c r="U33" s="393">
        <f t="shared" si="18"/>
        <v>0</v>
      </c>
      <c r="V33" s="391"/>
      <c r="W33" s="391"/>
      <c r="X33" s="391"/>
      <c r="Y33" s="391"/>
      <c r="Z33" s="391"/>
      <c r="AA33" s="391"/>
      <c r="AB33" s="391">
        <f t="shared" si="11"/>
        <v>0</v>
      </c>
      <c r="AC33" s="391"/>
      <c r="AD33" s="391"/>
      <c r="AE33" s="391"/>
      <c r="AF33" s="391">
        <f t="shared" si="12"/>
        <v>0</v>
      </c>
      <c r="AG33" s="391"/>
      <c r="AH33" s="391"/>
      <c r="AI33" s="391">
        <f t="shared" si="13"/>
        <v>0</v>
      </c>
      <c r="AJ33" s="391"/>
      <c r="AK33" s="391"/>
      <c r="AL33" s="391">
        <f t="shared" si="2"/>
        <v>79.924047204968943</v>
      </c>
      <c r="AM33" s="391">
        <f t="shared" si="2"/>
        <v>79.924047204968943</v>
      </c>
      <c r="AN33" s="391"/>
      <c r="AO33" s="389"/>
    </row>
    <row r="34" spans="1:41" s="394" customFormat="1" ht="39.75" customHeight="1" x14ac:dyDescent="0.25">
      <c r="A34" s="389"/>
      <c r="B34" s="390" t="s">
        <v>46</v>
      </c>
      <c r="C34" s="391">
        <f t="shared" si="19"/>
        <v>161</v>
      </c>
      <c r="D34" s="404">
        <v>161</v>
      </c>
      <c r="E34" s="391"/>
      <c r="F34" s="391"/>
      <c r="G34" s="391">
        <f t="shared" si="4"/>
        <v>125.52848</v>
      </c>
      <c r="H34" s="391">
        <f t="shared" si="5"/>
        <v>125.52848</v>
      </c>
      <c r="I34" s="391">
        <f t="shared" si="6"/>
        <v>0</v>
      </c>
      <c r="J34" s="391">
        <f t="shared" si="7"/>
        <v>0</v>
      </c>
      <c r="K34" s="391">
        <f t="shared" si="8"/>
        <v>0</v>
      </c>
      <c r="L34" s="391"/>
      <c r="M34" s="391"/>
      <c r="N34" s="391"/>
      <c r="O34" s="392"/>
      <c r="P34" s="391"/>
      <c r="Q34" s="393">
        <f t="shared" si="9"/>
        <v>125.52848</v>
      </c>
      <c r="R34" s="391">
        <f t="shared" si="10"/>
        <v>125.52848</v>
      </c>
      <c r="S34" s="391">
        <v>125.52848</v>
      </c>
      <c r="T34" s="391"/>
      <c r="U34" s="393">
        <f t="shared" si="18"/>
        <v>0</v>
      </c>
      <c r="V34" s="391"/>
      <c r="W34" s="391"/>
      <c r="X34" s="391"/>
      <c r="Y34" s="391"/>
      <c r="Z34" s="391"/>
      <c r="AA34" s="391"/>
      <c r="AB34" s="391">
        <f t="shared" si="11"/>
        <v>0</v>
      </c>
      <c r="AC34" s="391"/>
      <c r="AD34" s="391"/>
      <c r="AE34" s="391"/>
      <c r="AF34" s="391">
        <f t="shared" si="12"/>
        <v>0</v>
      </c>
      <c r="AG34" s="391"/>
      <c r="AH34" s="391"/>
      <c r="AI34" s="391">
        <f t="shared" si="13"/>
        <v>0</v>
      </c>
      <c r="AJ34" s="391"/>
      <c r="AK34" s="391"/>
      <c r="AL34" s="391">
        <f t="shared" si="2"/>
        <v>77.967999999999989</v>
      </c>
      <c r="AM34" s="391">
        <f t="shared" si="2"/>
        <v>77.967999999999989</v>
      </c>
      <c r="AN34" s="391"/>
      <c r="AO34" s="389"/>
    </row>
    <row r="35" spans="1:41" s="394" customFormat="1" ht="39.75" customHeight="1" x14ac:dyDescent="0.25">
      <c r="A35" s="389"/>
      <c r="B35" s="390" t="s">
        <v>47</v>
      </c>
      <c r="C35" s="391">
        <f t="shared" si="19"/>
        <v>175</v>
      </c>
      <c r="D35" s="391">
        <v>175</v>
      </c>
      <c r="E35" s="391"/>
      <c r="F35" s="391"/>
      <c r="G35" s="391">
        <f t="shared" si="4"/>
        <v>139.72023999999999</v>
      </c>
      <c r="H35" s="391">
        <f t="shared" si="5"/>
        <v>139.72023999999999</v>
      </c>
      <c r="I35" s="391">
        <f t="shared" si="6"/>
        <v>0</v>
      </c>
      <c r="J35" s="391">
        <f t="shared" si="7"/>
        <v>0</v>
      </c>
      <c r="K35" s="391">
        <f t="shared" si="8"/>
        <v>0</v>
      </c>
      <c r="L35" s="391"/>
      <c r="M35" s="391"/>
      <c r="N35" s="391"/>
      <c r="O35" s="392"/>
      <c r="P35" s="391"/>
      <c r="Q35" s="393">
        <f t="shared" si="9"/>
        <v>139.72023999999999</v>
      </c>
      <c r="R35" s="391">
        <f t="shared" si="10"/>
        <v>139.72023999999999</v>
      </c>
      <c r="S35" s="391">
        <v>139.72023999999999</v>
      </c>
      <c r="T35" s="391"/>
      <c r="U35" s="393">
        <f t="shared" si="18"/>
        <v>0</v>
      </c>
      <c r="V35" s="391"/>
      <c r="W35" s="391"/>
      <c r="X35" s="391"/>
      <c r="Y35" s="391"/>
      <c r="Z35" s="391"/>
      <c r="AA35" s="391"/>
      <c r="AB35" s="391">
        <f t="shared" si="11"/>
        <v>0</v>
      </c>
      <c r="AC35" s="391"/>
      <c r="AD35" s="391"/>
      <c r="AE35" s="391"/>
      <c r="AF35" s="391">
        <f t="shared" si="12"/>
        <v>0</v>
      </c>
      <c r="AG35" s="391"/>
      <c r="AH35" s="391"/>
      <c r="AI35" s="391">
        <f t="shared" si="13"/>
        <v>0</v>
      </c>
      <c r="AJ35" s="391"/>
      <c r="AK35" s="391"/>
      <c r="AL35" s="391">
        <f t="shared" si="2"/>
        <v>79.840137142857131</v>
      </c>
      <c r="AM35" s="391">
        <f t="shared" si="2"/>
        <v>79.840137142857131</v>
      </c>
      <c r="AN35" s="391"/>
      <c r="AO35" s="389"/>
    </row>
    <row r="36" spans="1:41" s="394" customFormat="1" ht="42" customHeight="1" x14ac:dyDescent="0.25">
      <c r="A36" s="389"/>
      <c r="B36" s="390" t="s">
        <v>48</v>
      </c>
      <c r="C36" s="391">
        <f t="shared" si="19"/>
        <v>149</v>
      </c>
      <c r="D36" s="391">
        <v>149</v>
      </c>
      <c r="E36" s="391"/>
      <c r="F36" s="391"/>
      <c r="G36" s="391">
        <f t="shared" si="4"/>
        <v>116.658719</v>
      </c>
      <c r="H36" s="391">
        <f t="shared" si="5"/>
        <v>116.658719</v>
      </c>
      <c r="I36" s="391">
        <f t="shared" si="6"/>
        <v>0</v>
      </c>
      <c r="J36" s="391">
        <f t="shared" si="7"/>
        <v>0</v>
      </c>
      <c r="K36" s="391">
        <f t="shared" si="8"/>
        <v>0</v>
      </c>
      <c r="L36" s="391"/>
      <c r="M36" s="391"/>
      <c r="N36" s="391"/>
      <c r="O36" s="392"/>
      <c r="P36" s="391"/>
      <c r="Q36" s="393">
        <f t="shared" si="9"/>
        <v>116.658719</v>
      </c>
      <c r="R36" s="391">
        <f t="shared" si="10"/>
        <v>116.658719</v>
      </c>
      <c r="S36" s="391">
        <v>116.658719</v>
      </c>
      <c r="T36" s="391"/>
      <c r="U36" s="393">
        <f t="shared" si="18"/>
        <v>0</v>
      </c>
      <c r="V36" s="391"/>
      <c r="W36" s="391"/>
      <c r="X36" s="391"/>
      <c r="Y36" s="391"/>
      <c r="Z36" s="391"/>
      <c r="AA36" s="391"/>
      <c r="AB36" s="391">
        <f t="shared" si="11"/>
        <v>0</v>
      </c>
      <c r="AC36" s="391"/>
      <c r="AD36" s="391"/>
      <c r="AE36" s="391"/>
      <c r="AF36" s="391">
        <f t="shared" si="12"/>
        <v>0</v>
      </c>
      <c r="AG36" s="391"/>
      <c r="AH36" s="391"/>
      <c r="AI36" s="391">
        <f t="shared" si="13"/>
        <v>0</v>
      </c>
      <c r="AJ36" s="391"/>
      <c r="AK36" s="391"/>
      <c r="AL36" s="391">
        <f t="shared" si="2"/>
        <v>78.294442281879199</v>
      </c>
      <c r="AM36" s="391">
        <f t="shared" si="2"/>
        <v>78.294442281879199</v>
      </c>
      <c r="AN36" s="391"/>
      <c r="AO36" s="389"/>
    </row>
    <row r="37" spans="1:41" s="394" customFormat="1" ht="51" customHeight="1" x14ac:dyDescent="0.25">
      <c r="A37" s="389"/>
      <c r="B37" s="390" t="s">
        <v>54</v>
      </c>
      <c r="C37" s="391">
        <f t="shared" si="19"/>
        <v>690</v>
      </c>
      <c r="D37" s="405">
        <v>690</v>
      </c>
      <c r="E37" s="391"/>
      <c r="F37" s="391"/>
      <c r="G37" s="391">
        <f t="shared" si="4"/>
        <v>672.07399999999996</v>
      </c>
      <c r="H37" s="391">
        <f t="shared" si="5"/>
        <v>672.07399999999996</v>
      </c>
      <c r="I37" s="391">
        <f t="shared" si="6"/>
        <v>0</v>
      </c>
      <c r="J37" s="391">
        <f t="shared" si="7"/>
        <v>0</v>
      </c>
      <c r="K37" s="391">
        <f t="shared" si="8"/>
        <v>0</v>
      </c>
      <c r="L37" s="391"/>
      <c r="M37" s="391"/>
      <c r="N37" s="391"/>
      <c r="O37" s="392"/>
      <c r="P37" s="391"/>
      <c r="Q37" s="393">
        <f t="shared" si="9"/>
        <v>672.07399999999996</v>
      </c>
      <c r="R37" s="391">
        <f t="shared" si="10"/>
        <v>672.07399999999996</v>
      </c>
      <c r="S37" s="391">
        <v>672.07399999999996</v>
      </c>
      <c r="T37" s="391"/>
      <c r="U37" s="393">
        <f t="shared" si="18"/>
        <v>0</v>
      </c>
      <c r="V37" s="391"/>
      <c r="W37" s="391"/>
      <c r="X37" s="391"/>
      <c r="Y37" s="391"/>
      <c r="Z37" s="391"/>
      <c r="AA37" s="391"/>
      <c r="AB37" s="391">
        <f t="shared" si="11"/>
        <v>0</v>
      </c>
      <c r="AC37" s="391"/>
      <c r="AD37" s="391"/>
      <c r="AE37" s="391"/>
      <c r="AF37" s="391">
        <f t="shared" si="12"/>
        <v>0</v>
      </c>
      <c r="AG37" s="391"/>
      <c r="AH37" s="391"/>
      <c r="AI37" s="391">
        <f t="shared" si="13"/>
        <v>0</v>
      </c>
      <c r="AJ37" s="391"/>
      <c r="AK37" s="391"/>
      <c r="AL37" s="391">
        <f t="shared" si="2"/>
        <v>97.402028985507229</v>
      </c>
      <c r="AM37" s="391">
        <f t="shared" si="2"/>
        <v>97.402028985507229</v>
      </c>
      <c r="AN37" s="391"/>
      <c r="AO37" s="389"/>
    </row>
    <row r="38" spans="1:41" s="401" customFormat="1" ht="39.75" customHeight="1" x14ac:dyDescent="0.25">
      <c r="A38" s="395"/>
      <c r="B38" s="396" t="s">
        <v>86</v>
      </c>
      <c r="C38" s="397">
        <f t="shared" si="19"/>
        <v>985</v>
      </c>
      <c r="D38" s="406">
        <f>1115-130</f>
        <v>985</v>
      </c>
      <c r="E38" s="397"/>
      <c r="F38" s="397"/>
      <c r="G38" s="397">
        <f t="shared" si="4"/>
        <v>963.76060000000007</v>
      </c>
      <c r="H38" s="397">
        <f t="shared" si="5"/>
        <v>963.76060000000007</v>
      </c>
      <c r="I38" s="397">
        <f t="shared" si="6"/>
        <v>0</v>
      </c>
      <c r="J38" s="397">
        <f t="shared" si="7"/>
        <v>0</v>
      </c>
      <c r="K38" s="397">
        <f t="shared" si="8"/>
        <v>0</v>
      </c>
      <c r="L38" s="397"/>
      <c r="M38" s="397"/>
      <c r="N38" s="397"/>
      <c r="O38" s="399"/>
      <c r="P38" s="397"/>
      <c r="Q38" s="400">
        <f t="shared" si="9"/>
        <v>963.76060000000007</v>
      </c>
      <c r="R38" s="397">
        <f t="shared" si="10"/>
        <v>963.76060000000007</v>
      </c>
      <c r="S38" s="397">
        <f>1093.7606-130</f>
        <v>963.76060000000007</v>
      </c>
      <c r="T38" s="397"/>
      <c r="U38" s="400">
        <f t="shared" si="18"/>
        <v>0</v>
      </c>
      <c r="V38" s="397"/>
      <c r="W38" s="397"/>
      <c r="X38" s="397"/>
      <c r="Y38" s="397"/>
      <c r="Z38" s="397"/>
      <c r="AA38" s="397"/>
      <c r="AB38" s="397">
        <f t="shared" si="11"/>
        <v>0</v>
      </c>
      <c r="AC38" s="397"/>
      <c r="AD38" s="397"/>
      <c r="AE38" s="397"/>
      <c r="AF38" s="397">
        <f t="shared" si="12"/>
        <v>0</v>
      </c>
      <c r="AG38" s="397"/>
      <c r="AH38" s="397"/>
      <c r="AI38" s="397">
        <f t="shared" si="13"/>
        <v>0</v>
      </c>
      <c r="AJ38" s="397"/>
      <c r="AK38" s="397"/>
      <c r="AL38" s="397">
        <f t="shared" si="2"/>
        <v>97.843715736040622</v>
      </c>
      <c r="AM38" s="397">
        <f t="shared" si="2"/>
        <v>97.843715736040622</v>
      </c>
      <c r="AN38" s="397"/>
      <c r="AO38" s="395"/>
    </row>
    <row r="39" spans="1:41" s="401" customFormat="1" ht="56.25" customHeight="1" x14ac:dyDescent="0.25">
      <c r="A39" s="395"/>
      <c r="B39" s="396" t="s">
        <v>367</v>
      </c>
      <c r="C39" s="397">
        <f t="shared" si="19"/>
        <v>440</v>
      </c>
      <c r="D39" s="406">
        <f>592-152</f>
        <v>440</v>
      </c>
      <c r="E39" s="397"/>
      <c r="F39" s="397"/>
      <c r="G39" s="397">
        <f t="shared" si="4"/>
        <v>393.52099999999996</v>
      </c>
      <c r="H39" s="397">
        <f t="shared" si="5"/>
        <v>393.52099999999996</v>
      </c>
      <c r="I39" s="397">
        <f t="shared" si="6"/>
        <v>0</v>
      </c>
      <c r="J39" s="397">
        <f t="shared" si="7"/>
        <v>0</v>
      </c>
      <c r="K39" s="397">
        <f t="shared" si="8"/>
        <v>0</v>
      </c>
      <c r="L39" s="397"/>
      <c r="M39" s="397"/>
      <c r="N39" s="397"/>
      <c r="O39" s="399"/>
      <c r="P39" s="397"/>
      <c r="Q39" s="400">
        <f t="shared" si="9"/>
        <v>393.52099999999996</v>
      </c>
      <c r="R39" s="397">
        <f t="shared" si="10"/>
        <v>393.52099999999996</v>
      </c>
      <c r="S39" s="397">
        <f>545.521-152</f>
        <v>393.52099999999996</v>
      </c>
      <c r="T39" s="397"/>
      <c r="U39" s="400">
        <f t="shared" si="18"/>
        <v>0</v>
      </c>
      <c r="V39" s="397"/>
      <c r="W39" s="397"/>
      <c r="X39" s="397"/>
      <c r="Y39" s="397"/>
      <c r="Z39" s="397"/>
      <c r="AA39" s="397"/>
      <c r="AB39" s="397">
        <f t="shared" si="11"/>
        <v>0</v>
      </c>
      <c r="AC39" s="397"/>
      <c r="AD39" s="397"/>
      <c r="AE39" s="397"/>
      <c r="AF39" s="397">
        <f t="shared" si="12"/>
        <v>0</v>
      </c>
      <c r="AG39" s="397"/>
      <c r="AH39" s="397"/>
      <c r="AI39" s="397">
        <f t="shared" si="13"/>
        <v>0</v>
      </c>
      <c r="AJ39" s="397"/>
      <c r="AK39" s="397"/>
      <c r="AL39" s="397">
        <f t="shared" si="2"/>
        <v>89.436590909090896</v>
      </c>
      <c r="AM39" s="397">
        <f t="shared" si="2"/>
        <v>89.436590909090896</v>
      </c>
      <c r="AN39" s="397"/>
      <c r="AO39" s="395"/>
    </row>
    <row r="40" spans="1:41" s="401" customFormat="1" ht="45.75" customHeight="1" x14ac:dyDescent="0.25">
      <c r="A40" s="395"/>
      <c r="B40" s="396" t="s">
        <v>392</v>
      </c>
      <c r="C40" s="397">
        <f t="shared" si="19"/>
        <v>607</v>
      </c>
      <c r="D40" s="406">
        <f>732-125</f>
        <v>607</v>
      </c>
      <c r="E40" s="397"/>
      <c r="F40" s="397"/>
      <c r="G40" s="397">
        <f t="shared" si="4"/>
        <v>518.36599999999999</v>
      </c>
      <c r="H40" s="397">
        <f t="shared" si="5"/>
        <v>518.36599999999999</v>
      </c>
      <c r="I40" s="397">
        <f t="shared" si="6"/>
        <v>0</v>
      </c>
      <c r="J40" s="397">
        <f t="shared" si="7"/>
        <v>0</v>
      </c>
      <c r="K40" s="397">
        <f t="shared" si="8"/>
        <v>0</v>
      </c>
      <c r="L40" s="397"/>
      <c r="M40" s="397"/>
      <c r="N40" s="397"/>
      <c r="O40" s="399"/>
      <c r="P40" s="397"/>
      <c r="Q40" s="400">
        <f t="shared" si="9"/>
        <v>518.36599999999999</v>
      </c>
      <c r="R40" s="397">
        <f t="shared" si="10"/>
        <v>518.36599999999999</v>
      </c>
      <c r="S40" s="397">
        <f>643.366-125</f>
        <v>518.36599999999999</v>
      </c>
      <c r="T40" s="397"/>
      <c r="U40" s="400">
        <f t="shared" si="18"/>
        <v>0</v>
      </c>
      <c r="V40" s="397"/>
      <c r="W40" s="397"/>
      <c r="X40" s="397"/>
      <c r="Y40" s="397"/>
      <c r="Z40" s="397"/>
      <c r="AA40" s="397"/>
      <c r="AB40" s="397">
        <f t="shared" si="11"/>
        <v>0</v>
      </c>
      <c r="AC40" s="397"/>
      <c r="AD40" s="397"/>
      <c r="AE40" s="397"/>
      <c r="AF40" s="397">
        <f t="shared" si="12"/>
        <v>0</v>
      </c>
      <c r="AG40" s="397"/>
      <c r="AH40" s="397"/>
      <c r="AI40" s="397">
        <f t="shared" si="13"/>
        <v>0</v>
      </c>
      <c r="AJ40" s="397"/>
      <c r="AK40" s="397"/>
      <c r="AL40" s="397">
        <f t="shared" si="2"/>
        <v>85.39802306425041</v>
      </c>
      <c r="AM40" s="397">
        <f t="shared" si="2"/>
        <v>85.39802306425041</v>
      </c>
      <c r="AN40" s="397"/>
      <c r="AO40" s="395"/>
    </row>
    <row r="41" spans="1:41" s="401" customFormat="1" ht="42" customHeight="1" x14ac:dyDescent="0.25">
      <c r="A41" s="395"/>
      <c r="B41" s="396" t="s">
        <v>100</v>
      </c>
      <c r="C41" s="397">
        <f t="shared" si="19"/>
        <v>393</v>
      </c>
      <c r="D41" s="397">
        <f>424-31</f>
        <v>393</v>
      </c>
      <c r="E41" s="397"/>
      <c r="F41" s="397"/>
      <c r="G41" s="397">
        <f t="shared" si="4"/>
        <v>365.08640000000003</v>
      </c>
      <c r="H41" s="397">
        <f t="shared" si="5"/>
        <v>365.08640000000003</v>
      </c>
      <c r="I41" s="397">
        <f t="shared" si="6"/>
        <v>0</v>
      </c>
      <c r="J41" s="397">
        <f t="shared" si="7"/>
        <v>0</v>
      </c>
      <c r="K41" s="397">
        <f t="shared" si="8"/>
        <v>0</v>
      </c>
      <c r="L41" s="397"/>
      <c r="M41" s="397"/>
      <c r="N41" s="397"/>
      <c r="O41" s="399"/>
      <c r="P41" s="397"/>
      <c r="Q41" s="400">
        <f t="shared" si="9"/>
        <v>365.08640000000003</v>
      </c>
      <c r="R41" s="397">
        <f t="shared" si="10"/>
        <v>365.08640000000003</v>
      </c>
      <c r="S41" s="397">
        <f>396.0864-31</f>
        <v>365.08640000000003</v>
      </c>
      <c r="T41" s="397"/>
      <c r="U41" s="400">
        <f t="shared" si="18"/>
        <v>0</v>
      </c>
      <c r="V41" s="397"/>
      <c r="W41" s="397"/>
      <c r="X41" s="397"/>
      <c r="Y41" s="397"/>
      <c r="Z41" s="397"/>
      <c r="AA41" s="397"/>
      <c r="AB41" s="397">
        <f t="shared" si="11"/>
        <v>0</v>
      </c>
      <c r="AC41" s="397"/>
      <c r="AD41" s="397"/>
      <c r="AE41" s="397"/>
      <c r="AF41" s="397">
        <f t="shared" si="12"/>
        <v>0</v>
      </c>
      <c r="AG41" s="397"/>
      <c r="AH41" s="397"/>
      <c r="AI41" s="397">
        <f t="shared" si="13"/>
        <v>0</v>
      </c>
      <c r="AJ41" s="397"/>
      <c r="AK41" s="397"/>
      <c r="AL41" s="397">
        <f t="shared" si="2"/>
        <v>92.897302798982196</v>
      </c>
      <c r="AM41" s="397">
        <f t="shared" si="2"/>
        <v>92.897302798982196</v>
      </c>
      <c r="AN41" s="397"/>
      <c r="AO41" s="395"/>
    </row>
    <row r="42" spans="1:41" s="394" customFormat="1" ht="32.25" customHeight="1" x14ac:dyDescent="0.25">
      <c r="A42" s="389"/>
      <c r="B42" s="390" t="s">
        <v>385</v>
      </c>
      <c r="C42" s="391">
        <f t="shared" si="19"/>
        <v>190</v>
      </c>
      <c r="D42" s="391">
        <v>190</v>
      </c>
      <c r="E42" s="391"/>
      <c r="F42" s="391"/>
      <c r="G42" s="391">
        <f t="shared" si="4"/>
        <v>176.74083400000001</v>
      </c>
      <c r="H42" s="391">
        <f t="shared" si="5"/>
        <v>176.74083400000001</v>
      </c>
      <c r="I42" s="391">
        <f t="shared" si="6"/>
        <v>0</v>
      </c>
      <c r="J42" s="391">
        <f t="shared" si="7"/>
        <v>0</v>
      </c>
      <c r="K42" s="391">
        <f t="shared" si="8"/>
        <v>0</v>
      </c>
      <c r="L42" s="391"/>
      <c r="M42" s="391"/>
      <c r="N42" s="391"/>
      <c r="O42" s="392"/>
      <c r="P42" s="391"/>
      <c r="Q42" s="393">
        <f t="shared" si="9"/>
        <v>176.74083400000001</v>
      </c>
      <c r="R42" s="391">
        <f t="shared" si="10"/>
        <v>176.74083400000001</v>
      </c>
      <c r="S42" s="391">
        <v>176.74083400000001</v>
      </c>
      <c r="T42" s="391"/>
      <c r="U42" s="393">
        <f t="shared" si="18"/>
        <v>0</v>
      </c>
      <c r="V42" s="391"/>
      <c r="W42" s="391"/>
      <c r="X42" s="391"/>
      <c r="Y42" s="391"/>
      <c r="Z42" s="391"/>
      <c r="AA42" s="391"/>
      <c r="AB42" s="391">
        <f t="shared" si="11"/>
        <v>0</v>
      </c>
      <c r="AC42" s="391"/>
      <c r="AD42" s="391"/>
      <c r="AE42" s="391"/>
      <c r="AF42" s="391">
        <f t="shared" si="12"/>
        <v>0</v>
      </c>
      <c r="AG42" s="391"/>
      <c r="AH42" s="391"/>
      <c r="AI42" s="391">
        <f t="shared" si="13"/>
        <v>0</v>
      </c>
      <c r="AJ42" s="391"/>
      <c r="AK42" s="391"/>
      <c r="AL42" s="391">
        <f t="shared" si="2"/>
        <v>93.021491578947376</v>
      </c>
      <c r="AM42" s="391">
        <f t="shared" si="2"/>
        <v>93.021491578947376</v>
      </c>
      <c r="AN42" s="391"/>
      <c r="AO42" s="389"/>
    </row>
    <row r="43" spans="1:41" s="401" customFormat="1" ht="32.25" customHeight="1" x14ac:dyDescent="0.25">
      <c r="A43" s="395"/>
      <c r="B43" s="396" t="s">
        <v>386</v>
      </c>
      <c r="C43" s="397">
        <f t="shared" si="19"/>
        <v>474</v>
      </c>
      <c r="D43" s="397">
        <f>585-111</f>
        <v>474</v>
      </c>
      <c r="E43" s="397"/>
      <c r="F43" s="397"/>
      <c r="G43" s="397">
        <f t="shared" si="4"/>
        <v>454.86839999999995</v>
      </c>
      <c r="H43" s="397">
        <f t="shared" si="5"/>
        <v>454.86839999999995</v>
      </c>
      <c r="I43" s="397">
        <f t="shared" si="6"/>
        <v>0</v>
      </c>
      <c r="J43" s="397">
        <f t="shared" si="7"/>
        <v>0</v>
      </c>
      <c r="K43" s="397">
        <f t="shared" si="8"/>
        <v>0</v>
      </c>
      <c r="L43" s="397"/>
      <c r="M43" s="397"/>
      <c r="N43" s="397"/>
      <c r="O43" s="399"/>
      <c r="P43" s="397"/>
      <c r="Q43" s="400">
        <f t="shared" si="9"/>
        <v>454.86839999999995</v>
      </c>
      <c r="R43" s="397">
        <f t="shared" si="10"/>
        <v>454.86839999999995</v>
      </c>
      <c r="S43" s="397">
        <f>565.8684-111</f>
        <v>454.86839999999995</v>
      </c>
      <c r="T43" s="397"/>
      <c r="U43" s="400">
        <f t="shared" si="18"/>
        <v>0</v>
      </c>
      <c r="V43" s="397"/>
      <c r="W43" s="397"/>
      <c r="X43" s="397"/>
      <c r="Y43" s="397"/>
      <c r="Z43" s="397"/>
      <c r="AA43" s="397"/>
      <c r="AB43" s="397">
        <f t="shared" si="11"/>
        <v>0</v>
      </c>
      <c r="AC43" s="397"/>
      <c r="AD43" s="397"/>
      <c r="AE43" s="397"/>
      <c r="AF43" s="397">
        <f t="shared" si="12"/>
        <v>0</v>
      </c>
      <c r="AG43" s="397"/>
      <c r="AH43" s="397"/>
      <c r="AI43" s="397">
        <f t="shared" si="13"/>
        <v>0</v>
      </c>
      <c r="AJ43" s="397"/>
      <c r="AK43" s="397"/>
      <c r="AL43" s="397">
        <f t="shared" si="2"/>
        <v>95.963797468354414</v>
      </c>
      <c r="AM43" s="397">
        <f t="shared" si="2"/>
        <v>95.963797468354414</v>
      </c>
      <c r="AN43" s="397"/>
      <c r="AO43" s="395"/>
    </row>
    <row r="44" spans="1:41" s="401" customFormat="1" ht="48" customHeight="1" x14ac:dyDescent="0.25">
      <c r="A44" s="395"/>
      <c r="B44" s="396" t="s">
        <v>101</v>
      </c>
      <c r="C44" s="397">
        <f t="shared" si="19"/>
        <v>239</v>
      </c>
      <c r="D44" s="398">
        <f>250-11</f>
        <v>239</v>
      </c>
      <c r="E44" s="397"/>
      <c r="F44" s="397"/>
      <c r="G44" s="397">
        <f t="shared" si="4"/>
        <v>230.3937</v>
      </c>
      <c r="H44" s="397">
        <f t="shared" si="5"/>
        <v>230.3937</v>
      </c>
      <c r="I44" s="397">
        <f t="shared" si="6"/>
        <v>0</v>
      </c>
      <c r="J44" s="397">
        <f t="shared" si="7"/>
        <v>0</v>
      </c>
      <c r="K44" s="397">
        <f t="shared" si="8"/>
        <v>0</v>
      </c>
      <c r="L44" s="397"/>
      <c r="M44" s="397"/>
      <c r="N44" s="397"/>
      <c r="O44" s="399"/>
      <c r="P44" s="397"/>
      <c r="Q44" s="400">
        <f t="shared" si="9"/>
        <v>230.3937</v>
      </c>
      <c r="R44" s="397">
        <f t="shared" si="10"/>
        <v>230.3937</v>
      </c>
      <c r="S44" s="397">
        <f>241.3937-11</f>
        <v>230.3937</v>
      </c>
      <c r="T44" s="397"/>
      <c r="U44" s="400">
        <f t="shared" si="18"/>
        <v>0</v>
      </c>
      <c r="V44" s="397"/>
      <c r="W44" s="397"/>
      <c r="X44" s="397"/>
      <c r="Y44" s="397"/>
      <c r="Z44" s="397"/>
      <c r="AA44" s="397"/>
      <c r="AB44" s="397">
        <f t="shared" si="11"/>
        <v>0</v>
      </c>
      <c r="AC44" s="397"/>
      <c r="AD44" s="397"/>
      <c r="AE44" s="397"/>
      <c r="AF44" s="397">
        <f t="shared" si="12"/>
        <v>0</v>
      </c>
      <c r="AG44" s="397"/>
      <c r="AH44" s="397"/>
      <c r="AI44" s="397">
        <f t="shared" si="13"/>
        <v>0</v>
      </c>
      <c r="AJ44" s="397"/>
      <c r="AK44" s="397"/>
      <c r="AL44" s="397">
        <f t="shared" si="2"/>
        <v>96.399037656903758</v>
      </c>
      <c r="AM44" s="397">
        <f t="shared" si="2"/>
        <v>96.399037656903758</v>
      </c>
      <c r="AN44" s="397"/>
      <c r="AO44" s="395"/>
    </row>
    <row r="45" spans="1:41" s="401" customFormat="1" ht="48" customHeight="1" x14ac:dyDescent="0.25">
      <c r="A45" s="395"/>
      <c r="B45" s="396" t="s">
        <v>65</v>
      </c>
      <c r="C45" s="397">
        <f t="shared" si="19"/>
        <v>802</v>
      </c>
      <c r="D45" s="398">
        <f>900-98</f>
        <v>802</v>
      </c>
      <c r="E45" s="397"/>
      <c r="F45" s="397"/>
      <c r="G45" s="397">
        <f t="shared" si="4"/>
        <v>717.15800000000002</v>
      </c>
      <c r="H45" s="397">
        <f t="shared" si="5"/>
        <v>717.15800000000002</v>
      </c>
      <c r="I45" s="397">
        <f t="shared" si="6"/>
        <v>0</v>
      </c>
      <c r="J45" s="397">
        <f t="shared" si="7"/>
        <v>0</v>
      </c>
      <c r="K45" s="397">
        <f t="shared" si="8"/>
        <v>0</v>
      </c>
      <c r="L45" s="397"/>
      <c r="M45" s="397"/>
      <c r="N45" s="397"/>
      <c r="O45" s="399"/>
      <c r="P45" s="397"/>
      <c r="Q45" s="400">
        <f t="shared" si="9"/>
        <v>717.15800000000002</v>
      </c>
      <c r="R45" s="397">
        <f t="shared" si="10"/>
        <v>717.15800000000002</v>
      </c>
      <c r="S45" s="397">
        <f>815.158-98</f>
        <v>717.15800000000002</v>
      </c>
      <c r="T45" s="397"/>
      <c r="U45" s="400">
        <f t="shared" si="18"/>
        <v>0</v>
      </c>
      <c r="V45" s="397"/>
      <c r="W45" s="397"/>
      <c r="X45" s="397"/>
      <c r="Y45" s="397"/>
      <c r="Z45" s="397"/>
      <c r="AA45" s="397"/>
      <c r="AB45" s="397">
        <f t="shared" si="11"/>
        <v>0</v>
      </c>
      <c r="AC45" s="397"/>
      <c r="AD45" s="397"/>
      <c r="AE45" s="397"/>
      <c r="AF45" s="397">
        <f t="shared" si="12"/>
        <v>0</v>
      </c>
      <c r="AG45" s="397"/>
      <c r="AH45" s="397"/>
      <c r="AI45" s="397">
        <f t="shared" si="13"/>
        <v>0</v>
      </c>
      <c r="AJ45" s="397"/>
      <c r="AK45" s="397"/>
      <c r="AL45" s="397">
        <f t="shared" si="2"/>
        <v>89.421197007481297</v>
      </c>
      <c r="AM45" s="397">
        <f t="shared" si="2"/>
        <v>89.421197007481297</v>
      </c>
      <c r="AN45" s="397"/>
      <c r="AO45" s="395"/>
    </row>
    <row r="46" spans="1:41" s="394" customFormat="1" ht="48" customHeight="1" x14ac:dyDescent="0.25">
      <c r="A46" s="389"/>
      <c r="B46" s="390" t="s">
        <v>368</v>
      </c>
      <c r="C46" s="391">
        <f t="shared" si="19"/>
        <v>200</v>
      </c>
      <c r="D46" s="404">
        <v>200</v>
      </c>
      <c r="E46" s="391"/>
      <c r="F46" s="391"/>
      <c r="G46" s="391">
        <f t="shared" si="4"/>
        <v>187.80600000000001</v>
      </c>
      <c r="H46" s="391">
        <f t="shared" si="5"/>
        <v>187.80600000000001</v>
      </c>
      <c r="I46" s="391">
        <f t="shared" si="6"/>
        <v>0</v>
      </c>
      <c r="J46" s="391">
        <f t="shared" si="7"/>
        <v>0</v>
      </c>
      <c r="K46" s="391">
        <f t="shared" si="8"/>
        <v>0</v>
      </c>
      <c r="L46" s="391"/>
      <c r="M46" s="391"/>
      <c r="N46" s="391"/>
      <c r="O46" s="392"/>
      <c r="P46" s="391"/>
      <c r="Q46" s="393">
        <f t="shared" si="9"/>
        <v>187.80600000000001</v>
      </c>
      <c r="R46" s="391">
        <f t="shared" si="10"/>
        <v>187.80600000000001</v>
      </c>
      <c r="S46" s="391">
        <v>187.80600000000001</v>
      </c>
      <c r="T46" s="391"/>
      <c r="U46" s="393">
        <f t="shared" si="18"/>
        <v>0</v>
      </c>
      <c r="V46" s="391"/>
      <c r="W46" s="391"/>
      <c r="X46" s="391"/>
      <c r="Y46" s="391"/>
      <c r="Z46" s="391"/>
      <c r="AA46" s="391"/>
      <c r="AB46" s="391">
        <f t="shared" si="11"/>
        <v>0</v>
      </c>
      <c r="AC46" s="391"/>
      <c r="AD46" s="391"/>
      <c r="AE46" s="391"/>
      <c r="AF46" s="391">
        <f t="shared" si="12"/>
        <v>0</v>
      </c>
      <c r="AG46" s="391"/>
      <c r="AH46" s="391"/>
      <c r="AI46" s="391">
        <f t="shared" si="13"/>
        <v>0</v>
      </c>
      <c r="AJ46" s="391"/>
      <c r="AK46" s="391"/>
      <c r="AL46" s="391">
        <f t="shared" si="2"/>
        <v>93.903000000000006</v>
      </c>
      <c r="AM46" s="391">
        <f t="shared" si="2"/>
        <v>93.903000000000006</v>
      </c>
      <c r="AN46" s="391"/>
      <c r="AO46" s="389"/>
    </row>
    <row r="47" spans="1:41" s="401" customFormat="1" ht="48" customHeight="1" x14ac:dyDescent="0.25">
      <c r="A47" s="395"/>
      <c r="B47" s="396" t="s">
        <v>95</v>
      </c>
      <c r="C47" s="397">
        <f t="shared" si="19"/>
        <v>1000</v>
      </c>
      <c r="D47" s="398">
        <v>1000</v>
      </c>
      <c r="E47" s="397"/>
      <c r="F47" s="397"/>
      <c r="G47" s="397">
        <f t="shared" si="4"/>
        <v>940.616984</v>
      </c>
      <c r="H47" s="397">
        <f t="shared" si="5"/>
        <v>940.616984</v>
      </c>
      <c r="I47" s="397">
        <f t="shared" si="6"/>
        <v>0</v>
      </c>
      <c r="J47" s="397">
        <f t="shared" si="7"/>
        <v>0</v>
      </c>
      <c r="K47" s="397">
        <f t="shared" si="8"/>
        <v>0</v>
      </c>
      <c r="L47" s="397"/>
      <c r="M47" s="397"/>
      <c r="N47" s="397"/>
      <c r="O47" s="399"/>
      <c r="P47" s="397"/>
      <c r="Q47" s="400">
        <f t="shared" si="9"/>
        <v>940.616984</v>
      </c>
      <c r="R47" s="397">
        <f t="shared" si="10"/>
        <v>940.616984</v>
      </c>
      <c r="S47" s="397">
        <f>1051.616984-111</f>
        <v>940.616984</v>
      </c>
      <c r="T47" s="397"/>
      <c r="U47" s="400">
        <f t="shared" si="18"/>
        <v>0</v>
      </c>
      <c r="V47" s="397"/>
      <c r="W47" s="397"/>
      <c r="X47" s="397"/>
      <c r="Y47" s="397"/>
      <c r="Z47" s="397"/>
      <c r="AA47" s="397"/>
      <c r="AB47" s="397">
        <f t="shared" si="11"/>
        <v>0</v>
      </c>
      <c r="AC47" s="397"/>
      <c r="AD47" s="397"/>
      <c r="AE47" s="397"/>
      <c r="AF47" s="397">
        <f t="shared" si="12"/>
        <v>0</v>
      </c>
      <c r="AG47" s="397"/>
      <c r="AH47" s="397"/>
      <c r="AI47" s="397">
        <f t="shared" si="13"/>
        <v>0</v>
      </c>
      <c r="AJ47" s="397"/>
      <c r="AK47" s="397"/>
      <c r="AL47" s="397">
        <f t="shared" si="2"/>
        <v>94.061698399999997</v>
      </c>
      <c r="AM47" s="397">
        <f t="shared" si="2"/>
        <v>94.061698399999997</v>
      </c>
      <c r="AN47" s="397"/>
      <c r="AO47" s="395"/>
    </row>
    <row r="48" spans="1:41" s="394" customFormat="1" ht="48" customHeight="1" x14ac:dyDescent="0.25">
      <c r="A48" s="389"/>
      <c r="B48" s="390" t="s">
        <v>77</v>
      </c>
      <c r="C48" s="391">
        <f t="shared" si="19"/>
        <v>127</v>
      </c>
      <c r="D48" s="404">
        <v>127</v>
      </c>
      <c r="E48" s="391"/>
      <c r="F48" s="391"/>
      <c r="G48" s="391">
        <f t="shared" si="4"/>
        <v>100</v>
      </c>
      <c r="H48" s="391">
        <f t="shared" si="5"/>
        <v>100</v>
      </c>
      <c r="I48" s="391">
        <f t="shared" si="6"/>
        <v>0</v>
      </c>
      <c r="J48" s="391">
        <f t="shared" si="7"/>
        <v>0</v>
      </c>
      <c r="K48" s="391">
        <f t="shared" si="8"/>
        <v>0</v>
      </c>
      <c r="L48" s="391"/>
      <c r="M48" s="391"/>
      <c r="N48" s="391"/>
      <c r="O48" s="392"/>
      <c r="P48" s="391"/>
      <c r="Q48" s="393">
        <f t="shared" si="9"/>
        <v>100</v>
      </c>
      <c r="R48" s="391">
        <f t="shared" si="10"/>
        <v>100</v>
      </c>
      <c r="S48" s="391">
        <v>100</v>
      </c>
      <c r="T48" s="391"/>
      <c r="U48" s="393">
        <f t="shared" si="18"/>
        <v>0</v>
      </c>
      <c r="V48" s="391"/>
      <c r="W48" s="391"/>
      <c r="X48" s="391"/>
      <c r="Y48" s="391"/>
      <c r="Z48" s="391"/>
      <c r="AA48" s="391"/>
      <c r="AB48" s="391">
        <f t="shared" si="11"/>
        <v>0</v>
      </c>
      <c r="AC48" s="391"/>
      <c r="AD48" s="391"/>
      <c r="AE48" s="391"/>
      <c r="AF48" s="391">
        <f t="shared" si="12"/>
        <v>0</v>
      </c>
      <c r="AG48" s="391"/>
      <c r="AH48" s="391"/>
      <c r="AI48" s="391">
        <f t="shared" si="13"/>
        <v>0</v>
      </c>
      <c r="AJ48" s="391"/>
      <c r="AK48" s="391"/>
      <c r="AL48" s="391">
        <f t="shared" si="2"/>
        <v>78.740157480314963</v>
      </c>
      <c r="AM48" s="391">
        <f t="shared" si="2"/>
        <v>78.740157480314963</v>
      </c>
      <c r="AN48" s="391"/>
      <c r="AO48" s="389"/>
    </row>
    <row r="49" spans="1:41" s="394" customFormat="1" ht="48" customHeight="1" x14ac:dyDescent="0.25">
      <c r="A49" s="389"/>
      <c r="B49" s="390" t="s">
        <v>78</v>
      </c>
      <c r="C49" s="391">
        <f t="shared" si="19"/>
        <v>155</v>
      </c>
      <c r="D49" s="404">
        <v>155</v>
      </c>
      <c r="E49" s="391"/>
      <c r="F49" s="391"/>
      <c r="G49" s="391">
        <f t="shared" si="4"/>
        <v>121</v>
      </c>
      <c r="H49" s="391">
        <f t="shared" si="5"/>
        <v>121</v>
      </c>
      <c r="I49" s="391">
        <f t="shared" si="6"/>
        <v>0</v>
      </c>
      <c r="J49" s="391">
        <f t="shared" si="7"/>
        <v>0</v>
      </c>
      <c r="K49" s="391">
        <f t="shared" si="8"/>
        <v>0</v>
      </c>
      <c r="L49" s="391"/>
      <c r="M49" s="391"/>
      <c r="N49" s="391"/>
      <c r="O49" s="392"/>
      <c r="P49" s="391"/>
      <c r="Q49" s="393">
        <f t="shared" si="9"/>
        <v>121</v>
      </c>
      <c r="R49" s="391">
        <f t="shared" si="10"/>
        <v>121</v>
      </c>
      <c r="S49" s="391">
        <v>121</v>
      </c>
      <c r="T49" s="391"/>
      <c r="U49" s="393">
        <f t="shared" si="18"/>
        <v>0</v>
      </c>
      <c r="V49" s="391"/>
      <c r="W49" s="391"/>
      <c r="X49" s="391"/>
      <c r="Y49" s="391"/>
      <c r="Z49" s="391"/>
      <c r="AA49" s="391"/>
      <c r="AB49" s="391">
        <f t="shared" si="11"/>
        <v>0</v>
      </c>
      <c r="AC49" s="391"/>
      <c r="AD49" s="391"/>
      <c r="AE49" s="391"/>
      <c r="AF49" s="391">
        <f t="shared" si="12"/>
        <v>0</v>
      </c>
      <c r="AG49" s="391"/>
      <c r="AH49" s="391"/>
      <c r="AI49" s="391">
        <f t="shared" si="13"/>
        <v>0</v>
      </c>
      <c r="AJ49" s="391"/>
      <c r="AK49" s="391"/>
      <c r="AL49" s="391">
        <f t="shared" si="2"/>
        <v>78.064516129032256</v>
      </c>
      <c r="AM49" s="391">
        <f t="shared" si="2"/>
        <v>78.064516129032256</v>
      </c>
      <c r="AN49" s="391"/>
      <c r="AO49" s="389"/>
    </row>
    <row r="50" spans="1:41" s="394" customFormat="1" ht="48" customHeight="1" x14ac:dyDescent="0.25">
      <c r="A50" s="389"/>
      <c r="B50" s="390" t="s">
        <v>79</v>
      </c>
      <c r="C50" s="391">
        <f t="shared" si="19"/>
        <v>142</v>
      </c>
      <c r="D50" s="404">
        <v>142</v>
      </c>
      <c r="E50" s="391"/>
      <c r="F50" s="391"/>
      <c r="G50" s="391">
        <f t="shared" si="4"/>
        <v>110</v>
      </c>
      <c r="H50" s="391">
        <f t="shared" si="5"/>
        <v>110</v>
      </c>
      <c r="I50" s="391">
        <f t="shared" si="6"/>
        <v>0</v>
      </c>
      <c r="J50" s="391">
        <f t="shared" si="7"/>
        <v>0</v>
      </c>
      <c r="K50" s="391">
        <f t="shared" si="8"/>
        <v>0</v>
      </c>
      <c r="L50" s="391"/>
      <c r="M50" s="391"/>
      <c r="N50" s="391"/>
      <c r="O50" s="392"/>
      <c r="P50" s="391"/>
      <c r="Q50" s="393">
        <f t="shared" si="9"/>
        <v>110</v>
      </c>
      <c r="R50" s="391">
        <f t="shared" si="10"/>
        <v>110</v>
      </c>
      <c r="S50" s="391">
        <v>110</v>
      </c>
      <c r="T50" s="391"/>
      <c r="U50" s="393">
        <f t="shared" si="18"/>
        <v>0</v>
      </c>
      <c r="V50" s="391"/>
      <c r="W50" s="391"/>
      <c r="X50" s="391"/>
      <c r="Y50" s="391"/>
      <c r="Z50" s="391"/>
      <c r="AA50" s="391"/>
      <c r="AB50" s="391">
        <f t="shared" si="11"/>
        <v>0</v>
      </c>
      <c r="AC50" s="391"/>
      <c r="AD50" s="391"/>
      <c r="AE50" s="391"/>
      <c r="AF50" s="391">
        <f t="shared" si="12"/>
        <v>0</v>
      </c>
      <c r="AG50" s="391"/>
      <c r="AH50" s="391"/>
      <c r="AI50" s="391">
        <f t="shared" si="13"/>
        <v>0</v>
      </c>
      <c r="AJ50" s="391"/>
      <c r="AK50" s="391"/>
      <c r="AL50" s="391">
        <f t="shared" si="2"/>
        <v>77.464788732394368</v>
      </c>
      <c r="AM50" s="391">
        <f t="shared" si="2"/>
        <v>77.464788732394368</v>
      </c>
      <c r="AN50" s="391"/>
      <c r="AO50" s="389"/>
    </row>
    <row r="51" spans="1:41" s="394" customFormat="1" ht="48" customHeight="1" x14ac:dyDescent="0.25">
      <c r="A51" s="389"/>
      <c r="B51" s="390" t="s">
        <v>80</v>
      </c>
      <c r="C51" s="391">
        <f t="shared" si="19"/>
        <v>142</v>
      </c>
      <c r="D51" s="404">
        <v>142</v>
      </c>
      <c r="E51" s="391"/>
      <c r="F51" s="391"/>
      <c r="G51" s="391">
        <f t="shared" si="4"/>
        <v>110</v>
      </c>
      <c r="H51" s="391">
        <f t="shared" si="5"/>
        <v>110</v>
      </c>
      <c r="I51" s="391">
        <f t="shared" si="6"/>
        <v>0</v>
      </c>
      <c r="J51" s="391">
        <f t="shared" si="7"/>
        <v>0</v>
      </c>
      <c r="K51" s="391">
        <f t="shared" si="8"/>
        <v>0</v>
      </c>
      <c r="L51" s="391"/>
      <c r="M51" s="391"/>
      <c r="N51" s="391"/>
      <c r="O51" s="392"/>
      <c r="P51" s="391"/>
      <c r="Q51" s="393">
        <f t="shared" si="9"/>
        <v>110</v>
      </c>
      <c r="R51" s="391">
        <f t="shared" si="10"/>
        <v>110</v>
      </c>
      <c r="S51" s="391">
        <v>110</v>
      </c>
      <c r="T51" s="391"/>
      <c r="U51" s="393">
        <f t="shared" si="18"/>
        <v>0</v>
      </c>
      <c r="V51" s="391"/>
      <c r="W51" s="391"/>
      <c r="X51" s="391"/>
      <c r="Y51" s="391"/>
      <c r="Z51" s="391"/>
      <c r="AA51" s="391"/>
      <c r="AB51" s="391">
        <f t="shared" si="11"/>
        <v>0</v>
      </c>
      <c r="AC51" s="391"/>
      <c r="AD51" s="391"/>
      <c r="AE51" s="391"/>
      <c r="AF51" s="391">
        <f t="shared" si="12"/>
        <v>0</v>
      </c>
      <c r="AG51" s="391"/>
      <c r="AH51" s="391"/>
      <c r="AI51" s="391">
        <f t="shared" si="13"/>
        <v>0</v>
      </c>
      <c r="AJ51" s="391"/>
      <c r="AK51" s="391"/>
      <c r="AL51" s="391">
        <f t="shared" si="2"/>
        <v>77.464788732394368</v>
      </c>
      <c r="AM51" s="391">
        <f t="shared" si="2"/>
        <v>77.464788732394368</v>
      </c>
      <c r="AN51" s="391"/>
      <c r="AO51" s="389"/>
    </row>
    <row r="52" spans="1:41" s="394" customFormat="1" ht="48" customHeight="1" x14ac:dyDescent="0.25">
      <c r="A52" s="389"/>
      <c r="B52" s="390" t="s">
        <v>69</v>
      </c>
      <c r="C52" s="391">
        <f t="shared" si="19"/>
        <v>184</v>
      </c>
      <c r="D52" s="404">
        <v>184</v>
      </c>
      <c r="E52" s="391"/>
      <c r="F52" s="391"/>
      <c r="G52" s="391">
        <f t="shared" si="4"/>
        <v>175.493572</v>
      </c>
      <c r="H52" s="391">
        <f t="shared" si="5"/>
        <v>175.493572</v>
      </c>
      <c r="I52" s="391">
        <f t="shared" si="6"/>
        <v>0</v>
      </c>
      <c r="J52" s="391">
        <f t="shared" si="7"/>
        <v>0</v>
      </c>
      <c r="K52" s="391">
        <f t="shared" si="8"/>
        <v>0</v>
      </c>
      <c r="L52" s="391"/>
      <c r="M52" s="391"/>
      <c r="N52" s="391"/>
      <c r="O52" s="392"/>
      <c r="P52" s="391"/>
      <c r="Q52" s="393">
        <f t="shared" si="9"/>
        <v>175.493572</v>
      </c>
      <c r="R52" s="391">
        <f t="shared" si="10"/>
        <v>175.493572</v>
      </c>
      <c r="S52" s="391">
        <v>175.493572</v>
      </c>
      <c r="T52" s="391"/>
      <c r="U52" s="393">
        <f t="shared" si="18"/>
        <v>0</v>
      </c>
      <c r="V52" s="391"/>
      <c r="W52" s="391"/>
      <c r="X52" s="391"/>
      <c r="Y52" s="391"/>
      <c r="Z52" s="391"/>
      <c r="AA52" s="391"/>
      <c r="AB52" s="391">
        <f t="shared" si="11"/>
        <v>0</v>
      </c>
      <c r="AC52" s="391"/>
      <c r="AD52" s="391"/>
      <c r="AE52" s="391"/>
      <c r="AF52" s="391">
        <f t="shared" si="12"/>
        <v>0</v>
      </c>
      <c r="AG52" s="391"/>
      <c r="AH52" s="391"/>
      <c r="AI52" s="391">
        <f t="shared" si="13"/>
        <v>0</v>
      </c>
      <c r="AJ52" s="391"/>
      <c r="AK52" s="391"/>
      <c r="AL52" s="391">
        <f t="shared" si="2"/>
        <v>95.376941304347824</v>
      </c>
      <c r="AM52" s="391">
        <f t="shared" si="2"/>
        <v>95.376941304347824</v>
      </c>
      <c r="AN52" s="391"/>
      <c r="AO52" s="389"/>
    </row>
    <row r="53" spans="1:41" s="394" customFormat="1" ht="48" customHeight="1" x14ac:dyDescent="0.25">
      <c r="A53" s="389"/>
      <c r="B53" s="390" t="s">
        <v>70</v>
      </c>
      <c r="C53" s="391">
        <f t="shared" si="19"/>
        <v>172</v>
      </c>
      <c r="D53" s="404">
        <v>172</v>
      </c>
      <c r="E53" s="391"/>
      <c r="F53" s="391"/>
      <c r="G53" s="391">
        <f t="shared" si="4"/>
        <v>157.74541600000001</v>
      </c>
      <c r="H53" s="391">
        <f t="shared" si="5"/>
        <v>157.74541600000001</v>
      </c>
      <c r="I53" s="391">
        <f t="shared" si="6"/>
        <v>0</v>
      </c>
      <c r="J53" s="391">
        <f t="shared" si="7"/>
        <v>0</v>
      </c>
      <c r="K53" s="391">
        <f t="shared" si="8"/>
        <v>0</v>
      </c>
      <c r="L53" s="391"/>
      <c r="M53" s="391"/>
      <c r="N53" s="391"/>
      <c r="O53" s="392"/>
      <c r="P53" s="391"/>
      <c r="Q53" s="393">
        <f t="shared" si="9"/>
        <v>157.74541600000001</v>
      </c>
      <c r="R53" s="391">
        <f t="shared" si="10"/>
        <v>157.74541600000001</v>
      </c>
      <c r="S53" s="391">
        <v>157.74541600000001</v>
      </c>
      <c r="T53" s="391"/>
      <c r="U53" s="393">
        <f t="shared" si="18"/>
        <v>0</v>
      </c>
      <c r="V53" s="391"/>
      <c r="W53" s="391"/>
      <c r="X53" s="391"/>
      <c r="Y53" s="391"/>
      <c r="Z53" s="391"/>
      <c r="AA53" s="391"/>
      <c r="AB53" s="391">
        <f t="shared" si="11"/>
        <v>0</v>
      </c>
      <c r="AC53" s="391"/>
      <c r="AD53" s="391"/>
      <c r="AE53" s="391"/>
      <c r="AF53" s="391">
        <f t="shared" si="12"/>
        <v>0</v>
      </c>
      <c r="AG53" s="391"/>
      <c r="AH53" s="391"/>
      <c r="AI53" s="391">
        <f t="shared" si="13"/>
        <v>0</v>
      </c>
      <c r="AJ53" s="391"/>
      <c r="AK53" s="391"/>
      <c r="AL53" s="391">
        <f t="shared" si="2"/>
        <v>91.7124511627907</v>
      </c>
      <c r="AM53" s="391">
        <f t="shared" si="2"/>
        <v>91.7124511627907</v>
      </c>
      <c r="AN53" s="391"/>
      <c r="AO53" s="389"/>
    </row>
    <row r="54" spans="1:41" s="394" customFormat="1" ht="48" customHeight="1" x14ac:dyDescent="0.25">
      <c r="A54" s="389"/>
      <c r="B54" s="390" t="s">
        <v>399</v>
      </c>
      <c r="C54" s="391">
        <f t="shared" si="19"/>
        <v>142</v>
      </c>
      <c r="D54" s="404">
        <v>142</v>
      </c>
      <c r="E54" s="391"/>
      <c r="F54" s="391"/>
      <c r="G54" s="391">
        <f t="shared" si="4"/>
        <v>141.99945500000001</v>
      </c>
      <c r="H54" s="391">
        <f t="shared" si="5"/>
        <v>141.99945500000001</v>
      </c>
      <c r="I54" s="391">
        <f t="shared" si="6"/>
        <v>0</v>
      </c>
      <c r="J54" s="391">
        <f t="shared" si="7"/>
        <v>0</v>
      </c>
      <c r="K54" s="391">
        <f t="shared" si="8"/>
        <v>0</v>
      </c>
      <c r="L54" s="391"/>
      <c r="M54" s="391"/>
      <c r="N54" s="391"/>
      <c r="O54" s="392"/>
      <c r="P54" s="391"/>
      <c r="Q54" s="393">
        <f t="shared" si="9"/>
        <v>141.99945500000001</v>
      </c>
      <c r="R54" s="391">
        <f t="shared" si="10"/>
        <v>141.99945500000001</v>
      </c>
      <c r="S54" s="391">
        <v>141.99945500000001</v>
      </c>
      <c r="T54" s="391"/>
      <c r="U54" s="393">
        <f t="shared" si="18"/>
        <v>0</v>
      </c>
      <c r="V54" s="391"/>
      <c r="W54" s="391"/>
      <c r="X54" s="391"/>
      <c r="Y54" s="391"/>
      <c r="Z54" s="391"/>
      <c r="AA54" s="391"/>
      <c r="AB54" s="391">
        <f t="shared" si="11"/>
        <v>0</v>
      </c>
      <c r="AC54" s="391"/>
      <c r="AD54" s="391"/>
      <c r="AE54" s="391"/>
      <c r="AF54" s="391">
        <f t="shared" si="12"/>
        <v>0</v>
      </c>
      <c r="AG54" s="391"/>
      <c r="AH54" s="391"/>
      <c r="AI54" s="391">
        <f t="shared" si="13"/>
        <v>0</v>
      </c>
      <c r="AJ54" s="391"/>
      <c r="AK54" s="391"/>
      <c r="AL54" s="391">
        <f t="shared" si="2"/>
        <v>99.999616197183116</v>
      </c>
      <c r="AM54" s="391">
        <f t="shared" si="2"/>
        <v>99.999616197183116</v>
      </c>
      <c r="AN54" s="391"/>
      <c r="AO54" s="389"/>
    </row>
    <row r="55" spans="1:41" s="394" customFormat="1" ht="48" customHeight="1" x14ac:dyDescent="0.25">
      <c r="A55" s="389"/>
      <c r="B55" s="390" t="s">
        <v>400</v>
      </c>
      <c r="C55" s="391">
        <f t="shared" si="19"/>
        <v>100</v>
      </c>
      <c r="D55" s="404">
        <v>100</v>
      </c>
      <c r="E55" s="391"/>
      <c r="F55" s="391"/>
      <c r="G55" s="391">
        <f t="shared" si="4"/>
        <v>99.972059000000002</v>
      </c>
      <c r="H55" s="391">
        <f t="shared" si="5"/>
        <v>99.972059000000002</v>
      </c>
      <c r="I55" s="391">
        <f t="shared" si="6"/>
        <v>0</v>
      </c>
      <c r="J55" s="391">
        <f t="shared" si="7"/>
        <v>0</v>
      </c>
      <c r="K55" s="391">
        <f t="shared" si="8"/>
        <v>0</v>
      </c>
      <c r="L55" s="391"/>
      <c r="M55" s="391"/>
      <c r="N55" s="391"/>
      <c r="O55" s="392"/>
      <c r="P55" s="391"/>
      <c r="Q55" s="393">
        <f t="shared" si="9"/>
        <v>99.972059000000002</v>
      </c>
      <c r="R55" s="391">
        <f t="shared" si="10"/>
        <v>99.972059000000002</v>
      </c>
      <c r="S55" s="391">
        <v>99.972059000000002</v>
      </c>
      <c r="T55" s="391"/>
      <c r="U55" s="393">
        <f t="shared" si="18"/>
        <v>0</v>
      </c>
      <c r="V55" s="391"/>
      <c r="W55" s="391"/>
      <c r="X55" s="391"/>
      <c r="Y55" s="391"/>
      <c r="Z55" s="391"/>
      <c r="AA55" s="391"/>
      <c r="AB55" s="391">
        <f t="shared" si="11"/>
        <v>0</v>
      </c>
      <c r="AC55" s="391"/>
      <c r="AD55" s="391"/>
      <c r="AE55" s="391"/>
      <c r="AF55" s="391">
        <f t="shared" si="12"/>
        <v>0</v>
      </c>
      <c r="AG55" s="391"/>
      <c r="AH55" s="391"/>
      <c r="AI55" s="391">
        <f t="shared" si="13"/>
        <v>0</v>
      </c>
      <c r="AJ55" s="391"/>
      <c r="AK55" s="391"/>
      <c r="AL55" s="391">
        <f t="shared" si="2"/>
        <v>99.972059000000002</v>
      </c>
      <c r="AM55" s="391">
        <f t="shared" si="2"/>
        <v>99.972059000000002</v>
      </c>
      <c r="AN55" s="391"/>
      <c r="AO55" s="389"/>
    </row>
    <row r="56" spans="1:41" s="394" customFormat="1" ht="48" customHeight="1" x14ac:dyDescent="0.25">
      <c r="A56" s="389"/>
      <c r="B56" s="390" t="s">
        <v>401</v>
      </c>
      <c r="C56" s="391">
        <f t="shared" si="19"/>
        <v>294</v>
      </c>
      <c r="D56" s="404">
        <v>294</v>
      </c>
      <c r="E56" s="391"/>
      <c r="F56" s="391"/>
      <c r="G56" s="391">
        <f t="shared" si="4"/>
        <v>203</v>
      </c>
      <c r="H56" s="391">
        <f t="shared" si="5"/>
        <v>203</v>
      </c>
      <c r="I56" s="391">
        <f t="shared" si="6"/>
        <v>0</v>
      </c>
      <c r="J56" s="391">
        <f t="shared" si="7"/>
        <v>0</v>
      </c>
      <c r="K56" s="391">
        <f t="shared" si="8"/>
        <v>0</v>
      </c>
      <c r="L56" s="391"/>
      <c r="M56" s="391"/>
      <c r="N56" s="391"/>
      <c r="O56" s="392"/>
      <c r="P56" s="391"/>
      <c r="Q56" s="393">
        <f t="shared" si="9"/>
        <v>203</v>
      </c>
      <c r="R56" s="391">
        <f t="shared" si="10"/>
        <v>203</v>
      </c>
      <c r="S56" s="391">
        <v>203</v>
      </c>
      <c r="T56" s="391"/>
      <c r="U56" s="393">
        <f t="shared" si="18"/>
        <v>0</v>
      </c>
      <c r="V56" s="391"/>
      <c r="W56" s="391"/>
      <c r="X56" s="391"/>
      <c r="Y56" s="391"/>
      <c r="Z56" s="391"/>
      <c r="AA56" s="391"/>
      <c r="AB56" s="391">
        <f t="shared" si="11"/>
        <v>0</v>
      </c>
      <c r="AC56" s="391"/>
      <c r="AD56" s="391"/>
      <c r="AE56" s="391"/>
      <c r="AF56" s="391">
        <f t="shared" si="12"/>
        <v>0</v>
      </c>
      <c r="AG56" s="391"/>
      <c r="AH56" s="391"/>
      <c r="AI56" s="391">
        <f t="shared" si="13"/>
        <v>0</v>
      </c>
      <c r="AJ56" s="391"/>
      <c r="AK56" s="391"/>
      <c r="AL56" s="391">
        <f t="shared" si="2"/>
        <v>69.047619047619051</v>
      </c>
      <c r="AM56" s="391">
        <f t="shared" si="2"/>
        <v>69.047619047619051</v>
      </c>
      <c r="AN56" s="391"/>
      <c r="AO56" s="389"/>
    </row>
    <row r="57" spans="1:41" s="394" customFormat="1" ht="48" customHeight="1" x14ac:dyDescent="0.25">
      <c r="A57" s="389"/>
      <c r="B57" s="390" t="s">
        <v>402</v>
      </c>
      <c r="C57" s="391">
        <f t="shared" si="19"/>
        <v>343</v>
      </c>
      <c r="D57" s="404">
        <v>343</v>
      </c>
      <c r="E57" s="391"/>
      <c r="F57" s="391"/>
      <c r="G57" s="391">
        <f t="shared" si="4"/>
        <v>233</v>
      </c>
      <c r="H57" s="391">
        <f t="shared" si="5"/>
        <v>233</v>
      </c>
      <c r="I57" s="391">
        <f t="shared" si="6"/>
        <v>0</v>
      </c>
      <c r="J57" s="391">
        <f t="shared" si="7"/>
        <v>0</v>
      </c>
      <c r="K57" s="391">
        <f t="shared" si="8"/>
        <v>0</v>
      </c>
      <c r="L57" s="391"/>
      <c r="M57" s="391"/>
      <c r="N57" s="391"/>
      <c r="O57" s="392"/>
      <c r="P57" s="391"/>
      <c r="Q57" s="393">
        <f t="shared" si="9"/>
        <v>233</v>
      </c>
      <c r="R57" s="391">
        <f t="shared" si="10"/>
        <v>233</v>
      </c>
      <c r="S57" s="391">
        <v>233</v>
      </c>
      <c r="T57" s="391"/>
      <c r="U57" s="393">
        <f t="shared" si="18"/>
        <v>0</v>
      </c>
      <c r="V57" s="391"/>
      <c r="W57" s="391"/>
      <c r="X57" s="391"/>
      <c r="Y57" s="391"/>
      <c r="Z57" s="391"/>
      <c r="AA57" s="391"/>
      <c r="AB57" s="391">
        <f t="shared" si="11"/>
        <v>0</v>
      </c>
      <c r="AC57" s="391"/>
      <c r="AD57" s="391"/>
      <c r="AE57" s="391"/>
      <c r="AF57" s="391">
        <f t="shared" si="12"/>
        <v>0</v>
      </c>
      <c r="AG57" s="391"/>
      <c r="AH57" s="391"/>
      <c r="AI57" s="391">
        <f t="shared" si="13"/>
        <v>0</v>
      </c>
      <c r="AJ57" s="391"/>
      <c r="AK57" s="391"/>
      <c r="AL57" s="391">
        <f t="shared" si="2"/>
        <v>67.930029154518948</v>
      </c>
      <c r="AM57" s="391">
        <f t="shared" si="2"/>
        <v>67.930029154518948</v>
      </c>
      <c r="AN57" s="391"/>
      <c r="AO57" s="389"/>
    </row>
    <row r="58" spans="1:41" s="309" customFormat="1" ht="48" customHeight="1" x14ac:dyDescent="0.25">
      <c r="A58" s="215"/>
      <c r="B58" s="216" t="s">
        <v>173</v>
      </c>
      <c r="C58" s="307">
        <f t="shared" si="19"/>
        <v>8031</v>
      </c>
      <c r="D58" s="314">
        <f>SUM(D59:D75)</f>
        <v>8031</v>
      </c>
      <c r="E58" s="314">
        <f t="shared" ref="E58:AO58" si="20">SUM(E59:E75)</f>
        <v>0</v>
      </c>
      <c r="F58" s="314">
        <f t="shared" si="20"/>
        <v>0</v>
      </c>
      <c r="G58" s="314">
        <f t="shared" si="20"/>
        <v>7865.8110669999987</v>
      </c>
      <c r="H58" s="314">
        <f t="shared" si="20"/>
        <v>7865.8110669999987</v>
      </c>
      <c r="I58" s="314">
        <f t="shared" si="20"/>
        <v>0</v>
      </c>
      <c r="J58" s="314">
        <f t="shared" si="20"/>
        <v>0</v>
      </c>
      <c r="K58" s="314">
        <f t="shared" si="20"/>
        <v>0</v>
      </c>
      <c r="L58" s="314">
        <f t="shared" si="20"/>
        <v>0</v>
      </c>
      <c r="M58" s="314">
        <f t="shared" si="20"/>
        <v>0</v>
      </c>
      <c r="N58" s="314">
        <f t="shared" si="20"/>
        <v>0</v>
      </c>
      <c r="O58" s="361">
        <f t="shared" si="20"/>
        <v>0</v>
      </c>
      <c r="P58" s="314">
        <f t="shared" si="20"/>
        <v>0</v>
      </c>
      <c r="Q58" s="379">
        <f t="shared" si="20"/>
        <v>7865.8110669999987</v>
      </c>
      <c r="R58" s="314">
        <f t="shared" si="20"/>
        <v>7865.8110669999987</v>
      </c>
      <c r="S58" s="314">
        <f t="shared" si="20"/>
        <v>7865.8110669999987</v>
      </c>
      <c r="T58" s="314">
        <f t="shared" si="20"/>
        <v>0</v>
      </c>
      <c r="U58" s="379">
        <f t="shared" si="20"/>
        <v>0</v>
      </c>
      <c r="V58" s="314">
        <f t="shared" si="20"/>
        <v>0</v>
      </c>
      <c r="W58" s="314">
        <f t="shared" si="20"/>
        <v>0</v>
      </c>
      <c r="X58" s="314">
        <f t="shared" si="20"/>
        <v>0</v>
      </c>
      <c r="Y58" s="314">
        <f t="shared" si="20"/>
        <v>0</v>
      </c>
      <c r="Z58" s="314">
        <f t="shared" si="20"/>
        <v>0</v>
      </c>
      <c r="AA58" s="314">
        <f t="shared" si="20"/>
        <v>0</v>
      </c>
      <c r="AB58" s="314">
        <f t="shared" si="20"/>
        <v>0</v>
      </c>
      <c r="AC58" s="314">
        <f t="shared" si="20"/>
        <v>0</v>
      </c>
      <c r="AD58" s="314">
        <f t="shared" si="20"/>
        <v>0</v>
      </c>
      <c r="AE58" s="314">
        <f t="shared" si="20"/>
        <v>0</v>
      </c>
      <c r="AF58" s="314">
        <f t="shared" si="20"/>
        <v>0</v>
      </c>
      <c r="AG58" s="314">
        <f t="shared" si="20"/>
        <v>0</v>
      </c>
      <c r="AH58" s="314">
        <f t="shared" si="20"/>
        <v>0</v>
      </c>
      <c r="AI58" s="314">
        <f t="shared" si="20"/>
        <v>0</v>
      </c>
      <c r="AJ58" s="314">
        <f t="shared" si="20"/>
        <v>0</v>
      </c>
      <c r="AK58" s="314">
        <f t="shared" si="20"/>
        <v>0</v>
      </c>
      <c r="AL58" s="308">
        <f t="shared" si="2"/>
        <v>97.943108790935113</v>
      </c>
      <c r="AM58" s="308">
        <f t="shared" si="2"/>
        <v>97.943108790935113</v>
      </c>
      <c r="AN58" s="308"/>
      <c r="AO58" s="315">
        <f t="shared" si="20"/>
        <v>0</v>
      </c>
    </row>
    <row r="59" spans="1:41" ht="48" customHeight="1" x14ac:dyDescent="0.25">
      <c r="A59" s="194"/>
      <c r="B59" s="213" t="s">
        <v>369</v>
      </c>
      <c r="C59" s="214">
        <f t="shared" si="19"/>
        <v>655</v>
      </c>
      <c r="D59" s="214">
        <v>655</v>
      </c>
      <c r="E59" s="214"/>
      <c r="F59" s="214"/>
      <c r="G59" s="214">
        <f t="shared" si="4"/>
        <v>655</v>
      </c>
      <c r="H59" s="214">
        <f t="shared" si="5"/>
        <v>655</v>
      </c>
      <c r="I59" s="214">
        <f t="shared" si="6"/>
        <v>0</v>
      </c>
      <c r="J59" s="214">
        <f t="shared" si="7"/>
        <v>0</v>
      </c>
      <c r="K59" s="214">
        <f t="shared" si="8"/>
        <v>0</v>
      </c>
      <c r="L59" s="214"/>
      <c r="M59" s="214"/>
      <c r="N59" s="214"/>
      <c r="O59" s="326"/>
      <c r="P59" s="214"/>
      <c r="Q59" s="239">
        <f t="shared" si="9"/>
        <v>655</v>
      </c>
      <c r="R59" s="214">
        <f t="shared" si="10"/>
        <v>655</v>
      </c>
      <c r="S59" s="214">
        <v>655</v>
      </c>
      <c r="T59" s="214"/>
      <c r="U59" s="239">
        <f t="shared" ref="U59:U75" si="21">V59+W59</f>
        <v>0</v>
      </c>
      <c r="V59" s="214"/>
      <c r="W59" s="214"/>
      <c r="X59" s="214"/>
      <c r="Y59" s="214"/>
      <c r="Z59" s="214"/>
      <c r="AA59" s="214"/>
      <c r="AB59" s="214">
        <f t="shared" si="11"/>
        <v>0</v>
      </c>
      <c r="AC59" s="214"/>
      <c r="AD59" s="214"/>
      <c r="AE59" s="214"/>
      <c r="AF59" s="214">
        <f t="shared" si="12"/>
        <v>0</v>
      </c>
      <c r="AG59" s="214"/>
      <c r="AH59" s="214"/>
      <c r="AI59" s="214">
        <f t="shared" si="13"/>
        <v>0</v>
      </c>
      <c r="AJ59" s="214"/>
      <c r="AK59" s="214"/>
      <c r="AL59" s="214">
        <f t="shared" si="2"/>
        <v>100</v>
      </c>
      <c r="AM59" s="214">
        <f t="shared" si="2"/>
        <v>100</v>
      </c>
      <c r="AN59" s="214"/>
      <c r="AO59" s="194"/>
    </row>
    <row r="60" spans="1:41" ht="48" customHeight="1" x14ac:dyDescent="0.25">
      <c r="A60" s="194"/>
      <c r="B60" s="213" t="s">
        <v>67</v>
      </c>
      <c r="C60" s="214">
        <f t="shared" si="19"/>
        <v>904</v>
      </c>
      <c r="D60" s="214">
        <v>904</v>
      </c>
      <c r="E60" s="214"/>
      <c r="F60" s="214"/>
      <c r="G60" s="214">
        <f t="shared" si="4"/>
        <v>902.64008799999999</v>
      </c>
      <c r="H60" s="214">
        <f t="shared" si="5"/>
        <v>902.64008799999999</v>
      </c>
      <c r="I60" s="214">
        <f t="shared" si="6"/>
        <v>0</v>
      </c>
      <c r="J60" s="214">
        <f t="shared" si="7"/>
        <v>0</v>
      </c>
      <c r="K60" s="214">
        <f t="shared" si="8"/>
        <v>0</v>
      </c>
      <c r="L60" s="214"/>
      <c r="M60" s="214"/>
      <c r="N60" s="214"/>
      <c r="O60" s="326"/>
      <c r="P60" s="214"/>
      <c r="Q60" s="239">
        <f t="shared" si="9"/>
        <v>902.64008799999999</v>
      </c>
      <c r="R60" s="214">
        <f t="shared" si="10"/>
        <v>902.64008799999999</v>
      </c>
      <c r="S60" s="214">
        <v>902.64008799999999</v>
      </c>
      <c r="T60" s="214"/>
      <c r="U60" s="239">
        <f t="shared" si="21"/>
        <v>0</v>
      </c>
      <c r="V60" s="214"/>
      <c r="W60" s="214"/>
      <c r="X60" s="214"/>
      <c r="Y60" s="214"/>
      <c r="Z60" s="214"/>
      <c r="AA60" s="214"/>
      <c r="AB60" s="214">
        <f t="shared" si="11"/>
        <v>0</v>
      </c>
      <c r="AC60" s="214"/>
      <c r="AD60" s="214"/>
      <c r="AE60" s="214"/>
      <c r="AF60" s="214">
        <f t="shared" si="12"/>
        <v>0</v>
      </c>
      <c r="AG60" s="214"/>
      <c r="AH60" s="214"/>
      <c r="AI60" s="214">
        <f t="shared" si="13"/>
        <v>0</v>
      </c>
      <c r="AJ60" s="214"/>
      <c r="AK60" s="214"/>
      <c r="AL60" s="214">
        <f t="shared" si="2"/>
        <v>99.849567256637172</v>
      </c>
      <c r="AM60" s="214">
        <f t="shared" si="2"/>
        <v>99.849567256637172</v>
      </c>
      <c r="AN60" s="214"/>
      <c r="AO60" s="194"/>
    </row>
    <row r="61" spans="1:41" ht="48" customHeight="1" x14ac:dyDescent="0.25">
      <c r="A61" s="194"/>
      <c r="B61" s="213" t="s">
        <v>373</v>
      </c>
      <c r="C61" s="214">
        <f t="shared" si="19"/>
        <v>178</v>
      </c>
      <c r="D61" s="214">
        <v>178</v>
      </c>
      <c r="E61" s="214"/>
      <c r="F61" s="214"/>
      <c r="G61" s="214">
        <f t="shared" si="4"/>
        <v>176.3398</v>
      </c>
      <c r="H61" s="214">
        <f t="shared" si="5"/>
        <v>176.3398</v>
      </c>
      <c r="I61" s="214">
        <f t="shared" si="6"/>
        <v>0</v>
      </c>
      <c r="J61" s="214">
        <f t="shared" si="7"/>
        <v>0</v>
      </c>
      <c r="K61" s="214">
        <f t="shared" si="8"/>
        <v>0</v>
      </c>
      <c r="L61" s="214"/>
      <c r="M61" s="214"/>
      <c r="N61" s="214"/>
      <c r="O61" s="326"/>
      <c r="P61" s="214"/>
      <c r="Q61" s="239">
        <f t="shared" si="9"/>
        <v>176.3398</v>
      </c>
      <c r="R61" s="214">
        <f t="shared" si="10"/>
        <v>176.3398</v>
      </c>
      <c r="S61" s="214">
        <v>176.3398</v>
      </c>
      <c r="T61" s="214"/>
      <c r="U61" s="239">
        <f t="shared" si="21"/>
        <v>0</v>
      </c>
      <c r="V61" s="214"/>
      <c r="W61" s="214"/>
      <c r="X61" s="214"/>
      <c r="Y61" s="214"/>
      <c r="Z61" s="214"/>
      <c r="AA61" s="214"/>
      <c r="AB61" s="214">
        <f t="shared" si="11"/>
        <v>0</v>
      </c>
      <c r="AC61" s="214"/>
      <c r="AD61" s="214"/>
      <c r="AE61" s="214"/>
      <c r="AF61" s="214">
        <f t="shared" si="12"/>
        <v>0</v>
      </c>
      <c r="AG61" s="214"/>
      <c r="AH61" s="214"/>
      <c r="AI61" s="214">
        <f t="shared" si="13"/>
        <v>0</v>
      </c>
      <c r="AJ61" s="214"/>
      <c r="AK61" s="214"/>
      <c r="AL61" s="214">
        <f t="shared" si="2"/>
        <v>99.067303370786519</v>
      </c>
      <c r="AM61" s="214">
        <f t="shared" si="2"/>
        <v>99.067303370786519</v>
      </c>
      <c r="AN61" s="214"/>
      <c r="AO61" s="194"/>
    </row>
    <row r="62" spans="1:41" ht="48" customHeight="1" x14ac:dyDescent="0.25">
      <c r="A62" s="194"/>
      <c r="B62" s="213" t="s">
        <v>389</v>
      </c>
      <c r="C62" s="214">
        <f t="shared" si="19"/>
        <v>747</v>
      </c>
      <c r="D62" s="214">
        <v>747</v>
      </c>
      <c r="E62" s="214"/>
      <c r="F62" s="214"/>
      <c r="G62" s="214">
        <f t="shared" si="4"/>
        <v>728.46382200000005</v>
      </c>
      <c r="H62" s="214">
        <f t="shared" si="5"/>
        <v>728.46382200000005</v>
      </c>
      <c r="I62" s="214">
        <f t="shared" si="6"/>
        <v>0</v>
      </c>
      <c r="J62" s="214">
        <f t="shared" si="7"/>
        <v>0</v>
      </c>
      <c r="K62" s="214">
        <f t="shared" si="8"/>
        <v>0</v>
      </c>
      <c r="L62" s="214"/>
      <c r="M62" s="214"/>
      <c r="N62" s="214"/>
      <c r="O62" s="326"/>
      <c r="P62" s="214"/>
      <c r="Q62" s="239">
        <f t="shared" si="9"/>
        <v>728.46382200000005</v>
      </c>
      <c r="R62" s="214">
        <f t="shared" si="10"/>
        <v>728.46382200000005</v>
      </c>
      <c r="S62" s="214">
        <v>728.46382200000005</v>
      </c>
      <c r="T62" s="214"/>
      <c r="U62" s="239">
        <f t="shared" si="21"/>
        <v>0</v>
      </c>
      <c r="V62" s="214"/>
      <c r="W62" s="214"/>
      <c r="X62" s="214"/>
      <c r="Y62" s="214"/>
      <c r="Z62" s="214"/>
      <c r="AA62" s="214"/>
      <c r="AB62" s="214">
        <f t="shared" si="11"/>
        <v>0</v>
      </c>
      <c r="AC62" s="214"/>
      <c r="AD62" s="214"/>
      <c r="AE62" s="214"/>
      <c r="AF62" s="214">
        <f t="shared" si="12"/>
        <v>0</v>
      </c>
      <c r="AG62" s="214"/>
      <c r="AH62" s="214"/>
      <c r="AI62" s="214">
        <f t="shared" si="13"/>
        <v>0</v>
      </c>
      <c r="AJ62" s="214"/>
      <c r="AK62" s="214"/>
      <c r="AL62" s="214">
        <f t="shared" si="2"/>
        <v>97.518583935742981</v>
      </c>
      <c r="AM62" s="214">
        <f t="shared" si="2"/>
        <v>97.518583935742981</v>
      </c>
      <c r="AN62" s="214"/>
      <c r="AO62" s="194"/>
    </row>
    <row r="63" spans="1:41" ht="48" customHeight="1" x14ac:dyDescent="0.25">
      <c r="A63" s="194"/>
      <c r="B63" s="213" t="s">
        <v>50</v>
      </c>
      <c r="C63" s="214">
        <f t="shared" si="19"/>
        <v>244</v>
      </c>
      <c r="D63" s="214">
        <v>244</v>
      </c>
      <c r="E63" s="214"/>
      <c r="F63" s="214"/>
      <c r="G63" s="214">
        <f t="shared" si="4"/>
        <v>233.58847800000001</v>
      </c>
      <c r="H63" s="214">
        <f t="shared" si="5"/>
        <v>233.58847800000001</v>
      </c>
      <c r="I63" s="214">
        <f t="shared" si="6"/>
        <v>0</v>
      </c>
      <c r="J63" s="214">
        <f t="shared" si="7"/>
        <v>0</v>
      </c>
      <c r="K63" s="214">
        <f t="shared" si="8"/>
        <v>0</v>
      </c>
      <c r="L63" s="214"/>
      <c r="M63" s="214"/>
      <c r="N63" s="214"/>
      <c r="O63" s="326"/>
      <c r="P63" s="214"/>
      <c r="Q63" s="239">
        <f t="shared" si="9"/>
        <v>233.58847800000001</v>
      </c>
      <c r="R63" s="214">
        <f t="shared" si="10"/>
        <v>233.58847800000001</v>
      </c>
      <c r="S63" s="214">
        <v>233.58847800000001</v>
      </c>
      <c r="T63" s="214"/>
      <c r="U63" s="239">
        <f t="shared" si="21"/>
        <v>0</v>
      </c>
      <c r="V63" s="214"/>
      <c r="W63" s="214"/>
      <c r="X63" s="214"/>
      <c r="Y63" s="214"/>
      <c r="Z63" s="214"/>
      <c r="AA63" s="214"/>
      <c r="AB63" s="214">
        <f t="shared" si="11"/>
        <v>0</v>
      </c>
      <c r="AC63" s="214"/>
      <c r="AD63" s="214"/>
      <c r="AE63" s="214"/>
      <c r="AF63" s="214">
        <f t="shared" si="12"/>
        <v>0</v>
      </c>
      <c r="AG63" s="214"/>
      <c r="AH63" s="214"/>
      <c r="AI63" s="214">
        <f t="shared" si="13"/>
        <v>0</v>
      </c>
      <c r="AJ63" s="214"/>
      <c r="AK63" s="214"/>
      <c r="AL63" s="214">
        <f t="shared" si="2"/>
        <v>95.732982786885245</v>
      </c>
      <c r="AM63" s="214">
        <f t="shared" si="2"/>
        <v>95.732982786885245</v>
      </c>
      <c r="AN63" s="214"/>
      <c r="AO63" s="194"/>
    </row>
    <row r="64" spans="1:41" ht="48" customHeight="1" x14ac:dyDescent="0.25">
      <c r="A64" s="194"/>
      <c r="B64" s="213" t="s">
        <v>51</v>
      </c>
      <c r="C64" s="214">
        <f t="shared" si="19"/>
        <v>235</v>
      </c>
      <c r="D64" s="214">
        <v>235</v>
      </c>
      <c r="E64" s="214"/>
      <c r="F64" s="214"/>
      <c r="G64" s="214">
        <f t="shared" si="4"/>
        <v>226.157873</v>
      </c>
      <c r="H64" s="214">
        <f t="shared" si="5"/>
        <v>226.157873</v>
      </c>
      <c r="I64" s="214">
        <f t="shared" si="6"/>
        <v>0</v>
      </c>
      <c r="J64" s="214">
        <f t="shared" si="7"/>
        <v>0</v>
      </c>
      <c r="K64" s="214">
        <f t="shared" si="8"/>
        <v>0</v>
      </c>
      <c r="L64" s="214"/>
      <c r="M64" s="214"/>
      <c r="N64" s="214"/>
      <c r="O64" s="326"/>
      <c r="P64" s="214"/>
      <c r="Q64" s="239">
        <f t="shared" si="9"/>
        <v>226.157873</v>
      </c>
      <c r="R64" s="214">
        <f t="shared" si="10"/>
        <v>226.157873</v>
      </c>
      <c r="S64" s="214">
        <v>226.157873</v>
      </c>
      <c r="T64" s="214"/>
      <c r="U64" s="239">
        <f t="shared" si="21"/>
        <v>0</v>
      </c>
      <c r="V64" s="214"/>
      <c r="W64" s="214"/>
      <c r="X64" s="214"/>
      <c r="Y64" s="214"/>
      <c r="Z64" s="214"/>
      <c r="AA64" s="214"/>
      <c r="AB64" s="214">
        <f t="shared" si="11"/>
        <v>0</v>
      </c>
      <c r="AC64" s="214"/>
      <c r="AD64" s="214"/>
      <c r="AE64" s="214"/>
      <c r="AF64" s="214">
        <f t="shared" si="12"/>
        <v>0</v>
      </c>
      <c r="AG64" s="214"/>
      <c r="AH64" s="214"/>
      <c r="AI64" s="214">
        <f t="shared" si="13"/>
        <v>0</v>
      </c>
      <c r="AJ64" s="214"/>
      <c r="AK64" s="214"/>
      <c r="AL64" s="214">
        <f t="shared" si="2"/>
        <v>96.237392765957438</v>
      </c>
      <c r="AM64" s="214">
        <f t="shared" si="2"/>
        <v>96.237392765957438</v>
      </c>
      <c r="AN64" s="214"/>
      <c r="AO64" s="194"/>
    </row>
    <row r="65" spans="1:41" ht="48" customHeight="1" x14ac:dyDescent="0.25">
      <c r="A65" s="194"/>
      <c r="B65" s="213" t="s">
        <v>52</v>
      </c>
      <c r="C65" s="214">
        <f t="shared" si="19"/>
        <v>215</v>
      </c>
      <c r="D65" s="214">
        <v>215</v>
      </c>
      <c r="E65" s="214"/>
      <c r="F65" s="214"/>
      <c r="G65" s="214">
        <f t="shared" si="4"/>
        <v>212.00058799999999</v>
      </c>
      <c r="H65" s="214">
        <f t="shared" si="5"/>
        <v>212.00058799999999</v>
      </c>
      <c r="I65" s="214">
        <f t="shared" si="6"/>
        <v>0</v>
      </c>
      <c r="J65" s="214">
        <f t="shared" si="7"/>
        <v>0</v>
      </c>
      <c r="K65" s="214">
        <f t="shared" si="8"/>
        <v>0</v>
      </c>
      <c r="L65" s="214"/>
      <c r="M65" s="214"/>
      <c r="N65" s="214"/>
      <c r="O65" s="326"/>
      <c r="P65" s="214"/>
      <c r="Q65" s="239">
        <f t="shared" si="9"/>
        <v>212.00058799999999</v>
      </c>
      <c r="R65" s="214">
        <f t="shared" si="10"/>
        <v>212.00058799999999</v>
      </c>
      <c r="S65" s="214">
        <v>212.00058799999999</v>
      </c>
      <c r="T65" s="214"/>
      <c r="U65" s="239">
        <f t="shared" si="21"/>
        <v>0</v>
      </c>
      <c r="V65" s="214"/>
      <c r="W65" s="214"/>
      <c r="X65" s="214"/>
      <c r="Y65" s="214"/>
      <c r="Z65" s="214"/>
      <c r="AA65" s="214"/>
      <c r="AB65" s="214">
        <f t="shared" si="11"/>
        <v>0</v>
      </c>
      <c r="AC65" s="214"/>
      <c r="AD65" s="214"/>
      <c r="AE65" s="214"/>
      <c r="AF65" s="214">
        <f t="shared" si="12"/>
        <v>0</v>
      </c>
      <c r="AG65" s="214"/>
      <c r="AH65" s="214"/>
      <c r="AI65" s="214">
        <f t="shared" si="13"/>
        <v>0</v>
      </c>
      <c r="AJ65" s="214"/>
      <c r="AK65" s="214"/>
      <c r="AL65" s="214">
        <f t="shared" si="2"/>
        <v>98.60492465116279</v>
      </c>
      <c r="AM65" s="214">
        <f t="shared" si="2"/>
        <v>98.60492465116279</v>
      </c>
      <c r="AN65" s="214"/>
      <c r="AO65" s="194"/>
    </row>
    <row r="66" spans="1:41" ht="48" customHeight="1" x14ac:dyDescent="0.25">
      <c r="A66" s="194"/>
      <c r="B66" s="213" t="s">
        <v>103</v>
      </c>
      <c r="C66" s="214">
        <f t="shared" si="19"/>
        <v>188</v>
      </c>
      <c r="D66" s="214">
        <v>188</v>
      </c>
      <c r="E66" s="214"/>
      <c r="F66" s="214"/>
      <c r="G66" s="214">
        <f t="shared" si="4"/>
        <v>182.30714900000001</v>
      </c>
      <c r="H66" s="214">
        <f t="shared" si="5"/>
        <v>182.30714900000001</v>
      </c>
      <c r="I66" s="214">
        <f t="shared" si="6"/>
        <v>0</v>
      </c>
      <c r="J66" s="214">
        <f t="shared" si="7"/>
        <v>0</v>
      </c>
      <c r="K66" s="214">
        <f t="shared" si="8"/>
        <v>0</v>
      </c>
      <c r="L66" s="214"/>
      <c r="M66" s="214"/>
      <c r="N66" s="214"/>
      <c r="O66" s="326"/>
      <c r="P66" s="214"/>
      <c r="Q66" s="239">
        <f t="shared" si="9"/>
        <v>182.30714900000001</v>
      </c>
      <c r="R66" s="214">
        <f t="shared" si="10"/>
        <v>182.30714900000001</v>
      </c>
      <c r="S66" s="214">
        <v>182.30714900000001</v>
      </c>
      <c r="T66" s="214"/>
      <c r="U66" s="239">
        <f t="shared" si="21"/>
        <v>0</v>
      </c>
      <c r="V66" s="214"/>
      <c r="W66" s="214"/>
      <c r="X66" s="214"/>
      <c r="Y66" s="214"/>
      <c r="Z66" s="214"/>
      <c r="AA66" s="214"/>
      <c r="AB66" s="214">
        <f t="shared" si="11"/>
        <v>0</v>
      </c>
      <c r="AC66" s="214"/>
      <c r="AD66" s="214"/>
      <c r="AE66" s="214"/>
      <c r="AF66" s="214">
        <f t="shared" si="12"/>
        <v>0</v>
      </c>
      <c r="AG66" s="214"/>
      <c r="AH66" s="214"/>
      <c r="AI66" s="214">
        <f t="shared" si="13"/>
        <v>0</v>
      </c>
      <c r="AJ66" s="214"/>
      <c r="AK66" s="214"/>
      <c r="AL66" s="214">
        <f t="shared" si="2"/>
        <v>96.971887765957462</v>
      </c>
      <c r="AM66" s="214">
        <f t="shared" si="2"/>
        <v>96.971887765957462</v>
      </c>
      <c r="AN66" s="214"/>
      <c r="AO66" s="194"/>
    </row>
    <row r="67" spans="1:41" ht="48" customHeight="1" x14ac:dyDescent="0.25">
      <c r="A67" s="194"/>
      <c r="B67" s="213" t="s">
        <v>100</v>
      </c>
      <c r="C67" s="214">
        <f t="shared" si="19"/>
        <v>208</v>
      </c>
      <c r="D67" s="214">
        <v>208</v>
      </c>
      <c r="E67" s="214"/>
      <c r="F67" s="214"/>
      <c r="G67" s="214">
        <f t="shared" si="4"/>
        <v>202.72710599999999</v>
      </c>
      <c r="H67" s="214">
        <f t="shared" si="5"/>
        <v>202.72710599999999</v>
      </c>
      <c r="I67" s="214">
        <f t="shared" si="6"/>
        <v>0</v>
      </c>
      <c r="J67" s="214">
        <f t="shared" si="7"/>
        <v>0</v>
      </c>
      <c r="K67" s="214">
        <f t="shared" si="8"/>
        <v>0</v>
      </c>
      <c r="L67" s="214"/>
      <c r="M67" s="214"/>
      <c r="N67" s="214"/>
      <c r="O67" s="326"/>
      <c r="P67" s="214"/>
      <c r="Q67" s="239">
        <f t="shared" si="9"/>
        <v>202.72710599999999</v>
      </c>
      <c r="R67" s="214">
        <f t="shared" si="10"/>
        <v>202.72710599999999</v>
      </c>
      <c r="S67" s="214">
        <v>202.72710599999999</v>
      </c>
      <c r="T67" s="214"/>
      <c r="U67" s="239">
        <f t="shared" si="21"/>
        <v>0</v>
      </c>
      <c r="V67" s="214"/>
      <c r="W67" s="214"/>
      <c r="X67" s="214"/>
      <c r="Y67" s="214"/>
      <c r="Z67" s="214"/>
      <c r="AA67" s="214"/>
      <c r="AB67" s="214">
        <f t="shared" si="11"/>
        <v>0</v>
      </c>
      <c r="AC67" s="214"/>
      <c r="AD67" s="214"/>
      <c r="AE67" s="214"/>
      <c r="AF67" s="214">
        <f t="shared" si="12"/>
        <v>0</v>
      </c>
      <c r="AG67" s="214"/>
      <c r="AH67" s="214"/>
      <c r="AI67" s="214">
        <f t="shared" si="13"/>
        <v>0</v>
      </c>
      <c r="AJ67" s="214"/>
      <c r="AK67" s="214"/>
      <c r="AL67" s="214">
        <f t="shared" si="2"/>
        <v>97.464954807692294</v>
      </c>
      <c r="AM67" s="214">
        <f t="shared" si="2"/>
        <v>97.464954807692294</v>
      </c>
      <c r="AN67" s="214"/>
      <c r="AO67" s="194"/>
    </row>
    <row r="68" spans="1:41" ht="48" customHeight="1" x14ac:dyDescent="0.25">
      <c r="A68" s="194"/>
      <c r="B68" s="213" t="s">
        <v>306</v>
      </c>
      <c r="C68" s="214">
        <f t="shared" si="19"/>
        <v>208</v>
      </c>
      <c r="D68" s="214">
        <v>208</v>
      </c>
      <c r="E68" s="214"/>
      <c r="F68" s="214"/>
      <c r="G68" s="214">
        <f t="shared" si="4"/>
        <v>199.802063</v>
      </c>
      <c r="H68" s="214">
        <f t="shared" si="5"/>
        <v>199.802063</v>
      </c>
      <c r="I68" s="214">
        <f t="shared" si="6"/>
        <v>0</v>
      </c>
      <c r="J68" s="214">
        <f t="shared" si="7"/>
        <v>0</v>
      </c>
      <c r="K68" s="214">
        <f t="shared" si="8"/>
        <v>0</v>
      </c>
      <c r="L68" s="214"/>
      <c r="M68" s="214"/>
      <c r="N68" s="214"/>
      <c r="O68" s="326"/>
      <c r="P68" s="214"/>
      <c r="Q68" s="239">
        <f t="shared" si="9"/>
        <v>199.802063</v>
      </c>
      <c r="R68" s="214">
        <f t="shared" si="10"/>
        <v>199.802063</v>
      </c>
      <c r="S68" s="214">
        <v>199.802063</v>
      </c>
      <c r="T68" s="214"/>
      <c r="U68" s="239">
        <f t="shared" si="21"/>
        <v>0</v>
      </c>
      <c r="V68" s="214"/>
      <c r="W68" s="214"/>
      <c r="X68" s="214"/>
      <c r="Y68" s="214"/>
      <c r="Z68" s="214"/>
      <c r="AA68" s="214"/>
      <c r="AB68" s="214">
        <f t="shared" si="11"/>
        <v>0</v>
      </c>
      <c r="AC68" s="214"/>
      <c r="AD68" s="214"/>
      <c r="AE68" s="214"/>
      <c r="AF68" s="214">
        <f t="shared" si="12"/>
        <v>0</v>
      </c>
      <c r="AG68" s="214"/>
      <c r="AH68" s="214"/>
      <c r="AI68" s="214">
        <f t="shared" si="13"/>
        <v>0</v>
      </c>
      <c r="AJ68" s="214"/>
      <c r="AK68" s="214"/>
      <c r="AL68" s="214">
        <f t="shared" si="2"/>
        <v>96.058684134615376</v>
      </c>
      <c r="AM68" s="214">
        <f t="shared" si="2"/>
        <v>96.058684134615376</v>
      </c>
      <c r="AN68" s="214"/>
      <c r="AO68" s="194"/>
    </row>
    <row r="69" spans="1:41" ht="48" customHeight="1" x14ac:dyDescent="0.25">
      <c r="A69" s="194"/>
      <c r="B69" s="213" t="s">
        <v>43</v>
      </c>
      <c r="C69" s="214">
        <f t="shared" si="19"/>
        <v>803</v>
      </c>
      <c r="D69" s="214">
        <v>803</v>
      </c>
      <c r="E69" s="214"/>
      <c r="F69" s="214"/>
      <c r="G69" s="214">
        <f t="shared" si="4"/>
        <v>794.64781900000003</v>
      </c>
      <c r="H69" s="214">
        <f t="shared" si="5"/>
        <v>794.64781900000003</v>
      </c>
      <c r="I69" s="214">
        <f t="shared" si="6"/>
        <v>0</v>
      </c>
      <c r="J69" s="214">
        <f t="shared" si="7"/>
        <v>0</v>
      </c>
      <c r="K69" s="214">
        <f t="shared" si="8"/>
        <v>0</v>
      </c>
      <c r="L69" s="214"/>
      <c r="M69" s="214"/>
      <c r="N69" s="214"/>
      <c r="O69" s="326"/>
      <c r="P69" s="214"/>
      <c r="Q69" s="239">
        <f t="shared" si="9"/>
        <v>794.64781900000003</v>
      </c>
      <c r="R69" s="214">
        <f t="shared" si="10"/>
        <v>794.64781900000003</v>
      </c>
      <c r="S69" s="214">
        <v>794.64781900000003</v>
      </c>
      <c r="T69" s="214"/>
      <c r="U69" s="239">
        <f t="shared" si="21"/>
        <v>0</v>
      </c>
      <c r="V69" s="214"/>
      <c r="W69" s="214"/>
      <c r="X69" s="214"/>
      <c r="Y69" s="214"/>
      <c r="Z69" s="214"/>
      <c r="AA69" s="214"/>
      <c r="AB69" s="214">
        <f t="shared" si="11"/>
        <v>0</v>
      </c>
      <c r="AC69" s="214"/>
      <c r="AD69" s="214"/>
      <c r="AE69" s="214"/>
      <c r="AF69" s="214">
        <f t="shared" si="12"/>
        <v>0</v>
      </c>
      <c r="AG69" s="214"/>
      <c r="AH69" s="214"/>
      <c r="AI69" s="214">
        <f t="shared" si="13"/>
        <v>0</v>
      </c>
      <c r="AJ69" s="214"/>
      <c r="AK69" s="214"/>
      <c r="AL69" s="214">
        <f t="shared" si="2"/>
        <v>98.959877833125788</v>
      </c>
      <c r="AM69" s="214">
        <f t="shared" si="2"/>
        <v>98.959877833125788</v>
      </c>
      <c r="AN69" s="214"/>
      <c r="AO69" s="194"/>
    </row>
    <row r="70" spans="1:41" ht="48" customHeight="1" x14ac:dyDescent="0.25">
      <c r="A70" s="194"/>
      <c r="B70" s="213" t="s">
        <v>403</v>
      </c>
      <c r="C70" s="214">
        <f t="shared" si="19"/>
        <v>145</v>
      </c>
      <c r="D70" s="214">
        <v>145</v>
      </c>
      <c r="E70" s="214"/>
      <c r="F70" s="214"/>
      <c r="G70" s="214">
        <f t="shared" si="4"/>
        <v>138.96830299999999</v>
      </c>
      <c r="H70" s="214">
        <f t="shared" si="5"/>
        <v>138.96830299999999</v>
      </c>
      <c r="I70" s="214">
        <f t="shared" si="6"/>
        <v>0</v>
      </c>
      <c r="J70" s="214">
        <f t="shared" si="7"/>
        <v>0</v>
      </c>
      <c r="K70" s="214">
        <f t="shared" si="8"/>
        <v>0</v>
      </c>
      <c r="L70" s="214"/>
      <c r="M70" s="214"/>
      <c r="N70" s="214"/>
      <c r="O70" s="326"/>
      <c r="P70" s="214"/>
      <c r="Q70" s="239">
        <f t="shared" si="9"/>
        <v>138.96830299999999</v>
      </c>
      <c r="R70" s="214">
        <f t="shared" si="10"/>
        <v>138.96830299999999</v>
      </c>
      <c r="S70" s="214">
        <v>138.96830299999999</v>
      </c>
      <c r="T70" s="214"/>
      <c r="U70" s="239">
        <f t="shared" si="21"/>
        <v>0</v>
      </c>
      <c r="V70" s="214"/>
      <c r="W70" s="214"/>
      <c r="X70" s="214"/>
      <c r="Y70" s="214"/>
      <c r="Z70" s="214"/>
      <c r="AA70" s="214"/>
      <c r="AB70" s="214">
        <f t="shared" si="11"/>
        <v>0</v>
      </c>
      <c r="AC70" s="214"/>
      <c r="AD70" s="214"/>
      <c r="AE70" s="214"/>
      <c r="AF70" s="214">
        <f t="shared" si="12"/>
        <v>0</v>
      </c>
      <c r="AG70" s="214"/>
      <c r="AH70" s="214"/>
      <c r="AI70" s="214">
        <f t="shared" si="13"/>
        <v>0</v>
      </c>
      <c r="AJ70" s="214"/>
      <c r="AK70" s="214"/>
      <c r="AL70" s="214">
        <f t="shared" si="2"/>
        <v>95.840208965517235</v>
      </c>
      <c r="AM70" s="214">
        <f t="shared" si="2"/>
        <v>95.840208965517235</v>
      </c>
      <c r="AN70" s="214"/>
      <c r="AO70" s="194"/>
    </row>
    <row r="71" spans="1:41" ht="48" customHeight="1" x14ac:dyDescent="0.25">
      <c r="A71" s="194"/>
      <c r="B71" s="213" t="s">
        <v>312</v>
      </c>
      <c r="C71" s="214">
        <f t="shared" si="19"/>
        <v>572</v>
      </c>
      <c r="D71" s="214">
        <v>572</v>
      </c>
      <c r="E71" s="214"/>
      <c r="F71" s="214"/>
      <c r="G71" s="214">
        <f t="shared" si="4"/>
        <v>557.94268099999999</v>
      </c>
      <c r="H71" s="214">
        <f t="shared" si="5"/>
        <v>557.94268099999999</v>
      </c>
      <c r="I71" s="214">
        <f t="shared" si="6"/>
        <v>0</v>
      </c>
      <c r="J71" s="214">
        <f t="shared" si="7"/>
        <v>0</v>
      </c>
      <c r="K71" s="214">
        <f t="shared" si="8"/>
        <v>0</v>
      </c>
      <c r="L71" s="214"/>
      <c r="M71" s="214"/>
      <c r="N71" s="214"/>
      <c r="O71" s="326"/>
      <c r="P71" s="214"/>
      <c r="Q71" s="239">
        <f t="shared" si="9"/>
        <v>557.94268099999999</v>
      </c>
      <c r="R71" s="214">
        <f t="shared" si="10"/>
        <v>557.94268099999999</v>
      </c>
      <c r="S71" s="214">
        <v>557.94268099999999</v>
      </c>
      <c r="T71" s="214"/>
      <c r="U71" s="239">
        <f t="shared" si="21"/>
        <v>0</v>
      </c>
      <c r="V71" s="214"/>
      <c r="W71" s="214"/>
      <c r="X71" s="214"/>
      <c r="Y71" s="214"/>
      <c r="Z71" s="214"/>
      <c r="AA71" s="214"/>
      <c r="AB71" s="214">
        <f t="shared" si="11"/>
        <v>0</v>
      </c>
      <c r="AC71" s="214"/>
      <c r="AD71" s="214"/>
      <c r="AE71" s="214"/>
      <c r="AF71" s="214">
        <f t="shared" si="12"/>
        <v>0</v>
      </c>
      <c r="AG71" s="214"/>
      <c r="AH71" s="214"/>
      <c r="AI71" s="214">
        <f t="shared" si="13"/>
        <v>0</v>
      </c>
      <c r="AJ71" s="214"/>
      <c r="AK71" s="214"/>
      <c r="AL71" s="214">
        <f t="shared" si="2"/>
        <v>97.542426748251756</v>
      </c>
      <c r="AM71" s="214">
        <f t="shared" si="2"/>
        <v>97.542426748251756</v>
      </c>
      <c r="AN71" s="214"/>
      <c r="AO71" s="194"/>
    </row>
    <row r="72" spans="1:41" ht="48" customHeight="1" x14ac:dyDescent="0.25">
      <c r="A72" s="194"/>
      <c r="B72" s="213" t="s">
        <v>395</v>
      </c>
      <c r="C72" s="214">
        <f t="shared" si="19"/>
        <v>775</v>
      </c>
      <c r="D72" s="214">
        <v>775</v>
      </c>
      <c r="E72" s="214"/>
      <c r="F72" s="214"/>
      <c r="G72" s="214">
        <f t="shared" si="4"/>
        <v>741.74846300000002</v>
      </c>
      <c r="H72" s="214">
        <f t="shared" si="5"/>
        <v>741.74846300000002</v>
      </c>
      <c r="I72" s="214">
        <f t="shared" si="6"/>
        <v>0</v>
      </c>
      <c r="J72" s="214">
        <f t="shared" si="7"/>
        <v>0</v>
      </c>
      <c r="K72" s="214">
        <f t="shared" si="8"/>
        <v>0</v>
      </c>
      <c r="L72" s="214"/>
      <c r="M72" s="214"/>
      <c r="N72" s="214"/>
      <c r="O72" s="326"/>
      <c r="P72" s="214"/>
      <c r="Q72" s="239">
        <f t="shared" si="9"/>
        <v>741.74846300000002</v>
      </c>
      <c r="R72" s="214">
        <f t="shared" si="10"/>
        <v>741.74846300000002</v>
      </c>
      <c r="S72" s="214">
        <v>741.74846300000002</v>
      </c>
      <c r="T72" s="214"/>
      <c r="U72" s="239">
        <f t="shared" si="21"/>
        <v>0</v>
      </c>
      <c r="V72" s="214"/>
      <c r="W72" s="214"/>
      <c r="X72" s="214"/>
      <c r="Y72" s="214"/>
      <c r="Z72" s="214"/>
      <c r="AA72" s="214"/>
      <c r="AB72" s="214">
        <f t="shared" si="11"/>
        <v>0</v>
      </c>
      <c r="AC72" s="214"/>
      <c r="AD72" s="214"/>
      <c r="AE72" s="214"/>
      <c r="AF72" s="214">
        <f t="shared" si="12"/>
        <v>0</v>
      </c>
      <c r="AG72" s="214"/>
      <c r="AH72" s="214"/>
      <c r="AI72" s="214">
        <f t="shared" si="13"/>
        <v>0</v>
      </c>
      <c r="AJ72" s="214"/>
      <c r="AK72" s="214"/>
      <c r="AL72" s="214">
        <f t="shared" si="2"/>
        <v>95.709479096774189</v>
      </c>
      <c r="AM72" s="214">
        <f t="shared" si="2"/>
        <v>95.709479096774189</v>
      </c>
      <c r="AN72" s="214"/>
      <c r="AO72" s="194"/>
    </row>
    <row r="73" spans="1:41" ht="58.5" customHeight="1" x14ac:dyDescent="0.25">
      <c r="A73" s="194"/>
      <c r="B73" s="213" t="s">
        <v>97</v>
      </c>
      <c r="C73" s="214">
        <f t="shared" si="19"/>
        <v>1163</v>
      </c>
      <c r="D73" s="214">
        <v>1163</v>
      </c>
      <c r="E73" s="214"/>
      <c r="F73" s="214"/>
      <c r="G73" s="214">
        <f t="shared" si="4"/>
        <v>1145.4012090000001</v>
      </c>
      <c r="H73" s="214">
        <f t="shared" si="5"/>
        <v>1145.4012090000001</v>
      </c>
      <c r="I73" s="214">
        <f t="shared" si="6"/>
        <v>0</v>
      </c>
      <c r="J73" s="214">
        <f t="shared" si="7"/>
        <v>0</v>
      </c>
      <c r="K73" s="214">
        <f t="shared" si="8"/>
        <v>0</v>
      </c>
      <c r="L73" s="214"/>
      <c r="M73" s="214"/>
      <c r="N73" s="214"/>
      <c r="O73" s="326"/>
      <c r="P73" s="214"/>
      <c r="Q73" s="239">
        <f t="shared" si="9"/>
        <v>1145.4012090000001</v>
      </c>
      <c r="R73" s="214">
        <f t="shared" si="10"/>
        <v>1145.4012090000001</v>
      </c>
      <c r="S73" s="214">
        <v>1145.4012090000001</v>
      </c>
      <c r="T73" s="214"/>
      <c r="U73" s="239">
        <f t="shared" si="21"/>
        <v>0</v>
      </c>
      <c r="V73" s="214"/>
      <c r="W73" s="214"/>
      <c r="X73" s="214"/>
      <c r="Y73" s="214"/>
      <c r="Z73" s="214"/>
      <c r="AA73" s="214"/>
      <c r="AB73" s="214">
        <f t="shared" si="11"/>
        <v>0</v>
      </c>
      <c r="AC73" s="214"/>
      <c r="AD73" s="214"/>
      <c r="AE73" s="214"/>
      <c r="AF73" s="214">
        <f t="shared" si="12"/>
        <v>0</v>
      </c>
      <c r="AG73" s="214"/>
      <c r="AH73" s="214"/>
      <c r="AI73" s="214">
        <f t="shared" si="13"/>
        <v>0</v>
      </c>
      <c r="AJ73" s="214"/>
      <c r="AK73" s="214"/>
      <c r="AL73" s="214">
        <f t="shared" si="2"/>
        <v>98.486776354256236</v>
      </c>
      <c r="AM73" s="214">
        <f t="shared" si="2"/>
        <v>98.486776354256236</v>
      </c>
      <c r="AN73" s="214"/>
      <c r="AO73" s="194"/>
    </row>
    <row r="74" spans="1:41" ht="48" customHeight="1" x14ac:dyDescent="0.25">
      <c r="A74" s="194"/>
      <c r="B74" s="213" t="s">
        <v>82</v>
      </c>
      <c r="C74" s="214">
        <f t="shared" si="19"/>
        <v>182</v>
      </c>
      <c r="D74" s="214">
        <v>182</v>
      </c>
      <c r="E74" s="214"/>
      <c r="F74" s="214"/>
      <c r="G74" s="214">
        <f t="shared" si="4"/>
        <v>174.77103</v>
      </c>
      <c r="H74" s="214">
        <f t="shared" si="5"/>
        <v>174.77103</v>
      </c>
      <c r="I74" s="214">
        <f t="shared" si="6"/>
        <v>0</v>
      </c>
      <c r="J74" s="214">
        <f t="shared" si="7"/>
        <v>0</v>
      </c>
      <c r="K74" s="214">
        <f t="shared" si="8"/>
        <v>0</v>
      </c>
      <c r="L74" s="214"/>
      <c r="M74" s="214"/>
      <c r="N74" s="214"/>
      <c r="O74" s="326"/>
      <c r="P74" s="214"/>
      <c r="Q74" s="239">
        <f t="shared" si="9"/>
        <v>174.77103</v>
      </c>
      <c r="R74" s="214">
        <f t="shared" si="10"/>
        <v>174.77103</v>
      </c>
      <c r="S74" s="214">
        <v>174.77103</v>
      </c>
      <c r="T74" s="214"/>
      <c r="U74" s="239">
        <f t="shared" si="21"/>
        <v>0</v>
      </c>
      <c r="V74" s="214"/>
      <c r="W74" s="214"/>
      <c r="X74" s="214"/>
      <c r="Y74" s="214"/>
      <c r="Z74" s="214"/>
      <c r="AA74" s="214"/>
      <c r="AB74" s="214">
        <f t="shared" si="11"/>
        <v>0</v>
      </c>
      <c r="AC74" s="214"/>
      <c r="AD74" s="214"/>
      <c r="AE74" s="214"/>
      <c r="AF74" s="214">
        <f t="shared" si="12"/>
        <v>0</v>
      </c>
      <c r="AG74" s="214"/>
      <c r="AH74" s="214"/>
      <c r="AI74" s="214">
        <f t="shared" si="13"/>
        <v>0</v>
      </c>
      <c r="AJ74" s="214"/>
      <c r="AK74" s="214"/>
      <c r="AL74" s="214">
        <f t="shared" si="2"/>
        <v>96.028038461538458</v>
      </c>
      <c r="AM74" s="214">
        <f t="shared" si="2"/>
        <v>96.028038461538458</v>
      </c>
      <c r="AN74" s="214"/>
      <c r="AO74" s="194"/>
    </row>
    <row r="75" spans="1:41" ht="48" customHeight="1" x14ac:dyDescent="0.25">
      <c r="A75" s="194"/>
      <c r="B75" s="213" t="s">
        <v>88</v>
      </c>
      <c r="C75" s="214">
        <f t="shared" si="19"/>
        <v>609</v>
      </c>
      <c r="D75" s="214">
        <v>609</v>
      </c>
      <c r="E75" s="214"/>
      <c r="F75" s="214"/>
      <c r="G75" s="214">
        <f t="shared" si="4"/>
        <v>593.30459499999995</v>
      </c>
      <c r="H75" s="214">
        <f t="shared" si="5"/>
        <v>593.30459499999995</v>
      </c>
      <c r="I75" s="214">
        <f t="shared" si="6"/>
        <v>0</v>
      </c>
      <c r="J75" s="214">
        <f t="shared" si="7"/>
        <v>0</v>
      </c>
      <c r="K75" s="214">
        <f t="shared" si="8"/>
        <v>0</v>
      </c>
      <c r="L75" s="214"/>
      <c r="M75" s="214"/>
      <c r="N75" s="214"/>
      <c r="O75" s="326"/>
      <c r="P75" s="214"/>
      <c r="Q75" s="239">
        <f t="shared" si="9"/>
        <v>593.30459499999995</v>
      </c>
      <c r="R75" s="214">
        <f t="shared" si="10"/>
        <v>593.30459499999995</v>
      </c>
      <c r="S75" s="214">
        <v>593.30459499999995</v>
      </c>
      <c r="T75" s="214"/>
      <c r="U75" s="239">
        <f t="shared" si="21"/>
        <v>0</v>
      </c>
      <c r="V75" s="214"/>
      <c r="W75" s="214"/>
      <c r="X75" s="214"/>
      <c r="Y75" s="214"/>
      <c r="Z75" s="214"/>
      <c r="AA75" s="214"/>
      <c r="AB75" s="214">
        <f t="shared" si="11"/>
        <v>0</v>
      </c>
      <c r="AC75" s="214"/>
      <c r="AD75" s="214"/>
      <c r="AE75" s="214"/>
      <c r="AF75" s="214">
        <f t="shared" si="12"/>
        <v>0</v>
      </c>
      <c r="AG75" s="214"/>
      <c r="AH75" s="214"/>
      <c r="AI75" s="214">
        <f t="shared" si="13"/>
        <v>0</v>
      </c>
      <c r="AJ75" s="214"/>
      <c r="AK75" s="214"/>
      <c r="AL75" s="214">
        <f t="shared" si="2"/>
        <v>97.422757799671587</v>
      </c>
      <c r="AM75" s="214">
        <f t="shared" si="2"/>
        <v>97.422757799671587</v>
      </c>
      <c r="AN75" s="214"/>
      <c r="AO75" s="194"/>
    </row>
    <row r="76" spans="1:41" s="297" customFormat="1" ht="48" customHeight="1" x14ac:dyDescent="0.25">
      <c r="A76" s="211" t="s">
        <v>872</v>
      </c>
      <c r="B76" s="212" t="s">
        <v>733</v>
      </c>
      <c r="C76" s="308">
        <f>C77+C98+C156+C161+C164+C186+C160</f>
        <v>27946.276042000001</v>
      </c>
      <c r="D76" s="308">
        <f>D77+D98+D156+D161+D164+D186+D160</f>
        <v>22248.56581</v>
      </c>
      <c r="E76" s="308">
        <f>E77+E98+E156+E161+E164+E186+E160</f>
        <v>5697.7102319999995</v>
      </c>
      <c r="F76" s="308">
        <f>F77+F98+F156+F161+F164+F186+F160</f>
        <v>0</v>
      </c>
      <c r="G76" s="308">
        <f>G77+G98+G156+G161+G164+G186+G160</f>
        <v>23505.966151999997</v>
      </c>
      <c r="H76" s="308">
        <f t="shared" ref="H76:AK76" si="22">H77+H98+H156+H161+H164+H186+H160</f>
        <v>18130.912781999999</v>
      </c>
      <c r="I76" s="308">
        <f t="shared" si="22"/>
        <v>5375.0533699999996</v>
      </c>
      <c r="J76" s="308">
        <f t="shared" si="22"/>
        <v>15761.993836999998</v>
      </c>
      <c r="K76" s="308">
        <f t="shared" si="22"/>
        <v>13750.337062999999</v>
      </c>
      <c r="L76" s="308">
        <f t="shared" si="22"/>
        <v>13750.337062999999</v>
      </c>
      <c r="M76" s="308">
        <f t="shared" si="22"/>
        <v>0</v>
      </c>
      <c r="N76" s="308">
        <f t="shared" si="22"/>
        <v>2011.656774</v>
      </c>
      <c r="O76" s="311">
        <f t="shared" si="22"/>
        <v>2011.656774</v>
      </c>
      <c r="P76" s="308">
        <f t="shared" si="22"/>
        <v>0</v>
      </c>
      <c r="Q76" s="240">
        <f t="shared" si="22"/>
        <v>3181.5636589999995</v>
      </c>
      <c r="R76" s="308">
        <f t="shared" si="22"/>
        <v>0</v>
      </c>
      <c r="S76" s="308">
        <f t="shared" si="22"/>
        <v>0</v>
      </c>
      <c r="T76" s="308">
        <f t="shared" si="22"/>
        <v>0</v>
      </c>
      <c r="U76" s="240">
        <f t="shared" si="22"/>
        <v>3181.5636589999995</v>
      </c>
      <c r="V76" s="308">
        <f t="shared" si="22"/>
        <v>3181.5636589999995</v>
      </c>
      <c r="W76" s="308">
        <f t="shared" si="22"/>
        <v>0</v>
      </c>
      <c r="X76" s="308">
        <f t="shared" si="22"/>
        <v>0</v>
      </c>
      <c r="Y76" s="308">
        <f t="shared" si="22"/>
        <v>0</v>
      </c>
      <c r="Z76" s="308">
        <f t="shared" si="22"/>
        <v>0</v>
      </c>
      <c r="AA76" s="308">
        <f t="shared" si="22"/>
        <v>0</v>
      </c>
      <c r="AB76" s="308">
        <f t="shared" si="22"/>
        <v>0</v>
      </c>
      <c r="AC76" s="308">
        <f t="shared" si="22"/>
        <v>0</v>
      </c>
      <c r="AD76" s="308">
        <f t="shared" si="22"/>
        <v>0</v>
      </c>
      <c r="AE76" s="308">
        <f t="shared" si="22"/>
        <v>4562.4086560000005</v>
      </c>
      <c r="AF76" s="308">
        <f t="shared" si="22"/>
        <v>4380.5757190000004</v>
      </c>
      <c r="AG76" s="308">
        <f t="shared" si="22"/>
        <v>0</v>
      </c>
      <c r="AH76" s="308">
        <f t="shared" si="22"/>
        <v>0</v>
      </c>
      <c r="AI76" s="308">
        <f t="shared" si="22"/>
        <v>181.83293700000002</v>
      </c>
      <c r="AJ76" s="308">
        <f t="shared" si="22"/>
        <v>181.83293700000002</v>
      </c>
      <c r="AK76" s="308">
        <f t="shared" si="22"/>
        <v>0</v>
      </c>
      <c r="AL76" s="308">
        <f t="shared" si="2"/>
        <v>84.111264472852369</v>
      </c>
      <c r="AM76" s="308">
        <f t="shared" si="2"/>
        <v>81.492501300244484</v>
      </c>
      <c r="AN76" s="308">
        <f>I76/E76%</f>
        <v>94.337078425156392</v>
      </c>
      <c r="AO76" s="316">
        <f>AO77+AO98+AO156+AO161+AO164+AO186</f>
        <v>0</v>
      </c>
    </row>
    <row r="77" spans="1:41" s="309" customFormat="1" ht="48" customHeight="1" x14ac:dyDescent="0.25">
      <c r="A77" s="215" t="s">
        <v>174</v>
      </c>
      <c r="B77" s="216" t="s">
        <v>795</v>
      </c>
      <c r="C77" s="307">
        <f>D77+E77</f>
        <v>1167.4196199999999</v>
      </c>
      <c r="D77" s="307">
        <f>SUM(D78:D97)</f>
        <v>1167.4196199999999</v>
      </c>
      <c r="E77" s="307">
        <f t="shared" ref="E77:AK77" si="23">SUM(E78:E97)</f>
        <v>0</v>
      </c>
      <c r="F77" s="307">
        <f t="shared" si="23"/>
        <v>0</v>
      </c>
      <c r="G77" s="242">
        <f>H77+I77</f>
        <v>1136.6784010000001</v>
      </c>
      <c r="H77" s="307">
        <f t="shared" si="5"/>
        <v>1136.6784010000001</v>
      </c>
      <c r="I77" s="307">
        <f t="shared" si="6"/>
        <v>0</v>
      </c>
      <c r="J77" s="307">
        <f t="shared" si="7"/>
        <v>1136.6784010000001</v>
      </c>
      <c r="K77" s="307">
        <f t="shared" si="8"/>
        <v>1136.6784010000001</v>
      </c>
      <c r="L77" s="307">
        <f t="shared" si="23"/>
        <v>1136.6784010000001</v>
      </c>
      <c r="M77" s="307">
        <f t="shared" si="23"/>
        <v>0</v>
      </c>
      <c r="N77" s="307">
        <f t="shared" si="23"/>
        <v>0</v>
      </c>
      <c r="O77" s="356">
        <f t="shared" si="23"/>
        <v>0</v>
      </c>
      <c r="P77" s="307">
        <f t="shared" si="23"/>
        <v>0</v>
      </c>
      <c r="Q77" s="242">
        <f t="shared" si="9"/>
        <v>0</v>
      </c>
      <c r="R77" s="307">
        <f t="shared" si="10"/>
        <v>0</v>
      </c>
      <c r="S77" s="307">
        <f t="shared" si="23"/>
        <v>0</v>
      </c>
      <c r="T77" s="307">
        <f t="shared" si="23"/>
        <v>0</v>
      </c>
      <c r="U77" s="242">
        <f>V77+W77</f>
        <v>0</v>
      </c>
      <c r="V77" s="307">
        <f t="shared" si="23"/>
        <v>0</v>
      </c>
      <c r="W77" s="307">
        <f t="shared" si="23"/>
        <v>0</v>
      </c>
      <c r="X77" s="307">
        <f t="shared" si="23"/>
        <v>0</v>
      </c>
      <c r="Y77" s="307">
        <f t="shared" si="23"/>
        <v>0</v>
      </c>
      <c r="Z77" s="307">
        <f t="shared" si="23"/>
        <v>0</v>
      </c>
      <c r="AA77" s="307">
        <f t="shared" si="23"/>
        <v>0</v>
      </c>
      <c r="AB77" s="307">
        <f t="shared" si="11"/>
        <v>0</v>
      </c>
      <c r="AC77" s="307">
        <f t="shared" si="23"/>
        <v>0</v>
      </c>
      <c r="AD77" s="307">
        <f t="shared" si="23"/>
        <v>0</v>
      </c>
      <c r="AE77" s="307">
        <f t="shared" si="23"/>
        <v>0</v>
      </c>
      <c r="AF77" s="307">
        <f t="shared" ref="AF77:AF140" si="24">AG77</f>
        <v>0</v>
      </c>
      <c r="AG77" s="307">
        <f t="shared" si="23"/>
        <v>0</v>
      </c>
      <c r="AH77" s="307">
        <f t="shared" si="23"/>
        <v>0</v>
      </c>
      <c r="AI77" s="307">
        <f t="shared" ref="AI77:AI140" si="25">AJ77</f>
        <v>0</v>
      </c>
      <c r="AJ77" s="307">
        <f t="shared" si="23"/>
        <v>0</v>
      </c>
      <c r="AK77" s="307">
        <f t="shared" si="23"/>
        <v>0</v>
      </c>
      <c r="AL77" s="308">
        <f t="shared" ref="AL77:AM140" si="26">G77/C77%</f>
        <v>97.366737848726601</v>
      </c>
      <c r="AM77" s="308">
        <f t="shared" si="26"/>
        <v>97.366737848726601</v>
      </c>
      <c r="AN77" s="308"/>
      <c r="AO77" s="215"/>
    </row>
    <row r="78" spans="1:41" ht="48" customHeight="1" x14ac:dyDescent="0.25">
      <c r="A78" s="194"/>
      <c r="B78" s="213" t="s">
        <v>55</v>
      </c>
      <c r="C78" s="214">
        <f t="shared" si="19"/>
        <v>38</v>
      </c>
      <c r="D78" s="313">
        <v>38</v>
      </c>
      <c r="E78" s="214"/>
      <c r="F78" s="214"/>
      <c r="G78" s="214">
        <f t="shared" ref="G78:G141" si="27">H78+I78</f>
        <v>38</v>
      </c>
      <c r="H78" s="214">
        <f t="shared" ref="H78:H141" si="28">K78+R78+Y78+AF78</f>
        <v>38</v>
      </c>
      <c r="I78" s="214">
        <f t="shared" si="6"/>
        <v>0</v>
      </c>
      <c r="J78" s="214">
        <f t="shared" ref="J78:J141" si="29">K78+N78</f>
        <v>38</v>
      </c>
      <c r="K78" s="214">
        <f t="shared" ref="K78:K141" si="30">L78</f>
        <v>38</v>
      </c>
      <c r="L78" s="313">
        <v>38</v>
      </c>
      <c r="M78" s="214"/>
      <c r="N78" s="214"/>
      <c r="O78" s="326"/>
      <c r="P78" s="214"/>
      <c r="Q78" s="239">
        <f t="shared" ref="Q78:Q141" si="31">R78+U78</f>
        <v>0</v>
      </c>
      <c r="R78" s="214">
        <f t="shared" ref="R78:R141" si="32">S78+T78</f>
        <v>0</v>
      </c>
      <c r="S78" s="214"/>
      <c r="T78" s="214"/>
      <c r="U78" s="239">
        <f t="shared" ref="U78:U141" si="33">V78+W78</f>
        <v>0</v>
      </c>
      <c r="V78" s="214"/>
      <c r="W78" s="214"/>
      <c r="X78" s="214"/>
      <c r="Y78" s="214"/>
      <c r="Z78" s="214"/>
      <c r="AA78" s="214"/>
      <c r="AB78" s="214">
        <f t="shared" ref="AB78:AB141" si="34">AC78+AD78</f>
        <v>0</v>
      </c>
      <c r="AC78" s="214"/>
      <c r="AD78" s="214"/>
      <c r="AE78" s="214"/>
      <c r="AF78" s="214">
        <f t="shared" si="24"/>
        <v>0</v>
      </c>
      <c r="AG78" s="214"/>
      <c r="AH78" s="214"/>
      <c r="AI78" s="214">
        <f t="shared" si="25"/>
        <v>0</v>
      </c>
      <c r="AJ78" s="214"/>
      <c r="AK78" s="214"/>
      <c r="AL78" s="214">
        <f t="shared" si="26"/>
        <v>100</v>
      </c>
      <c r="AM78" s="214">
        <f t="shared" si="26"/>
        <v>100</v>
      </c>
      <c r="AN78" s="214"/>
      <c r="AO78" s="194"/>
    </row>
    <row r="79" spans="1:41" ht="48" customHeight="1" x14ac:dyDescent="0.25">
      <c r="A79" s="194"/>
      <c r="B79" s="213" t="s">
        <v>56</v>
      </c>
      <c r="C79" s="214">
        <f t="shared" si="19"/>
        <v>30</v>
      </c>
      <c r="D79" s="313">
        <v>30</v>
      </c>
      <c r="E79" s="214"/>
      <c r="F79" s="214"/>
      <c r="G79" s="214">
        <f t="shared" si="27"/>
        <v>29.998242999999999</v>
      </c>
      <c r="H79" s="214">
        <f t="shared" si="28"/>
        <v>29.998242999999999</v>
      </c>
      <c r="I79" s="214">
        <f t="shared" ref="I79:I142" si="35">N79+U79+AB79+AI79</f>
        <v>0</v>
      </c>
      <c r="J79" s="214">
        <f t="shared" si="29"/>
        <v>29.998242999999999</v>
      </c>
      <c r="K79" s="214">
        <f t="shared" si="30"/>
        <v>29.998242999999999</v>
      </c>
      <c r="L79" s="313">
        <v>29.998242999999999</v>
      </c>
      <c r="M79" s="214"/>
      <c r="N79" s="214"/>
      <c r="O79" s="326"/>
      <c r="P79" s="214"/>
      <c r="Q79" s="239">
        <f t="shared" si="31"/>
        <v>0</v>
      </c>
      <c r="R79" s="214">
        <f t="shared" si="32"/>
        <v>0</v>
      </c>
      <c r="S79" s="214"/>
      <c r="T79" s="214"/>
      <c r="U79" s="239">
        <f t="shared" si="33"/>
        <v>0</v>
      </c>
      <c r="V79" s="214"/>
      <c r="W79" s="214"/>
      <c r="X79" s="214"/>
      <c r="Y79" s="214"/>
      <c r="Z79" s="214"/>
      <c r="AA79" s="214"/>
      <c r="AB79" s="214">
        <f t="shared" si="34"/>
        <v>0</v>
      </c>
      <c r="AC79" s="214"/>
      <c r="AD79" s="214"/>
      <c r="AE79" s="214"/>
      <c r="AF79" s="214">
        <f t="shared" si="24"/>
        <v>0</v>
      </c>
      <c r="AG79" s="214"/>
      <c r="AH79" s="214"/>
      <c r="AI79" s="214">
        <f t="shared" si="25"/>
        <v>0</v>
      </c>
      <c r="AJ79" s="214"/>
      <c r="AK79" s="214"/>
      <c r="AL79" s="214">
        <f t="shared" si="26"/>
        <v>99.994143333333326</v>
      </c>
      <c r="AM79" s="214">
        <f t="shared" si="26"/>
        <v>99.994143333333326</v>
      </c>
      <c r="AN79" s="214"/>
      <c r="AO79" s="194"/>
    </row>
    <row r="80" spans="1:41" ht="48" customHeight="1" x14ac:dyDescent="0.25">
      <c r="A80" s="194"/>
      <c r="B80" s="213" t="s">
        <v>444</v>
      </c>
      <c r="C80" s="214">
        <f t="shared" si="19"/>
        <v>2.7582949999999999</v>
      </c>
      <c r="D80" s="214">
        <v>2.7582949999999999</v>
      </c>
      <c r="E80" s="214"/>
      <c r="F80" s="214"/>
      <c r="G80" s="214">
        <f t="shared" si="27"/>
        <v>1.9991719999999999</v>
      </c>
      <c r="H80" s="214">
        <f t="shared" si="28"/>
        <v>1.9991719999999999</v>
      </c>
      <c r="I80" s="214">
        <f t="shared" si="35"/>
        <v>0</v>
      </c>
      <c r="J80" s="214">
        <f t="shared" si="29"/>
        <v>1.9991719999999999</v>
      </c>
      <c r="K80" s="214">
        <f t="shared" si="30"/>
        <v>1.9991719999999999</v>
      </c>
      <c r="L80" s="214">
        <v>1.9991719999999999</v>
      </c>
      <c r="M80" s="214"/>
      <c r="N80" s="214"/>
      <c r="O80" s="326"/>
      <c r="P80" s="214"/>
      <c r="Q80" s="239">
        <f t="shared" si="31"/>
        <v>0</v>
      </c>
      <c r="R80" s="214">
        <f t="shared" si="32"/>
        <v>0</v>
      </c>
      <c r="S80" s="214"/>
      <c r="T80" s="214"/>
      <c r="U80" s="239">
        <f t="shared" si="33"/>
        <v>0</v>
      </c>
      <c r="V80" s="214"/>
      <c r="W80" s="214"/>
      <c r="X80" s="214"/>
      <c r="Y80" s="214"/>
      <c r="Z80" s="214"/>
      <c r="AA80" s="214"/>
      <c r="AB80" s="214">
        <f t="shared" si="34"/>
        <v>0</v>
      </c>
      <c r="AC80" s="214"/>
      <c r="AD80" s="214"/>
      <c r="AE80" s="214"/>
      <c r="AF80" s="214">
        <f t="shared" si="24"/>
        <v>0</v>
      </c>
      <c r="AG80" s="214"/>
      <c r="AH80" s="214"/>
      <c r="AI80" s="214">
        <f t="shared" si="25"/>
        <v>0</v>
      </c>
      <c r="AJ80" s="214"/>
      <c r="AK80" s="214"/>
      <c r="AL80" s="214">
        <f t="shared" si="26"/>
        <v>72.478541997864625</v>
      </c>
      <c r="AM80" s="214">
        <f t="shared" si="26"/>
        <v>72.478541997864625</v>
      </c>
      <c r="AN80" s="214"/>
      <c r="AO80" s="194"/>
    </row>
    <row r="81" spans="1:41" ht="67.5" customHeight="1" x14ac:dyDescent="0.25">
      <c r="A81" s="194"/>
      <c r="B81" s="213" t="s">
        <v>372</v>
      </c>
      <c r="C81" s="214">
        <f t="shared" si="19"/>
        <v>68</v>
      </c>
      <c r="D81" s="214">
        <v>68</v>
      </c>
      <c r="E81" s="214"/>
      <c r="F81" s="214"/>
      <c r="G81" s="214">
        <f t="shared" si="27"/>
        <v>67.996437999999998</v>
      </c>
      <c r="H81" s="214">
        <f t="shared" si="28"/>
        <v>67.996437999999998</v>
      </c>
      <c r="I81" s="214">
        <f t="shared" si="35"/>
        <v>0</v>
      </c>
      <c r="J81" s="214">
        <f t="shared" si="29"/>
        <v>67.996437999999998</v>
      </c>
      <c r="K81" s="214">
        <f t="shared" si="30"/>
        <v>67.996437999999998</v>
      </c>
      <c r="L81" s="214">
        <v>67.996437999999998</v>
      </c>
      <c r="M81" s="214"/>
      <c r="N81" s="214"/>
      <c r="O81" s="326"/>
      <c r="P81" s="214"/>
      <c r="Q81" s="239">
        <f t="shared" si="31"/>
        <v>0</v>
      </c>
      <c r="R81" s="214">
        <f t="shared" si="32"/>
        <v>0</v>
      </c>
      <c r="S81" s="214"/>
      <c r="T81" s="214"/>
      <c r="U81" s="239">
        <f t="shared" si="33"/>
        <v>0</v>
      </c>
      <c r="V81" s="214"/>
      <c r="W81" s="214"/>
      <c r="X81" s="214"/>
      <c r="Y81" s="214"/>
      <c r="Z81" s="214"/>
      <c r="AA81" s="214"/>
      <c r="AB81" s="214">
        <f t="shared" si="34"/>
        <v>0</v>
      </c>
      <c r="AC81" s="214"/>
      <c r="AD81" s="214"/>
      <c r="AE81" s="214"/>
      <c r="AF81" s="214">
        <f t="shared" si="24"/>
        <v>0</v>
      </c>
      <c r="AG81" s="214"/>
      <c r="AH81" s="214"/>
      <c r="AI81" s="214">
        <f t="shared" si="25"/>
        <v>0</v>
      </c>
      <c r="AJ81" s="214"/>
      <c r="AK81" s="214"/>
      <c r="AL81" s="214">
        <f t="shared" si="26"/>
        <v>99.994761764705871</v>
      </c>
      <c r="AM81" s="214">
        <f t="shared" si="26"/>
        <v>99.994761764705871</v>
      </c>
      <c r="AN81" s="214"/>
      <c r="AO81" s="194"/>
    </row>
    <row r="82" spans="1:41" ht="48" customHeight="1" x14ac:dyDescent="0.25">
      <c r="A82" s="194"/>
      <c r="B82" s="213" t="s">
        <v>49</v>
      </c>
      <c r="C82" s="214">
        <f t="shared" si="19"/>
        <v>2.5052120000000002</v>
      </c>
      <c r="D82" s="214">
        <v>2.5052120000000002</v>
      </c>
      <c r="E82" s="214"/>
      <c r="F82" s="214"/>
      <c r="G82" s="214">
        <f t="shared" si="27"/>
        <v>2.0640100000000001</v>
      </c>
      <c r="H82" s="214">
        <f t="shared" si="28"/>
        <v>2.0640100000000001</v>
      </c>
      <c r="I82" s="214">
        <f t="shared" si="35"/>
        <v>0</v>
      </c>
      <c r="J82" s="214">
        <f t="shared" si="29"/>
        <v>2.0640100000000001</v>
      </c>
      <c r="K82" s="214">
        <f t="shared" si="30"/>
        <v>2.0640100000000001</v>
      </c>
      <c r="L82" s="214">
        <v>2.0640100000000001</v>
      </c>
      <c r="M82" s="214"/>
      <c r="N82" s="214"/>
      <c r="O82" s="326"/>
      <c r="P82" s="214"/>
      <c r="Q82" s="239">
        <f t="shared" si="31"/>
        <v>0</v>
      </c>
      <c r="R82" s="214">
        <f t="shared" si="32"/>
        <v>0</v>
      </c>
      <c r="S82" s="214"/>
      <c r="T82" s="214"/>
      <c r="U82" s="239">
        <f t="shared" si="33"/>
        <v>0</v>
      </c>
      <c r="V82" s="214"/>
      <c r="W82" s="214"/>
      <c r="X82" s="214"/>
      <c r="Y82" s="214"/>
      <c r="Z82" s="214"/>
      <c r="AA82" s="214"/>
      <c r="AB82" s="214">
        <f t="shared" si="34"/>
        <v>0</v>
      </c>
      <c r="AC82" s="214"/>
      <c r="AD82" s="214"/>
      <c r="AE82" s="214"/>
      <c r="AF82" s="214">
        <f t="shared" si="24"/>
        <v>0</v>
      </c>
      <c r="AG82" s="214"/>
      <c r="AH82" s="214"/>
      <c r="AI82" s="214">
        <f t="shared" si="25"/>
        <v>0</v>
      </c>
      <c r="AJ82" s="214"/>
      <c r="AK82" s="214"/>
      <c r="AL82" s="214">
        <f t="shared" si="26"/>
        <v>82.388636171310054</v>
      </c>
      <c r="AM82" s="214">
        <f t="shared" si="26"/>
        <v>82.388636171310054</v>
      </c>
      <c r="AN82" s="214"/>
      <c r="AO82" s="194"/>
    </row>
    <row r="83" spans="1:41" ht="48" customHeight="1" x14ac:dyDescent="0.25">
      <c r="A83" s="194"/>
      <c r="B83" s="213" t="s">
        <v>42</v>
      </c>
      <c r="C83" s="214">
        <f t="shared" si="19"/>
        <v>70</v>
      </c>
      <c r="D83" s="214">
        <v>70</v>
      </c>
      <c r="E83" s="214"/>
      <c r="F83" s="214"/>
      <c r="G83" s="214">
        <f t="shared" si="27"/>
        <v>69.550380000000004</v>
      </c>
      <c r="H83" s="214">
        <f t="shared" si="28"/>
        <v>69.550380000000004</v>
      </c>
      <c r="I83" s="214">
        <f t="shared" si="35"/>
        <v>0</v>
      </c>
      <c r="J83" s="214">
        <f t="shared" si="29"/>
        <v>69.550380000000004</v>
      </c>
      <c r="K83" s="214">
        <f t="shared" si="30"/>
        <v>69.550380000000004</v>
      </c>
      <c r="L83" s="214">
        <v>69.550380000000004</v>
      </c>
      <c r="M83" s="214"/>
      <c r="N83" s="214"/>
      <c r="O83" s="326"/>
      <c r="P83" s="214"/>
      <c r="Q83" s="239">
        <f t="shared" si="31"/>
        <v>0</v>
      </c>
      <c r="R83" s="214">
        <f t="shared" si="32"/>
        <v>0</v>
      </c>
      <c r="S83" s="214"/>
      <c r="T83" s="214"/>
      <c r="U83" s="239">
        <f t="shared" si="33"/>
        <v>0</v>
      </c>
      <c r="V83" s="214"/>
      <c r="W83" s="214"/>
      <c r="X83" s="214"/>
      <c r="Y83" s="214"/>
      <c r="Z83" s="214"/>
      <c r="AA83" s="214"/>
      <c r="AB83" s="214">
        <f t="shared" si="34"/>
        <v>0</v>
      </c>
      <c r="AC83" s="214"/>
      <c r="AD83" s="214"/>
      <c r="AE83" s="214"/>
      <c r="AF83" s="214">
        <f t="shared" si="24"/>
        <v>0</v>
      </c>
      <c r="AG83" s="214"/>
      <c r="AH83" s="214"/>
      <c r="AI83" s="214">
        <f t="shared" si="25"/>
        <v>0</v>
      </c>
      <c r="AJ83" s="214"/>
      <c r="AK83" s="214"/>
      <c r="AL83" s="214">
        <f t="shared" si="26"/>
        <v>99.357685714285722</v>
      </c>
      <c r="AM83" s="214">
        <f t="shared" si="26"/>
        <v>99.357685714285722</v>
      </c>
      <c r="AN83" s="214"/>
      <c r="AO83" s="194"/>
    </row>
    <row r="84" spans="1:41" ht="48" customHeight="1" x14ac:dyDescent="0.25">
      <c r="A84" s="194"/>
      <c r="B84" s="213" t="s">
        <v>311</v>
      </c>
      <c r="C84" s="214">
        <f t="shared" si="19"/>
        <v>60.872</v>
      </c>
      <c r="D84" s="214">
        <v>60.872</v>
      </c>
      <c r="E84" s="214"/>
      <c r="F84" s="214"/>
      <c r="G84" s="214">
        <f t="shared" si="27"/>
        <v>57.834446999999997</v>
      </c>
      <c r="H84" s="214">
        <f t="shared" si="28"/>
        <v>57.834446999999997</v>
      </c>
      <c r="I84" s="214">
        <f t="shared" si="35"/>
        <v>0</v>
      </c>
      <c r="J84" s="214">
        <f t="shared" si="29"/>
        <v>57.834446999999997</v>
      </c>
      <c r="K84" s="214">
        <f t="shared" si="30"/>
        <v>57.834446999999997</v>
      </c>
      <c r="L84" s="214">
        <v>57.834446999999997</v>
      </c>
      <c r="M84" s="214"/>
      <c r="N84" s="214"/>
      <c r="O84" s="326"/>
      <c r="P84" s="214"/>
      <c r="Q84" s="239">
        <f t="shared" si="31"/>
        <v>0</v>
      </c>
      <c r="R84" s="214">
        <f t="shared" si="32"/>
        <v>0</v>
      </c>
      <c r="S84" s="214"/>
      <c r="T84" s="214"/>
      <c r="U84" s="239">
        <f t="shared" si="33"/>
        <v>0</v>
      </c>
      <c r="V84" s="214"/>
      <c r="W84" s="214"/>
      <c r="X84" s="214"/>
      <c r="Y84" s="214"/>
      <c r="Z84" s="214"/>
      <c r="AA84" s="214"/>
      <c r="AB84" s="214">
        <f t="shared" si="34"/>
        <v>0</v>
      </c>
      <c r="AC84" s="214"/>
      <c r="AD84" s="214"/>
      <c r="AE84" s="214"/>
      <c r="AF84" s="214">
        <f t="shared" si="24"/>
        <v>0</v>
      </c>
      <c r="AG84" s="214"/>
      <c r="AH84" s="214"/>
      <c r="AI84" s="214">
        <f t="shared" si="25"/>
        <v>0</v>
      </c>
      <c r="AJ84" s="214"/>
      <c r="AK84" s="214"/>
      <c r="AL84" s="214">
        <f t="shared" si="26"/>
        <v>95.009933959784462</v>
      </c>
      <c r="AM84" s="214">
        <f t="shared" si="26"/>
        <v>95.009933959784462</v>
      </c>
      <c r="AN84" s="214"/>
      <c r="AO84" s="194"/>
    </row>
    <row r="85" spans="1:41" ht="48" customHeight="1" x14ac:dyDescent="0.25">
      <c r="A85" s="194"/>
      <c r="B85" s="213" t="s">
        <v>92</v>
      </c>
      <c r="C85" s="214">
        <f t="shared" si="19"/>
        <v>3.364474</v>
      </c>
      <c r="D85" s="214">
        <v>3.364474</v>
      </c>
      <c r="E85" s="214"/>
      <c r="F85" s="214"/>
      <c r="G85" s="214">
        <f t="shared" si="27"/>
        <v>2.032</v>
      </c>
      <c r="H85" s="214">
        <f t="shared" si="28"/>
        <v>2.032</v>
      </c>
      <c r="I85" s="214">
        <f t="shared" si="35"/>
        <v>0</v>
      </c>
      <c r="J85" s="214">
        <f t="shared" si="29"/>
        <v>2.032</v>
      </c>
      <c r="K85" s="214">
        <f t="shared" si="30"/>
        <v>2.032</v>
      </c>
      <c r="L85" s="214">
        <v>2.032</v>
      </c>
      <c r="M85" s="214"/>
      <c r="N85" s="214"/>
      <c r="O85" s="326"/>
      <c r="P85" s="214"/>
      <c r="Q85" s="239">
        <f t="shared" si="31"/>
        <v>0</v>
      </c>
      <c r="R85" s="214">
        <f t="shared" si="32"/>
        <v>0</v>
      </c>
      <c r="S85" s="214"/>
      <c r="T85" s="214"/>
      <c r="U85" s="239">
        <f t="shared" si="33"/>
        <v>0</v>
      </c>
      <c r="V85" s="214"/>
      <c r="W85" s="214"/>
      <c r="X85" s="214"/>
      <c r="Y85" s="214"/>
      <c r="Z85" s="214"/>
      <c r="AA85" s="214"/>
      <c r="AB85" s="214">
        <f t="shared" si="34"/>
        <v>0</v>
      </c>
      <c r="AC85" s="214"/>
      <c r="AD85" s="214"/>
      <c r="AE85" s="214"/>
      <c r="AF85" s="214">
        <f t="shared" si="24"/>
        <v>0</v>
      </c>
      <c r="AG85" s="214"/>
      <c r="AH85" s="214"/>
      <c r="AI85" s="214">
        <f t="shared" si="25"/>
        <v>0</v>
      </c>
      <c r="AJ85" s="214"/>
      <c r="AK85" s="214"/>
      <c r="AL85" s="214">
        <f t="shared" si="26"/>
        <v>60.395770631605416</v>
      </c>
      <c r="AM85" s="214">
        <f t="shared" si="26"/>
        <v>60.395770631605416</v>
      </c>
      <c r="AN85" s="214"/>
      <c r="AO85" s="194"/>
    </row>
    <row r="86" spans="1:41" ht="48" customHeight="1" x14ac:dyDescent="0.25">
      <c r="A86" s="194"/>
      <c r="B86" s="213" t="s">
        <v>393</v>
      </c>
      <c r="C86" s="214">
        <f t="shared" si="19"/>
        <v>145</v>
      </c>
      <c r="D86" s="214">
        <v>145</v>
      </c>
      <c r="E86" s="214"/>
      <c r="F86" s="214"/>
      <c r="G86" s="214">
        <f t="shared" si="27"/>
        <v>143.0453</v>
      </c>
      <c r="H86" s="214">
        <f t="shared" si="28"/>
        <v>143.0453</v>
      </c>
      <c r="I86" s="214">
        <f t="shared" si="35"/>
        <v>0</v>
      </c>
      <c r="J86" s="214">
        <f t="shared" si="29"/>
        <v>143.0453</v>
      </c>
      <c r="K86" s="214">
        <f t="shared" si="30"/>
        <v>143.0453</v>
      </c>
      <c r="L86" s="214">
        <v>143.0453</v>
      </c>
      <c r="M86" s="214"/>
      <c r="N86" s="214"/>
      <c r="O86" s="326"/>
      <c r="P86" s="214"/>
      <c r="Q86" s="239">
        <f t="shared" si="31"/>
        <v>0</v>
      </c>
      <c r="R86" s="214">
        <f t="shared" si="32"/>
        <v>0</v>
      </c>
      <c r="S86" s="214"/>
      <c r="T86" s="214"/>
      <c r="U86" s="239">
        <f t="shared" si="33"/>
        <v>0</v>
      </c>
      <c r="V86" s="214"/>
      <c r="W86" s="214"/>
      <c r="X86" s="214"/>
      <c r="Y86" s="214"/>
      <c r="Z86" s="214"/>
      <c r="AA86" s="214"/>
      <c r="AB86" s="214">
        <f t="shared" si="34"/>
        <v>0</v>
      </c>
      <c r="AC86" s="214"/>
      <c r="AD86" s="214"/>
      <c r="AE86" s="214"/>
      <c r="AF86" s="214">
        <f t="shared" si="24"/>
        <v>0</v>
      </c>
      <c r="AG86" s="214"/>
      <c r="AH86" s="214"/>
      <c r="AI86" s="214">
        <f t="shared" si="25"/>
        <v>0</v>
      </c>
      <c r="AJ86" s="214"/>
      <c r="AK86" s="214"/>
      <c r="AL86" s="214">
        <f t="shared" si="26"/>
        <v>98.651931034482757</v>
      </c>
      <c r="AM86" s="214">
        <f t="shared" si="26"/>
        <v>98.651931034482757</v>
      </c>
      <c r="AN86" s="214"/>
      <c r="AO86" s="194"/>
    </row>
    <row r="87" spans="1:41" ht="48" customHeight="1" x14ac:dyDescent="0.25">
      <c r="A87" s="194"/>
      <c r="B87" s="213" t="s">
        <v>394</v>
      </c>
      <c r="C87" s="214">
        <f t="shared" si="19"/>
        <v>125</v>
      </c>
      <c r="D87" s="214">
        <v>125</v>
      </c>
      <c r="E87" s="214"/>
      <c r="F87" s="214"/>
      <c r="G87" s="214">
        <f t="shared" si="27"/>
        <v>121.47927799999999</v>
      </c>
      <c r="H87" s="214">
        <f t="shared" si="28"/>
        <v>121.47927799999999</v>
      </c>
      <c r="I87" s="214">
        <f t="shared" si="35"/>
        <v>0</v>
      </c>
      <c r="J87" s="214">
        <f t="shared" si="29"/>
        <v>121.47927799999999</v>
      </c>
      <c r="K87" s="214">
        <f t="shared" si="30"/>
        <v>121.47927799999999</v>
      </c>
      <c r="L87" s="214">
        <v>121.47927799999999</v>
      </c>
      <c r="M87" s="214"/>
      <c r="N87" s="214"/>
      <c r="O87" s="326"/>
      <c r="P87" s="214"/>
      <c r="Q87" s="239">
        <f t="shared" si="31"/>
        <v>0</v>
      </c>
      <c r="R87" s="214">
        <f t="shared" si="32"/>
        <v>0</v>
      </c>
      <c r="S87" s="214"/>
      <c r="T87" s="214"/>
      <c r="U87" s="239">
        <f t="shared" si="33"/>
        <v>0</v>
      </c>
      <c r="V87" s="214"/>
      <c r="W87" s="214"/>
      <c r="X87" s="214"/>
      <c r="Y87" s="214"/>
      <c r="Z87" s="214"/>
      <c r="AA87" s="214"/>
      <c r="AB87" s="214">
        <f t="shared" si="34"/>
        <v>0</v>
      </c>
      <c r="AC87" s="214"/>
      <c r="AD87" s="214"/>
      <c r="AE87" s="214"/>
      <c r="AF87" s="214">
        <f t="shared" si="24"/>
        <v>0</v>
      </c>
      <c r="AG87" s="214"/>
      <c r="AH87" s="214"/>
      <c r="AI87" s="214">
        <f t="shared" si="25"/>
        <v>0</v>
      </c>
      <c r="AJ87" s="214"/>
      <c r="AK87" s="214"/>
      <c r="AL87" s="214">
        <f t="shared" si="26"/>
        <v>97.183422399999998</v>
      </c>
      <c r="AM87" s="214">
        <f t="shared" si="26"/>
        <v>97.183422399999998</v>
      </c>
      <c r="AN87" s="214"/>
      <c r="AO87" s="194"/>
    </row>
    <row r="88" spans="1:41" ht="48" customHeight="1" x14ac:dyDescent="0.25">
      <c r="A88" s="194"/>
      <c r="B88" s="213" t="s">
        <v>66</v>
      </c>
      <c r="C88" s="214">
        <f t="shared" si="19"/>
        <v>270</v>
      </c>
      <c r="D88" s="214">
        <v>270</v>
      </c>
      <c r="E88" s="214"/>
      <c r="F88" s="214"/>
      <c r="G88" s="214">
        <f t="shared" si="27"/>
        <v>269.71860700000002</v>
      </c>
      <c r="H88" s="214">
        <f t="shared" si="28"/>
        <v>269.71860700000002</v>
      </c>
      <c r="I88" s="214">
        <f t="shared" si="35"/>
        <v>0</v>
      </c>
      <c r="J88" s="214">
        <f t="shared" si="29"/>
        <v>269.71860700000002</v>
      </c>
      <c r="K88" s="214">
        <f t="shared" si="30"/>
        <v>269.71860700000002</v>
      </c>
      <c r="L88" s="214">
        <v>269.71860700000002</v>
      </c>
      <c r="M88" s="214"/>
      <c r="N88" s="214"/>
      <c r="O88" s="326"/>
      <c r="P88" s="214"/>
      <c r="Q88" s="239">
        <f t="shared" si="31"/>
        <v>0</v>
      </c>
      <c r="R88" s="214">
        <f t="shared" si="32"/>
        <v>0</v>
      </c>
      <c r="S88" s="214"/>
      <c r="T88" s="214"/>
      <c r="U88" s="239">
        <f t="shared" si="33"/>
        <v>0</v>
      </c>
      <c r="V88" s="214"/>
      <c r="W88" s="214"/>
      <c r="X88" s="214"/>
      <c r="Y88" s="214"/>
      <c r="Z88" s="214"/>
      <c r="AA88" s="214"/>
      <c r="AB88" s="214">
        <f t="shared" si="34"/>
        <v>0</v>
      </c>
      <c r="AC88" s="214"/>
      <c r="AD88" s="214"/>
      <c r="AE88" s="214"/>
      <c r="AF88" s="214">
        <f t="shared" si="24"/>
        <v>0</v>
      </c>
      <c r="AG88" s="214"/>
      <c r="AH88" s="214"/>
      <c r="AI88" s="214">
        <f t="shared" si="25"/>
        <v>0</v>
      </c>
      <c r="AJ88" s="214"/>
      <c r="AK88" s="214"/>
      <c r="AL88" s="214">
        <f t="shared" si="26"/>
        <v>99.895780370370375</v>
      </c>
      <c r="AM88" s="214">
        <f t="shared" si="26"/>
        <v>99.895780370370375</v>
      </c>
      <c r="AN88" s="214"/>
      <c r="AO88" s="194"/>
    </row>
    <row r="89" spans="1:41" ht="48" customHeight="1" x14ac:dyDescent="0.25">
      <c r="A89" s="194"/>
      <c r="B89" s="213" t="s">
        <v>397</v>
      </c>
      <c r="C89" s="214">
        <f t="shared" si="19"/>
        <v>68</v>
      </c>
      <c r="D89" s="214">
        <v>68</v>
      </c>
      <c r="E89" s="214"/>
      <c r="F89" s="214"/>
      <c r="G89" s="214">
        <f t="shared" si="27"/>
        <v>68</v>
      </c>
      <c r="H89" s="214">
        <f t="shared" si="28"/>
        <v>68</v>
      </c>
      <c r="I89" s="214">
        <f t="shared" si="35"/>
        <v>0</v>
      </c>
      <c r="J89" s="214">
        <f t="shared" si="29"/>
        <v>68</v>
      </c>
      <c r="K89" s="214">
        <f t="shared" si="30"/>
        <v>68</v>
      </c>
      <c r="L89" s="214">
        <v>68</v>
      </c>
      <c r="M89" s="214"/>
      <c r="N89" s="214"/>
      <c r="O89" s="326"/>
      <c r="P89" s="214"/>
      <c r="Q89" s="239">
        <f t="shared" si="31"/>
        <v>0</v>
      </c>
      <c r="R89" s="214">
        <f t="shared" si="32"/>
        <v>0</v>
      </c>
      <c r="S89" s="214"/>
      <c r="T89" s="214"/>
      <c r="U89" s="239">
        <f t="shared" si="33"/>
        <v>0</v>
      </c>
      <c r="V89" s="214"/>
      <c r="W89" s="214"/>
      <c r="X89" s="214"/>
      <c r="Y89" s="214"/>
      <c r="Z89" s="214"/>
      <c r="AA89" s="214"/>
      <c r="AB89" s="214">
        <f t="shared" si="34"/>
        <v>0</v>
      </c>
      <c r="AC89" s="214"/>
      <c r="AD89" s="214"/>
      <c r="AE89" s="214"/>
      <c r="AF89" s="214">
        <f t="shared" si="24"/>
        <v>0</v>
      </c>
      <c r="AG89" s="214"/>
      <c r="AH89" s="214"/>
      <c r="AI89" s="214">
        <f t="shared" si="25"/>
        <v>0</v>
      </c>
      <c r="AJ89" s="214"/>
      <c r="AK89" s="214"/>
      <c r="AL89" s="214">
        <f t="shared" si="26"/>
        <v>99.999999999999986</v>
      </c>
      <c r="AM89" s="214">
        <f t="shared" si="26"/>
        <v>99.999999999999986</v>
      </c>
      <c r="AN89" s="214"/>
      <c r="AO89" s="194"/>
    </row>
    <row r="90" spans="1:41" ht="48" customHeight="1" x14ac:dyDescent="0.25">
      <c r="A90" s="194"/>
      <c r="B90" s="213" t="s">
        <v>102</v>
      </c>
      <c r="C90" s="214">
        <f t="shared" si="19"/>
        <v>68</v>
      </c>
      <c r="D90" s="214">
        <v>68</v>
      </c>
      <c r="E90" s="214"/>
      <c r="F90" s="214"/>
      <c r="G90" s="214">
        <f t="shared" si="27"/>
        <v>68</v>
      </c>
      <c r="H90" s="214">
        <f t="shared" si="28"/>
        <v>68</v>
      </c>
      <c r="I90" s="214">
        <f t="shared" si="35"/>
        <v>0</v>
      </c>
      <c r="J90" s="214">
        <f t="shared" si="29"/>
        <v>68</v>
      </c>
      <c r="K90" s="214">
        <f t="shared" si="30"/>
        <v>68</v>
      </c>
      <c r="L90" s="214">
        <v>68</v>
      </c>
      <c r="M90" s="214"/>
      <c r="N90" s="214"/>
      <c r="O90" s="326"/>
      <c r="P90" s="214"/>
      <c r="Q90" s="239">
        <f t="shared" si="31"/>
        <v>0</v>
      </c>
      <c r="R90" s="214">
        <f t="shared" si="32"/>
        <v>0</v>
      </c>
      <c r="S90" s="214"/>
      <c r="T90" s="214"/>
      <c r="U90" s="239">
        <f t="shared" si="33"/>
        <v>0</v>
      </c>
      <c r="V90" s="214"/>
      <c r="W90" s="214"/>
      <c r="X90" s="214"/>
      <c r="Y90" s="214"/>
      <c r="Z90" s="214"/>
      <c r="AA90" s="214"/>
      <c r="AB90" s="214">
        <f t="shared" si="34"/>
        <v>0</v>
      </c>
      <c r="AC90" s="214"/>
      <c r="AD90" s="214"/>
      <c r="AE90" s="214"/>
      <c r="AF90" s="214">
        <f t="shared" si="24"/>
        <v>0</v>
      </c>
      <c r="AG90" s="214"/>
      <c r="AH90" s="214"/>
      <c r="AI90" s="214">
        <f t="shared" si="25"/>
        <v>0</v>
      </c>
      <c r="AJ90" s="214"/>
      <c r="AK90" s="214"/>
      <c r="AL90" s="214">
        <f t="shared" si="26"/>
        <v>99.999999999999986</v>
      </c>
      <c r="AM90" s="214">
        <f t="shared" si="26"/>
        <v>99.999999999999986</v>
      </c>
      <c r="AN90" s="214"/>
      <c r="AO90" s="194"/>
    </row>
    <row r="91" spans="1:41" ht="48" customHeight="1" x14ac:dyDescent="0.25">
      <c r="A91" s="194"/>
      <c r="B91" s="213" t="s">
        <v>81</v>
      </c>
      <c r="C91" s="214">
        <f t="shared" ref="C91:C154" si="36">D91+E91</f>
        <v>16</v>
      </c>
      <c r="D91" s="214">
        <v>16</v>
      </c>
      <c r="E91" s="214"/>
      <c r="F91" s="214"/>
      <c r="G91" s="214">
        <f t="shared" si="27"/>
        <v>15.986424</v>
      </c>
      <c r="H91" s="214">
        <f t="shared" si="28"/>
        <v>15.986424</v>
      </c>
      <c r="I91" s="214">
        <f t="shared" si="35"/>
        <v>0</v>
      </c>
      <c r="J91" s="214">
        <f t="shared" si="29"/>
        <v>15.986424</v>
      </c>
      <c r="K91" s="214">
        <f t="shared" si="30"/>
        <v>15.986424</v>
      </c>
      <c r="L91" s="214">
        <v>15.986424</v>
      </c>
      <c r="M91" s="214"/>
      <c r="N91" s="214"/>
      <c r="O91" s="326"/>
      <c r="P91" s="214"/>
      <c r="Q91" s="239">
        <f t="shared" si="31"/>
        <v>0</v>
      </c>
      <c r="R91" s="214">
        <f t="shared" si="32"/>
        <v>0</v>
      </c>
      <c r="S91" s="214"/>
      <c r="T91" s="214"/>
      <c r="U91" s="239">
        <f t="shared" si="33"/>
        <v>0</v>
      </c>
      <c r="V91" s="214"/>
      <c r="W91" s="214"/>
      <c r="X91" s="214"/>
      <c r="Y91" s="214"/>
      <c r="Z91" s="214"/>
      <c r="AA91" s="214"/>
      <c r="AB91" s="214">
        <f t="shared" si="34"/>
        <v>0</v>
      </c>
      <c r="AC91" s="214"/>
      <c r="AD91" s="214"/>
      <c r="AE91" s="214"/>
      <c r="AF91" s="214">
        <f t="shared" si="24"/>
        <v>0</v>
      </c>
      <c r="AG91" s="214"/>
      <c r="AH91" s="214"/>
      <c r="AI91" s="214">
        <f t="shared" si="25"/>
        <v>0</v>
      </c>
      <c r="AJ91" s="214"/>
      <c r="AK91" s="214"/>
      <c r="AL91" s="214">
        <f t="shared" si="26"/>
        <v>99.915149999999997</v>
      </c>
      <c r="AM91" s="214">
        <f t="shared" si="26"/>
        <v>99.915149999999997</v>
      </c>
      <c r="AN91" s="214"/>
      <c r="AO91" s="194"/>
    </row>
    <row r="92" spans="1:41" ht="48" customHeight="1" x14ac:dyDescent="0.25">
      <c r="A92" s="194"/>
      <c r="B92" s="213" t="s">
        <v>96</v>
      </c>
      <c r="C92" s="214">
        <f t="shared" si="36"/>
        <v>75</v>
      </c>
      <c r="D92" s="214">
        <v>75</v>
      </c>
      <c r="E92" s="214"/>
      <c r="F92" s="214"/>
      <c r="G92" s="214">
        <f t="shared" si="27"/>
        <v>67.537172999999996</v>
      </c>
      <c r="H92" s="214">
        <f t="shared" si="28"/>
        <v>67.537172999999996</v>
      </c>
      <c r="I92" s="214">
        <f t="shared" si="35"/>
        <v>0</v>
      </c>
      <c r="J92" s="214">
        <f t="shared" si="29"/>
        <v>67.537172999999996</v>
      </c>
      <c r="K92" s="214">
        <f t="shared" si="30"/>
        <v>67.537172999999996</v>
      </c>
      <c r="L92" s="214">
        <v>67.537172999999996</v>
      </c>
      <c r="M92" s="214"/>
      <c r="N92" s="214"/>
      <c r="O92" s="326"/>
      <c r="P92" s="214"/>
      <c r="Q92" s="239">
        <f t="shared" si="31"/>
        <v>0</v>
      </c>
      <c r="R92" s="214">
        <f t="shared" si="32"/>
        <v>0</v>
      </c>
      <c r="S92" s="214"/>
      <c r="T92" s="214"/>
      <c r="U92" s="239">
        <f t="shared" si="33"/>
        <v>0</v>
      </c>
      <c r="V92" s="214"/>
      <c r="W92" s="214"/>
      <c r="X92" s="214"/>
      <c r="Y92" s="214"/>
      <c r="Z92" s="214"/>
      <c r="AA92" s="214"/>
      <c r="AB92" s="214">
        <f t="shared" si="34"/>
        <v>0</v>
      </c>
      <c r="AC92" s="214"/>
      <c r="AD92" s="214"/>
      <c r="AE92" s="214"/>
      <c r="AF92" s="214">
        <f t="shared" si="24"/>
        <v>0</v>
      </c>
      <c r="AG92" s="214"/>
      <c r="AH92" s="214"/>
      <c r="AI92" s="214">
        <f t="shared" si="25"/>
        <v>0</v>
      </c>
      <c r="AJ92" s="214"/>
      <c r="AK92" s="214"/>
      <c r="AL92" s="214">
        <f t="shared" si="26"/>
        <v>90.04956399999999</v>
      </c>
      <c r="AM92" s="214">
        <f t="shared" si="26"/>
        <v>90.04956399999999</v>
      </c>
      <c r="AN92" s="214"/>
      <c r="AO92" s="194"/>
    </row>
    <row r="93" spans="1:41" ht="48" customHeight="1" x14ac:dyDescent="0.25">
      <c r="A93" s="194"/>
      <c r="B93" s="213" t="s">
        <v>71</v>
      </c>
      <c r="C93" s="214">
        <f t="shared" si="36"/>
        <v>14</v>
      </c>
      <c r="D93" s="214">
        <v>14</v>
      </c>
      <c r="E93" s="214"/>
      <c r="F93" s="214"/>
      <c r="G93" s="214">
        <f t="shared" si="27"/>
        <v>11.192843</v>
      </c>
      <c r="H93" s="214">
        <f t="shared" si="28"/>
        <v>11.192843</v>
      </c>
      <c r="I93" s="214">
        <f t="shared" si="35"/>
        <v>0</v>
      </c>
      <c r="J93" s="214">
        <f t="shared" si="29"/>
        <v>11.192843</v>
      </c>
      <c r="K93" s="214">
        <f t="shared" si="30"/>
        <v>11.192843</v>
      </c>
      <c r="L93" s="214">
        <v>11.192843</v>
      </c>
      <c r="M93" s="214"/>
      <c r="N93" s="214"/>
      <c r="O93" s="326"/>
      <c r="P93" s="214"/>
      <c r="Q93" s="239">
        <f t="shared" si="31"/>
        <v>0</v>
      </c>
      <c r="R93" s="214">
        <f t="shared" si="32"/>
        <v>0</v>
      </c>
      <c r="S93" s="214"/>
      <c r="T93" s="214"/>
      <c r="U93" s="239">
        <f t="shared" si="33"/>
        <v>0</v>
      </c>
      <c r="V93" s="214"/>
      <c r="W93" s="214"/>
      <c r="X93" s="214"/>
      <c r="Y93" s="214"/>
      <c r="Z93" s="214"/>
      <c r="AA93" s="214"/>
      <c r="AB93" s="214">
        <f t="shared" si="34"/>
        <v>0</v>
      </c>
      <c r="AC93" s="214"/>
      <c r="AD93" s="214"/>
      <c r="AE93" s="214"/>
      <c r="AF93" s="214">
        <f t="shared" si="24"/>
        <v>0</v>
      </c>
      <c r="AG93" s="214"/>
      <c r="AH93" s="214"/>
      <c r="AI93" s="214">
        <f t="shared" si="25"/>
        <v>0</v>
      </c>
      <c r="AJ93" s="214"/>
      <c r="AK93" s="214"/>
      <c r="AL93" s="214">
        <f t="shared" si="26"/>
        <v>79.948878571428565</v>
      </c>
      <c r="AM93" s="214">
        <f t="shared" si="26"/>
        <v>79.948878571428565</v>
      </c>
      <c r="AN93" s="214"/>
      <c r="AO93" s="194"/>
    </row>
    <row r="94" spans="1:41" ht="48" customHeight="1" x14ac:dyDescent="0.25">
      <c r="A94" s="194"/>
      <c r="B94" s="213" t="s">
        <v>87</v>
      </c>
      <c r="C94" s="214">
        <f t="shared" si="36"/>
        <v>61</v>
      </c>
      <c r="D94" s="214">
        <v>61</v>
      </c>
      <c r="E94" s="214"/>
      <c r="F94" s="214"/>
      <c r="G94" s="214">
        <f t="shared" si="27"/>
        <v>60.961364000000003</v>
      </c>
      <c r="H94" s="214">
        <f t="shared" si="28"/>
        <v>60.961364000000003</v>
      </c>
      <c r="I94" s="214">
        <f t="shared" si="35"/>
        <v>0</v>
      </c>
      <c r="J94" s="214">
        <f t="shared" si="29"/>
        <v>60.961364000000003</v>
      </c>
      <c r="K94" s="214">
        <f t="shared" si="30"/>
        <v>60.961364000000003</v>
      </c>
      <c r="L94" s="214">
        <v>60.961364000000003</v>
      </c>
      <c r="M94" s="214"/>
      <c r="N94" s="214"/>
      <c r="O94" s="326"/>
      <c r="P94" s="214"/>
      <c r="Q94" s="239">
        <f t="shared" si="31"/>
        <v>0</v>
      </c>
      <c r="R94" s="214">
        <f t="shared" si="32"/>
        <v>0</v>
      </c>
      <c r="S94" s="214"/>
      <c r="T94" s="214"/>
      <c r="U94" s="239">
        <f t="shared" si="33"/>
        <v>0</v>
      </c>
      <c r="V94" s="214"/>
      <c r="W94" s="214"/>
      <c r="X94" s="214"/>
      <c r="Y94" s="214"/>
      <c r="Z94" s="214"/>
      <c r="AA94" s="214"/>
      <c r="AB94" s="214">
        <f t="shared" si="34"/>
        <v>0</v>
      </c>
      <c r="AC94" s="214"/>
      <c r="AD94" s="214"/>
      <c r="AE94" s="214"/>
      <c r="AF94" s="214">
        <f t="shared" si="24"/>
        <v>0</v>
      </c>
      <c r="AG94" s="214"/>
      <c r="AH94" s="214"/>
      <c r="AI94" s="214">
        <f t="shared" si="25"/>
        <v>0</v>
      </c>
      <c r="AJ94" s="214"/>
      <c r="AK94" s="214"/>
      <c r="AL94" s="214">
        <f t="shared" si="26"/>
        <v>99.936662295081973</v>
      </c>
      <c r="AM94" s="214">
        <f t="shared" si="26"/>
        <v>99.936662295081973</v>
      </c>
      <c r="AN94" s="214"/>
      <c r="AO94" s="194"/>
    </row>
    <row r="95" spans="1:41" ht="48" customHeight="1" x14ac:dyDescent="0.25">
      <c r="A95" s="194"/>
      <c r="B95" s="213" t="s">
        <v>387</v>
      </c>
      <c r="C95" s="214">
        <f t="shared" si="36"/>
        <v>23</v>
      </c>
      <c r="D95" s="214">
        <v>23</v>
      </c>
      <c r="E95" s="214"/>
      <c r="F95" s="214"/>
      <c r="G95" s="214">
        <f t="shared" si="27"/>
        <v>16.484559999999998</v>
      </c>
      <c r="H95" s="214">
        <f t="shared" si="28"/>
        <v>16.484559999999998</v>
      </c>
      <c r="I95" s="214">
        <f t="shared" si="35"/>
        <v>0</v>
      </c>
      <c r="J95" s="214">
        <f t="shared" si="29"/>
        <v>16.484559999999998</v>
      </c>
      <c r="K95" s="214">
        <f t="shared" si="30"/>
        <v>16.484559999999998</v>
      </c>
      <c r="L95" s="214">
        <v>16.484559999999998</v>
      </c>
      <c r="M95" s="214"/>
      <c r="N95" s="214"/>
      <c r="O95" s="326"/>
      <c r="P95" s="214"/>
      <c r="Q95" s="239">
        <f t="shared" si="31"/>
        <v>0</v>
      </c>
      <c r="R95" s="214">
        <f t="shared" si="32"/>
        <v>0</v>
      </c>
      <c r="S95" s="214"/>
      <c r="T95" s="214"/>
      <c r="U95" s="239">
        <f t="shared" si="33"/>
        <v>0</v>
      </c>
      <c r="V95" s="214"/>
      <c r="W95" s="214"/>
      <c r="X95" s="214"/>
      <c r="Y95" s="214"/>
      <c r="Z95" s="214"/>
      <c r="AA95" s="214"/>
      <c r="AB95" s="214">
        <f t="shared" si="34"/>
        <v>0</v>
      </c>
      <c r="AC95" s="214"/>
      <c r="AD95" s="214"/>
      <c r="AE95" s="214"/>
      <c r="AF95" s="214">
        <f t="shared" si="24"/>
        <v>0</v>
      </c>
      <c r="AG95" s="214"/>
      <c r="AH95" s="214"/>
      <c r="AI95" s="214">
        <f t="shared" si="25"/>
        <v>0</v>
      </c>
      <c r="AJ95" s="214"/>
      <c r="AK95" s="214"/>
      <c r="AL95" s="214">
        <f t="shared" si="26"/>
        <v>71.671999999999983</v>
      </c>
      <c r="AM95" s="214">
        <f t="shared" si="26"/>
        <v>71.671999999999983</v>
      </c>
      <c r="AN95" s="214"/>
      <c r="AO95" s="194"/>
    </row>
    <row r="96" spans="1:41" ht="48" customHeight="1" x14ac:dyDescent="0.25">
      <c r="A96" s="194"/>
      <c r="B96" s="213" t="s">
        <v>388</v>
      </c>
      <c r="C96" s="214">
        <f t="shared" si="36"/>
        <v>24</v>
      </c>
      <c r="D96" s="214">
        <v>24</v>
      </c>
      <c r="E96" s="214"/>
      <c r="F96" s="214"/>
      <c r="G96" s="214">
        <f t="shared" si="27"/>
        <v>21.878523000000001</v>
      </c>
      <c r="H96" s="214">
        <f t="shared" si="28"/>
        <v>21.878523000000001</v>
      </c>
      <c r="I96" s="214">
        <f t="shared" si="35"/>
        <v>0</v>
      </c>
      <c r="J96" s="214">
        <f t="shared" si="29"/>
        <v>21.878523000000001</v>
      </c>
      <c r="K96" s="214">
        <f t="shared" si="30"/>
        <v>21.878523000000001</v>
      </c>
      <c r="L96" s="214">
        <v>21.878523000000001</v>
      </c>
      <c r="M96" s="214"/>
      <c r="N96" s="214"/>
      <c r="O96" s="326"/>
      <c r="P96" s="214"/>
      <c r="Q96" s="239">
        <f t="shared" si="31"/>
        <v>0</v>
      </c>
      <c r="R96" s="214">
        <f t="shared" si="32"/>
        <v>0</v>
      </c>
      <c r="S96" s="214"/>
      <c r="T96" s="214"/>
      <c r="U96" s="239">
        <f t="shared" si="33"/>
        <v>0</v>
      </c>
      <c r="V96" s="214"/>
      <c r="W96" s="214"/>
      <c r="X96" s="214"/>
      <c r="Y96" s="214"/>
      <c r="Z96" s="214"/>
      <c r="AA96" s="214"/>
      <c r="AB96" s="214">
        <f t="shared" si="34"/>
        <v>0</v>
      </c>
      <c r="AC96" s="214"/>
      <c r="AD96" s="214"/>
      <c r="AE96" s="214"/>
      <c r="AF96" s="214">
        <f t="shared" si="24"/>
        <v>0</v>
      </c>
      <c r="AG96" s="214"/>
      <c r="AH96" s="214"/>
      <c r="AI96" s="214">
        <f t="shared" si="25"/>
        <v>0</v>
      </c>
      <c r="AJ96" s="214"/>
      <c r="AK96" s="214"/>
      <c r="AL96" s="214">
        <f t="shared" si="26"/>
        <v>91.16051250000001</v>
      </c>
      <c r="AM96" s="214">
        <f t="shared" si="26"/>
        <v>91.16051250000001</v>
      </c>
      <c r="AN96" s="214"/>
      <c r="AO96" s="194"/>
    </row>
    <row r="97" spans="1:41" ht="48" customHeight="1" x14ac:dyDescent="0.25">
      <c r="A97" s="194"/>
      <c r="B97" s="213" t="s">
        <v>74</v>
      </c>
      <c r="C97" s="214">
        <f t="shared" si="36"/>
        <v>2.9196390000000001</v>
      </c>
      <c r="D97" s="214">
        <v>2.9196390000000001</v>
      </c>
      <c r="E97" s="214"/>
      <c r="F97" s="214"/>
      <c r="G97" s="214">
        <f t="shared" si="27"/>
        <v>2.9196390000000001</v>
      </c>
      <c r="H97" s="214">
        <f t="shared" si="28"/>
        <v>2.9196390000000001</v>
      </c>
      <c r="I97" s="214">
        <f t="shared" si="35"/>
        <v>0</v>
      </c>
      <c r="J97" s="214">
        <f t="shared" si="29"/>
        <v>2.9196390000000001</v>
      </c>
      <c r="K97" s="214">
        <f t="shared" si="30"/>
        <v>2.9196390000000001</v>
      </c>
      <c r="L97" s="214">
        <v>2.9196390000000001</v>
      </c>
      <c r="M97" s="214"/>
      <c r="N97" s="214"/>
      <c r="O97" s="326"/>
      <c r="P97" s="214"/>
      <c r="Q97" s="239">
        <f t="shared" si="31"/>
        <v>0</v>
      </c>
      <c r="R97" s="214">
        <f t="shared" si="32"/>
        <v>0</v>
      </c>
      <c r="S97" s="214"/>
      <c r="T97" s="214"/>
      <c r="U97" s="239">
        <f t="shared" si="33"/>
        <v>0</v>
      </c>
      <c r="V97" s="214"/>
      <c r="W97" s="214"/>
      <c r="X97" s="214"/>
      <c r="Y97" s="214"/>
      <c r="Z97" s="214"/>
      <c r="AA97" s="214"/>
      <c r="AB97" s="214">
        <f t="shared" si="34"/>
        <v>0</v>
      </c>
      <c r="AC97" s="214"/>
      <c r="AD97" s="214"/>
      <c r="AE97" s="214"/>
      <c r="AF97" s="214">
        <f t="shared" si="24"/>
        <v>0</v>
      </c>
      <c r="AG97" s="214"/>
      <c r="AH97" s="214"/>
      <c r="AI97" s="214">
        <f t="shared" si="25"/>
        <v>0</v>
      </c>
      <c r="AJ97" s="214"/>
      <c r="AK97" s="214"/>
      <c r="AL97" s="214">
        <f t="shared" si="26"/>
        <v>100</v>
      </c>
      <c r="AM97" s="214">
        <f t="shared" si="26"/>
        <v>100</v>
      </c>
      <c r="AN97" s="214"/>
      <c r="AO97" s="194"/>
    </row>
    <row r="98" spans="1:41" s="309" customFormat="1" ht="48" customHeight="1" x14ac:dyDescent="0.25">
      <c r="A98" s="215" t="s">
        <v>796</v>
      </c>
      <c r="B98" s="216" t="s">
        <v>172</v>
      </c>
      <c r="C98" s="307">
        <f t="shared" si="36"/>
        <v>16114</v>
      </c>
      <c r="D98" s="307">
        <f>SUM(D99:D155)</f>
        <v>16114</v>
      </c>
      <c r="E98" s="307">
        <f>SUM(E99:E155)</f>
        <v>0</v>
      </c>
      <c r="F98" s="307">
        <f>SUM(F99:F155)</f>
        <v>0</v>
      </c>
      <c r="G98" s="242">
        <f t="shared" si="27"/>
        <v>12613.658661999998</v>
      </c>
      <c r="H98" s="307">
        <f t="shared" si="28"/>
        <v>12613.658661999998</v>
      </c>
      <c r="I98" s="307">
        <f t="shared" si="35"/>
        <v>0</v>
      </c>
      <c r="J98" s="307">
        <f t="shared" si="29"/>
        <v>12613.658661999998</v>
      </c>
      <c r="K98" s="307">
        <f t="shared" si="30"/>
        <v>12613.658661999998</v>
      </c>
      <c r="L98" s="307">
        <f>SUM(L99:L155)</f>
        <v>12613.658661999998</v>
      </c>
      <c r="M98" s="307"/>
      <c r="N98" s="307"/>
      <c r="O98" s="356"/>
      <c r="P98" s="307"/>
      <c r="Q98" s="242">
        <f t="shared" si="31"/>
        <v>0</v>
      </c>
      <c r="R98" s="307">
        <f t="shared" si="32"/>
        <v>0</v>
      </c>
      <c r="S98" s="307"/>
      <c r="T98" s="307"/>
      <c r="U98" s="242">
        <f t="shared" si="33"/>
        <v>0</v>
      </c>
      <c r="V98" s="307"/>
      <c r="W98" s="307"/>
      <c r="X98" s="307"/>
      <c r="Y98" s="307"/>
      <c r="Z98" s="307"/>
      <c r="AA98" s="307"/>
      <c r="AB98" s="307">
        <f t="shared" si="34"/>
        <v>0</v>
      </c>
      <c r="AC98" s="307"/>
      <c r="AD98" s="307"/>
      <c r="AE98" s="307"/>
      <c r="AF98" s="307">
        <f t="shared" si="24"/>
        <v>0</v>
      </c>
      <c r="AG98" s="307"/>
      <c r="AH98" s="307"/>
      <c r="AI98" s="307">
        <f t="shared" si="25"/>
        <v>0</v>
      </c>
      <c r="AJ98" s="307"/>
      <c r="AK98" s="307"/>
      <c r="AL98" s="308">
        <f t="shared" si="26"/>
        <v>78.277638463447929</v>
      </c>
      <c r="AM98" s="308">
        <f t="shared" si="26"/>
        <v>78.277638463447929</v>
      </c>
      <c r="AN98" s="308"/>
      <c r="AO98" s="215"/>
    </row>
    <row r="99" spans="1:41" ht="48" customHeight="1" x14ac:dyDescent="0.25">
      <c r="A99" s="194"/>
      <c r="B99" s="213" t="s">
        <v>302</v>
      </c>
      <c r="C99" s="214">
        <f t="shared" si="36"/>
        <v>150</v>
      </c>
      <c r="D99" s="214">
        <v>150</v>
      </c>
      <c r="E99" s="214"/>
      <c r="F99" s="214"/>
      <c r="G99" s="214">
        <f t="shared" si="27"/>
        <v>149.997367</v>
      </c>
      <c r="H99" s="214">
        <f t="shared" si="28"/>
        <v>149.997367</v>
      </c>
      <c r="I99" s="214">
        <f t="shared" si="35"/>
        <v>0</v>
      </c>
      <c r="J99" s="214">
        <f t="shared" si="29"/>
        <v>149.997367</v>
      </c>
      <c r="K99" s="214">
        <f t="shared" si="30"/>
        <v>149.997367</v>
      </c>
      <c r="L99" s="214">
        <v>149.997367</v>
      </c>
      <c r="M99" s="214"/>
      <c r="N99" s="214"/>
      <c r="O99" s="326"/>
      <c r="P99" s="214"/>
      <c r="Q99" s="239">
        <f t="shared" si="31"/>
        <v>0</v>
      </c>
      <c r="R99" s="214">
        <f t="shared" si="32"/>
        <v>0</v>
      </c>
      <c r="S99" s="214"/>
      <c r="T99" s="214"/>
      <c r="U99" s="239">
        <f t="shared" si="33"/>
        <v>0</v>
      </c>
      <c r="V99" s="214"/>
      <c r="W99" s="214"/>
      <c r="X99" s="214"/>
      <c r="Y99" s="214"/>
      <c r="Z99" s="214"/>
      <c r="AA99" s="214"/>
      <c r="AB99" s="214">
        <f t="shared" si="34"/>
        <v>0</v>
      </c>
      <c r="AC99" s="214"/>
      <c r="AD99" s="214"/>
      <c r="AE99" s="214"/>
      <c r="AF99" s="214">
        <f t="shared" si="24"/>
        <v>0</v>
      </c>
      <c r="AG99" s="214"/>
      <c r="AH99" s="214"/>
      <c r="AI99" s="214">
        <f t="shared" si="25"/>
        <v>0</v>
      </c>
      <c r="AJ99" s="214"/>
      <c r="AK99" s="214"/>
      <c r="AL99" s="214">
        <f t="shared" si="26"/>
        <v>99.998244666666665</v>
      </c>
      <c r="AM99" s="214">
        <f t="shared" si="26"/>
        <v>99.998244666666665</v>
      </c>
      <c r="AN99" s="214"/>
      <c r="AO99" s="194"/>
    </row>
    <row r="100" spans="1:41" ht="48" customHeight="1" x14ac:dyDescent="0.25">
      <c r="A100" s="194"/>
      <c r="B100" s="213" t="s">
        <v>303</v>
      </c>
      <c r="C100" s="214">
        <f t="shared" si="36"/>
        <v>155</v>
      </c>
      <c r="D100" s="214">
        <v>155</v>
      </c>
      <c r="E100" s="214"/>
      <c r="F100" s="214"/>
      <c r="G100" s="214">
        <f t="shared" si="27"/>
        <v>154.98543000000001</v>
      </c>
      <c r="H100" s="214">
        <f t="shared" si="28"/>
        <v>154.98543000000001</v>
      </c>
      <c r="I100" s="214">
        <f t="shared" si="35"/>
        <v>0</v>
      </c>
      <c r="J100" s="214">
        <f t="shared" si="29"/>
        <v>154.98543000000001</v>
      </c>
      <c r="K100" s="214">
        <f t="shared" si="30"/>
        <v>154.98543000000001</v>
      </c>
      <c r="L100" s="214">
        <v>154.98543000000001</v>
      </c>
      <c r="M100" s="214"/>
      <c r="N100" s="214"/>
      <c r="O100" s="326"/>
      <c r="P100" s="214"/>
      <c r="Q100" s="239">
        <f t="shared" si="31"/>
        <v>0</v>
      </c>
      <c r="R100" s="214">
        <f t="shared" si="32"/>
        <v>0</v>
      </c>
      <c r="S100" s="214"/>
      <c r="T100" s="214"/>
      <c r="U100" s="239">
        <f t="shared" si="33"/>
        <v>0</v>
      </c>
      <c r="V100" s="214"/>
      <c r="W100" s="214"/>
      <c r="X100" s="214"/>
      <c r="Y100" s="214"/>
      <c r="Z100" s="214"/>
      <c r="AA100" s="214"/>
      <c r="AB100" s="214">
        <f t="shared" si="34"/>
        <v>0</v>
      </c>
      <c r="AC100" s="214"/>
      <c r="AD100" s="214"/>
      <c r="AE100" s="214"/>
      <c r="AF100" s="214">
        <f t="shared" si="24"/>
        <v>0</v>
      </c>
      <c r="AG100" s="214"/>
      <c r="AH100" s="214"/>
      <c r="AI100" s="214">
        <f t="shared" si="25"/>
        <v>0</v>
      </c>
      <c r="AJ100" s="214"/>
      <c r="AK100" s="214"/>
      <c r="AL100" s="214">
        <f t="shared" si="26"/>
        <v>99.990600000000001</v>
      </c>
      <c r="AM100" s="214">
        <f t="shared" si="26"/>
        <v>99.990600000000001</v>
      </c>
      <c r="AN100" s="214"/>
      <c r="AO100" s="194"/>
    </row>
    <row r="101" spans="1:41" ht="48" customHeight="1" x14ac:dyDescent="0.25">
      <c r="A101" s="194"/>
      <c r="B101" s="213" t="s">
        <v>307</v>
      </c>
      <c r="C101" s="214">
        <f t="shared" si="36"/>
        <v>427</v>
      </c>
      <c r="D101" s="214">
        <v>427</v>
      </c>
      <c r="E101" s="214"/>
      <c r="F101" s="214"/>
      <c r="G101" s="214">
        <f t="shared" si="27"/>
        <v>330</v>
      </c>
      <c r="H101" s="214">
        <f t="shared" si="28"/>
        <v>330</v>
      </c>
      <c r="I101" s="214">
        <f t="shared" si="35"/>
        <v>0</v>
      </c>
      <c r="J101" s="214">
        <f t="shared" si="29"/>
        <v>330</v>
      </c>
      <c r="K101" s="214">
        <f t="shared" si="30"/>
        <v>330</v>
      </c>
      <c r="L101" s="214">
        <v>330</v>
      </c>
      <c r="M101" s="214"/>
      <c r="N101" s="214"/>
      <c r="O101" s="326"/>
      <c r="P101" s="214"/>
      <c r="Q101" s="239">
        <f t="shared" si="31"/>
        <v>0</v>
      </c>
      <c r="R101" s="214">
        <f t="shared" si="32"/>
        <v>0</v>
      </c>
      <c r="S101" s="214"/>
      <c r="T101" s="214"/>
      <c r="U101" s="239">
        <f t="shared" si="33"/>
        <v>0</v>
      </c>
      <c r="V101" s="214"/>
      <c r="W101" s="214"/>
      <c r="X101" s="214"/>
      <c r="Y101" s="214"/>
      <c r="Z101" s="214"/>
      <c r="AA101" s="214"/>
      <c r="AB101" s="214">
        <f t="shared" si="34"/>
        <v>0</v>
      </c>
      <c r="AC101" s="214"/>
      <c r="AD101" s="214"/>
      <c r="AE101" s="214"/>
      <c r="AF101" s="214">
        <f t="shared" si="24"/>
        <v>0</v>
      </c>
      <c r="AG101" s="214"/>
      <c r="AH101" s="214"/>
      <c r="AI101" s="214">
        <f t="shared" si="25"/>
        <v>0</v>
      </c>
      <c r="AJ101" s="214"/>
      <c r="AK101" s="214"/>
      <c r="AL101" s="214">
        <f t="shared" si="26"/>
        <v>77.283372365339588</v>
      </c>
      <c r="AM101" s="214">
        <f t="shared" si="26"/>
        <v>77.283372365339588</v>
      </c>
      <c r="AN101" s="214"/>
      <c r="AO101" s="194"/>
    </row>
    <row r="102" spans="1:41" ht="48" customHeight="1" x14ac:dyDescent="0.25">
      <c r="A102" s="194"/>
      <c r="B102" s="213" t="s">
        <v>308</v>
      </c>
      <c r="C102" s="214">
        <f t="shared" si="36"/>
        <v>441</v>
      </c>
      <c r="D102" s="214">
        <v>441</v>
      </c>
      <c r="E102" s="214"/>
      <c r="F102" s="214"/>
      <c r="G102" s="214">
        <f t="shared" si="27"/>
        <v>340</v>
      </c>
      <c r="H102" s="214">
        <f t="shared" si="28"/>
        <v>340</v>
      </c>
      <c r="I102" s="214">
        <f t="shared" si="35"/>
        <v>0</v>
      </c>
      <c r="J102" s="214">
        <f t="shared" si="29"/>
        <v>340</v>
      </c>
      <c r="K102" s="214">
        <f t="shared" si="30"/>
        <v>340</v>
      </c>
      <c r="L102" s="214">
        <v>340</v>
      </c>
      <c r="M102" s="214"/>
      <c r="N102" s="214"/>
      <c r="O102" s="326"/>
      <c r="P102" s="214"/>
      <c r="Q102" s="239">
        <f t="shared" si="31"/>
        <v>0</v>
      </c>
      <c r="R102" s="214">
        <f t="shared" si="32"/>
        <v>0</v>
      </c>
      <c r="S102" s="214"/>
      <c r="T102" s="214"/>
      <c r="U102" s="239">
        <f t="shared" si="33"/>
        <v>0</v>
      </c>
      <c r="V102" s="214"/>
      <c r="W102" s="214"/>
      <c r="X102" s="214"/>
      <c r="Y102" s="214"/>
      <c r="Z102" s="214"/>
      <c r="AA102" s="214"/>
      <c r="AB102" s="214">
        <f t="shared" si="34"/>
        <v>0</v>
      </c>
      <c r="AC102" s="214"/>
      <c r="AD102" s="214"/>
      <c r="AE102" s="214"/>
      <c r="AF102" s="214">
        <f t="shared" si="24"/>
        <v>0</v>
      </c>
      <c r="AG102" s="214"/>
      <c r="AH102" s="214"/>
      <c r="AI102" s="214">
        <f t="shared" si="25"/>
        <v>0</v>
      </c>
      <c r="AJ102" s="214"/>
      <c r="AK102" s="214"/>
      <c r="AL102" s="214">
        <f t="shared" si="26"/>
        <v>77.097505668934232</v>
      </c>
      <c r="AM102" s="214">
        <f t="shared" si="26"/>
        <v>77.097505668934232</v>
      </c>
      <c r="AN102" s="214"/>
      <c r="AO102" s="194"/>
    </row>
    <row r="103" spans="1:41" ht="48" customHeight="1" x14ac:dyDescent="0.25">
      <c r="A103" s="194"/>
      <c r="B103" s="213" t="s">
        <v>309</v>
      </c>
      <c r="C103" s="214">
        <f t="shared" si="36"/>
        <v>270</v>
      </c>
      <c r="D103" s="214">
        <v>270</v>
      </c>
      <c r="E103" s="214"/>
      <c r="F103" s="214"/>
      <c r="G103" s="214">
        <f t="shared" si="27"/>
        <v>200</v>
      </c>
      <c r="H103" s="214">
        <f t="shared" si="28"/>
        <v>200</v>
      </c>
      <c r="I103" s="214">
        <f t="shared" si="35"/>
        <v>0</v>
      </c>
      <c r="J103" s="214">
        <f t="shared" si="29"/>
        <v>200</v>
      </c>
      <c r="K103" s="214">
        <f t="shared" si="30"/>
        <v>200</v>
      </c>
      <c r="L103" s="214">
        <v>200</v>
      </c>
      <c r="M103" s="214"/>
      <c r="N103" s="214"/>
      <c r="O103" s="326"/>
      <c r="P103" s="214"/>
      <c r="Q103" s="239">
        <f t="shared" si="31"/>
        <v>0</v>
      </c>
      <c r="R103" s="214">
        <f t="shared" si="32"/>
        <v>0</v>
      </c>
      <c r="S103" s="214"/>
      <c r="T103" s="214"/>
      <c r="U103" s="239">
        <f t="shared" si="33"/>
        <v>0</v>
      </c>
      <c r="V103" s="214"/>
      <c r="W103" s="214"/>
      <c r="X103" s="214"/>
      <c r="Y103" s="214"/>
      <c r="Z103" s="214"/>
      <c r="AA103" s="214"/>
      <c r="AB103" s="214">
        <f t="shared" si="34"/>
        <v>0</v>
      </c>
      <c r="AC103" s="214"/>
      <c r="AD103" s="214"/>
      <c r="AE103" s="214"/>
      <c r="AF103" s="214">
        <f t="shared" si="24"/>
        <v>0</v>
      </c>
      <c r="AG103" s="214"/>
      <c r="AH103" s="214"/>
      <c r="AI103" s="214">
        <f t="shared" si="25"/>
        <v>0</v>
      </c>
      <c r="AJ103" s="214"/>
      <c r="AK103" s="214"/>
      <c r="AL103" s="214">
        <f t="shared" si="26"/>
        <v>74.074074074074076</v>
      </c>
      <c r="AM103" s="214">
        <f t="shared" si="26"/>
        <v>74.074074074074076</v>
      </c>
      <c r="AN103" s="214"/>
      <c r="AO103" s="194"/>
    </row>
    <row r="104" spans="1:41" ht="48" customHeight="1" x14ac:dyDescent="0.25">
      <c r="A104" s="194"/>
      <c r="B104" s="213" t="s">
        <v>313</v>
      </c>
      <c r="C104" s="214">
        <f t="shared" si="36"/>
        <v>543</v>
      </c>
      <c r="D104" s="214">
        <v>543</v>
      </c>
      <c r="E104" s="214"/>
      <c r="F104" s="214"/>
      <c r="G104" s="214">
        <f t="shared" si="27"/>
        <v>540.99517100000003</v>
      </c>
      <c r="H104" s="214">
        <f t="shared" si="28"/>
        <v>540.99517100000003</v>
      </c>
      <c r="I104" s="214">
        <f t="shared" si="35"/>
        <v>0</v>
      </c>
      <c r="J104" s="214">
        <f t="shared" si="29"/>
        <v>540.99517100000003</v>
      </c>
      <c r="K104" s="214">
        <f t="shared" si="30"/>
        <v>540.99517100000003</v>
      </c>
      <c r="L104" s="214">
        <v>540.99517100000003</v>
      </c>
      <c r="M104" s="214"/>
      <c r="N104" s="214"/>
      <c r="O104" s="326"/>
      <c r="P104" s="214"/>
      <c r="Q104" s="239">
        <f t="shared" si="31"/>
        <v>0</v>
      </c>
      <c r="R104" s="214">
        <f t="shared" si="32"/>
        <v>0</v>
      </c>
      <c r="S104" s="214"/>
      <c r="T104" s="214"/>
      <c r="U104" s="239">
        <f t="shared" si="33"/>
        <v>0</v>
      </c>
      <c r="V104" s="214"/>
      <c r="W104" s="214"/>
      <c r="X104" s="214"/>
      <c r="Y104" s="214"/>
      <c r="Z104" s="214"/>
      <c r="AA104" s="214"/>
      <c r="AB104" s="214">
        <f t="shared" si="34"/>
        <v>0</v>
      </c>
      <c r="AC104" s="214"/>
      <c r="AD104" s="214"/>
      <c r="AE104" s="214"/>
      <c r="AF104" s="214">
        <f t="shared" si="24"/>
        <v>0</v>
      </c>
      <c r="AG104" s="214"/>
      <c r="AH104" s="214"/>
      <c r="AI104" s="214">
        <f t="shared" si="25"/>
        <v>0</v>
      </c>
      <c r="AJ104" s="214"/>
      <c r="AK104" s="214"/>
      <c r="AL104" s="214">
        <f t="shared" si="26"/>
        <v>99.63078655616944</v>
      </c>
      <c r="AM104" s="214">
        <f t="shared" si="26"/>
        <v>99.63078655616944</v>
      </c>
      <c r="AN104" s="214"/>
      <c r="AO104" s="194"/>
    </row>
    <row r="105" spans="1:41" ht="48" customHeight="1" x14ac:dyDescent="0.25">
      <c r="A105" s="194"/>
      <c r="B105" s="213" t="s">
        <v>314</v>
      </c>
      <c r="C105" s="214">
        <f t="shared" si="36"/>
        <v>345</v>
      </c>
      <c r="D105" s="214">
        <v>345</v>
      </c>
      <c r="E105" s="214"/>
      <c r="F105" s="214"/>
      <c r="G105" s="214">
        <f t="shared" si="27"/>
        <v>343.45425</v>
      </c>
      <c r="H105" s="214">
        <f t="shared" si="28"/>
        <v>343.45425</v>
      </c>
      <c r="I105" s="214">
        <f t="shared" si="35"/>
        <v>0</v>
      </c>
      <c r="J105" s="214">
        <f t="shared" si="29"/>
        <v>343.45425</v>
      </c>
      <c r="K105" s="214">
        <f t="shared" si="30"/>
        <v>343.45425</v>
      </c>
      <c r="L105" s="214">
        <v>343.45425</v>
      </c>
      <c r="M105" s="214"/>
      <c r="N105" s="214"/>
      <c r="O105" s="326"/>
      <c r="P105" s="214"/>
      <c r="Q105" s="239">
        <f t="shared" si="31"/>
        <v>0</v>
      </c>
      <c r="R105" s="214">
        <f t="shared" si="32"/>
        <v>0</v>
      </c>
      <c r="S105" s="214"/>
      <c r="T105" s="214"/>
      <c r="U105" s="239">
        <f t="shared" si="33"/>
        <v>0</v>
      </c>
      <c r="V105" s="214"/>
      <c r="W105" s="214"/>
      <c r="X105" s="214"/>
      <c r="Y105" s="214"/>
      <c r="Z105" s="214"/>
      <c r="AA105" s="214"/>
      <c r="AB105" s="214">
        <f t="shared" si="34"/>
        <v>0</v>
      </c>
      <c r="AC105" s="214"/>
      <c r="AD105" s="214"/>
      <c r="AE105" s="214"/>
      <c r="AF105" s="214">
        <f t="shared" si="24"/>
        <v>0</v>
      </c>
      <c r="AG105" s="214"/>
      <c r="AH105" s="214"/>
      <c r="AI105" s="214">
        <f t="shared" si="25"/>
        <v>0</v>
      </c>
      <c r="AJ105" s="214"/>
      <c r="AK105" s="214"/>
      <c r="AL105" s="214">
        <f t="shared" si="26"/>
        <v>99.551956521739129</v>
      </c>
      <c r="AM105" s="214">
        <f t="shared" si="26"/>
        <v>99.551956521739129</v>
      </c>
      <c r="AN105" s="214"/>
      <c r="AO105" s="194"/>
    </row>
    <row r="106" spans="1:41" ht="48" customHeight="1" x14ac:dyDescent="0.25">
      <c r="A106" s="194"/>
      <c r="B106" s="213" t="s">
        <v>315</v>
      </c>
      <c r="C106" s="214">
        <f t="shared" si="36"/>
        <v>250</v>
      </c>
      <c r="D106" s="214">
        <v>250</v>
      </c>
      <c r="E106" s="214"/>
      <c r="F106" s="214"/>
      <c r="G106" s="214">
        <f t="shared" si="27"/>
        <v>249.20571799999999</v>
      </c>
      <c r="H106" s="214">
        <f t="shared" si="28"/>
        <v>249.20571799999999</v>
      </c>
      <c r="I106" s="214">
        <f t="shared" si="35"/>
        <v>0</v>
      </c>
      <c r="J106" s="214">
        <f t="shared" si="29"/>
        <v>249.20571799999999</v>
      </c>
      <c r="K106" s="214">
        <f t="shared" si="30"/>
        <v>249.20571799999999</v>
      </c>
      <c r="L106" s="214">
        <v>249.20571799999999</v>
      </c>
      <c r="M106" s="214"/>
      <c r="N106" s="214"/>
      <c r="O106" s="326"/>
      <c r="P106" s="214"/>
      <c r="Q106" s="239">
        <f t="shared" si="31"/>
        <v>0</v>
      </c>
      <c r="R106" s="214">
        <f t="shared" si="32"/>
        <v>0</v>
      </c>
      <c r="S106" s="214"/>
      <c r="T106" s="214"/>
      <c r="U106" s="239">
        <f t="shared" si="33"/>
        <v>0</v>
      </c>
      <c r="V106" s="214"/>
      <c r="W106" s="214"/>
      <c r="X106" s="214"/>
      <c r="Y106" s="214"/>
      <c r="Z106" s="214"/>
      <c r="AA106" s="214"/>
      <c r="AB106" s="214">
        <f t="shared" si="34"/>
        <v>0</v>
      </c>
      <c r="AC106" s="214"/>
      <c r="AD106" s="214"/>
      <c r="AE106" s="214"/>
      <c r="AF106" s="214">
        <f t="shared" si="24"/>
        <v>0</v>
      </c>
      <c r="AG106" s="214"/>
      <c r="AH106" s="214"/>
      <c r="AI106" s="214">
        <f t="shared" si="25"/>
        <v>0</v>
      </c>
      <c r="AJ106" s="214"/>
      <c r="AK106" s="214"/>
      <c r="AL106" s="214">
        <f t="shared" si="26"/>
        <v>99.68228719999999</v>
      </c>
      <c r="AM106" s="214">
        <f t="shared" si="26"/>
        <v>99.68228719999999</v>
      </c>
      <c r="AN106" s="214"/>
      <c r="AO106" s="194"/>
    </row>
    <row r="107" spans="1:41" ht="48" customHeight="1" x14ac:dyDescent="0.25">
      <c r="A107" s="194"/>
      <c r="B107" s="213" t="s">
        <v>44</v>
      </c>
      <c r="C107" s="214">
        <f t="shared" si="36"/>
        <v>305</v>
      </c>
      <c r="D107" s="214">
        <v>305</v>
      </c>
      <c r="E107" s="214"/>
      <c r="F107" s="214"/>
      <c r="G107" s="214">
        <f t="shared" si="27"/>
        <v>304.19964900000002</v>
      </c>
      <c r="H107" s="214">
        <f t="shared" si="28"/>
        <v>304.19964900000002</v>
      </c>
      <c r="I107" s="214">
        <f t="shared" si="35"/>
        <v>0</v>
      </c>
      <c r="J107" s="214">
        <f t="shared" si="29"/>
        <v>304.19964900000002</v>
      </c>
      <c r="K107" s="214">
        <f t="shared" si="30"/>
        <v>304.19964900000002</v>
      </c>
      <c r="L107" s="214">
        <v>304.19964900000002</v>
      </c>
      <c r="M107" s="214"/>
      <c r="N107" s="214"/>
      <c r="O107" s="326"/>
      <c r="P107" s="214"/>
      <c r="Q107" s="239">
        <f t="shared" si="31"/>
        <v>0</v>
      </c>
      <c r="R107" s="214">
        <f t="shared" si="32"/>
        <v>0</v>
      </c>
      <c r="S107" s="214"/>
      <c r="T107" s="214"/>
      <c r="U107" s="239">
        <f t="shared" si="33"/>
        <v>0</v>
      </c>
      <c r="V107" s="214"/>
      <c r="W107" s="214"/>
      <c r="X107" s="214"/>
      <c r="Y107" s="214"/>
      <c r="Z107" s="214"/>
      <c r="AA107" s="214"/>
      <c r="AB107" s="214">
        <f t="shared" si="34"/>
        <v>0</v>
      </c>
      <c r="AC107" s="214"/>
      <c r="AD107" s="214"/>
      <c r="AE107" s="214"/>
      <c r="AF107" s="214">
        <f t="shared" si="24"/>
        <v>0</v>
      </c>
      <c r="AG107" s="214"/>
      <c r="AH107" s="214"/>
      <c r="AI107" s="214">
        <f t="shared" si="25"/>
        <v>0</v>
      </c>
      <c r="AJ107" s="214"/>
      <c r="AK107" s="214"/>
      <c r="AL107" s="214">
        <f t="shared" si="26"/>
        <v>99.737589836065581</v>
      </c>
      <c r="AM107" s="214">
        <f t="shared" si="26"/>
        <v>99.737589836065581</v>
      </c>
      <c r="AN107" s="214"/>
      <c r="AO107" s="194"/>
    </row>
    <row r="108" spans="1:41" ht="48" customHeight="1" x14ac:dyDescent="0.25">
      <c r="A108" s="194"/>
      <c r="B108" s="213" t="s">
        <v>53</v>
      </c>
      <c r="C108" s="214">
        <f t="shared" si="36"/>
        <v>305</v>
      </c>
      <c r="D108" s="214">
        <v>305</v>
      </c>
      <c r="E108" s="214"/>
      <c r="F108" s="214"/>
      <c r="G108" s="214">
        <f t="shared" si="27"/>
        <v>291.50277</v>
      </c>
      <c r="H108" s="214">
        <f t="shared" si="28"/>
        <v>291.50277</v>
      </c>
      <c r="I108" s="214">
        <f t="shared" si="35"/>
        <v>0</v>
      </c>
      <c r="J108" s="214">
        <f t="shared" si="29"/>
        <v>291.50277</v>
      </c>
      <c r="K108" s="214">
        <f t="shared" si="30"/>
        <v>291.50277</v>
      </c>
      <c r="L108" s="214">
        <v>291.50277</v>
      </c>
      <c r="M108" s="214"/>
      <c r="N108" s="214"/>
      <c r="O108" s="326"/>
      <c r="P108" s="214"/>
      <c r="Q108" s="239">
        <f t="shared" si="31"/>
        <v>0</v>
      </c>
      <c r="R108" s="214">
        <f t="shared" si="32"/>
        <v>0</v>
      </c>
      <c r="S108" s="214"/>
      <c r="T108" s="214"/>
      <c r="U108" s="239">
        <f t="shared" si="33"/>
        <v>0</v>
      </c>
      <c r="V108" s="214"/>
      <c r="W108" s="214"/>
      <c r="X108" s="214"/>
      <c r="Y108" s="214"/>
      <c r="Z108" s="214"/>
      <c r="AA108" s="214"/>
      <c r="AB108" s="214">
        <f t="shared" si="34"/>
        <v>0</v>
      </c>
      <c r="AC108" s="214"/>
      <c r="AD108" s="214"/>
      <c r="AE108" s="214"/>
      <c r="AF108" s="214">
        <f t="shared" si="24"/>
        <v>0</v>
      </c>
      <c r="AG108" s="214"/>
      <c r="AH108" s="214"/>
      <c r="AI108" s="214">
        <f t="shared" si="25"/>
        <v>0</v>
      </c>
      <c r="AJ108" s="214"/>
      <c r="AK108" s="214"/>
      <c r="AL108" s="214">
        <f t="shared" si="26"/>
        <v>95.5746786885246</v>
      </c>
      <c r="AM108" s="214">
        <f t="shared" si="26"/>
        <v>95.5746786885246</v>
      </c>
      <c r="AN108" s="214"/>
      <c r="AO108" s="194"/>
    </row>
    <row r="109" spans="1:41" ht="48" customHeight="1" x14ac:dyDescent="0.25">
      <c r="A109" s="194"/>
      <c r="B109" s="213" t="s">
        <v>325</v>
      </c>
      <c r="C109" s="214">
        <f t="shared" si="36"/>
        <v>180</v>
      </c>
      <c r="D109" s="214">
        <v>180</v>
      </c>
      <c r="E109" s="214"/>
      <c r="F109" s="214"/>
      <c r="G109" s="214">
        <f t="shared" si="27"/>
        <v>140.38999999999999</v>
      </c>
      <c r="H109" s="214">
        <f t="shared" si="28"/>
        <v>140.38999999999999</v>
      </c>
      <c r="I109" s="214">
        <f t="shared" si="35"/>
        <v>0</v>
      </c>
      <c r="J109" s="214">
        <f t="shared" si="29"/>
        <v>140.38999999999999</v>
      </c>
      <c r="K109" s="214">
        <f t="shared" si="30"/>
        <v>140.38999999999999</v>
      </c>
      <c r="L109" s="214">
        <v>140.38999999999999</v>
      </c>
      <c r="M109" s="214"/>
      <c r="N109" s="214"/>
      <c r="O109" s="326"/>
      <c r="P109" s="214"/>
      <c r="Q109" s="239">
        <f t="shared" si="31"/>
        <v>0</v>
      </c>
      <c r="R109" s="214">
        <f t="shared" si="32"/>
        <v>0</v>
      </c>
      <c r="S109" s="214"/>
      <c r="T109" s="214"/>
      <c r="U109" s="239">
        <f t="shared" si="33"/>
        <v>0</v>
      </c>
      <c r="V109" s="214"/>
      <c r="W109" s="214"/>
      <c r="X109" s="214"/>
      <c r="Y109" s="214"/>
      <c r="Z109" s="214"/>
      <c r="AA109" s="214"/>
      <c r="AB109" s="214">
        <f t="shared" si="34"/>
        <v>0</v>
      </c>
      <c r="AC109" s="214"/>
      <c r="AD109" s="214"/>
      <c r="AE109" s="214"/>
      <c r="AF109" s="214">
        <f t="shared" si="24"/>
        <v>0</v>
      </c>
      <c r="AG109" s="214"/>
      <c r="AH109" s="214"/>
      <c r="AI109" s="214">
        <f t="shared" si="25"/>
        <v>0</v>
      </c>
      <c r="AJ109" s="214"/>
      <c r="AK109" s="214"/>
      <c r="AL109" s="214">
        <f t="shared" si="26"/>
        <v>77.99444444444444</v>
      </c>
      <c r="AM109" s="214">
        <f t="shared" si="26"/>
        <v>77.99444444444444</v>
      </c>
      <c r="AN109" s="214"/>
      <c r="AO109" s="194"/>
    </row>
    <row r="110" spans="1:41" ht="48" customHeight="1" x14ac:dyDescent="0.25">
      <c r="A110" s="194"/>
      <c r="B110" s="213" t="s">
        <v>326</v>
      </c>
      <c r="C110" s="214">
        <f t="shared" si="36"/>
        <v>169</v>
      </c>
      <c r="D110" s="214">
        <v>169</v>
      </c>
      <c r="E110" s="214"/>
      <c r="F110" s="214"/>
      <c r="G110" s="214">
        <f t="shared" si="27"/>
        <v>132.25</v>
      </c>
      <c r="H110" s="214">
        <f t="shared" si="28"/>
        <v>132.25</v>
      </c>
      <c r="I110" s="214">
        <f t="shared" si="35"/>
        <v>0</v>
      </c>
      <c r="J110" s="214">
        <f t="shared" si="29"/>
        <v>132.25</v>
      </c>
      <c r="K110" s="214">
        <f t="shared" si="30"/>
        <v>132.25</v>
      </c>
      <c r="L110" s="214">
        <v>132.25</v>
      </c>
      <c r="M110" s="214"/>
      <c r="N110" s="214"/>
      <c r="O110" s="326"/>
      <c r="P110" s="214"/>
      <c r="Q110" s="239">
        <f t="shared" si="31"/>
        <v>0</v>
      </c>
      <c r="R110" s="214">
        <f t="shared" si="32"/>
        <v>0</v>
      </c>
      <c r="S110" s="214"/>
      <c r="T110" s="214"/>
      <c r="U110" s="239">
        <f t="shared" si="33"/>
        <v>0</v>
      </c>
      <c r="V110" s="214"/>
      <c r="W110" s="214"/>
      <c r="X110" s="214"/>
      <c r="Y110" s="214"/>
      <c r="Z110" s="214"/>
      <c r="AA110" s="214"/>
      <c r="AB110" s="214">
        <f t="shared" si="34"/>
        <v>0</v>
      </c>
      <c r="AC110" s="214"/>
      <c r="AD110" s="214"/>
      <c r="AE110" s="214"/>
      <c r="AF110" s="214">
        <f t="shared" si="24"/>
        <v>0</v>
      </c>
      <c r="AG110" s="214"/>
      <c r="AH110" s="214"/>
      <c r="AI110" s="214">
        <f t="shared" si="25"/>
        <v>0</v>
      </c>
      <c r="AJ110" s="214"/>
      <c r="AK110" s="214"/>
      <c r="AL110" s="214">
        <f t="shared" si="26"/>
        <v>78.254437869822482</v>
      </c>
      <c r="AM110" s="214">
        <f t="shared" si="26"/>
        <v>78.254437869822482</v>
      </c>
      <c r="AN110" s="214"/>
      <c r="AO110" s="194"/>
    </row>
    <row r="111" spans="1:41" ht="48" customHeight="1" x14ac:dyDescent="0.25">
      <c r="A111" s="194"/>
      <c r="B111" s="213" t="s">
        <v>57</v>
      </c>
      <c r="C111" s="214">
        <f t="shared" si="36"/>
        <v>305</v>
      </c>
      <c r="D111" s="214">
        <v>305</v>
      </c>
      <c r="E111" s="214"/>
      <c r="F111" s="214"/>
      <c r="G111" s="214">
        <f t="shared" si="27"/>
        <v>164.14776800000001</v>
      </c>
      <c r="H111" s="214">
        <f t="shared" si="28"/>
        <v>164.14776800000001</v>
      </c>
      <c r="I111" s="214">
        <f t="shared" si="35"/>
        <v>0</v>
      </c>
      <c r="J111" s="214">
        <f t="shared" si="29"/>
        <v>164.14776800000001</v>
      </c>
      <c r="K111" s="214">
        <f t="shared" si="30"/>
        <v>164.14776800000001</v>
      </c>
      <c r="L111" s="214">
        <v>164.14776800000001</v>
      </c>
      <c r="M111" s="214"/>
      <c r="N111" s="214"/>
      <c r="O111" s="326"/>
      <c r="P111" s="214"/>
      <c r="Q111" s="239">
        <f t="shared" si="31"/>
        <v>0</v>
      </c>
      <c r="R111" s="214">
        <f t="shared" si="32"/>
        <v>0</v>
      </c>
      <c r="S111" s="214"/>
      <c r="T111" s="214"/>
      <c r="U111" s="239">
        <f t="shared" si="33"/>
        <v>0</v>
      </c>
      <c r="V111" s="214"/>
      <c r="W111" s="214"/>
      <c r="X111" s="214"/>
      <c r="Y111" s="214"/>
      <c r="Z111" s="214"/>
      <c r="AA111" s="214"/>
      <c r="AB111" s="214">
        <f t="shared" si="34"/>
        <v>0</v>
      </c>
      <c r="AC111" s="214"/>
      <c r="AD111" s="214"/>
      <c r="AE111" s="214"/>
      <c r="AF111" s="214">
        <f t="shared" si="24"/>
        <v>0</v>
      </c>
      <c r="AG111" s="214"/>
      <c r="AH111" s="214"/>
      <c r="AI111" s="214">
        <f t="shared" si="25"/>
        <v>0</v>
      </c>
      <c r="AJ111" s="214"/>
      <c r="AK111" s="214"/>
      <c r="AL111" s="214">
        <f t="shared" si="26"/>
        <v>53.818940327868859</v>
      </c>
      <c r="AM111" s="214">
        <f t="shared" si="26"/>
        <v>53.818940327868859</v>
      </c>
      <c r="AN111" s="214"/>
      <c r="AO111" s="194"/>
    </row>
    <row r="112" spans="1:41" ht="48" customHeight="1" x14ac:dyDescent="0.25">
      <c r="A112" s="194"/>
      <c r="B112" s="213" t="s">
        <v>58</v>
      </c>
      <c r="C112" s="214">
        <f t="shared" si="36"/>
        <v>85</v>
      </c>
      <c r="D112" s="214">
        <v>85</v>
      </c>
      <c r="E112" s="214"/>
      <c r="F112" s="214"/>
      <c r="G112" s="214">
        <f t="shared" si="27"/>
        <v>85</v>
      </c>
      <c r="H112" s="214">
        <f t="shared" si="28"/>
        <v>85</v>
      </c>
      <c r="I112" s="214">
        <f t="shared" si="35"/>
        <v>0</v>
      </c>
      <c r="J112" s="214">
        <f t="shared" si="29"/>
        <v>85</v>
      </c>
      <c r="K112" s="214">
        <f t="shared" si="30"/>
        <v>85</v>
      </c>
      <c r="L112" s="214">
        <v>85</v>
      </c>
      <c r="M112" s="214"/>
      <c r="N112" s="214"/>
      <c r="O112" s="326"/>
      <c r="P112" s="214"/>
      <c r="Q112" s="239">
        <f t="shared" si="31"/>
        <v>0</v>
      </c>
      <c r="R112" s="214">
        <f t="shared" si="32"/>
        <v>0</v>
      </c>
      <c r="S112" s="214"/>
      <c r="T112" s="214"/>
      <c r="U112" s="239">
        <f t="shared" si="33"/>
        <v>0</v>
      </c>
      <c r="V112" s="214"/>
      <c r="W112" s="214"/>
      <c r="X112" s="214"/>
      <c r="Y112" s="214"/>
      <c r="Z112" s="214"/>
      <c r="AA112" s="214"/>
      <c r="AB112" s="214">
        <f t="shared" si="34"/>
        <v>0</v>
      </c>
      <c r="AC112" s="214"/>
      <c r="AD112" s="214"/>
      <c r="AE112" s="214"/>
      <c r="AF112" s="214">
        <f t="shared" si="24"/>
        <v>0</v>
      </c>
      <c r="AG112" s="214"/>
      <c r="AH112" s="214"/>
      <c r="AI112" s="214">
        <f t="shared" si="25"/>
        <v>0</v>
      </c>
      <c r="AJ112" s="214"/>
      <c r="AK112" s="214"/>
      <c r="AL112" s="214">
        <f t="shared" si="26"/>
        <v>100</v>
      </c>
      <c r="AM112" s="214">
        <f t="shared" si="26"/>
        <v>100</v>
      </c>
      <c r="AN112" s="214"/>
      <c r="AO112" s="194"/>
    </row>
    <row r="113" spans="1:41" ht="48" customHeight="1" x14ac:dyDescent="0.25">
      <c r="A113" s="194"/>
      <c r="B113" s="317" t="s">
        <v>59</v>
      </c>
      <c r="C113" s="214">
        <f t="shared" si="36"/>
        <v>105</v>
      </c>
      <c r="D113" s="214">
        <v>105</v>
      </c>
      <c r="E113" s="214"/>
      <c r="F113" s="214"/>
      <c r="G113" s="214">
        <f t="shared" si="27"/>
        <v>100</v>
      </c>
      <c r="H113" s="214">
        <f t="shared" si="28"/>
        <v>100</v>
      </c>
      <c r="I113" s="214">
        <f t="shared" si="35"/>
        <v>0</v>
      </c>
      <c r="J113" s="214">
        <f t="shared" si="29"/>
        <v>100</v>
      </c>
      <c r="K113" s="214">
        <f t="shared" si="30"/>
        <v>100</v>
      </c>
      <c r="L113" s="214">
        <v>100</v>
      </c>
      <c r="M113" s="214"/>
      <c r="N113" s="214"/>
      <c r="O113" s="326"/>
      <c r="P113" s="214"/>
      <c r="Q113" s="239">
        <f t="shared" si="31"/>
        <v>0</v>
      </c>
      <c r="R113" s="214">
        <f t="shared" si="32"/>
        <v>0</v>
      </c>
      <c r="S113" s="214"/>
      <c r="T113" s="214"/>
      <c r="U113" s="239">
        <f t="shared" si="33"/>
        <v>0</v>
      </c>
      <c r="V113" s="214"/>
      <c r="W113" s="214"/>
      <c r="X113" s="214"/>
      <c r="Y113" s="214"/>
      <c r="Z113" s="214"/>
      <c r="AA113" s="214"/>
      <c r="AB113" s="214">
        <f t="shared" si="34"/>
        <v>0</v>
      </c>
      <c r="AC113" s="214"/>
      <c r="AD113" s="214"/>
      <c r="AE113" s="214"/>
      <c r="AF113" s="214">
        <f t="shared" si="24"/>
        <v>0</v>
      </c>
      <c r="AG113" s="214"/>
      <c r="AH113" s="214"/>
      <c r="AI113" s="214">
        <f t="shared" si="25"/>
        <v>0</v>
      </c>
      <c r="AJ113" s="214"/>
      <c r="AK113" s="214"/>
      <c r="AL113" s="214">
        <f t="shared" si="26"/>
        <v>95.238095238095241</v>
      </c>
      <c r="AM113" s="214">
        <f t="shared" si="26"/>
        <v>95.238095238095241</v>
      </c>
      <c r="AN113" s="214"/>
      <c r="AO113" s="194"/>
    </row>
    <row r="114" spans="1:41" ht="48" customHeight="1" x14ac:dyDescent="0.25">
      <c r="A114" s="194"/>
      <c r="B114" s="317" t="s">
        <v>60</v>
      </c>
      <c r="C114" s="214">
        <f t="shared" si="36"/>
        <v>200</v>
      </c>
      <c r="D114" s="214">
        <v>200</v>
      </c>
      <c r="E114" s="214"/>
      <c r="F114" s="214"/>
      <c r="G114" s="214">
        <f t="shared" si="27"/>
        <v>199.30730299999999</v>
      </c>
      <c r="H114" s="214">
        <f t="shared" si="28"/>
        <v>199.30730299999999</v>
      </c>
      <c r="I114" s="214">
        <f t="shared" si="35"/>
        <v>0</v>
      </c>
      <c r="J114" s="214">
        <f t="shared" si="29"/>
        <v>199.30730299999999</v>
      </c>
      <c r="K114" s="214">
        <f t="shared" si="30"/>
        <v>199.30730299999999</v>
      </c>
      <c r="L114" s="214">
        <v>199.30730299999999</v>
      </c>
      <c r="M114" s="214"/>
      <c r="N114" s="214"/>
      <c r="O114" s="326"/>
      <c r="P114" s="214"/>
      <c r="Q114" s="239">
        <f t="shared" si="31"/>
        <v>0</v>
      </c>
      <c r="R114" s="214">
        <f t="shared" si="32"/>
        <v>0</v>
      </c>
      <c r="S114" s="214"/>
      <c r="T114" s="214"/>
      <c r="U114" s="239">
        <f t="shared" si="33"/>
        <v>0</v>
      </c>
      <c r="V114" s="214"/>
      <c r="W114" s="214"/>
      <c r="X114" s="214"/>
      <c r="Y114" s="214"/>
      <c r="Z114" s="214"/>
      <c r="AA114" s="214"/>
      <c r="AB114" s="214">
        <f t="shared" si="34"/>
        <v>0</v>
      </c>
      <c r="AC114" s="214"/>
      <c r="AD114" s="214"/>
      <c r="AE114" s="214"/>
      <c r="AF114" s="214">
        <f t="shared" si="24"/>
        <v>0</v>
      </c>
      <c r="AG114" s="214"/>
      <c r="AH114" s="214"/>
      <c r="AI114" s="214">
        <f t="shared" si="25"/>
        <v>0</v>
      </c>
      <c r="AJ114" s="214"/>
      <c r="AK114" s="214"/>
      <c r="AL114" s="214">
        <f t="shared" si="26"/>
        <v>99.653651499999995</v>
      </c>
      <c r="AM114" s="214">
        <f t="shared" si="26"/>
        <v>99.653651499999995</v>
      </c>
      <c r="AN114" s="214"/>
      <c r="AO114" s="194"/>
    </row>
    <row r="115" spans="1:41" ht="48" customHeight="1" x14ac:dyDescent="0.25">
      <c r="A115" s="194"/>
      <c r="B115" s="213" t="s">
        <v>61</v>
      </c>
      <c r="C115" s="214">
        <f t="shared" si="36"/>
        <v>497</v>
      </c>
      <c r="D115" s="214">
        <v>497</v>
      </c>
      <c r="E115" s="214"/>
      <c r="F115" s="214"/>
      <c r="G115" s="214">
        <f t="shared" si="27"/>
        <v>385</v>
      </c>
      <c r="H115" s="214">
        <f t="shared" si="28"/>
        <v>385</v>
      </c>
      <c r="I115" s="214">
        <f t="shared" si="35"/>
        <v>0</v>
      </c>
      <c r="J115" s="214">
        <f t="shared" si="29"/>
        <v>385</v>
      </c>
      <c r="K115" s="214">
        <f t="shared" si="30"/>
        <v>385</v>
      </c>
      <c r="L115" s="214">
        <v>385</v>
      </c>
      <c r="M115" s="214"/>
      <c r="N115" s="214"/>
      <c r="O115" s="326"/>
      <c r="P115" s="214"/>
      <c r="Q115" s="239">
        <f t="shared" si="31"/>
        <v>0</v>
      </c>
      <c r="R115" s="214">
        <f t="shared" si="32"/>
        <v>0</v>
      </c>
      <c r="S115" s="214"/>
      <c r="T115" s="214"/>
      <c r="U115" s="239">
        <f t="shared" si="33"/>
        <v>0</v>
      </c>
      <c r="V115" s="214"/>
      <c r="W115" s="214"/>
      <c r="X115" s="214"/>
      <c r="Y115" s="214"/>
      <c r="Z115" s="214"/>
      <c r="AA115" s="214"/>
      <c r="AB115" s="214">
        <f t="shared" si="34"/>
        <v>0</v>
      </c>
      <c r="AC115" s="214"/>
      <c r="AD115" s="214"/>
      <c r="AE115" s="214"/>
      <c r="AF115" s="214">
        <f t="shared" si="24"/>
        <v>0</v>
      </c>
      <c r="AG115" s="214"/>
      <c r="AH115" s="214"/>
      <c r="AI115" s="214">
        <f t="shared" si="25"/>
        <v>0</v>
      </c>
      <c r="AJ115" s="214"/>
      <c r="AK115" s="214"/>
      <c r="AL115" s="214">
        <f t="shared" si="26"/>
        <v>77.464788732394368</v>
      </c>
      <c r="AM115" s="214">
        <f t="shared" si="26"/>
        <v>77.464788732394368</v>
      </c>
      <c r="AN115" s="214"/>
      <c r="AO115" s="194"/>
    </row>
    <row r="116" spans="1:41" ht="48" customHeight="1" x14ac:dyDescent="0.25">
      <c r="A116" s="194"/>
      <c r="B116" s="213" t="s">
        <v>62</v>
      </c>
      <c r="C116" s="214">
        <f t="shared" si="36"/>
        <v>68</v>
      </c>
      <c r="D116" s="214">
        <v>68</v>
      </c>
      <c r="E116" s="214"/>
      <c r="F116" s="214"/>
      <c r="G116" s="214">
        <f t="shared" si="27"/>
        <v>52</v>
      </c>
      <c r="H116" s="214">
        <f t="shared" si="28"/>
        <v>52</v>
      </c>
      <c r="I116" s="214">
        <f t="shared" si="35"/>
        <v>0</v>
      </c>
      <c r="J116" s="214">
        <f t="shared" si="29"/>
        <v>52</v>
      </c>
      <c r="K116" s="214">
        <f t="shared" si="30"/>
        <v>52</v>
      </c>
      <c r="L116" s="214">
        <v>52</v>
      </c>
      <c r="M116" s="214"/>
      <c r="N116" s="214"/>
      <c r="O116" s="326"/>
      <c r="P116" s="214"/>
      <c r="Q116" s="239">
        <f t="shared" si="31"/>
        <v>0</v>
      </c>
      <c r="R116" s="214">
        <f t="shared" si="32"/>
        <v>0</v>
      </c>
      <c r="S116" s="214"/>
      <c r="T116" s="214"/>
      <c r="U116" s="239">
        <f t="shared" si="33"/>
        <v>0</v>
      </c>
      <c r="V116" s="214"/>
      <c r="W116" s="214"/>
      <c r="X116" s="214"/>
      <c r="Y116" s="214"/>
      <c r="Z116" s="214"/>
      <c r="AA116" s="214"/>
      <c r="AB116" s="214">
        <f t="shared" si="34"/>
        <v>0</v>
      </c>
      <c r="AC116" s="214"/>
      <c r="AD116" s="214"/>
      <c r="AE116" s="214"/>
      <c r="AF116" s="214">
        <f t="shared" si="24"/>
        <v>0</v>
      </c>
      <c r="AG116" s="214"/>
      <c r="AH116" s="214"/>
      <c r="AI116" s="214">
        <f t="shared" si="25"/>
        <v>0</v>
      </c>
      <c r="AJ116" s="214"/>
      <c r="AK116" s="214"/>
      <c r="AL116" s="214">
        <f t="shared" si="26"/>
        <v>76.470588235294116</v>
      </c>
      <c r="AM116" s="214">
        <f t="shared" si="26"/>
        <v>76.470588235294116</v>
      </c>
      <c r="AN116" s="214"/>
      <c r="AO116" s="194"/>
    </row>
    <row r="117" spans="1:41" ht="48" customHeight="1" x14ac:dyDescent="0.25">
      <c r="A117" s="194"/>
      <c r="B117" s="213" t="s">
        <v>798</v>
      </c>
      <c r="C117" s="214">
        <f t="shared" si="36"/>
        <v>100</v>
      </c>
      <c r="D117" s="214">
        <v>100</v>
      </c>
      <c r="E117" s="214"/>
      <c r="F117" s="214"/>
      <c r="G117" s="214">
        <f t="shared" si="27"/>
        <v>77</v>
      </c>
      <c r="H117" s="214">
        <f t="shared" si="28"/>
        <v>77</v>
      </c>
      <c r="I117" s="214">
        <f t="shared" si="35"/>
        <v>0</v>
      </c>
      <c r="J117" s="214">
        <f t="shared" si="29"/>
        <v>77</v>
      </c>
      <c r="K117" s="214">
        <f t="shared" si="30"/>
        <v>77</v>
      </c>
      <c r="L117" s="214">
        <v>77</v>
      </c>
      <c r="M117" s="214"/>
      <c r="N117" s="214"/>
      <c r="O117" s="326"/>
      <c r="P117" s="214"/>
      <c r="Q117" s="239">
        <f t="shared" si="31"/>
        <v>0</v>
      </c>
      <c r="R117" s="214">
        <f t="shared" si="32"/>
        <v>0</v>
      </c>
      <c r="S117" s="214"/>
      <c r="T117" s="214"/>
      <c r="U117" s="239">
        <f t="shared" si="33"/>
        <v>0</v>
      </c>
      <c r="V117" s="214"/>
      <c r="W117" s="214"/>
      <c r="X117" s="214"/>
      <c r="Y117" s="214"/>
      <c r="Z117" s="214"/>
      <c r="AA117" s="214"/>
      <c r="AB117" s="214">
        <f t="shared" si="34"/>
        <v>0</v>
      </c>
      <c r="AC117" s="214"/>
      <c r="AD117" s="214"/>
      <c r="AE117" s="214"/>
      <c r="AF117" s="214">
        <f t="shared" si="24"/>
        <v>0</v>
      </c>
      <c r="AG117" s="214"/>
      <c r="AH117" s="214"/>
      <c r="AI117" s="214">
        <f t="shared" si="25"/>
        <v>0</v>
      </c>
      <c r="AJ117" s="214"/>
      <c r="AK117" s="214"/>
      <c r="AL117" s="214">
        <f t="shared" si="26"/>
        <v>77</v>
      </c>
      <c r="AM117" s="214">
        <f t="shared" si="26"/>
        <v>77</v>
      </c>
      <c r="AN117" s="214"/>
      <c r="AO117" s="194"/>
    </row>
    <row r="118" spans="1:41" ht="48" customHeight="1" x14ac:dyDescent="0.25">
      <c r="A118" s="194"/>
      <c r="B118" s="213" t="s">
        <v>63</v>
      </c>
      <c r="C118" s="214">
        <f t="shared" si="36"/>
        <v>114</v>
      </c>
      <c r="D118" s="214">
        <v>114</v>
      </c>
      <c r="E118" s="214"/>
      <c r="F118" s="214"/>
      <c r="G118" s="214">
        <f t="shared" si="27"/>
        <v>89</v>
      </c>
      <c r="H118" s="214">
        <f t="shared" si="28"/>
        <v>89</v>
      </c>
      <c r="I118" s="214">
        <f t="shared" si="35"/>
        <v>0</v>
      </c>
      <c r="J118" s="214">
        <f t="shared" si="29"/>
        <v>89</v>
      </c>
      <c r="K118" s="214">
        <f t="shared" si="30"/>
        <v>89</v>
      </c>
      <c r="L118" s="214">
        <v>89</v>
      </c>
      <c r="M118" s="214"/>
      <c r="N118" s="214"/>
      <c r="O118" s="326"/>
      <c r="P118" s="214"/>
      <c r="Q118" s="239">
        <f t="shared" si="31"/>
        <v>0</v>
      </c>
      <c r="R118" s="214">
        <f t="shared" si="32"/>
        <v>0</v>
      </c>
      <c r="S118" s="214"/>
      <c r="T118" s="214"/>
      <c r="U118" s="239">
        <f t="shared" si="33"/>
        <v>0</v>
      </c>
      <c r="V118" s="214"/>
      <c r="W118" s="214"/>
      <c r="X118" s="214"/>
      <c r="Y118" s="214"/>
      <c r="Z118" s="214"/>
      <c r="AA118" s="214"/>
      <c r="AB118" s="214">
        <f t="shared" si="34"/>
        <v>0</v>
      </c>
      <c r="AC118" s="214"/>
      <c r="AD118" s="214"/>
      <c r="AE118" s="214"/>
      <c r="AF118" s="214">
        <f t="shared" si="24"/>
        <v>0</v>
      </c>
      <c r="AG118" s="214"/>
      <c r="AH118" s="214"/>
      <c r="AI118" s="214">
        <f t="shared" si="25"/>
        <v>0</v>
      </c>
      <c r="AJ118" s="214"/>
      <c r="AK118" s="214"/>
      <c r="AL118" s="214">
        <f t="shared" si="26"/>
        <v>78.070175438596493</v>
      </c>
      <c r="AM118" s="214">
        <f t="shared" si="26"/>
        <v>78.070175438596493</v>
      </c>
      <c r="AN118" s="214"/>
      <c r="AO118" s="194"/>
    </row>
    <row r="119" spans="1:41" ht="48" customHeight="1" x14ac:dyDescent="0.25">
      <c r="A119" s="194"/>
      <c r="B119" s="213" t="s">
        <v>64</v>
      </c>
      <c r="C119" s="214">
        <f t="shared" si="36"/>
        <v>359</v>
      </c>
      <c r="D119" s="214">
        <v>359</v>
      </c>
      <c r="E119" s="214"/>
      <c r="F119" s="214"/>
      <c r="G119" s="214">
        <f t="shared" si="27"/>
        <v>278</v>
      </c>
      <c r="H119" s="214">
        <f t="shared" si="28"/>
        <v>278</v>
      </c>
      <c r="I119" s="214">
        <f t="shared" si="35"/>
        <v>0</v>
      </c>
      <c r="J119" s="214">
        <f t="shared" si="29"/>
        <v>278</v>
      </c>
      <c r="K119" s="214">
        <f t="shared" si="30"/>
        <v>278</v>
      </c>
      <c r="L119" s="214">
        <v>278</v>
      </c>
      <c r="M119" s="214"/>
      <c r="N119" s="214"/>
      <c r="O119" s="326"/>
      <c r="P119" s="214"/>
      <c r="Q119" s="239">
        <f t="shared" si="31"/>
        <v>0</v>
      </c>
      <c r="R119" s="214">
        <f t="shared" si="32"/>
        <v>0</v>
      </c>
      <c r="S119" s="214"/>
      <c r="T119" s="214"/>
      <c r="U119" s="239">
        <f t="shared" si="33"/>
        <v>0</v>
      </c>
      <c r="V119" s="214"/>
      <c r="W119" s="214"/>
      <c r="X119" s="214"/>
      <c r="Y119" s="214"/>
      <c r="Z119" s="214"/>
      <c r="AA119" s="214"/>
      <c r="AB119" s="214">
        <f t="shared" si="34"/>
        <v>0</v>
      </c>
      <c r="AC119" s="214"/>
      <c r="AD119" s="214"/>
      <c r="AE119" s="214"/>
      <c r="AF119" s="214">
        <f t="shared" si="24"/>
        <v>0</v>
      </c>
      <c r="AG119" s="214"/>
      <c r="AH119" s="214"/>
      <c r="AI119" s="214">
        <f t="shared" si="25"/>
        <v>0</v>
      </c>
      <c r="AJ119" s="214"/>
      <c r="AK119" s="214"/>
      <c r="AL119" s="214">
        <f t="shared" si="26"/>
        <v>77.437325905292482</v>
      </c>
      <c r="AM119" s="214">
        <f t="shared" si="26"/>
        <v>77.437325905292482</v>
      </c>
      <c r="AN119" s="214"/>
      <c r="AO119" s="194"/>
    </row>
    <row r="120" spans="1:41" ht="48" customHeight="1" x14ac:dyDescent="0.25">
      <c r="A120" s="194"/>
      <c r="B120" s="213" t="s">
        <v>68</v>
      </c>
      <c r="C120" s="214">
        <f t="shared" si="36"/>
        <v>305</v>
      </c>
      <c r="D120" s="214">
        <v>305</v>
      </c>
      <c r="E120" s="214"/>
      <c r="F120" s="214"/>
      <c r="G120" s="214">
        <f t="shared" si="27"/>
        <v>296.97872599999999</v>
      </c>
      <c r="H120" s="214">
        <f t="shared" si="28"/>
        <v>296.97872599999999</v>
      </c>
      <c r="I120" s="214">
        <f t="shared" si="35"/>
        <v>0</v>
      </c>
      <c r="J120" s="214">
        <f t="shared" si="29"/>
        <v>296.97872599999999</v>
      </c>
      <c r="K120" s="214">
        <f t="shared" si="30"/>
        <v>296.97872599999999</v>
      </c>
      <c r="L120" s="214">
        <v>296.97872599999999</v>
      </c>
      <c r="M120" s="214"/>
      <c r="N120" s="214"/>
      <c r="O120" s="326"/>
      <c r="P120" s="214"/>
      <c r="Q120" s="239">
        <f t="shared" si="31"/>
        <v>0</v>
      </c>
      <c r="R120" s="214">
        <f t="shared" si="32"/>
        <v>0</v>
      </c>
      <c r="S120" s="214"/>
      <c r="T120" s="214"/>
      <c r="U120" s="239">
        <f t="shared" si="33"/>
        <v>0</v>
      </c>
      <c r="V120" s="214"/>
      <c r="W120" s="214"/>
      <c r="X120" s="214"/>
      <c r="Y120" s="214"/>
      <c r="Z120" s="214"/>
      <c r="AA120" s="214"/>
      <c r="AB120" s="214">
        <f t="shared" si="34"/>
        <v>0</v>
      </c>
      <c r="AC120" s="214"/>
      <c r="AD120" s="214"/>
      <c r="AE120" s="214"/>
      <c r="AF120" s="214">
        <f t="shared" si="24"/>
        <v>0</v>
      </c>
      <c r="AG120" s="214"/>
      <c r="AH120" s="214"/>
      <c r="AI120" s="214">
        <f t="shared" si="25"/>
        <v>0</v>
      </c>
      <c r="AJ120" s="214"/>
      <c r="AK120" s="214"/>
      <c r="AL120" s="214">
        <f t="shared" si="26"/>
        <v>97.370074098360661</v>
      </c>
      <c r="AM120" s="214">
        <f t="shared" si="26"/>
        <v>97.370074098360661</v>
      </c>
      <c r="AN120" s="214"/>
      <c r="AO120" s="194"/>
    </row>
    <row r="121" spans="1:41" ht="48" customHeight="1" x14ac:dyDescent="0.25">
      <c r="A121" s="194"/>
      <c r="B121" s="213" t="s">
        <v>72</v>
      </c>
      <c r="C121" s="214">
        <f t="shared" si="36"/>
        <v>280</v>
      </c>
      <c r="D121" s="214">
        <v>280</v>
      </c>
      <c r="E121" s="214"/>
      <c r="F121" s="214"/>
      <c r="G121" s="214">
        <f t="shared" si="27"/>
        <v>276.12938800000001</v>
      </c>
      <c r="H121" s="214">
        <f t="shared" si="28"/>
        <v>276.12938800000001</v>
      </c>
      <c r="I121" s="214">
        <f t="shared" si="35"/>
        <v>0</v>
      </c>
      <c r="J121" s="214">
        <f t="shared" si="29"/>
        <v>276.12938800000001</v>
      </c>
      <c r="K121" s="214">
        <f t="shared" si="30"/>
        <v>276.12938800000001</v>
      </c>
      <c r="L121" s="214">
        <v>276.12938800000001</v>
      </c>
      <c r="M121" s="214"/>
      <c r="N121" s="214"/>
      <c r="O121" s="326"/>
      <c r="P121" s="214"/>
      <c r="Q121" s="239">
        <f t="shared" si="31"/>
        <v>0</v>
      </c>
      <c r="R121" s="214">
        <f t="shared" si="32"/>
        <v>0</v>
      </c>
      <c r="S121" s="214"/>
      <c r="T121" s="214"/>
      <c r="U121" s="239">
        <f t="shared" si="33"/>
        <v>0</v>
      </c>
      <c r="V121" s="214"/>
      <c r="W121" s="214"/>
      <c r="X121" s="214"/>
      <c r="Y121" s="214"/>
      <c r="Z121" s="214"/>
      <c r="AA121" s="214"/>
      <c r="AB121" s="214">
        <f t="shared" si="34"/>
        <v>0</v>
      </c>
      <c r="AC121" s="214"/>
      <c r="AD121" s="214"/>
      <c r="AE121" s="214"/>
      <c r="AF121" s="214">
        <f t="shared" si="24"/>
        <v>0</v>
      </c>
      <c r="AG121" s="214"/>
      <c r="AH121" s="214"/>
      <c r="AI121" s="214">
        <f t="shared" si="25"/>
        <v>0</v>
      </c>
      <c r="AJ121" s="214"/>
      <c r="AK121" s="214"/>
      <c r="AL121" s="214">
        <f t="shared" si="26"/>
        <v>98.617638571428586</v>
      </c>
      <c r="AM121" s="214">
        <f t="shared" si="26"/>
        <v>98.617638571428586</v>
      </c>
      <c r="AN121" s="214"/>
      <c r="AO121" s="194"/>
    </row>
    <row r="122" spans="1:41" ht="48" customHeight="1" x14ac:dyDescent="0.25">
      <c r="A122" s="194"/>
      <c r="B122" s="213" t="s">
        <v>75</v>
      </c>
      <c r="C122" s="214">
        <f t="shared" si="36"/>
        <v>235</v>
      </c>
      <c r="D122" s="214">
        <v>235</v>
      </c>
      <c r="E122" s="214"/>
      <c r="F122" s="214"/>
      <c r="G122" s="214">
        <f t="shared" si="27"/>
        <v>182</v>
      </c>
      <c r="H122" s="214">
        <f t="shared" si="28"/>
        <v>182</v>
      </c>
      <c r="I122" s="214">
        <f t="shared" si="35"/>
        <v>0</v>
      </c>
      <c r="J122" s="214">
        <f t="shared" si="29"/>
        <v>182</v>
      </c>
      <c r="K122" s="214">
        <f t="shared" si="30"/>
        <v>182</v>
      </c>
      <c r="L122" s="214">
        <v>182</v>
      </c>
      <c r="M122" s="214"/>
      <c r="N122" s="214"/>
      <c r="O122" s="326"/>
      <c r="P122" s="214"/>
      <c r="Q122" s="239">
        <f t="shared" si="31"/>
        <v>0</v>
      </c>
      <c r="R122" s="214">
        <f t="shared" si="32"/>
        <v>0</v>
      </c>
      <c r="S122" s="214"/>
      <c r="T122" s="214"/>
      <c r="U122" s="239">
        <f t="shared" si="33"/>
        <v>0</v>
      </c>
      <c r="V122" s="214"/>
      <c r="W122" s="214"/>
      <c r="X122" s="214"/>
      <c r="Y122" s="214"/>
      <c r="Z122" s="214"/>
      <c r="AA122" s="214"/>
      <c r="AB122" s="214">
        <f t="shared" si="34"/>
        <v>0</v>
      </c>
      <c r="AC122" s="214"/>
      <c r="AD122" s="214"/>
      <c r="AE122" s="214"/>
      <c r="AF122" s="214">
        <f t="shared" si="24"/>
        <v>0</v>
      </c>
      <c r="AG122" s="214"/>
      <c r="AH122" s="214"/>
      <c r="AI122" s="214">
        <f t="shared" si="25"/>
        <v>0</v>
      </c>
      <c r="AJ122" s="214"/>
      <c r="AK122" s="214"/>
      <c r="AL122" s="214">
        <f t="shared" si="26"/>
        <v>77.446808510638292</v>
      </c>
      <c r="AM122" s="214">
        <f t="shared" si="26"/>
        <v>77.446808510638292</v>
      </c>
      <c r="AN122" s="214"/>
      <c r="AO122" s="194"/>
    </row>
    <row r="123" spans="1:41" ht="48" customHeight="1" x14ac:dyDescent="0.25">
      <c r="A123" s="194"/>
      <c r="B123" s="213" t="s">
        <v>83</v>
      </c>
      <c r="C123" s="214">
        <f t="shared" si="36"/>
        <v>493</v>
      </c>
      <c r="D123" s="214">
        <v>493</v>
      </c>
      <c r="E123" s="214"/>
      <c r="F123" s="214"/>
      <c r="G123" s="214">
        <f t="shared" si="27"/>
        <v>382</v>
      </c>
      <c r="H123" s="214">
        <f t="shared" si="28"/>
        <v>382</v>
      </c>
      <c r="I123" s="214">
        <f t="shared" si="35"/>
        <v>0</v>
      </c>
      <c r="J123" s="214">
        <f t="shared" si="29"/>
        <v>382</v>
      </c>
      <c r="K123" s="214">
        <f t="shared" si="30"/>
        <v>382</v>
      </c>
      <c r="L123" s="214">
        <v>382</v>
      </c>
      <c r="M123" s="214"/>
      <c r="N123" s="214"/>
      <c r="O123" s="326"/>
      <c r="P123" s="214"/>
      <c r="Q123" s="239">
        <f t="shared" si="31"/>
        <v>0</v>
      </c>
      <c r="R123" s="214">
        <f t="shared" si="32"/>
        <v>0</v>
      </c>
      <c r="S123" s="214"/>
      <c r="T123" s="214"/>
      <c r="U123" s="239">
        <f t="shared" si="33"/>
        <v>0</v>
      </c>
      <c r="V123" s="214"/>
      <c r="W123" s="214"/>
      <c r="X123" s="214"/>
      <c r="Y123" s="214"/>
      <c r="Z123" s="214"/>
      <c r="AA123" s="214"/>
      <c r="AB123" s="214">
        <f t="shared" si="34"/>
        <v>0</v>
      </c>
      <c r="AC123" s="214"/>
      <c r="AD123" s="214"/>
      <c r="AE123" s="214"/>
      <c r="AF123" s="214">
        <f t="shared" si="24"/>
        <v>0</v>
      </c>
      <c r="AG123" s="214"/>
      <c r="AH123" s="214"/>
      <c r="AI123" s="214">
        <f t="shared" si="25"/>
        <v>0</v>
      </c>
      <c r="AJ123" s="214"/>
      <c r="AK123" s="214"/>
      <c r="AL123" s="214">
        <f t="shared" si="26"/>
        <v>77.484787018255588</v>
      </c>
      <c r="AM123" s="214">
        <f t="shared" si="26"/>
        <v>77.484787018255588</v>
      </c>
      <c r="AN123" s="214"/>
      <c r="AO123" s="194"/>
    </row>
    <row r="124" spans="1:41" ht="48" customHeight="1" x14ac:dyDescent="0.25">
      <c r="A124" s="194"/>
      <c r="B124" s="213" t="s">
        <v>84</v>
      </c>
      <c r="C124" s="214">
        <f t="shared" si="36"/>
        <v>326</v>
      </c>
      <c r="D124" s="214">
        <v>326</v>
      </c>
      <c r="E124" s="214"/>
      <c r="F124" s="214"/>
      <c r="G124" s="214">
        <f t="shared" si="27"/>
        <v>252</v>
      </c>
      <c r="H124" s="214">
        <f t="shared" si="28"/>
        <v>252</v>
      </c>
      <c r="I124" s="214">
        <f t="shared" si="35"/>
        <v>0</v>
      </c>
      <c r="J124" s="214">
        <f t="shared" si="29"/>
        <v>252</v>
      </c>
      <c r="K124" s="214">
        <f t="shared" si="30"/>
        <v>252</v>
      </c>
      <c r="L124" s="214">
        <v>252</v>
      </c>
      <c r="M124" s="214"/>
      <c r="N124" s="214"/>
      <c r="O124" s="326"/>
      <c r="P124" s="214"/>
      <c r="Q124" s="239">
        <f t="shared" si="31"/>
        <v>0</v>
      </c>
      <c r="R124" s="214">
        <f t="shared" si="32"/>
        <v>0</v>
      </c>
      <c r="S124" s="214"/>
      <c r="T124" s="214"/>
      <c r="U124" s="239">
        <f t="shared" si="33"/>
        <v>0</v>
      </c>
      <c r="V124" s="214"/>
      <c r="W124" s="214"/>
      <c r="X124" s="214"/>
      <c r="Y124" s="214"/>
      <c r="Z124" s="214"/>
      <c r="AA124" s="214"/>
      <c r="AB124" s="214">
        <f t="shared" si="34"/>
        <v>0</v>
      </c>
      <c r="AC124" s="214"/>
      <c r="AD124" s="214"/>
      <c r="AE124" s="214"/>
      <c r="AF124" s="214">
        <f t="shared" si="24"/>
        <v>0</v>
      </c>
      <c r="AG124" s="214"/>
      <c r="AH124" s="214"/>
      <c r="AI124" s="214">
        <f t="shared" si="25"/>
        <v>0</v>
      </c>
      <c r="AJ124" s="214"/>
      <c r="AK124" s="214"/>
      <c r="AL124" s="214">
        <f t="shared" si="26"/>
        <v>77.300613496932527</v>
      </c>
      <c r="AM124" s="214">
        <f t="shared" si="26"/>
        <v>77.300613496932527</v>
      </c>
      <c r="AN124" s="214"/>
      <c r="AO124" s="194"/>
    </row>
    <row r="125" spans="1:41" ht="48" customHeight="1" x14ac:dyDescent="0.25">
      <c r="A125" s="194"/>
      <c r="B125" s="213" t="s">
        <v>85</v>
      </c>
      <c r="C125" s="214">
        <f t="shared" si="36"/>
        <v>319</v>
      </c>
      <c r="D125" s="214">
        <v>319</v>
      </c>
      <c r="E125" s="214"/>
      <c r="F125" s="214"/>
      <c r="G125" s="214">
        <f t="shared" si="27"/>
        <v>248</v>
      </c>
      <c r="H125" s="214">
        <f t="shared" si="28"/>
        <v>248</v>
      </c>
      <c r="I125" s="214">
        <f t="shared" si="35"/>
        <v>0</v>
      </c>
      <c r="J125" s="214">
        <f t="shared" si="29"/>
        <v>248</v>
      </c>
      <c r="K125" s="214">
        <f t="shared" si="30"/>
        <v>248</v>
      </c>
      <c r="L125" s="214">
        <v>248</v>
      </c>
      <c r="M125" s="214"/>
      <c r="N125" s="214"/>
      <c r="O125" s="326"/>
      <c r="P125" s="214"/>
      <c r="Q125" s="239">
        <f t="shared" si="31"/>
        <v>0</v>
      </c>
      <c r="R125" s="214">
        <f t="shared" si="32"/>
        <v>0</v>
      </c>
      <c r="S125" s="214"/>
      <c r="T125" s="214"/>
      <c r="U125" s="239">
        <f t="shared" si="33"/>
        <v>0</v>
      </c>
      <c r="V125" s="214"/>
      <c r="W125" s="214"/>
      <c r="X125" s="214"/>
      <c r="Y125" s="214"/>
      <c r="Z125" s="214"/>
      <c r="AA125" s="214"/>
      <c r="AB125" s="214">
        <f t="shared" si="34"/>
        <v>0</v>
      </c>
      <c r="AC125" s="214"/>
      <c r="AD125" s="214"/>
      <c r="AE125" s="214"/>
      <c r="AF125" s="214">
        <f t="shared" si="24"/>
        <v>0</v>
      </c>
      <c r="AG125" s="214"/>
      <c r="AH125" s="214"/>
      <c r="AI125" s="214">
        <f t="shared" si="25"/>
        <v>0</v>
      </c>
      <c r="AJ125" s="214"/>
      <c r="AK125" s="214"/>
      <c r="AL125" s="214">
        <f t="shared" si="26"/>
        <v>77.742946708463947</v>
      </c>
      <c r="AM125" s="214">
        <f t="shared" si="26"/>
        <v>77.742946708463947</v>
      </c>
      <c r="AN125" s="214"/>
      <c r="AO125" s="194"/>
    </row>
    <row r="126" spans="1:41" ht="48" customHeight="1" x14ac:dyDescent="0.25">
      <c r="A126" s="194"/>
      <c r="B126" s="213" t="s">
        <v>89</v>
      </c>
      <c r="C126" s="214">
        <f t="shared" si="36"/>
        <v>686</v>
      </c>
      <c r="D126" s="214">
        <v>686</v>
      </c>
      <c r="E126" s="214"/>
      <c r="F126" s="214"/>
      <c r="G126" s="214">
        <f t="shared" si="27"/>
        <v>502.8</v>
      </c>
      <c r="H126" s="214">
        <f t="shared" si="28"/>
        <v>502.8</v>
      </c>
      <c r="I126" s="214">
        <f t="shared" si="35"/>
        <v>0</v>
      </c>
      <c r="J126" s="214">
        <f t="shared" si="29"/>
        <v>502.8</v>
      </c>
      <c r="K126" s="214">
        <f t="shared" si="30"/>
        <v>502.8</v>
      </c>
      <c r="L126" s="214">
        <v>502.8</v>
      </c>
      <c r="M126" s="214"/>
      <c r="N126" s="214"/>
      <c r="O126" s="326"/>
      <c r="P126" s="214"/>
      <c r="Q126" s="239">
        <f t="shared" si="31"/>
        <v>0</v>
      </c>
      <c r="R126" s="214">
        <f t="shared" si="32"/>
        <v>0</v>
      </c>
      <c r="S126" s="214"/>
      <c r="T126" s="214"/>
      <c r="U126" s="239">
        <f t="shared" si="33"/>
        <v>0</v>
      </c>
      <c r="V126" s="214"/>
      <c r="W126" s="214"/>
      <c r="X126" s="214"/>
      <c r="Y126" s="214"/>
      <c r="Z126" s="214"/>
      <c r="AA126" s="214"/>
      <c r="AB126" s="214">
        <f t="shared" si="34"/>
        <v>0</v>
      </c>
      <c r="AC126" s="214"/>
      <c r="AD126" s="214"/>
      <c r="AE126" s="214"/>
      <c r="AF126" s="214">
        <f t="shared" si="24"/>
        <v>0</v>
      </c>
      <c r="AG126" s="214"/>
      <c r="AH126" s="214"/>
      <c r="AI126" s="214">
        <f t="shared" si="25"/>
        <v>0</v>
      </c>
      <c r="AJ126" s="214"/>
      <c r="AK126" s="214"/>
      <c r="AL126" s="214">
        <f t="shared" si="26"/>
        <v>73.294460641399411</v>
      </c>
      <c r="AM126" s="214">
        <f t="shared" si="26"/>
        <v>73.294460641399411</v>
      </c>
      <c r="AN126" s="214"/>
      <c r="AO126" s="194"/>
    </row>
    <row r="127" spans="1:41" ht="48" customHeight="1" x14ac:dyDescent="0.25">
      <c r="A127" s="194"/>
      <c r="B127" s="213" t="s">
        <v>93</v>
      </c>
      <c r="C127" s="214">
        <f t="shared" si="36"/>
        <v>942</v>
      </c>
      <c r="D127" s="214">
        <v>942</v>
      </c>
      <c r="E127" s="214"/>
      <c r="F127" s="214"/>
      <c r="G127" s="214">
        <f t="shared" si="27"/>
        <v>881.00369999999998</v>
      </c>
      <c r="H127" s="214">
        <f t="shared" si="28"/>
        <v>881.00369999999998</v>
      </c>
      <c r="I127" s="214">
        <f t="shared" si="35"/>
        <v>0</v>
      </c>
      <c r="J127" s="214">
        <f t="shared" si="29"/>
        <v>881.00369999999998</v>
      </c>
      <c r="K127" s="214">
        <f t="shared" si="30"/>
        <v>881.00369999999998</v>
      </c>
      <c r="L127" s="214">
        <v>881.00369999999998</v>
      </c>
      <c r="M127" s="214"/>
      <c r="N127" s="214"/>
      <c r="O127" s="326"/>
      <c r="P127" s="214"/>
      <c r="Q127" s="239">
        <f t="shared" si="31"/>
        <v>0</v>
      </c>
      <c r="R127" s="214">
        <f t="shared" si="32"/>
        <v>0</v>
      </c>
      <c r="S127" s="214"/>
      <c r="T127" s="214"/>
      <c r="U127" s="239">
        <f t="shared" si="33"/>
        <v>0</v>
      </c>
      <c r="V127" s="214"/>
      <c r="W127" s="214"/>
      <c r="X127" s="214"/>
      <c r="Y127" s="214"/>
      <c r="Z127" s="214"/>
      <c r="AA127" s="214"/>
      <c r="AB127" s="214">
        <f t="shared" si="34"/>
        <v>0</v>
      </c>
      <c r="AC127" s="214"/>
      <c r="AD127" s="214"/>
      <c r="AE127" s="214"/>
      <c r="AF127" s="214">
        <f t="shared" si="24"/>
        <v>0</v>
      </c>
      <c r="AG127" s="214"/>
      <c r="AH127" s="214"/>
      <c r="AI127" s="214">
        <f t="shared" si="25"/>
        <v>0</v>
      </c>
      <c r="AJ127" s="214"/>
      <c r="AK127" s="214"/>
      <c r="AL127" s="214">
        <f t="shared" si="26"/>
        <v>93.524808917197447</v>
      </c>
      <c r="AM127" s="214">
        <f t="shared" si="26"/>
        <v>93.524808917197447</v>
      </c>
      <c r="AN127" s="214"/>
      <c r="AO127" s="194"/>
    </row>
    <row r="128" spans="1:41" ht="48" customHeight="1" x14ac:dyDescent="0.25">
      <c r="A128" s="194"/>
      <c r="B128" s="213" t="s">
        <v>98</v>
      </c>
      <c r="C128" s="214">
        <f t="shared" si="36"/>
        <v>202</v>
      </c>
      <c r="D128" s="214">
        <v>202</v>
      </c>
      <c r="E128" s="214"/>
      <c r="F128" s="214"/>
      <c r="G128" s="214">
        <f t="shared" si="27"/>
        <v>202</v>
      </c>
      <c r="H128" s="214">
        <f t="shared" si="28"/>
        <v>202</v>
      </c>
      <c r="I128" s="214">
        <f t="shared" si="35"/>
        <v>0</v>
      </c>
      <c r="J128" s="214">
        <f t="shared" si="29"/>
        <v>202</v>
      </c>
      <c r="K128" s="214">
        <f t="shared" si="30"/>
        <v>202</v>
      </c>
      <c r="L128" s="214">
        <v>202</v>
      </c>
      <c r="M128" s="214"/>
      <c r="N128" s="214"/>
      <c r="O128" s="326"/>
      <c r="P128" s="214"/>
      <c r="Q128" s="239">
        <f t="shared" si="31"/>
        <v>0</v>
      </c>
      <c r="R128" s="214">
        <f t="shared" si="32"/>
        <v>0</v>
      </c>
      <c r="S128" s="214"/>
      <c r="T128" s="214"/>
      <c r="U128" s="239">
        <f t="shared" si="33"/>
        <v>0</v>
      </c>
      <c r="V128" s="214"/>
      <c r="W128" s="214"/>
      <c r="X128" s="214"/>
      <c r="Y128" s="214"/>
      <c r="Z128" s="214"/>
      <c r="AA128" s="214"/>
      <c r="AB128" s="214">
        <f t="shared" si="34"/>
        <v>0</v>
      </c>
      <c r="AC128" s="214"/>
      <c r="AD128" s="214"/>
      <c r="AE128" s="214"/>
      <c r="AF128" s="214">
        <f t="shared" si="24"/>
        <v>0</v>
      </c>
      <c r="AG128" s="214"/>
      <c r="AH128" s="214"/>
      <c r="AI128" s="214">
        <f t="shared" si="25"/>
        <v>0</v>
      </c>
      <c r="AJ128" s="214"/>
      <c r="AK128" s="214"/>
      <c r="AL128" s="214">
        <f t="shared" si="26"/>
        <v>100</v>
      </c>
      <c r="AM128" s="214">
        <f t="shared" si="26"/>
        <v>100</v>
      </c>
      <c r="AN128" s="214"/>
      <c r="AO128" s="194"/>
    </row>
    <row r="129" spans="1:41" ht="48" customHeight="1" x14ac:dyDescent="0.25">
      <c r="A129" s="194"/>
      <c r="B129" s="213" t="s">
        <v>94</v>
      </c>
      <c r="C129" s="214">
        <f t="shared" si="36"/>
        <v>196</v>
      </c>
      <c r="D129" s="214">
        <v>196</v>
      </c>
      <c r="E129" s="214"/>
      <c r="F129" s="214"/>
      <c r="G129" s="214">
        <f t="shared" si="27"/>
        <v>150.9</v>
      </c>
      <c r="H129" s="214">
        <f t="shared" si="28"/>
        <v>150.9</v>
      </c>
      <c r="I129" s="214">
        <f t="shared" si="35"/>
        <v>0</v>
      </c>
      <c r="J129" s="214">
        <f t="shared" si="29"/>
        <v>150.9</v>
      </c>
      <c r="K129" s="214">
        <f t="shared" si="30"/>
        <v>150.9</v>
      </c>
      <c r="L129" s="214">
        <v>150.9</v>
      </c>
      <c r="M129" s="214"/>
      <c r="N129" s="214"/>
      <c r="O129" s="326"/>
      <c r="P129" s="214"/>
      <c r="Q129" s="239">
        <f t="shared" si="31"/>
        <v>0</v>
      </c>
      <c r="R129" s="214">
        <f t="shared" si="32"/>
        <v>0</v>
      </c>
      <c r="S129" s="214"/>
      <c r="T129" s="214"/>
      <c r="U129" s="239">
        <f t="shared" si="33"/>
        <v>0</v>
      </c>
      <c r="V129" s="214"/>
      <c r="W129" s="214"/>
      <c r="X129" s="214"/>
      <c r="Y129" s="214"/>
      <c r="Z129" s="214"/>
      <c r="AA129" s="214"/>
      <c r="AB129" s="214">
        <f t="shared" si="34"/>
        <v>0</v>
      </c>
      <c r="AC129" s="214"/>
      <c r="AD129" s="214"/>
      <c r="AE129" s="214"/>
      <c r="AF129" s="214">
        <f t="shared" si="24"/>
        <v>0</v>
      </c>
      <c r="AG129" s="214"/>
      <c r="AH129" s="214"/>
      <c r="AI129" s="214">
        <f t="shared" si="25"/>
        <v>0</v>
      </c>
      <c r="AJ129" s="214"/>
      <c r="AK129" s="214"/>
      <c r="AL129" s="214">
        <f t="shared" si="26"/>
        <v>76.989795918367349</v>
      </c>
      <c r="AM129" s="214">
        <f t="shared" si="26"/>
        <v>76.989795918367349</v>
      </c>
      <c r="AN129" s="214"/>
      <c r="AO129" s="194"/>
    </row>
    <row r="130" spans="1:41" ht="48" customHeight="1" x14ac:dyDescent="0.25">
      <c r="A130" s="194"/>
      <c r="B130" s="213" t="s">
        <v>76</v>
      </c>
      <c r="C130" s="214">
        <f t="shared" si="36"/>
        <v>130</v>
      </c>
      <c r="D130" s="214">
        <v>130</v>
      </c>
      <c r="E130" s="214"/>
      <c r="F130" s="214"/>
      <c r="G130" s="214">
        <f t="shared" si="27"/>
        <v>104</v>
      </c>
      <c r="H130" s="214">
        <f t="shared" si="28"/>
        <v>104</v>
      </c>
      <c r="I130" s="214">
        <f t="shared" si="35"/>
        <v>0</v>
      </c>
      <c r="J130" s="214">
        <f t="shared" si="29"/>
        <v>104</v>
      </c>
      <c r="K130" s="214">
        <f t="shared" si="30"/>
        <v>104</v>
      </c>
      <c r="L130" s="214">
        <v>104</v>
      </c>
      <c r="M130" s="214"/>
      <c r="N130" s="214"/>
      <c r="O130" s="326"/>
      <c r="P130" s="214"/>
      <c r="Q130" s="239">
        <f t="shared" si="31"/>
        <v>0</v>
      </c>
      <c r="R130" s="214">
        <f t="shared" si="32"/>
        <v>0</v>
      </c>
      <c r="S130" s="214"/>
      <c r="T130" s="214"/>
      <c r="U130" s="239">
        <f t="shared" si="33"/>
        <v>0</v>
      </c>
      <c r="V130" s="214"/>
      <c r="W130" s="214"/>
      <c r="X130" s="214"/>
      <c r="Y130" s="214"/>
      <c r="Z130" s="214"/>
      <c r="AA130" s="214"/>
      <c r="AB130" s="214">
        <f t="shared" si="34"/>
        <v>0</v>
      </c>
      <c r="AC130" s="214"/>
      <c r="AD130" s="214"/>
      <c r="AE130" s="214"/>
      <c r="AF130" s="214">
        <f t="shared" si="24"/>
        <v>0</v>
      </c>
      <c r="AG130" s="214"/>
      <c r="AH130" s="214"/>
      <c r="AI130" s="214">
        <f t="shared" si="25"/>
        <v>0</v>
      </c>
      <c r="AJ130" s="214"/>
      <c r="AK130" s="214"/>
      <c r="AL130" s="214">
        <f t="shared" si="26"/>
        <v>80</v>
      </c>
      <c r="AM130" s="214">
        <f t="shared" si="26"/>
        <v>80</v>
      </c>
      <c r="AN130" s="214"/>
      <c r="AO130" s="194"/>
    </row>
    <row r="131" spans="1:41" ht="48" customHeight="1" x14ac:dyDescent="0.25">
      <c r="A131" s="194"/>
      <c r="B131" s="213" t="s">
        <v>357</v>
      </c>
      <c r="C131" s="214">
        <f t="shared" si="36"/>
        <v>91</v>
      </c>
      <c r="D131" s="214">
        <v>91</v>
      </c>
      <c r="E131" s="214"/>
      <c r="F131" s="214"/>
      <c r="G131" s="214">
        <f t="shared" si="27"/>
        <v>82.900323999999998</v>
      </c>
      <c r="H131" s="214">
        <f t="shared" si="28"/>
        <v>82.900323999999998</v>
      </c>
      <c r="I131" s="214">
        <f t="shared" si="35"/>
        <v>0</v>
      </c>
      <c r="J131" s="214">
        <f t="shared" si="29"/>
        <v>82.900323999999998</v>
      </c>
      <c r="K131" s="214">
        <f t="shared" si="30"/>
        <v>82.900323999999998</v>
      </c>
      <c r="L131" s="214">
        <v>82.900323999999998</v>
      </c>
      <c r="M131" s="214"/>
      <c r="N131" s="214"/>
      <c r="O131" s="326"/>
      <c r="P131" s="214"/>
      <c r="Q131" s="239">
        <f t="shared" si="31"/>
        <v>0</v>
      </c>
      <c r="R131" s="214">
        <f t="shared" si="32"/>
        <v>0</v>
      </c>
      <c r="S131" s="214"/>
      <c r="T131" s="214"/>
      <c r="U131" s="239">
        <f t="shared" si="33"/>
        <v>0</v>
      </c>
      <c r="V131" s="214"/>
      <c r="W131" s="214"/>
      <c r="X131" s="214"/>
      <c r="Y131" s="214"/>
      <c r="Z131" s="214"/>
      <c r="AA131" s="214"/>
      <c r="AB131" s="214">
        <f t="shared" si="34"/>
        <v>0</v>
      </c>
      <c r="AC131" s="214"/>
      <c r="AD131" s="214"/>
      <c r="AE131" s="214"/>
      <c r="AF131" s="214">
        <f t="shared" si="24"/>
        <v>0</v>
      </c>
      <c r="AG131" s="214"/>
      <c r="AH131" s="214"/>
      <c r="AI131" s="214">
        <f t="shared" si="25"/>
        <v>0</v>
      </c>
      <c r="AJ131" s="214"/>
      <c r="AK131" s="214"/>
      <c r="AL131" s="214">
        <f t="shared" si="26"/>
        <v>91.099257142857141</v>
      </c>
      <c r="AM131" s="214">
        <f t="shared" si="26"/>
        <v>91.099257142857141</v>
      </c>
      <c r="AN131" s="214"/>
      <c r="AO131" s="194"/>
    </row>
    <row r="132" spans="1:41" ht="48" customHeight="1" x14ac:dyDescent="0.25">
      <c r="A132" s="194"/>
      <c r="B132" s="213" t="s">
        <v>358</v>
      </c>
      <c r="C132" s="214">
        <f t="shared" si="36"/>
        <v>117</v>
      </c>
      <c r="D132" s="214">
        <v>117</v>
      </c>
      <c r="E132" s="214"/>
      <c r="F132" s="214"/>
      <c r="G132" s="214">
        <f t="shared" si="27"/>
        <v>91</v>
      </c>
      <c r="H132" s="214">
        <f t="shared" si="28"/>
        <v>91</v>
      </c>
      <c r="I132" s="214">
        <f t="shared" si="35"/>
        <v>0</v>
      </c>
      <c r="J132" s="214">
        <f t="shared" si="29"/>
        <v>91</v>
      </c>
      <c r="K132" s="214">
        <f t="shared" si="30"/>
        <v>91</v>
      </c>
      <c r="L132" s="214">
        <v>91</v>
      </c>
      <c r="M132" s="214"/>
      <c r="N132" s="214"/>
      <c r="O132" s="326"/>
      <c r="P132" s="214"/>
      <c r="Q132" s="239">
        <f t="shared" si="31"/>
        <v>0</v>
      </c>
      <c r="R132" s="214">
        <f t="shared" si="32"/>
        <v>0</v>
      </c>
      <c r="S132" s="214"/>
      <c r="T132" s="214"/>
      <c r="U132" s="239">
        <f t="shared" si="33"/>
        <v>0</v>
      </c>
      <c r="V132" s="214"/>
      <c r="W132" s="214"/>
      <c r="X132" s="214"/>
      <c r="Y132" s="214"/>
      <c r="Z132" s="214"/>
      <c r="AA132" s="214"/>
      <c r="AB132" s="214">
        <f t="shared" si="34"/>
        <v>0</v>
      </c>
      <c r="AC132" s="214"/>
      <c r="AD132" s="214"/>
      <c r="AE132" s="214"/>
      <c r="AF132" s="214">
        <f t="shared" si="24"/>
        <v>0</v>
      </c>
      <c r="AG132" s="214"/>
      <c r="AH132" s="214"/>
      <c r="AI132" s="214">
        <f t="shared" si="25"/>
        <v>0</v>
      </c>
      <c r="AJ132" s="214"/>
      <c r="AK132" s="214"/>
      <c r="AL132" s="214">
        <f t="shared" si="26"/>
        <v>77.777777777777786</v>
      </c>
      <c r="AM132" s="214">
        <f t="shared" si="26"/>
        <v>77.777777777777786</v>
      </c>
      <c r="AN132" s="214"/>
      <c r="AO132" s="194"/>
    </row>
    <row r="133" spans="1:41" ht="48" customHeight="1" x14ac:dyDescent="0.25">
      <c r="A133" s="194"/>
      <c r="B133" s="213" t="s">
        <v>359</v>
      </c>
      <c r="C133" s="214">
        <f t="shared" si="36"/>
        <v>117</v>
      </c>
      <c r="D133" s="214">
        <v>117</v>
      </c>
      <c r="E133" s="214"/>
      <c r="F133" s="214"/>
      <c r="G133" s="214">
        <f t="shared" si="27"/>
        <v>57</v>
      </c>
      <c r="H133" s="214">
        <f t="shared" si="28"/>
        <v>57</v>
      </c>
      <c r="I133" s="214">
        <f t="shared" si="35"/>
        <v>0</v>
      </c>
      <c r="J133" s="214">
        <f t="shared" si="29"/>
        <v>57</v>
      </c>
      <c r="K133" s="214">
        <f t="shared" si="30"/>
        <v>57</v>
      </c>
      <c r="L133" s="214">
        <v>57</v>
      </c>
      <c r="M133" s="214"/>
      <c r="N133" s="214"/>
      <c r="O133" s="326"/>
      <c r="P133" s="214"/>
      <c r="Q133" s="239">
        <f t="shared" si="31"/>
        <v>0</v>
      </c>
      <c r="R133" s="214">
        <f t="shared" si="32"/>
        <v>0</v>
      </c>
      <c r="S133" s="214"/>
      <c r="T133" s="214"/>
      <c r="U133" s="239">
        <f t="shared" si="33"/>
        <v>0</v>
      </c>
      <c r="V133" s="214"/>
      <c r="W133" s="214"/>
      <c r="X133" s="214"/>
      <c r="Y133" s="214"/>
      <c r="Z133" s="214"/>
      <c r="AA133" s="214"/>
      <c r="AB133" s="214">
        <f t="shared" si="34"/>
        <v>0</v>
      </c>
      <c r="AC133" s="214"/>
      <c r="AD133" s="214"/>
      <c r="AE133" s="214"/>
      <c r="AF133" s="214">
        <f t="shared" si="24"/>
        <v>0</v>
      </c>
      <c r="AG133" s="214"/>
      <c r="AH133" s="214"/>
      <c r="AI133" s="214">
        <f t="shared" si="25"/>
        <v>0</v>
      </c>
      <c r="AJ133" s="214"/>
      <c r="AK133" s="214"/>
      <c r="AL133" s="214">
        <f t="shared" si="26"/>
        <v>48.717948717948723</v>
      </c>
      <c r="AM133" s="214">
        <f t="shared" si="26"/>
        <v>48.717948717948723</v>
      </c>
      <c r="AN133" s="214"/>
      <c r="AO133" s="194"/>
    </row>
    <row r="134" spans="1:41" ht="48" customHeight="1" x14ac:dyDescent="0.25">
      <c r="A134" s="194"/>
      <c r="B134" s="213" t="s">
        <v>360</v>
      </c>
      <c r="C134" s="214">
        <f t="shared" si="36"/>
        <v>130</v>
      </c>
      <c r="D134" s="214">
        <v>130</v>
      </c>
      <c r="E134" s="214"/>
      <c r="F134" s="214"/>
      <c r="G134" s="214">
        <f t="shared" si="27"/>
        <v>125.68021</v>
      </c>
      <c r="H134" s="214">
        <f t="shared" si="28"/>
        <v>125.68021</v>
      </c>
      <c r="I134" s="214">
        <f t="shared" si="35"/>
        <v>0</v>
      </c>
      <c r="J134" s="214">
        <f t="shared" si="29"/>
        <v>125.68021</v>
      </c>
      <c r="K134" s="214">
        <f t="shared" si="30"/>
        <v>125.68021</v>
      </c>
      <c r="L134" s="214">
        <v>125.68021</v>
      </c>
      <c r="M134" s="214"/>
      <c r="N134" s="214"/>
      <c r="O134" s="326"/>
      <c r="P134" s="214"/>
      <c r="Q134" s="239">
        <f t="shared" si="31"/>
        <v>0</v>
      </c>
      <c r="R134" s="214">
        <f t="shared" si="32"/>
        <v>0</v>
      </c>
      <c r="S134" s="214"/>
      <c r="T134" s="214"/>
      <c r="U134" s="239">
        <f t="shared" si="33"/>
        <v>0</v>
      </c>
      <c r="V134" s="214"/>
      <c r="W134" s="214"/>
      <c r="X134" s="214"/>
      <c r="Y134" s="214"/>
      <c r="Z134" s="214"/>
      <c r="AA134" s="214"/>
      <c r="AB134" s="214">
        <f t="shared" si="34"/>
        <v>0</v>
      </c>
      <c r="AC134" s="214"/>
      <c r="AD134" s="214"/>
      <c r="AE134" s="214"/>
      <c r="AF134" s="214">
        <f t="shared" si="24"/>
        <v>0</v>
      </c>
      <c r="AG134" s="214"/>
      <c r="AH134" s="214"/>
      <c r="AI134" s="214">
        <f t="shared" si="25"/>
        <v>0</v>
      </c>
      <c r="AJ134" s="214"/>
      <c r="AK134" s="214"/>
      <c r="AL134" s="214">
        <f t="shared" si="26"/>
        <v>96.677084615384615</v>
      </c>
      <c r="AM134" s="214">
        <f t="shared" si="26"/>
        <v>96.677084615384615</v>
      </c>
      <c r="AN134" s="214"/>
      <c r="AO134" s="194"/>
    </row>
    <row r="135" spans="1:41" ht="48" customHeight="1" x14ac:dyDescent="0.25">
      <c r="A135" s="194"/>
      <c r="B135" s="213" t="s">
        <v>361</v>
      </c>
      <c r="C135" s="214">
        <f t="shared" si="36"/>
        <v>117</v>
      </c>
      <c r="D135" s="214">
        <v>117</v>
      </c>
      <c r="E135" s="214"/>
      <c r="F135" s="214"/>
      <c r="G135" s="214">
        <f t="shared" si="27"/>
        <v>78</v>
      </c>
      <c r="H135" s="214">
        <f t="shared" si="28"/>
        <v>78</v>
      </c>
      <c r="I135" s="214">
        <f t="shared" si="35"/>
        <v>0</v>
      </c>
      <c r="J135" s="214">
        <f t="shared" si="29"/>
        <v>78</v>
      </c>
      <c r="K135" s="214">
        <f t="shared" si="30"/>
        <v>78</v>
      </c>
      <c r="L135" s="214">
        <v>78</v>
      </c>
      <c r="M135" s="214"/>
      <c r="N135" s="214"/>
      <c r="O135" s="326"/>
      <c r="P135" s="214"/>
      <c r="Q135" s="239">
        <f t="shared" si="31"/>
        <v>0</v>
      </c>
      <c r="R135" s="214">
        <f t="shared" si="32"/>
        <v>0</v>
      </c>
      <c r="S135" s="214"/>
      <c r="T135" s="214"/>
      <c r="U135" s="239">
        <f t="shared" si="33"/>
        <v>0</v>
      </c>
      <c r="V135" s="214"/>
      <c r="W135" s="214"/>
      <c r="X135" s="214"/>
      <c r="Y135" s="214"/>
      <c r="Z135" s="214"/>
      <c r="AA135" s="214"/>
      <c r="AB135" s="214">
        <f t="shared" si="34"/>
        <v>0</v>
      </c>
      <c r="AC135" s="214"/>
      <c r="AD135" s="214"/>
      <c r="AE135" s="214"/>
      <c r="AF135" s="214">
        <f t="shared" si="24"/>
        <v>0</v>
      </c>
      <c r="AG135" s="214"/>
      <c r="AH135" s="214"/>
      <c r="AI135" s="214">
        <f t="shared" si="25"/>
        <v>0</v>
      </c>
      <c r="AJ135" s="214"/>
      <c r="AK135" s="214"/>
      <c r="AL135" s="214">
        <f t="shared" si="26"/>
        <v>66.666666666666671</v>
      </c>
      <c r="AM135" s="214">
        <f t="shared" si="26"/>
        <v>66.666666666666671</v>
      </c>
      <c r="AN135" s="214"/>
      <c r="AO135" s="194"/>
    </row>
    <row r="136" spans="1:41" ht="48" customHeight="1" x14ac:dyDescent="0.25">
      <c r="A136" s="194"/>
      <c r="B136" s="213" t="s">
        <v>362</v>
      </c>
      <c r="C136" s="214">
        <f t="shared" si="36"/>
        <v>117</v>
      </c>
      <c r="D136" s="214">
        <v>117</v>
      </c>
      <c r="E136" s="214"/>
      <c r="F136" s="214"/>
      <c r="G136" s="214">
        <f t="shared" si="27"/>
        <v>57</v>
      </c>
      <c r="H136" s="214">
        <f t="shared" si="28"/>
        <v>57</v>
      </c>
      <c r="I136" s="214">
        <f t="shared" si="35"/>
        <v>0</v>
      </c>
      <c r="J136" s="214">
        <f t="shared" si="29"/>
        <v>57</v>
      </c>
      <c r="K136" s="214">
        <f t="shared" si="30"/>
        <v>57</v>
      </c>
      <c r="L136" s="214">
        <v>57</v>
      </c>
      <c r="M136" s="214"/>
      <c r="N136" s="214"/>
      <c r="O136" s="326"/>
      <c r="P136" s="214"/>
      <c r="Q136" s="239">
        <f t="shared" si="31"/>
        <v>0</v>
      </c>
      <c r="R136" s="214">
        <f t="shared" si="32"/>
        <v>0</v>
      </c>
      <c r="S136" s="214"/>
      <c r="T136" s="214"/>
      <c r="U136" s="239">
        <f t="shared" si="33"/>
        <v>0</v>
      </c>
      <c r="V136" s="214"/>
      <c r="W136" s="214"/>
      <c r="X136" s="214"/>
      <c r="Y136" s="214"/>
      <c r="Z136" s="214"/>
      <c r="AA136" s="214"/>
      <c r="AB136" s="214">
        <f t="shared" si="34"/>
        <v>0</v>
      </c>
      <c r="AC136" s="214"/>
      <c r="AD136" s="214"/>
      <c r="AE136" s="214"/>
      <c r="AF136" s="214">
        <f t="shared" si="24"/>
        <v>0</v>
      </c>
      <c r="AG136" s="214"/>
      <c r="AH136" s="214"/>
      <c r="AI136" s="214">
        <f t="shared" si="25"/>
        <v>0</v>
      </c>
      <c r="AJ136" s="214"/>
      <c r="AK136" s="214"/>
      <c r="AL136" s="214">
        <f t="shared" si="26"/>
        <v>48.717948717948723</v>
      </c>
      <c r="AM136" s="214">
        <f t="shared" si="26"/>
        <v>48.717948717948723</v>
      </c>
      <c r="AN136" s="214"/>
      <c r="AO136" s="194"/>
    </row>
    <row r="137" spans="1:41" ht="48" customHeight="1" x14ac:dyDescent="0.25">
      <c r="A137" s="194"/>
      <c r="B137" s="213" t="s">
        <v>363</v>
      </c>
      <c r="C137" s="214">
        <f t="shared" si="36"/>
        <v>91</v>
      </c>
      <c r="D137" s="214">
        <v>91</v>
      </c>
      <c r="E137" s="214"/>
      <c r="F137" s="214"/>
      <c r="G137" s="214">
        <f t="shared" si="27"/>
        <v>64</v>
      </c>
      <c r="H137" s="214">
        <f t="shared" si="28"/>
        <v>64</v>
      </c>
      <c r="I137" s="214">
        <f t="shared" si="35"/>
        <v>0</v>
      </c>
      <c r="J137" s="214">
        <f t="shared" si="29"/>
        <v>64</v>
      </c>
      <c r="K137" s="214">
        <f t="shared" si="30"/>
        <v>64</v>
      </c>
      <c r="L137" s="214">
        <v>64</v>
      </c>
      <c r="M137" s="214"/>
      <c r="N137" s="214"/>
      <c r="O137" s="326"/>
      <c r="P137" s="214"/>
      <c r="Q137" s="239">
        <f t="shared" si="31"/>
        <v>0</v>
      </c>
      <c r="R137" s="214">
        <f t="shared" si="32"/>
        <v>0</v>
      </c>
      <c r="S137" s="214"/>
      <c r="T137" s="214"/>
      <c r="U137" s="239">
        <f t="shared" si="33"/>
        <v>0</v>
      </c>
      <c r="V137" s="214"/>
      <c r="W137" s="214"/>
      <c r="X137" s="214"/>
      <c r="Y137" s="214"/>
      <c r="Z137" s="214"/>
      <c r="AA137" s="214"/>
      <c r="AB137" s="214">
        <f t="shared" si="34"/>
        <v>0</v>
      </c>
      <c r="AC137" s="214"/>
      <c r="AD137" s="214"/>
      <c r="AE137" s="214"/>
      <c r="AF137" s="214">
        <f t="shared" si="24"/>
        <v>0</v>
      </c>
      <c r="AG137" s="214"/>
      <c r="AH137" s="214"/>
      <c r="AI137" s="214">
        <f t="shared" si="25"/>
        <v>0</v>
      </c>
      <c r="AJ137" s="214"/>
      <c r="AK137" s="214"/>
      <c r="AL137" s="214">
        <f t="shared" si="26"/>
        <v>70.329670329670321</v>
      </c>
      <c r="AM137" s="214">
        <f t="shared" si="26"/>
        <v>70.329670329670321</v>
      </c>
      <c r="AN137" s="214"/>
      <c r="AO137" s="194"/>
    </row>
    <row r="138" spans="1:41" ht="48" customHeight="1" x14ac:dyDescent="0.25">
      <c r="A138" s="194"/>
      <c r="B138" s="213" t="s">
        <v>364</v>
      </c>
      <c r="C138" s="214">
        <f t="shared" si="36"/>
        <v>130</v>
      </c>
      <c r="D138" s="214">
        <v>130</v>
      </c>
      <c r="E138" s="214"/>
      <c r="F138" s="214"/>
      <c r="G138" s="214">
        <f t="shared" si="27"/>
        <v>62</v>
      </c>
      <c r="H138" s="214">
        <f t="shared" si="28"/>
        <v>62</v>
      </c>
      <c r="I138" s="214">
        <f t="shared" si="35"/>
        <v>0</v>
      </c>
      <c r="J138" s="214">
        <f t="shared" si="29"/>
        <v>62</v>
      </c>
      <c r="K138" s="214">
        <f t="shared" si="30"/>
        <v>62</v>
      </c>
      <c r="L138" s="214">
        <v>62</v>
      </c>
      <c r="M138" s="214"/>
      <c r="N138" s="214"/>
      <c r="O138" s="326"/>
      <c r="P138" s="214"/>
      <c r="Q138" s="239">
        <f t="shared" si="31"/>
        <v>0</v>
      </c>
      <c r="R138" s="214">
        <f t="shared" si="32"/>
        <v>0</v>
      </c>
      <c r="S138" s="214"/>
      <c r="T138" s="214"/>
      <c r="U138" s="239">
        <f t="shared" si="33"/>
        <v>0</v>
      </c>
      <c r="V138" s="214"/>
      <c r="W138" s="214"/>
      <c r="X138" s="214"/>
      <c r="Y138" s="214"/>
      <c r="Z138" s="214"/>
      <c r="AA138" s="214"/>
      <c r="AB138" s="214">
        <f t="shared" si="34"/>
        <v>0</v>
      </c>
      <c r="AC138" s="214"/>
      <c r="AD138" s="214"/>
      <c r="AE138" s="214"/>
      <c r="AF138" s="214">
        <f t="shared" si="24"/>
        <v>0</v>
      </c>
      <c r="AG138" s="214"/>
      <c r="AH138" s="214"/>
      <c r="AI138" s="214">
        <f t="shared" si="25"/>
        <v>0</v>
      </c>
      <c r="AJ138" s="214"/>
      <c r="AK138" s="214"/>
      <c r="AL138" s="214">
        <f t="shared" si="26"/>
        <v>47.692307692307693</v>
      </c>
      <c r="AM138" s="214">
        <f t="shared" si="26"/>
        <v>47.692307692307693</v>
      </c>
      <c r="AN138" s="214"/>
      <c r="AO138" s="194"/>
    </row>
    <row r="139" spans="1:41" ht="48" customHeight="1" x14ac:dyDescent="0.25">
      <c r="A139" s="194"/>
      <c r="B139" s="213" t="s">
        <v>370</v>
      </c>
      <c r="C139" s="214">
        <f t="shared" si="36"/>
        <v>205</v>
      </c>
      <c r="D139" s="214">
        <v>205</v>
      </c>
      <c r="E139" s="214"/>
      <c r="F139" s="214"/>
      <c r="G139" s="214">
        <f t="shared" si="27"/>
        <v>152</v>
      </c>
      <c r="H139" s="214">
        <f t="shared" si="28"/>
        <v>152</v>
      </c>
      <c r="I139" s="214">
        <f t="shared" si="35"/>
        <v>0</v>
      </c>
      <c r="J139" s="214">
        <f t="shared" si="29"/>
        <v>152</v>
      </c>
      <c r="K139" s="214">
        <f t="shared" si="30"/>
        <v>152</v>
      </c>
      <c r="L139" s="214">
        <v>152</v>
      </c>
      <c r="M139" s="214"/>
      <c r="N139" s="214"/>
      <c r="O139" s="326"/>
      <c r="P139" s="214"/>
      <c r="Q139" s="239">
        <f t="shared" si="31"/>
        <v>0</v>
      </c>
      <c r="R139" s="214">
        <f t="shared" si="32"/>
        <v>0</v>
      </c>
      <c r="S139" s="214"/>
      <c r="T139" s="214"/>
      <c r="U139" s="239">
        <f t="shared" si="33"/>
        <v>0</v>
      </c>
      <c r="V139" s="214"/>
      <c r="W139" s="214"/>
      <c r="X139" s="214"/>
      <c r="Y139" s="214"/>
      <c r="Z139" s="214"/>
      <c r="AA139" s="214"/>
      <c r="AB139" s="214">
        <f t="shared" si="34"/>
        <v>0</v>
      </c>
      <c r="AC139" s="214"/>
      <c r="AD139" s="214"/>
      <c r="AE139" s="214"/>
      <c r="AF139" s="214">
        <f t="shared" si="24"/>
        <v>0</v>
      </c>
      <c r="AG139" s="214"/>
      <c r="AH139" s="214"/>
      <c r="AI139" s="214">
        <f t="shared" si="25"/>
        <v>0</v>
      </c>
      <c r="AJ139" s="214"/>
      <c r="AK139" s="214"/>
      <c r="AL139" s="214">
        <f t="shared" si="26"/>
        <v>74.146341463414643</v>
      </c>
      <c r="AM139" s="214">
        <f t="shared" si="26"/>
        <v>74.146341463414643</v>
      </c>
      <c r="AN139" s="214"/>
      <c r="AO139" s="194"/>
    </row>
    <row r="140" spans="1:41" ht="48" customHeight="1" x14ac:dyDescent="0.25">
      <c r="A140" s="194"/>
      <c r="B140" s="213" t="s">
        <v>371</v>
      </c>
      <c r="C140" s="214">
        <f t="shared" si="36"/>
        <v>100</v>
      </c>
      <c r="D140" s="214">
        <v>100</v>
      </c>
      <c r="E140" s="214"/>
      <c r="F140" s="214"/>
      <c r="G140" s="214">
        <f t="shared" si="27"/>
        <v>75</v>
      </c>
      <c r="H140" s="214">
        <f t="shared" si="28"/>
        <v>75</v>
      </c>
      <c r="I140" s="214">
        <f t="shared" si="35"/>
        <v>0</v>
      </c>
      <c r="J140" s="214">
        <f t="shared" si="29"/>
        <v>75</v>
      </c>
      <c r="K140" s="214">
        <f t="shared" si="30"/>
        <v>75</v>
      </c>
      <c r="L140" s="214">
        <v>75</v>
      </c>
      <c r="M140" s="214"/>
      <c r="N140" s="214"/>
      <c r="O140" s="326"/>
      <c r="P140" s="214"/>
      <c r="Q140" s="239">
        <f t="shared" si="31"/>
        <v>0</v>
      </c>
      <c r="R140" s="214">
        <f t="shared" si="32"/>
        <v>0</v>
      </c>
      <c r="S140" s="214"/>
      <c r="T140" s="214"/>
      <c r="U140" s="239">
        <f t="shared" si="33"/>
        <v>0</v>
      </c>
      <c r="V140" s="214"/>
      <c r="W140" s="214"/>
      <c r="X140" s="214"/>
      <c r="Y140" s="214"/>
      <c r="Z140" s="214"/>
      <c r="AA140" s="214"/>
      <c r="AB140" s="214">
        <f t="shared" si="34"/>
        <v>0</v>
      </c>
      <c r="AC140" s="214"/>
      <c r="AD140" s="214"/>
      <c r="AE140" s="214"/>
      <c r="AF140" s="214">
        <f t="shared" si="24"/>
        <v>0</v>
      </c>
      <c r="AG140" s="214"/>
      <c r="AH140" s="214"/>
      <c r="AI140" s="214">
        <f t="shared" si="25"/>
        <v>0</v>
      </c>
      <c r="AJ140" s="214"/>
      <c r="AK140" s="214"/>
      <c r="AL140" s="214">
        <f t="shared" si="26"/>
        <v>75</v>
      </c>
      <c r="AM140" s="214">
        <f t="shared" si="26"/>
        <v>75</v>
      </c>
      <c r="AN140" s="214"/>
      <c r="AO140" s="194"/>
    </row>
    <row r="141" spans="1:41" ht="48" customHeight="1" x14ac:dyDescent="0.25">
      <c r="A141" s="194"/>
      <c r="B141" s="213" t="s">
        <v>73</v>
      </c>
      <c r="C141" s="214">
        <f t="shared" si="36"/>
        <v>100</v>
      </c>
      <c r="D141" s="214">
        <v>100</v>
      </c>
      <c r="E141" s="214"/>
      <c r="F141" s="214"/>
      <c r="G141" s="214">
        <f t="shared" si="27"/>
        <v>98.258647999999994</v>
      </c>
      <c r="H141" s="214">
        <f t="shared" si="28"/>
        <v>98.258647999999994</v>
      </c>
      <c r="I141" s="214">
        <f t="shared" si="35"/>
        <v>0</v>
      </c>
      <c r="J141" s="214">
        <f t="shared" si="29"/>
        <v>98.258647999999994</v>
      </c>
      <c r="K141" s="214">
        <f t="shared" si="30"/>
        <v>98.258647999999994</v>
      </c>
      <c r="L141" s="214">
        <v>98.258647999999994</v>
      </c>
      <c r="M141" s="214"/>
      <c r="N141" s="214"/>
      <c r="O141" s="326"/>
      <c r="P141" s="214"/>
      <c r="Q141" s="239">
        <f t="shared" si="31"/>
        <v>0</v>
      </c>
      <c r="R141" s="214">
        <f t="shared" si="32"/>
        <v>0</v>
      </c>
      <c r="S141" s="214"/>
      <c r="T141" s="214"/>
      <c r="U141" s="239">
        <f t="shared" si="33"/>
        <v>0</v>
      </c>
      <c r="V141" s="214"/>
      <c r="W141" s="214"/>
      <c r="X141" s="214"/>
      <c r="Y141" s="214"/>
      <c r="Z141" s="214"/>
      <c r="AA141" s="214"/>
      <c r="AB141" s="214">
        <f t="shared" si="34"/>
        <v>0</v>
      </c>
      <c r="AC141" s="214"/>
      <c r="AD141" s="214"/>
      <c r="AE141" s="214"/>
      <c r="AF141" s="214">
        <f t="shared" ref="AF141:AF203" si="37">AG141</f>
        <v>0</v>
      </c>
      <c r="AG141" s="214"/>
      <c r="AH141" s="214"/>
      <c r="AI141" s="214">
        <f t="shared" ref="AI141:AI203" si="38">AJ141</f>
        <v>0</v>
      </c>
      <c r="AJ141" s="214"/>
      <c r="AK141" s="214"/>
      <c r="AL141" s="214">
        <f t="shared" ref="AL141:AM199" si="39">G141/C141%</f>
        <v>98.258647999999994</v>
      </c>
      <c r="AM141" s="214">
        <f t="shared" si="39"/>
        <v>98.258647999999994</v>
      </c>
      <c r="AN141" s="214"/>
      <c r="AO141" s="194"/>
    </row>
    <row r="142" spans="1:41" ht="48" customHeight="1" x14ac:dyDescent="0.25">
      <c r="A142" s="194"/>
      <c r="B142" s="213" t="s">
        <v>99</v>
      </c>
      <c r="C142" s="214">
        <f t="shared" si="36"/>
        <v>177</v>
      </c>
      <c r="D142" s="214">
        <v>177</v>
      </c>
      <c r="E142" s="214"/>
      <c r="F142" s="214"/>
      <c r="G142" s="214">
        <f t="shared" ref="G142:G205" si="40">H142+I142</f>
        <v>177</v>
      </c>
      <c r="H142" s="214">
        <f t="shared" ref="H142:H205" si="41">K142+R142+Y142+AF142</f>
        <v>177</v>
      </c>
      <c r="I142" s="214">
        <f t="shared" si="35"/>
        <v>0</v>
      </c>
      <c r="J142" s="214">
        <f t="shared" ref="J142:J205" si="42">K142+N142</f>
        <v>177</v>
      </c>
      <c r="K142" s="214">
        <f t="shared" ref="K142:K205" si="43">L142</f>
        <v>177</v>
      </c>
      <c r="L142" s="214">
        <v>177</v>
      </c>
      <c r="M142" s="214"/>
      <c r="N142" s="214"/>
      <c r="O142" s="326"/>
      <c r="P142" s="214"/>
      <c r="Q142" s="239">
        <f t="shared" ref="Q142:Q205" si="44">R142+U142</f>
        <v>0</v>
      </c>
      <c r="R142" s="214">
        <f t="shared" ref="R142:R205" si="45">S142+T142</f>
        <v>0</v>
      </c>
      <c r="S142" s="214"/>
      <c r="T142" s="214"/>
      <c r="U142" s="239">
        <f t="shared" ref="U142:U205" si="46">V142+W142</f>
        <v>0</v>
      </c>
      <c r="V142" s="214"/>
      <c r="W142" s="214"/>
      <c r="X142" s="214"/>
      <c r="Y142" s="214"/>
      <c r="Z142" s="214"/>
      <c r="AA142" s="214"/>
      <c r="AB142" s="214">
        <f t="shared" ref="AB142:AB205" si="47">AC142+AD142</f>
        <v>0</v>
      </c>
      <c r="AC142" s="214"/>
      <c r="AD142" s="214"/>
      <c r="AE142" s="214"/>
      <c r="AF142" s="214">
        <f t="shared" si="37"/>
        <v>0</v>
      </c>
      <c r="AG142" s="214"/>
      <c r="AH142" s="214"/>
      <c r="AI142" s="214">
        <f t="shared" si="38"/>
        <v>0</v>
      </c>
      <c r="AJ142" s="214"/>
      <c r="AK142" s="214"/>
      <c r="AL142" s="214">
        <f t="shared" si="39"/>
        <v>100</v>
      </c>
      <c r="AM142" s="214">
        <f t="shared" si="39"/>
        <v>100</v>
      </c>
      <c r="AN142" s="214"/>
      <c r="AO142" s="194"/>
    </row>
    <row r="143" spans="1:41" ht="55.5" customHeight="1" x14ac:dyDescent="0.25">
      <c r="A143" s="194"/>
      <c r="B143" s="213" t="s">
        <v>374</v>
      </c>
      <c r="C143" s="214">
        <f t="shared" si="36"/>
        <v>230</v>
      </c>
      <c r="D143" s="214">
        <v>230</v>
      </c>
      <c r="E143" s="214"/>
      <c r="F143" s="214"/>
      <c r="G143" s="214">
        <f t="shared" si="40"/>
        <v>221.113553</v>
      </c>
      <c r="H143" s="214">
        <f t="shared" si="41"/>
        <v>221.113553</v>
      </c>
      <c r="I143" s="214">
        <f t="shared" ref="I143:I206" si="48">N143+U143+AB143+AI143</f>
        <v>0</v>
      </c>
      <c r="J143" s="214">
        <f t="shared" si="42"/>
        <v>221.113553</v>
      </c>
      <c r="K143" s="214">
        <f t="shared" si="43"/>
        <v>221.113553</v>
      </c>
      <c r="L143" s="214">
        <v>221.113553</v>
      </c>
      <c r="M143" s="214"/>
      <c r="N143" s="214"/>
      <c r="O143" s="326"/>
      <c r="P143" s="214"/>
      <c r="Q143" s="239">
        <f t="shared" si="44"/>
        <v>0</v>
      </c>
      <c r="R143" s="214">
        <f t="shared" si="45"/>
        <v>0</v>
      </c>
      <c r="S143" s="214"/>
      <c r="T143" s="214"/>
      <c r="U143" s="239">
        <f t="shared" si="46"/>
        <v>0</v>
      </c>
      <c r="V143" s="214"/>
      <c r="W143" s="214"/>
      <c r="X143" s="214"/>
      <c r="Y143" s="214"/>
      <c r="Z143" s="214"/>
      <c r="AA143" s="214"/>
      <c r="AB143" s="214">
        <f t="shared" si="47"/>
        <v>0</v>
      </c>
      <c r="AC143" s="214"/>
      <c r="AD143" s="214"/>
      <c r="AE143" s="214"/>
      <c r="AF143" s="214">
        <f t="shared" si="37"/>
        <v>0</v>
      </c>
      <c r="AG143" s="214"/>
      <c r="AH143" s="214"/>
      <c r="AI143" s="214">
        <f t="shared" si="38"/>
        <v>0</v>
      </c>
      <c r="AJ143" s="214"/>
      <c r="AK143" s="214"/>
      <c r="AL143" s="214">
        <f t="shared" si="39"/>
        <v>96.136327391304349</v>
      </c>
      <c r="AM143" s="214">
        <f t="shared" si="39"/>
        <v>96.136327391304349</v>
      </c>
      <c r="AN143" s="214"/>
      <c r="AO143" s="194"/>
    </row>
    <row r="144" spans="1:41" ht="55.5" customHeight="1" x14ac:dyDescent="0.25">
      <c r="A144" s="194"/>
      <c r="B144" s="213" t="s">
        <v>375</v>
      </c>
      <c r="C144" s="214">
        <f t="shared" si="36"/>
        <v>248</v>
      </c>
      <c r="D144" s="214">
        <v>248</v>
      </c>
      <c r="E144" s="214"/>
      <c r="F144" s="214"/>
      <c r="G144" s="214">
        <f t="shared" si="40"/>
        <v>241.876105</v>
      </c>
      <c r="H144" s="214">
        <f t="shared" si="41"/>
        <v>241.876105</v>
      </c>
      <c r="I144" s="214">
        <f t="shared" si="48"/>
        <v>0</v>
      </c>
      <c r="J144" s="214">
        <f t="shared" si="42"/>
        <v>241.876105</v>
      </c>
      <c r="K144" s="214">
        <f t="shared" si="43"/>
        <v>241.876105</v>
      </c>
      <c r="L144" s="214">
        <v>241.876105</v>
      </c>
      <c r="M144" s="214"/>
      <c r="N144" s="214"/>
      <c r="O144" s="326"/>
      <c r="P144" s="214"/>
      <c r="Q144" s="239">
        <f t="shared" si="44"/>
        <v>0</v>
      </c>
      <c r="R144" s="214">
        <f t="shared" si="45"/>
        <v>0</v>
      </c>
      <c r="S144" s="214"/>
      <c r="T144" s="214"/>
      <c r="U144" s="239">
        <f t="shared" si="46"/>
        <v>0</v>
      </c>
      <c r="V144" s="214"/>
      <c r="W144" s="214"/>
      <c r="X144" s="214"/>
      <c r="Y144" s="214"/>
      <c r="Z144" s="214"/>
      <c r="AA144" s="214"/>
      <c r="AB144" s="214">
        <f t="shared" si="47"/>
        <v>0</v>
      </c>
      <c r="AC144" s="214"/>
      <c r="AD144" s="214"/>
      <c r="AE144" s="214"/>
      <c r="AF144" s="214">
        <f t="shared" si="37"/>
        <v>0</v>
      </c>
      <c r="AG144" s="214"/>
      <c r="AH144" s="214"/>
      <c r="AI144" s="214">
        <f t="shared" si="38"/>
        <v>0</v>
      </c>
      <c r="AJ144" s="214"/>
      <c r="AK144" s="214"/>
      <c r="AL144" s="214">
        <f t="shared" si="39"/>
        <v>97.530687499999999</v>
      </c>
      <c r="AM144" s="214">
        <f t="shared" si="39"/>
        <v>97.530687499999999</v>
      </c>
      <c r="AN144" s="214"/>
      <c r="AO144" s="194"/>
    </row>
    <row r="145" spans="1:41" ht="55.5" customHeight="1" x14ac:dyDescent="0.25">
      <c r="A145" s="194"/>
      <c r="B145" s="213" t="s">
        <v>376</v>
      </c>
      <c r="C145" s="214">
        <f t="shared" si="36"/>
        <v>80</v>
      </c>
      <c r="D145" s="214">
        <v>80</v>
      </c>
      <c r="E145" s="214"/>
      <c r="F145" s="214"/>
      <c r="G145" s="214">
        <f t="shared" si="40"/>
        <v>77.026636999999994</v>
      </c>
      <c r="H145" s="214">
        <f t="shared" si="41"/>
        <v>77.026636999999994</v>
      </c>
      <c r="I145" s="214">
        <f t="shared" si="48"/>
        <v>0</v>
      </c>
      <c r="J145" s="214">
        <f t="shared" si="42"/>
        <v>77.026636999999994</v>
      </c>
      <c r="K145" s="214">
        <f t="shared" si="43"/>
        <v>77.026636999999994</v>
      </c>
      <c r="L145" s="214">
        <v>77.026636999999994</v>
      </c>
      <c r="M145" s="214"/>
      <c r="N145" s="214"/>
      <c r="O145" s="326"/>
      <c r="P145" s="214"/>
      <c r="Q145" s="239">
        <f t="shared" si="44"/>
        <v>0</v>
      </c>
      <c r="R145" s="214">
        <f t="shared" si="45"/>
        <v>0</v>
      </c>
      <c r="S145" s="214"/>
      <c r="T145" s="214"/>
      <c r="U145" s="239">
        <f t="shared" si="46"/>
        <v>0</v>
      </c>
      <c r="V145" s="214"/>
      <c r="W145" s="214"/>
      <c r="X145" s="214"/>
      <c r="Y145" s="214"/>
      <c r="Z145" s="214"/>
      <c r="AA145" s="214"/>
      <c r="AB145" s="214">
        <f t="shared" si="47"/>
        <v>0</v>
      </c>
      <c r="AC145" s="214"/>
      <c r="AD145" s="214"/>
      <c r="AE145" s="214"/>
      <c r="AF145" s="214">
        <f t="shared" si="37"/>
        <v>0</v>
      </c>
      <c r="AG145" s="214"/>
      <c r="AH145" s="214"/>
      <c r="AI145" s="214">
        <f t="shared" si="38"/>
        <v>0</v>
      </c>
      <c r="AJ145" s="214"/>
      <c r="AK145" s="214"/>
      <c r="AL145" s="214">
        <f t="shared" si="39"/>
        <v>96.283296249999992</v>
      </c>
      <c r="AM145" s="214">
        <f t="shared" si="39"/>
        <v>96.283296249999992</v>
      </c>
      <c r="AN145" s="214"/>
      <c r="AO145" s="194"/>
    </row>
    <row r="146" spans="1:41" ht="55.5" customHeight="1" x14ac:dyDescent="0.25">
      <c r="A146" s="194"/>
      <c r="B146" s="213" t="s">
        <v>365</v>
      </c>
      <c r="C146" s="214">
        <f t="shared" si="36"/>
        <v>800</v>
      </c>
      <c r="D146" s="214">
        <v>800</v>
      </c>
      <c r="E146" s="214"/>
      <c r="F146" s="214"/>
      <c r="G146" s="214">
        <f t="shared" si="40"/>
        <v>554</v>
      </c>
      <c r="H146" s="214">
        <f t="shared" si="41"/>
        <v>554</v>
      </c>
      <c r="I146" s="214">
        <f t="shared" si="48"/>
        <v>0</v>
      </c>
      <c r="J146" s="214">
        <f t="shared" si="42"/>
        <v>554</v>
      </c>
      <c r="K146" s="214">
        <f t="shared" si="43"/>
        <v>554</v>
      </c>
      <c r="L146" s="214">
        <v>554</v>
      </c>
      <c r="M146" s="214"/>
      <c r="N146" s="214"/>
      <c r="O146" s="326"/>
      <c r="P146" s="214"/>
      <c r="Q146" s="239">
        <f t="shared" si="44"/>
        <v>0</v>
      </c>
      <c r="R146" s="214">
        <f t="shared" si="45"/>
        <v>0</v>
      </c>
      <c r="S146" s="214"/>
      <c r="T146" s="214"/>
      <c r="U146" s="239">
        <f t="shared" si="46"/>
        <v>0</v>
      </c>
      <c r="V146" s="214"/>
      <c r="W146" s="214"/>
      <c r="X146" s="214"/>
      <c r="Y146" s="214"/>
      <c r="Z146" s="214"/>
      <c r="AA146" s="214"/>
      <c r="AB146" s="214">
        <f t="shared" si="47"/>
        <v>0</v>
      </c>
      <c r="AC146" s="214"/>
      <c r="AD146" s="214"/>
      <c r="AE146" s="214"/>
      <c r="AF146" s="214">
        <f t="shared" si="37"/>
        <v>0</v>
      </c>
      <c r="AG146" s="214"/>
      <c r="AH146" s="214"/>
      <c r="AI146" s="214">
        <f t="shared" si="38"/>
        <v>0</v>
      </c>
      <c r="AJ146" s="214"/>
      <c r="AK146" s="214"/>
      <c r="AL146" s="214">
        <f t="shared" si="39"/>
        <v>69.25</v>
      </c>
      <c r="AM146" s="214">
        <f t="shared" si="39"/>
        <v>69.25</v>
      </c>
      <c r="AN146" s="214"/>
      <c r="AO146" s="194"/>
    </row>
    <row r="147" spans="1:41" ht="55.5" customHeight="1" x14ac:dyDescent="0.25">
      <c r="A147" s="194"/>
      <c r="B147" s="213" t="s">
        <v>390</v>
      </c>
      <c r="C147" s="214">
        <f t="shared" si="36"/>
        <v>460</v>
      </c>
      <c r="D147" s="214">
        <v>460</v>
      </c>
      <c r="E147" s="214"/>
      <c r="F147" s="214"/>
      <c r="G147" s="214">
        <f t="shared" si="40"/>
        <v>368</v>
      </c>
      <c r="H147" s="214">
        <f t="shared" si="41"/>
        <v>368</v>
      </c>
      <c r="I147" s="214">
        <f t="shared" si="48"/>
        <v>0</v>
      </c>
      <c r="J147" s="214">
        <f t="shared" si="42"/>
        <v>368</v>
      </c>
      <c r="K147" s="214">
        <f t="shared" si="43"/>
        <v>368</v>
      </c>
      <c r="L147" s="214">
        <v>368</v>
      </c>
      <c r="M147" s="214"/>
      <c r="N147" s="214"/>
      <c r="O147" s="326"/>
      <c r="P147" s="214"/>
      <c r="Q147" s="239">
        <f t="shared" si="44"/>
        <v>0</v>
      </c>
      <c r="R147" s="214">
        <f t="shared" si="45"/>
        <v>0</v>
      </c>
      <c r="S147" s="214"/>
      <c r="T147" s="214"/>
      <c r="U147" s="239">
        <f t="shared" si="46"/>
        <v>0</v>
      </c>
      <c r="V147" s="214"/>
      <c r="W147" s="214"/>
      <c r="X147" s="214"/>
      <c r="Y147" s="214"/>
      <c r="Z147" s="214"/>
      <c r="AA147" s="214"/>
      <c r="AB147" s="214">
        <f t="shared" si="47"/>
        <v>0</v>
      </c>
      <c r="AC147" s="214"/>
      <c r="AD147" s="214"/>
      <c r="AE147" s="214"/>
      <c r="AF147" s="214">
        <f t="shared" si="37"/>
        <v>0</v>
      </c>
      <c r="AG147" s="214"/>
      <c r="AH147" s="214"/>
      <c r="AI147" s="214">
        <f t="shared" si="38"/>
        <v>0</v>
      </c>
      <c r="AJ147" s="214"/>
      <c r="AK147" s="214"/>
      <c r="AL147" s="214">
        <f t="shared" si="39"/>
        <v>80</v>
      </c>
      <c r="AM147" s="214">
        <f t="shared" si="39"/>
        <v>80</v>
      </c>
      <c r="AN147" s="214"/>
      <c r="AO147" s="194"/>
    </row>
    <row r="148" spans="1:41" ht="55.5" customHeight="1" x14ac:dyDescent="0.25">
      <c r="A148" s="194"/>
      <c r="B148" s="213" t="s">
        <v>391</v>
      </c>
      <c r="C148" s="214">
        <f t="shared" si="36"/>
        <v>666</v>
      </c>
      <c r="D148" s="214">
        <v>666</v>
      </c>
      <c r="E148" s="214"/>
      <c r="F148" s="214"/>
      <c r="G148" s="214">
        <f t="shared" si="40"/>
        <v>532.79999999999995</v>
      </c>
      <c r="H148" s="214">
        <f t="shared" si="41"/>
        <v>532.79999999999995</v>
      </c>
      <c r="I148" s="214">
        <f t="shared" si="48"/>
        <v>0</v>
      </c>
      <c r="J148" s="214">
        <f t="shared" si="42"/>
        <v>532.79999999999995</v>
      </c>
      <c r="K148" s="214">
        <f t="shared" si="43"/>
        <v>532.79999999999995</v>
      </c>
      <c r="L148" s="214">
        <v>532.79999999999995</v>
      </c>
      <c r="M148" s="214"/>
      <c r="N148" s="214"/>
      <c r="O148" s="326"/>
      <c r="P148" s="214"/>
      <c r="Q148" s="239">
        <f t="shared" si="44"/>
        <v>0</v>
      </c>
      <c r="R148" s="214">
        <f t="shared" si="45"/>
        <v>0</v>
      </c>
      <c r="S148" s="214"/>
      <c r="T148" s="214"/>
      <c r="U148" s="239">
        <f t="shared" si="46"/>
        <v>0</v>
      </c>
      <c r="V148" s="214"/>
      <c r="W148" s="214"/>
      <c r="X148" s="214"/>
      <c r="Y148" s="214"/>
      <c r="Z148" s="214"/>
      <c r="AA148" s="214"/>
      <c r="AB148" s="214">
        <f t="shared" si="47"/>
        <v>0</v>
      </c>
      <c r="AC148" s="214"/>
      <c r="AD148" s="214"/>
      <c r="AE148" s="214"/>
      <c r="AF148" s="214">
        <f t="shared" si="37"/>
        <v>0</v>
      </c>
      <c r="AG148" s="214"/>
      <c r="AH148" s="214"/>
      <c r="AI148" s="214">
        <f t="shared" si="38"/>
        <v>0</v>
      </c>
      <c r="AJ148" s="214"/>
      <c r="AK148" s="214"/>
      <c r="AL148" s="214">
        <f t="shared" si="39"/>
        <v>79.999999999999986</v>
      </c>
      <c r="AM148" s="214">
        <f t="shared" si="39"/>
        <v>79.999999999999986</v>
      </c>
      <c r="AN148" s="214"/>
      <c r="AO148" s="194"/>
    </row>
    <row r="149" spans="1:41" ht="48" customHeight="1" x14ac:dyDescent="0.25">
      <c r="A149" s="194"/>
      <c r="B149" s="213" t="s">
        <v>366</v>
      </c>
      <c r="C149" s="214">
        <f t="shared" si="36"/>
        <v>1500</v>
      </c>
      <c r="D149" s="214">
        <v>1500</v>
      </c>
      <c r="E149" s="214"/>
      <c r="F149" s="214"/>
      <c r="G149" s="214">
        <f t="shared" si="40"/>
        <v>403</v>
      </c>
      <c r="H149" s="214">
        <f t="shared" si="41"/>
        <v>403</v>
      </c>
      <c r="I149" s="214">
        <f t="shared" si="48"/>
        <v>0</v>
      </c>
      <c r="J149" s="214">
        <f t="shared" si="42"/>
        <v>403</v>
      </c>
      <c r="K149" s="214">
        <f t="shared" si="43"/>
        <v>403</v>
      </c>
      <c r="L149" s="214">
        <v>403</v>
      </c>
      <c r="M149" s="214"/>
      <c r="N149" s="214"/>
      <c r="O149" s="326"/>
      <c r="P149" s="214"/>
      <c r="Q149" s="239">
        <f t="shared" si="44"/>
        <v>0</v>
      </c>
      <c r="R149" s="214">
        <f t="shared" si="45"/>
        <v>0</v>
      </c>
      <c r="S149" s="214"/>
      <c r="T149" s="214"/>
      <c r="U149" s="239">
        <f t="shared" si="46"/>
        <v>0</v>
      </c>
      <c r="V149" s="214"/>
      <c r="W149" s="214"/>
      <c r="X149" s="214"/>
      <c r="Y149" s="214"/>
      <c r="Z149" s="214"/>
      <c r="AA149" s="214"/>
      <c r="AB149" s="214">
        <f t="shared" si="47"/>
        <v>0</v>
      </c>
      <c r="AC149" s="214"/>
      <c r="AD149" s="214"/>
      <c r="AE149" s="214"/>
      <c r="AF149" s="214">
        <f t="shared" si="37"/>
        <v>0</v>
      </c>
      <c r="AG149" s="214"/>
      <c r="AH149" s="214"/>
      <c r="AI149" s="214">
        <f t="shared" si="38"/>
        <v>0</v>
      </c>
      <c r="AJ149" s="214"/>
      <c r="AK149" s="214"/>
      <c r="AL149" s="214">
        <f t="shared" si="39"/>
        <v>26.866666666666667</v>
      </c>
      <c r="AM149" s="214">
        <f t="shared" si="39"/>
        <v>26.866666666666667</v>
      </c>
      <c r="AN149" s="214"/>
      <c r="AO149" s="194"/>
    </row>
    <row r="150" spans="1:41" ht="48" customHeight="1" x14ac:dyDescent="0.25">
      <c r="A150" s="194"/>
      <c r="B150" s="213" t="s">
        <v>396</v>
      </c>
      <c r="C150" s="214">
        <f t="shared" si="36"/>
        <v>305</v>
      </c>
      <c r="D150" s="214">
        <v>305</v>
      </c>
      <c r="E150" s="214"/>
      <c r="F150" s="214"/>
      <c r="G150" s="214">
        <f t="shared" si="40"/>
        <v>234.47138100000001</v>
      </c>
      <c r="H150" s="214">
        <f t="shared" si="41"/>
        <v>234.47138100000001</v>
      </c>
      <c r="I150" s="214">
        <f t="shared" si="48"/>
        <v>0</v>
      </c>
      <c r="J150" s="214">
        <f t="shared" si="42"/>
        <v>234.47138100000001</v>
      </c>
      <c r="K150" s="214">
        <f t="shared" si="43"/>
        <v>234.47138100000001</v>
      </c>
      <c r="L150" s="214">
        <v>234.47138100000001</v>
      </c>
      <c r="M150" s="214"/>
      <c r="N150" s="214"/>
      <c r="O150" s="326"/>
      <c r="P150" s="214"/>
      <c r="Q150" s="239">
        <f t="shared" si="44"/>
        <v>0</v>
      </c>
      <c r="R150" s="214">
        <f t="shared" si="45"/>
        <v>0</v>
      </c>
      <c r="S150" s="214"/>
      <c r="T150" s="214"/>
      <c r="U150" s="239">
        <f t="shared" si="46"/>
        <v>0</v>
      </c>
      <c r="V150" s="214"/>
      <c r="W150" s="214"/>
      <c r="X150" s="214"/>
      <c r="Y150" s="214"/>
      <c r="Z150" s="214"/>
      <c r="AA150" s="214"/>
      <c r="AB150" s="214">
        <f t="shared" si="47"/>
        <v>0</v>
      </c>
      <c r="AC150" s="214"/>
      <c r="AD150" s="214"/>
      <c r="AE150" s="214"/>
      <c r="AF150" s="214">
        <f t="shared" si="37"/>
        <v>0</v>
      </c>
      <c r="AG150" s="214"/>
      <c r="AH150" s="214"/>
      <c r="AI150" s="214">
        <f t="shared" si="38"/>
        <v>0</v>
      </c>
      <c r="AJ150" s="214"/>
      <c r="AK150" s="214"/>
      <c r="AL150" s="214">
        <f t="shared" si="39"/>
        <v>76.875862622950834</v>
      </c>
      <c r="AM150" s="214">
        <f t="shared" si="39"/>
        <v>76.875862622950834</v>
      </c>
      <c r="AN150" s="214"/>
      <c r="AO150" s="194"/>
    </row>
    <row r="151" spans="1:41" ht="48" customHeight="1" x14ac:dyDescent="0.25">
      <c r="A151" s="194"/>
      <c r="B151" s="213" t="s">
        <v>91</v>
      </c>
      <c r="C151" s="214">
        <f t="shared" si="36"/>
        <v>160</v>
      </c>
      <c r="D151" s="214">
        <v>160</v>
      </c>
      <c r="E151" s="214"/>
      <c r="F151" s="214"/>
      <c r="G151" s="214">
        <f t="shared" si="40"/>
        <v>123</v>
      </c>
      <c r="H151" s="214">
        <f t="shared" si="41"/>
        <v>123</v>
      </c>
      <c r="I151" s="214">
        <f t="shared" si="48"/>
        <v>0</v>
      </c>
      <c r="J151" s="214">
        <f t="shared" si="42"/>
        <v>123</v>
      </c>
      <c r="K151" s="214">
        <f t="shared" si="43"/>
        <v>123</v>
      </c>
      <c r="L151" s="214">
        <v>123</v>
      </c>
      <c r="M151" s="214"/>
      <c r="N151" s="214"/>
      <c r="O151" s="326"/>
      <c r="P151" s="214"/>
      <c r="Q151" s="239">
        <f t="shared" si="44"/>
        <v>0</v>
      </c>
      <c r="R151" s="214">
        <f t="shared" si="45"/>
        <v>0</v>
      </c>
      <c r="S151" s="214"/>
      <c r="T151" s="214"/>
      <c r="U151" s="239">
        <f t="shared" si="46"/>
        <v>0</v>
      </c>
      <c r="V151" s="214"/>
      <c r="W151" s="214"/>
      <c r="X151" s="214"/>
      <c r="Y151" s="214"/>
      <c r="Z151" s="214"/>
      <c r="AA151" s="214"/>
      <c r="AB151" s="214">
        <f t="shared" si="47"/>
        <v>0</v>
      </c>
      <c r="AC151" s="214"/>
      <c r="AD151" s="214"/>
      <c r="AE151" s="214"/>
      <c r="AF151" s="214">
        <f t="shared" si="37"/>
        <v>0</v>
      </c>
      <c r="AG151" s="214"/>
      <c r="AH151" s="214"/>
      <c r="AI151" s="214">
        <f t="shared" si="38"/>
        <v>0</v>
      </c>
      <c r="AJ151" s="214"/>
      <c r="AK151" s="214"/>
      <c r="AL151" s="214">
        <f t="shared" si="39"/>
        <v>76.875</v>
      </c>
      <c r="AM151" s="214">
        <f t="shared" si="39"/>
        <v>76.875</v>
      </c>
      <c r="AN151" s="214"/>
      <c r="AO151" s="194"/>
    </row>
    <row r="152" spans="1:41" ht="48" customHeight="1" x14ac:dyDescent="0.25">
      <c r="A152" s="194"/>
      <c r="B152" s="213" t="s">
        <v>90</v>
      </c>
      <c r="C152" s="214">
        <f t="shared" si="36"/>
        <v>106</v>
      </c>
      <c r="D152" s="214">
        <v>106</v>
      </c>
      <c r="E152" s="214"/>
      <c r="F152" s="214"/>
      <c r="G152" s="214">
        <f t="shared" si="40"/>
        <v>82</v>
      </c>
      <c r="H152" s="214">
        <f t="shared" si="41"/>
        <v>82</v>
      </c>
      <c r="I152" s="214">
        <f t="shared" si="48"/>
        <v>0</v>
      </c>
      <c r="J152" s="214">
        <f t="shared" si="42"/>
        <v>82</v>
      </c>
      <c r="K152" s="214">
        <f t="shared" si="43"/>
        <v>82</v>
      </c>
      <c r="L152" s="214">
        <v>82</v>
      </c>
      <c r="M152" s="214"/>
      <c r="N152" s="214"/>
      <c r="O152" s="326"/>
      <c r="P152" s="214"/>
      <c r="Q152" s="239">
        <f t="shared" si="44"/>
        <v>0</v>
      </c>
      <c r="R152" s="214">
        <f t="shared" si="45"/>
        <v>0</v>
      </c>
      <c r="S152" s="214"/>
      <c r="T152" s="214"/>
      <c r="U152" s="239">
        <f t="shared" si="46"/>
        <v>0</v>
      </c>
      <c r="V152" s="214"/>
      <c r="W152" s="214"/>
      <c r="X152" s="214"/>
      <c r="Y152" s="214"/>
      <c r="Z152" s="214"/>
      <c r="AA152" s="214"/>
      <c r="AB152" s="214">
        <f t="shared" si="47"/>
        <v>0</v>
      </c>
      <c r="AC152" s="214"/>
      <c r="AD152" s="214"/>
      <c r="AE152" s="214"/>
      <c r="AF152" s="214">
        <f t="shared" si="37"/>
        <v>0</v>
      </c>
      <c r="AG152" s="214"/>
      <c r="AH152" s="214"/>
      <c r="AI152" s="214">
        <f t="shared" si="38"/>
        <v>0</v>
      </c>
      <c r="AJ152" s="214"/>
      <c r="AK152" s="214"/>
      <c r="AL152" s="214">
        <f t="shared" si="39"/>
        <v>77.35849056603773</v>
      </c>
      <c r="AM152" s="214">
        <f t="shared" si="39"/>
        <v>77.35849056603773</v>
      </c>
      <c r="AN152" s="214"/>
      <c r="AO152" s="194"/>
    </row>
    <row r="153" spans="1:41" ht="54" customHeight="1" x14ac:dyDescent="0.25">
      <c r="A153" s="194"/>
      <c r="B153" s="213" t="s">
        <v>382</v>
      </c>
      <c r="C153" s="214">
        <f t="shared" si="36"/>
        <v>117</v>
      </c>
      <c r="D153" s="214">
        <v>117</v>
      </c>
      <c r="E153" s="214"/>
      <c r="F153" s="214"/>
      <c r="G153" s="214">
        <f t="shared" si="40"/>
        <v>114.84644299999999</v>
      </c>
      <c r="H153" s="214">
        <f t="shared" si="41"/>
        <v>114.84644299999999</v>
      </c>
      <c r="I153" s="214">
        <f t="shared" si="48"/>
        <v>0</v>
      </c>
      <c r="J153" s="214">
        <f t="shared" si="42"/>
        <v>114.84644299999999</v>
      </c>
      <c r="K153" s="214">
        <f t="shared" si="43"/>
        <v>114.84644299999999</v>
      </c>
      <c r="L153" s="214">
        <v>114.84644299999999</v>
      </c>
      <c r="M153" s="214"/>
      <c r="N153" s="214"/>
      <c r="O153" s="326"/>
      <c r="P153" s="214"/>
      <c r="Q153" s="239">
        <f t="shared" si="44"/>
        <v>0</v>
      </c>
      <c r="R153" s="214">
        <f t="shared" si="45"/>
        <v>0</v>
      </c>
      <c r="S153" s="214"/>
      <c r="T153" s="214"/>
      <c r="U153" s="239">
        <f t="shared" si="46"/>
        <v>0</v>
      </c>
      <c r="V153" s="214"/>
      <c r="W153" s="214"/>
      <c r="X153" s="214"/>
      <c r="Y153" s="214"/>
      <c r="Z153" s="214"/>
      <c r="AA153" s="214"/>
      <c r="AB153" s="214">
        <f t="shared" si="47"/>
        <v>0</v>
      </c>
      <c r="AC153" s="214"/>
      <c r="AD153" s="214"/>
      <c r="AE153" s="214"/>
      <c r="AF153" s="214">
        <f t="shared" si="37"/>
        <v>0</v>
      </c>
      <c r="AG153" s="214"/>
      <c r="AH153" s="214"/>
      <c r="AI153" s="214">
        <f t="shared" si="38"/>
        <v>0</v>
      </c>
      <c r="AJ153" s="214"/>
      <c r="AK153" s="214"/>
      <c r="AL153" s="214">
        <f t="shared" si="39"/>
        <v>98.159352991452991</v>
      </c>
      <c r="AM153" s="214">
        <f t="shared" si="39"/>
        <v>98.159352991452991</v>
      </c>
      <c r="AN153" s="214"/>
      <c r="AO153" s="194"/>
    </row>
    <row r="154" spans="1:41" ht="54.75" customHeight="1" x14ac:dyDescent="0.25">
      <c r="A154" s="194"/>
      <c r="B154" s="213" t="s">
        <v>383</v>
      </c>
      <c r="C154" s="214">
        <f t="shared" si="36"/>
        <v>60</v>
      </c>
      <c r="D154" s="214">
        <v>60</v>
      </c>
      <c r="E154" s="214"/>
      <c r="F154" s="214"/>
      <c r="G154" s="214">
        <f t="shared" si="40"/>
        <v>59.893790000000003</v>
      </c>
      <c r="H154" s="214">
        <f t="shared" si="41"/>
        <v>59.893790000000003</v>
      </c>
      <c r="I154" s="214">
        <f t="shared" si="48"/>
        <v>0</v>
      </c>
      <c r="J154" s="214">
        <f t="shared" si="42"/>
        <v>59.893790000000003</v>
      </c>
      <c r="K154" s="214">
        <f t="shared" si="43"/>
        <v>59.893790000000003</v>
      </c>
      <c r="L154" s="214">
        <v>59.893790000000003</v>
      </c>
      <c r="M154" s="214"/>
      <c r="N154" s="214"/>
      <c r="O154" s="326"/>
      <c r="P154" s="214"/>
      <c r="Q154" s="239">
        <f t="shared" si="44"/>
        <v>0</v>
      </c>
      <c r="R154" s="214">
        <f t="shared" si="45"/>
        <v>0</v>
      </c>
      <c r="S154" s="214"/>
      <c r="T154" s="214"/>
      <c r="U154" s="239">
        <f t="shared" si="46"/>
        <v>0</v>
      </c>
      <c r="V154" s="214"/>
      <c r="W154" s="214"/>
      <c r="X154" s="214"/>
      <c r="Y154" s="214"/>
      <c r="Z154" s="214"/>
      <c r="AA154" s="214"/>
      <c r="AB154" s="214">
        <f t="shared" si="47"/>
        <v>0</v>
      </c>
      <c r="AC154" s="214"/>
      <c r="AD154" s="214"/>
      <c r="AE154" s="214"/>
      <c r="AF154" s="214">
        <f t="shared" si="37"/>
        <v>0</v>
      </c>
      <c r="AG154" s="214"/>
      <c r="AH154" s="214"/>
      <c r="AI154" s="214">
        <f t="shared" si="38"/>
        <v>0</v>
      </c>
      <c r="AJ154" s="214"/>
      <c r="AK154" s="214"/>
      <c r="AL154" s="214">
        <f t="shared" si="39"/>
        <v>99.82298333333334</v>
      </c>
      <c r="AM154" s="214">
        <f t="shared" si="39"/>
        <v>99.82298333333334</v>
      </c>
      <c r="AN154" s="214"/>
      <c r="AO154" s="194"/>
    </row>
    <row r="155" spans="1:41" ht="57.75" customHeight="1" x14ac:dyDescent="0.25">
      <c r="A155" s="194"/>
      <c r="B155" s="213" t="s">
        <v>384</v>
      </c>
      <c r="C155" s="214">
        <f t="shared" ref="C155:C218" si="49">D155+E155</f>
        <v>403</v>
      </c>
      <c r="D155" s="214">
        <v>403</v>
      </c>
      <c r="E155" s="214"/>
      <c r="F155" s="214"/>
      <c r="G155" s="214">
        <f t="shared" si="40"/>
        <v>397.544331</v>
      </c>
      <c r="H155" s="214">
        <f t="shared" si="41"/>
        <v>397.544331</v>
      </c>
      <c r="I155" s="214">
        <f t="shared" si="48"/>
        <v>0</v>
      </c>
      <c r="J155" s="214">
        <f t="shared" si="42"/>
        <v>397.544331</v>
      </c>
      <c r="K155" s="214">
        <f t="shared" si="43"/>
        <v>397.544331</v>
      </c>
      <c r="L155" s="214">
        <v>397.544331</v>
      </c>
      <c r="M155" s="214"/>
      <c r="N155" s="214"/>
      <c r="O155" s="326"/>
      <c r="P155" s="214"/>
      <c r="Q155" s="239">
        <f t="shared" si="44"/>
        <v>0</v>
      </c>
      <c r="R155" s="214">
        <f t="shared" si="45"/>
        <v>0</v>
      </c>
      <c r="S155" s="214"/>
      <c r="T155" s="214"/>
      <c r="U155" s="239">
        <f t="shared" si="46"/>
        <v>0</v>
      </c>
      <c r="V155" s="214"/>
      <c r="W155" s="214"/>
      <c r="X155" s="214"/>
      <c r="Y155" s="214"/>
      <c r="Z155" s="214"/>
      <c r="AA155" s="214"/>
      <c r="AB155" s="214">
        <f t="shared" si="47"/>
        <v>0</v>
      </c>
      <c r="AC155" s="214"/>
      <c r="AD155" s="214"/>
      <c r="AE155" s="214"/>
      <c r="AF155" s="214">
        <f t="shared" si="37"/>
        <v>0</v>
      </c>
      <c r="AG155" s="214"/>
      <c r="AH155" s="214"/>
      <c r="AI155" s="214">
        <f t="shared" si="38"/>
        <v>0</v>
      </c>
      <c r="AJ155" s="214"/>
      <c r="AK155" s="214"/>
      <c r="AL155" s="214">
        <f t="shared" si="39"/>
        <v>98.646235980148873</v>
      </c>
      <c r="AM155" s="214">
        <f t="shared" si="39"/>
        <v>98.646235980148873</v>
      </c>
      <c r="AN155" s="214"/>
      <c r="AO155" s="194"/>
    </row>
    <row r="156" spans="1:41" s="309" customFormat="1" ht="32.25" customHeight="1" x14ac:dyDescent="0.25">
      <c r="A156" s="215" t="s">
        <v>1493</v>
      </c>
      <c r="B156" s="216" t="s">
        <v>797</v>
      </c>
      <c r="C156" s="307">
        <f t="shared" si="49"/>
        <v>1600</v>
      </c>
      <c r="D156" s="307"/>
      <c r="E156" s="307">
        <f>SUM(E157:E159)</f>
        <v>1600</v>
      </c>
      <c r="F156" s="307">
        <f t="shared" ref="F156:P156" si="50">SUM(F157:F159)</f>
        <v>0</v>
      </c>
      <c r="G156" s="318">
        <f>H156+I156</f>
        <v>1598.2406900000001</v>
      </c>
      <c r="H156" s="307">
        <f t="shared" si="41"/>
        <v>0</v>
      </c>
      <c r="I156" s="307">
        <f>N156+U156+AB156+AI156</f>
        <v>1598.2406900000001</v>
      </c>
      <c r="J156" s="307">
        <f>K156+N156</f>
        <v>1598.2406900000001</v>
      </c>
      <c r="K156" s="307">
        <f t="shared" si="43"/>
        <v>0</v>
      </c>
      <c r="L156" s="307">
        <f t="shared" si="50"/>
        <v>0</v>
      </c>
      <c r="M156" s="307">
        <f t="shared" si="50"/>
        <v>0</v>
      </c>
      <c r="N156" s="307">
        <f t="shared" si="50"/>
        <v>1598.2406900000001</v>
      </c>
      <c r="O156" s="356">
        <f t="shared" si="50"/>
        <v>1598.2406900000001</v>
      </c>
      <c r="P156" s="307">
        <f t="shared" si="50"/>
        <v>0</v>
      </c>
      <c r="Q156" s="242">
        <f t="shared" si="44"/>
        <v>0</v>
      </c>
      <c r="R156" s="307">
        <f t="shared" si="45"/>
        <v>0</v>
      </c>
      <c r="S156" s="307">
        <f t="shared" ref="S156:AO156" si="51">SUM(S157:S159)</f>
        <v>0</v>
      </c>
      <c r="T156" s="307">
        <f t="shared" si="51"/>
        <v>0</v>
      </c>
      <c r="U156" s="242">
        <f t="shared" si="46"/>
        <v>0</v>
      </c>
      <c r="V156" s="307">
        <f t="shared" si="51"/>
        <v>0</v>
      </c>
      <c r="W156" s="307">
        <f t="shared" si="51"/>
        <v>0</v>
      </c>
      <c r="X156" s="307">
        <f t="shared" si="51"/>
        <v>0</v>
      </c>
      <c r="Y156" s="307">
        <f t="shared" si="51"/>
        <v>0</v>
      </c>
      <c r="Z156" s="307">
        <f t="shared" si="51"/>
        <v>0</v>
      </c>
      <c r="AA156" s="307">
        <f t="shared" si="51"/>
        <v>0</v>
      </c>
      <c r="AB156" s="307">
        <f t="shared" si="47"/>
        <v>0</v>
      </c>
      <c r="AC156" s="307">
        <f t="shared" si="51"/>
        <v>0</v>
      </c>
      <c r="AD156" s="307">
        <f t="shared" si="51"/>
        <v>0</v>
      </c>
      <c r="AE156" s="307">
        <f t="shared" si="51"/>
        <v>0</v>
      </c>
      <c r="AF156" s="307">
        <f t="shared" si="37"/>
        <v>0</v>
      </c>
      <c r="AG156" s="307">
        <f t="shared" si="51"/>
        <v>0</v>
      </c>
      <c r="AH156" s="307">
        <f t="shared" si="51"/>
        <v>0</v>
      </c>
      <c r="AI156" s="307">
        <f t="shared" si="38"/>
        <v>0</v>
      </c>
      <c r="AJ156" s="307">
        <f t="shared" si="51"/>
        <v>0</v>
      </c>
      <c r="AK156" s="307">
        <f t="shared" si="51"/>
        <v>0</v>
      </c>
      <c r="AL156" s="308">
        <f t="shared" si="39"/>
        <v>99.890043125000005</v>
      </c>
      <c r="AM156" s="308"/>
      <c r="AN156" s="308">
        <f t="shared" ref="AN156:AN219" si="52">I156/E156%</f>
        <v>99.890043125000005</v>
      </c>
      <c r="AO156" s="319">
        <f t="shared" si="51"/>
        <v>0</v>
      </c>
    </row>
    <row r="157" spans="1:41" ht="32.25" customHeight="1" x14ac:dyDescent="0.25">
      <c r="A157" s="194"/>
      <c r="B157" s="213" t="s">
        <v>657</v>
      </c>
      <c r="C157" s="214">
        <f t="shared" si="49"/>
        <v>300</v>
      </c>
      <c r="D157" s="313"/>
      <c r="E157" s="214">
        <v>300</v>
      </c>
      <c r="F157" s="214"/>
      <c r="G157" s="239">
        <f t="shared" si="40"/>
        <v>299.94754399999999</v>
      </c>
      <c r="H157" s="214">
        <f t="shared" si="41"/>
        <v>0</v>
      </c>
      <c r="I157" s="214">
        <f t="shared" si="48"/>
        <v>299.94754399999999</v>
      </c>
      <c r="J157" s="214">
        <f t="shared" si="42"/>
        <v>299.94754399999999</v>
      </c>
      <c r="K157" s="214">
        <f t="shared" si="43"/>
        <v>0</v>
      </c>
      <c r="L157" s="214"/>
      <c r="M157" s="214"/>
      <c r="N157" s="214">
        <f>O157+P157</f>
        <v>299.94754399999999</v>
      </c>
      <c r="O157" s="326">
        <v>299.94754399999999</v>
      </c>
      <c r="P157" s="214"/>
      <c r="Q157" s="239">
        <f t="shared" si="44"/>
        <v>0</v>
      </c>
      <c r="R157" s="214">
        <f t="shared" si="45"/>
        <v>0</v>
      </c>
      <c r="S157" s="214"/>
      <c r="T157" s="214"/>
      <c r="U157" s="239">
        <f t="shared" si="46"/>
        <v>0</v>
      </c>
      <c r="V157" s="214"/>
      <c r="W157" s="214"/>
      <c r="X157" s="214"/>
      <c r="Y157" s="214"/>
      <c r="Z157" s="214"/>
      <c r="AA157" s="214"/>
      <c r="AB157" s="214">
        <f t="shared" si="47"/>
        <v>0</v>
      </c>
      <c r="AC157" s="214"/>
      <c r="AD157" s="214"/>
      <c r="AE157" s="214"/>
      <c r="AF157" s="214">
        <f t="shared" si="37"/>
        <v>0</v>
      </c>
      <c r="AG157" s="214"/>
      <c r="AH157" s="214"/>
      <c r="AI157" s="214">
        <f t="shared" si="38"/>
        <v>0</v>
      </c>
      <c r="AJ157" s="214"/>
      <c r="AK157" s="214"/>
      <c r="AL157" s="214">
        <f t="shared" si="39"/>
        <v>99.98251466666666</v>
      </c>
      <c r="AM157" s="214"/>
      <c r="AN157" s="214">
        <f t="shared" si="52"/>
        <v>99.98251466666666</v>
      </c>
      <c r="AO157" s="194"/>
    </row>
    <row r="158" spans="1:41" ht="32.25" customHeight="1" x14ac:dyDescent="0.25">
      <c r="A158" s="194"/>
      <c r="B158" s="213" t="s">
        <v>656</v>
      </c>
      <c r="C158" s="214">
        <f t="shared" si="49"/>
        <v>1000</v>
      </c>
      <c r="D158" s="313"/>
      <c r="E158" s="214">
        <v>1000</v>
      </c>
      <c r="F158" s="214"/>
      <c r="G158" s="239">
        <f t="shared" si="40"/>
        <v>999.85635300000001</v>
      </c>
      <c r="H158" s="214">
        <f t="shared" si="41"/>
        <v>0</v>
      </c>
      <c r="I158" s="214">
        <f t="shared" si="48"/>
        <v>999.85635300000001</v>
      </c>
      <c r="J158" s="214">
        <f t="shared" si="42"/>
        <v>999.85635300000001</v>
      </c>
      <c r="K158" s="214">
        <f t="shared" si="43"/>
        <v>0</v>
      </c>
      <c r="L158" s="214"/>
      <c r="M158" s="214"/>
      <c r="N158" s="214">
        <f t="shared" ref="N158:N185" si="53">O158+P158</f>
        <v>999.85635300000001</v>
      </c>
      <c r="O158" s="326">
        <v>999.85635300000001</v>
      </c>
      <c r="P158" s="214"/>
      <c r="Q158" s="239">
        <f t="shared" si="44"/>
        <v>0</v>
      </c>
      <c r="R158" s="214">
        <f t="shared" si="45"/>
        <v>0</v>
      </c>
      <c r="S158" s="214"/>
      <c r="T158" s="214"/>
      <c r="U158" s="239">
        <f t="shared" si="46"/>
        <v>0</v>
      </c>
      <c r="V158" s="214"/>
      <c r="W158" s="214"/>
      <c r="X158" s="214"/>
      <c r="Y158" s="214"/>
      <c r="Z158" s="214"/>
      <c r="AA158" s="214"/>
      <c r="AB158" s="214">
        <f t="shared" si="47"/>
        <v>0</v>
      </c>
      <c r="AC158" s="214"/>
      <c r="AD158" s="214"/>
      <c r="AE158" s="214"/>
      <c r="AF158" s="214">
        <f t="shared" si="37"/>
        <v>0</v>
      </c>
      <c r="AG158" s="214"/>
      <c r="AH158" s="214"/>
      <c r="AI158" s="214">
        <f t="shared" si="38"/>
        <v>0</v>
      </c>
      <c r="AJ158" s="214"/>
      <c r="AK158" s="214"/>
      <c r="AL158" s="214">
        <f t="shared" si="39"/>
        <v>99.985635299999998</v>
      </c>
      <c r="AM158" s="214"/>
      <c r="AN158" s="214">
        <f t="shared" si="52"/>
        <v>99.985635299999998</v>
      </c>
      <c r="AO158" s="194"/>
    </row>
    <row r="159" spans="1:41" ht="32.25" customHeight="1" x14ac:dyDescent="0.25">
      <c r="A159" s="194"/>
      <c r="B159" s="213" t="s">
        <v>653</v>
      </c>
      <c r="C159" s="214">
        <f t="shared" si="49"/>
        <v>300</v>
      </c>
      <c r="D159" s="313"/>
      <c r="E159" s="214">
        <v>300</v>
      </c>
      <c r="F159" s="214"/>
      <c r="G159" s="239">
        <f t="shared" si="40"/>
        <v>298.43679300000002</v>
      </c>
      <c r="H159" s="214">
        <f t="shared" si="41"/>
        <v>0</v>
      </c>
      <c r="I159" s="214">
        <f t="shared" si="48"/>
        <v>298.43679300000002</v>
      </c>
      <c r="J159" s="214">
        <f t="shared" si="42"/>
        <v>298.43679300000002</v>
      </c>
      <c r="K159" s="214">
        <f t="shared" si="43"/>
        <v>0</v>
      </c>
      <c r="L159" s="214"/>
      <c r="M159" s="214"/>
      <c r="N159" s="214">
        <f t="shared" si="53"/>
        <v>298.43679300000002</v>
      </c>
      <c r="O159" s="326">
        <v>298.43679300000002</v>
      </c>
      <c r="P159" s="214"/>
      <c r="Q159" s="239">
        <f t="shared" si="44"/>
        <v>0</v>
      </c>
      <c r="R159" s="214">
        <f t="shared" si="45"/>
        <v>0</v>
      </c>
      <c r="S159" s="214"/>
      <c r="T159" s="214"/>
      <c r="U159" s="239">
        <f t="shared" si="46"/>
        <v>0</v>
      </c>
      <c r="V159" s="214"/>
      <c r="W159" s="214"/>
      <c r="X159" s="214"/>
      <c r="Y159" s="214"/>
      <c r="Z159" s="214"/>
      <c r="AA159" s="214"/>
      <c r="AB159" s="214">
        <f t="shared" si="47"/>
        <v>0</v>
      </c>
      <c r="AC159" s="214"/>
      <c r="AD159" s="214"/>
      <c r="AE159" s="214"/>
      <c r="AF159" s="214">
        <f t="shared" si="37"/>
        <v>0</v>
      </c>
      <c r="AG159" s="214"/>
      <c r="AH159" s="214"/>
      <c r="AI159" s="214">
        <f t="shared" si="38"/>
        <v>0</v>
      </c>
      <c r="AJ159" s="214"/>
      <c r="AK159" s="214"/>
      <c r="AL159" s="214">
        <f t="shared" si="39"/>
        <v>99.478931000000003</v>
      </c>
      <c r="AM159" s="214"/>
      <c r="AN159" s="214">
        <f t="shared" si="52"/>
        <v>99.478931000000003</v>
      </c>
      <c r="AO159" s="194"/>
    </row>
    <row r="160" spans="1:41" s="325" customFormat="1" ht="55.5" customHeight="1" x14ac:dyDescent="0.25">
      <c r="A160" s="320"/>
      <c r="B160" s="321" t="s">
        <v>1106</v>
      </c>
      <c r="C160" s="322">
        <f t="shared" si="49"/>
        <v>200</v>
      </c>
      <c r="D160" s="323"/>
      <c r="E160" s="322">
        <v>200</v>
      </c>
      <c r="F160" s="322"/>
      <c r="G160" s="324">
        <f t="shared" si="40"/>
        <v>185.99313100000001</v>
      </c>
      <c r="H160" s="322"/>
      <c r="I160" s="322">
        <f t="shared" si="48"/>
        <v>185.99313100000001</v>
      </c>
      <c r="J160" s="322">
        <f t="shared" si="42"/>
        <v>185.99313100000001</v>
      </c>
      <c r="K160" s="322"/>
      <c r="L160" s="322"/>
      <c r="M160" s="322"/>
      <c r="N160" s="322">
        <f t="shared" si="53"/>
        <v>185.99313100000001</v>
      </c>
      <c r="O160" s="362">
        <v>185.99313100000001</v>
      </c>
      <c r="P160" s="322"/>
      <c r="Q160" s="324"/>
      <c r="R160" s="322"/>
      <c r="S160" s="322"/>
      <c r="T160" s="322"/>
      <c r="U160" s="324"/>
      <c r="V160" s="322"/>
      <c r="W160" s="322"/>
      <c r="X160" s="322"/>
      <c r="Y160" s="322"/>
      <c r="Z160" s="322"/>
      <c r="AA160" s="322"/>
      <c r="AB160" s="322"/>
      <c r="AC160" s="322"/>
      <c r="AD160" s="322"/>
      <c r="AE160" s="322"/>
      <c r="AF160" s="322"/>
      <c r="AG160" s="322"/>
      <c r="AH160" s="322"/>
      <c r="AI160" s="322"/>
      <c r="AJ160" s="322"/>
      <c r="AK160" s="322"/>
      <c r="AL160" s="322"/>
      <c r="AM160" s="322"/>
      <c r="AN160" s="322"/>
      <c r="AO160" s="320"/>
    </row>
    <row r="161" spans="1:42" s="375" customFormat="1" ht="32.25" customHeight="1" x14ac:dyDescent="0.25">
      <c r="A161" s="368" t="s">
        <v>1492</v>
      </c>
      <c r="B161" s="369" t="s">
        <v>799</v>
      </c>
      <c r="C161" s="370">
        <f t="shared" si="49"/>
        <v>133.75</v>
      </c>
      <c r="D161" s="371"/>
      <c r="E161" s="371">
        <f>SUM(E162:E163)</f>
        <v>133.75</v>
      </c>
      <c r="F161" s="371">
        <f t="shared" ref="F161:P161" si="54">SUM(F162:F163)</f>
        <v>0</v>
      </c>
      <c r="G161" s="372">
        <f t="shared" si="40"/>
        <v>133.75</v>
      </c>
      <c r="H161" s="371">
        <f t="shared" si="41"/>
        <v>0</v>
      </c>
      <c r="I161" s="371">
        <f t="shared" si="48"/>
        <v>133.75</v>
      </c>
      <c r="J161" s="371">
        <f t="shared" si="42"/>
        <v>133.75</v>
      </c>
      <c r="K161" s="371">
        <f t="shared" si="43"/>
        <v>0</v>
      </c>
      <c r="L161" s="371">
        <f t="shared" si="54"/>
        <v>0</v>
      </c>
      <c r="M161" s="371">
        <f t="shared" si="54"/>
        <v>0</v>
      </c>
      <c r="N161" s="371">
        <f t="shared" si="53"/>
        <v>133.75</v>
      </c>
      <c r="O161" s="373">
        <f t="shared" si="54"/>
        <v>133.75</v>
      </c>
      <c r="P161" s="371">
        <f t="shared" si="54"/>
        <v>0</v>
      </c>
      <c r="Q161" s="373">
        <f t="shared" si="44"/>
        <v>0</v>
      </c>
      <c r="R161" s="371">
        <f t="shared" si="45"/>
        <v>0</v>
      </c>
      <c r="S161" s="371"/>
      <c r="T161" s="371"/>
      <c r="U161" s="373">
        <f t="shared" si="46"/>
        <v>0</v>
      </c>
      <c r="V161" s="371"/>
      <c r="W161" s="371"/>
      <c r="X161" s="371"/>
      <c r="Y161" s="371"/>
      <c r="Z161" s="371"/>
      <c r="AA161" s="371"/>
      <c r="AB161" s="371">
        <f t="shared" si="47"/>
        <v>0</v>
      </c>
      <c r="AC161" s="371"/>
      <c r="AD161" s="371"/>
      <c r="AE161" s="371"/>
      <c r="AF161" s="371">
        <f t="shared" si="37"/>
        <v>0</v>
      </c>
      <c r="AG161" s="371"/>
      <c r="AH161" s="371"/>
      <c r="AI161" s="371">
        <f t="shared" si="38"/>
        <v>0</v>
      </c>
      <c r="AJ161" s="371"/>
      <c r="AK161" s="371"/>
      <c r="AL161" s="374">
        <f t="shared" si="39"/>
        <v>100</v>
      </c>
      <c r="AM161" s="374"/>
      <c r="AN161" s="374">
        <f t="shared" si="52"/>
        <v>100</v>
      </c>
      <c r="AO161" s="368"/>
    </row>
    <row r="162" spans="1:42" ht="32.25" customHeight="1" x14ac:dyDescent="0.25">
      <c r="A162" s="194"/>
      <c r="B162" s="213" t="s">
        <v>656</v>
      </c>
      <c r="C162" s="214">
        <f t="shared" si="49"/>
        <v>83.75</v>
      </c>
      <c r="D162" s="214"/>
      <c r="E162" s="214">
        <v>83.75</v>
      </c>
      <c r="F162" s="214"/>
      <c r="G162" s="326">
        <f>H162+I162</f>
        <v>83.75</v>
      </c>
      <c r="H162" s="214">
        <f t="shared" si="41"/>
        <v>0</v>
      </c>
      <c r="I162" s="214">
        <f t="shared" si="48"/>
        <v>83.75</v>
      </c>
      <c r="J162" s="214">
        <f t="shared" si="42"/>
        <v>83.75</v>
      </c>
      <c r="K162" s="214">
        <f t="shared" si="43"/>
        <v>0</v>
      </c>
      <c r="L162" s="214"/>
      <c r="M162" s="214"/>
      <c r="N162" s="214">
        <f t="shared" si="53"/>
        <v>83.75</v>
      </c>
      <c r="O162" s="326">
        <v>83.75</v>
      </c>
      <c r="P162" s="214"/>
      <c r="Q162" s="239">
        <f t="shared" si="44"/>
        <v>0</v>
      </c>
      <c r="R162" s="214">
        <f t="shared" si="45"/>
        <v>0</v>
      </c>
      <c r="S162" s="214"/>
      <c r="T162" s="214"/>
      <c r="U162" s="239">
        <f t="shared" si="46"/>
        <v>0</v>
      </c>
      <c r="V162" s="214"/>
      <c r="W162" s="214"/>
      <c r="X162" s="214"/>
      <c r="Y162" s="214"/>
      <c r="Z162" s="214"/>
      <c r="AA162" s="214"/>
      <c r="AB162" s="214">
        <f t="shared" si="47"/>
        <v>0</v>
      </c>
      <c r="AC162" s="214"/>
      <c r="AD162" s="214"/>
      <c r="AE162" s="214"/>
      <c r="AF162" s="214">
        <f t="shared" si="37"/>
        <v>0</v>
      </c>
      <c r="AG162" s="214"/>
      <c r="AH162" s="214"/>
      <c r="AI162" s="214">
        <f t="shared" si="38"/>
        <v>0</v>
      </c>
      <c r="AJ162" s="214"/>
      <c r="AK162" s="214"/>
      <c r="AL162" s="214">
        <f t="shared" si="39"/>
        <v>100</v>
      </c>
      <c r="AM162" s="214"/>
      <c r="AN162" s="214">
        <f t="shared" si="52"/>
        <v>100</v>
      </c>
      <c r="AO162" s="194"/>
    </row>
    <row r="163" spans="1:42" ht="32.25" customHeight="1" x14ac:dyDescent="0.25">
      <c r="A163" s="194"/>
      <c r="B163" s="213" t="s">
        <v>653</v>
      </c>
      <c r="C163" s="214">
        <f t="shared" si="49"/>
        <v>50</v>
      </c>
      <c r="D163" s="214"/>
      <c r="E163" s="214">
        <v>50</v>
      </c>
      <c r="F163" s="214"/>
      <c r="G163" s="326">
        <f t="shared" si="40"/>
        <v>50</v>
      </c>
      <c r="H163" s="214">
        <f t="shared" si="41"/>
        <v>0</v>
      </c>
      <c r="I163" s="214">
        <f t="shared" si="48"/>
        <v>50</v>
      </c>
      <c r="J163" s="214">
        <f t="shared" si="42"/>
        <v>50</v>
      </c>
      <c r="K163" s="214">
        <f t="shared" si="43"/>
        <v>0</v>
      </c>
      <c r="L163" s="214"/>
      <c r="M163" s="214"/>
      <c r="N163" s="214">
        <f t="shared" si="53"/>
        <v>50</v>
      </c>
      <c r="O163" s="326">
        <v>50</v>
      </c>
      <c r="P163" s="214"/>
      <c r="Q163" s="239">
        <f t="shared" si="44"/>
        <v>0</v>
      </c>
      <c r="R163" s="214">
        <f t="shared" si="45"/>
        <v>0</v>
      </c>
      <c r="S163" s="214"/>
      <c r="T163" s="214"/>
      <c r="U163" s="239">
        <f t="shared" si="46"/>
        <v>0</v>
      </c>
      <c r="V163" s="214"/>
      <c r="W163" s="214"/>
      <c r="X163" s="214"/>
      <c r="Y163" s="214"/>
      <c r="Z163" s="214"/>
      <c r="AA163" s="214"/>
      <c r="AB163" s="214">
        <f t="shared" si="47"/>
        <v>0</v>
      </c>
      <c r="AC163" s="214"/>
      <c r="AD163" s="214"/>
      <c r="AE163" s="214"/>
      <c r="AF163" s="214">
        <f t="shared" si="37"/>
        <v>0</v>
      </c>
      <c r="AG163" s="214"/>
      <c r="AH163" s="214"/>
      <c r="AI163" s="214">
        <f t="shared" si="38"/>
        <v>0</v>
      </c>
      <c r="AJ163" s="214"/>
      <c r="AK163" s="214"/>
      <c r="AL163" s="214">
        <f t="shared" si="39"/>
        <v>100</v>
      </c>
      <c r="AM163" s="214"/>
      <c r="AN163" s="214">
        <f t="shared" si="52"/>
        <v>100</v>
      </c>
      <c r="AO163" s="194"/>
    </row>
    <row r="164" spans="1:42" s="309" customFormat="1" ht="32.25" customHeight="1" x14ac:dyDescent="0.25">
      <c r="A164" s="215" t="s">
        <v>1494</v>
      </c>
      <c r="B164" s="216" t="s">
        <v>800</v>
      </c>
      <c r="C164" s="307">
        <f t="shared" si="49"/>
        <v>105</v>
      </c>
      <c r="D164" s="307"/>
      <c r="E164" s="307">
        <f>SUM(E165:E185)</f>
        <v>105</v>
      </c>
      <c r="F164" s="307">
        <f t="shared" ref="F164:AD164" si="55">SUM(F165:F185)</f>
        <v>0</v>
      </c>
      <c r="G164" s="327">
        <f t="shared" si="40"/>
        <v>93.672953000000007</v>
      </c>
      <c r="H164" s="307">
        <f t="shared" si="41"/>
        <v>0</v>
      </c>
      <c r="I164" s="307">
        <f t="shared" si="48"/>
        <v>93.672953000000007</v>
      </c>
      <c r="J164" s="307">
        <f>K164+N164</f>
        <v>93.672953000000007</v>
      </c>
      <c r="K164" s="307">
        <f t="shared" si="43"/>
        <v>0</v>
      </c>
      <c r="L164" s="307">
        <f t="shared" si="55"/>
        <v>0</v>
      </c>
      <c r="M164" s="307">
        <f t="shared" si="55"/>
        <v>0</v>
      </c>
      <c r="N164" s="307">
        <f t="shared" si="53"/>
        <v>93.672953000000007</v>
      </c>
      <c r="O164" s="356">
        <f>SUM(O165:O185)</f>
        <v>93.672953000000007</v>
      </c>
      <c r="P164" s="307">
        <f t="shared" si="55"/>
        <v>0</v>
      </c>
      <c r="Q164" s="242">
        <f t="shared" si="44"/>
        <v>0</v>
      </c>
      <c r="R164" s="307">
        <f t="shared" si="45"/>
        <v>0</v>
      </c>
      <c r="S164" s="307">
        <f t="shared" si="55"/>
        <v>0</v>
      </c>
      <c r="T164" s="307">
        <f t="shared" si="55"/>
        <v>0</v>
      </c>
      <c r="U164" s="242">
        <f t="shared" si="46"/>
        <v>0</v>
      </c>
      <c r="V164" s="307">
        <f t="shared" si="55"/>
        <v>0</v>
      </c>
      <c r="W164" s="307">
        <f t="shared" si="55"/>
        <v>0</v>
      </c>
      <c r="X164" s="307">
        <f t="shared" si="55"/>
        <v>0</v>
      </c>
      <c r="Y164" s="307">
        <f t="shared" si="55"/>
        <v>0</v>
      </c>
      <c r="Z164" s="307">
        <f t="shared" si="55"/>
        <v>0</v>
      </c>
      <c r="AA164" s="307">
        <f t="shared" si="55"/>
        <v>0</v>
      </c>
      <c r="AB164" s="307">
        <f t="shared" si="47"/>
        <v>0</v>
      </c>
      <c r="AC164" s="307">
        <f t="shared" si="55"/>
        <v>0</v>
      </c>
      <c r="AD164" s="307">
        <f t="shared" si="55"/>
        <v>0</v>
      </c>
      <c r="AE164" s="307"/>
      <c r="AF164" s="307">
        <f t="shared" si="37"/>
        <v>0</v>
      </c>
      <c r="AG164" s="307"/>
      <c r="AH164" s="307"/>
      <c r="AI164" s="307">
        <f t="shared" si="38"/>
        <v>0</v>
      </c>
      <c r="AJ164" s="307"/>
      <c r="AK164" s="307"/>
      <c r="AL164" s="308">
        <f t="shared" si="39"/>
        <v>89.212336190476194</v>
      </c>
      <c r="AM164" s="308"/>
      <c r="AN164" s="308">
        <f t="shared" si="52"/>
        <v>89.212336190476194</v>
      </c>
      <c r="AO164" s="215"/>
      <c r="AP164" s="328">
        <f>E164-O164</f>
        <v>11.327046999999993</v>
      </c>
    </row>
    <row r="165" spans="1:42" ht="32.25" customHeight="1" x14ac:dyDescent="0.25">
      <c r="A165" s="194"/>
      <c r="B165" s="213" t="s">
        <v>344</v>
      </c>
      <c r="C165" s="214">
        <f t="shared" si="49"/>
        <v>5</v>
      </c>
      <c r="D165" s="214"/>
      <c r="E165" s="214">
        <v>5</v>
      </c>
      <c r="F165" s="214"/>
      <c r="G165" s="214">
        <f t="shared" si="40"/>
        <v>0</v>
      </c>
      <c r="H165" s="214">
        <f t="shared" si="41"/>
        <v>0</v>
      </c>
      <c r="I165" s="214">
        <f t="shared" si="48"/>
        <v>0</v>
      </c>
      <c r="J165" s="214">
        <f t="shared" si="42"/>
        <v>0</v>
      </c>
      <c r="K165" s="214">
        <f t="shared" si="43"/>
        <v>0</v>
      </c>
      <c r="L165" s="214"/>
      <c r="M165" s="214"/>
      <c r="N165" s="214">
        <f t="shared" si="53"/>
        <v>0</v>
      </c>
      <c r="O165" s="326">
        <v>0</v>
      </c>
      <c r="P165" s="214"/>
      <c r="Q165" s="239">
        <f t="shared" si="44"/>
        <v>0</v>
      </c>
      <c r="R165" s="214">
        <f t="shared" si="45"/>
        <v>0</v>
      </c>
      <c r="S165" s="214"/>
      <c r="T165" s="214"/>
      <c r="U165" s="239">
        <f t="shared" si="46"/>
        <v>0</v>
      </c>
      <c r="V165" s="214"/>
      <c r="W165" s="214"/>
      <c r="X165" s="214"/>
      <c r="Y165" s="214"/>
      <c r="Z165" s="214"/>
      <c r="AA165" s="214"/>
      <c r="AB165" s="214">
        <f t="shared" si="47"/>
        <v>0</v>
      </c>
      <c r="AC165" s="214"/>
      <c r="AD165" s="214"/>
      <c r="AE165" s="214"/>
      <c r="AF165" s="214">
        <f t="shared" si="37"/>
        <v>0</v>
      </c>
      <c r="AG165" s="214"/>
      <c r="AH165" s="214"/>
      <c r="AI165" s="214">
        <f t="shared" si="38"/>
        <v>0</v>
      </c>
      <c r="AJ165" s="214"/>
      <c r="AK165" s="214"/>
      <c r="AL165" s="214">
        <f t="shared" si="39"/>
        <v>0</v>
      </c>
      <c r="AM165" s="214"/>
      <c r="AN165" s="214">
        <f t="shared" si="52"/>
        <v>0</v>
      </c>
      <c r="AO165" s="194"/>
    </row>
    <row r="166" spans="1:42" ht="32.25" customHeight="1" x14ac:dyDescent="0.25">
      <c r="A166" s="194"/>
      <c r="B166" s="213" t="s">
        <v>345</v>
      </c>
      <c r="C166" s="214">
        <f t="shared" si="49"/>
        <v>5</v>
      </c>
      <c r="D166" s="214"/>
      <c r="E166" s="214">
        <v>5</v>
      </c>
      <c r="F166" s="214"/>
      <c r="G166" s="214">
        <f t="shared" si="40"/>
        <v>4.9800000000000004</v>
      </c>
      <c r="H166" s="214">
        <f t="shared" si="41"/>
        <v>0</v>
      </c>
      <c r="I166" s="214">
        <f t="shared" si="48"/>
        <v>4.9800000000000004</v>
      </c>
      <c r="J166" s="214">
        <f t="shared" si="42"/>
        <v>4.9800000000000004</v>
      </c>
      <c r="K166" s="214">
        <f t="shared" si="43"/>
        <v>0</v>
      </c>
      <c r="L166" s="214"/>
      <c r="M166" s="214"/>
      <c r="N166" s="214">
        <f t="shared" si="53"/>
        <v>4.9800000000000004</v>
      </c>
      <c r="O166" s="326">
        <v>4.9800000000000004</v>
      </c>
      <c r="P166" s="214"/>
      <c r="Q166" s="239">
        <f t="shared" si="44"/>
        <v>0</v>
      </c>
      <c r="R166" s="214">
        <f t="shared" si="45"/>
        <v>0</v>
      </c>
      <c r="S166" s="214"/>
      <c r="T166" s="214"/>
      <c r="U166" s="239">
        <f t="shared" si="46"/>
        <v>0</v>
      </c>
      <c r="V166" s="214"/>
      <c r="W166" s="214"/>
      <c r="X166" s="214"/>
      <c r="Y166" s="214"/>
      <c r="Z166" s="214"/>
      <c r="AA166" s="214"/>
      <c r="AB166" s="214">
        <f t="shared" si="47"/>
        <v>0</v>
      </c>
      <c r="AC166" s="214"/>
      <c r="AD166" s="214"/>
      <c r="AE166" s="214"/>
      <c r="AF166" s="214">
        <f t="shared" si="37"/>
        <v>0</v>
      </c>
      <c r="AG166" s="214"/>
      <c r="AH166" s="214"/>
      <c r="AI166" s="214">
        <f t="shared" si="38"/>
        <v>0</v>
      </c>
      <c r="AJ166" s="214"/>
      <c r="AK166" s="214"/>
      <c r="AL166" s="214">
        <f t="shared" si="39"/>
        <v>99.600000000000009</v>
      </c>
      <c r="AM166" s="214"/>
      <c r="AN166" s="214">
        <f t="shared" si="52"/>
        <v>99.600000000000009</v>
      </c>
      <c r="AO166" s="194"/>
    </row>
    <row r="167" spans="1:42" ht="32.25" customHeight="1" x14ac:dyDescent="0.25">
      <c r="A167" s="194"/>
      <c r="B167" s="213" t="s">
        <v>801</v>
      </c>
      <c r="C167" s="214">
        <f t="shared" si="49"/>
        <v>5</v>
      </c>
      <c r="D167" s="214"/>
      <c r="E167" s="214">
        <v>5</v>
      </c>
      <c r="F167" s="214"/>
      <c r="G167" s="214">
        <f t="shared" si="40"/>
        <v>5</v>
      </c>
      <c r="H167" s="214">
        <f t="shared" si="41"/>
        <v>0</v>
      </c>
      <c r="I167" s="214">
        <f t="shared" si="48"/>
        <v>5</v>
      </c>
      <c r="J167" s="214">
        <f t="shared" si="42"/>
        <v>5</v>
      </c>
      <c r="K167" s="214">
        <f t="shared" si="43"/>
        <v>0</v>
      </c>
      <c r="L167" s="214"/>
      <c r="M167" s="214"/>
      <c r="N167" s="214">
        <f t="shared" si="53"/>
        <v>5</v>
      </c>
      <c r="O167" s="326">
        <v>5</v>
      </c>
      <c r="P167" s="214"/>
      <c r="Q167" s="239">
        <f t="shared" si="44"/>
        <v>0</v>
      </c>
      <c r="R167" s="214">
        <f t="shared" si="45"/>
        <v>0</v>
      </c>
      <c r="S167" s="214"/>
      <c r="T167" s="214"/>
      <c r="U167" s="239">
        <f t="shared" si="46"/>
        <v>0</v>
      </c>
      <c r="V167" s="214"/>
      <c r="W167" s="214"/>
      <c r="X167" s="214"/>
      <c r="Y167" s="214"/>
      <c r="Z167" s="214"/>
      <c r="AA167" s="214"/>
      <c r="AB167" s="214">
        <f t="shared" si="47"/>
        <v>0</v>
      </c>
      <c r="AC167" s="214"/>
      <c r="AD167" s="214"/>
      <c r="AE167" s="214"/>
      <c r="AF167" s="214">
        <f t="shared" si="37"/>
        <v>0</v>
      </c>
      <c r="AG167" s="214"/>
      <c r="AH167" s="214"/>
      <c r="AI167" s="214">
        <f t="shared" si="38"/>
        <v>0</v>
      </c>
      <c r="AJ167" s="214"/>
      <c r="AK167" s="214"/>
      <c r="AL167" s="214">
        <f t="shared" si="39"/>
        <v>100</v>
      </c>
      <c r="AM167" s="214"/>
      <c r="AN167" s="214">
        <f t="shared" si="52"/>
        <v>100</v>
      </c>
      <c r="AO167" s="194"/>
    </row>
    <row r="168" spans="1:42" ht="32.25" customHeight="1" x14ac:dyDescent="0.25">
      <c r="A168" s="194"/>
      <c r="B168" s="213" t="s">
        <v>346</v>
      </c>
      <c r="C168" s="214">
        <f t="shared" si="49"/>
        <v>5</v>
      </c>
      <c r="D168" s="214"/>
      <c r="E168" s="214">
        <v>5</v>
      </c>
      <c r="F168" s="214"/>
      <c r="G168" s="214">
        <f t="shared" si="40"/>
        <v>5</v>
      </c>
      <c r="H168" s="214">
        <f t="shared" si="41"/>
        <v>0</v>
      </c>
      <c r="I168" s="214">
        <f t="shared" si="48"/>
        <v>5</v>
      </c>
      <c r="J168" s="214">
        <f t="shared" si="42"/>
        <v>5</v>
      </c>
      <c r="K168" s="214">
        <f t="shared" si="43"/>
        <v>0</v>
      </c>
      <c r="L168" s="214"/>
      <c r="M168" s="214"/>
      <c r="N168" s="214">
        <f t="shared" si="53"/>
        <v>5</v>
      </c>
      <c r="O168" s="326">
        <v>5</v>
      </c>
      <c r="P168" s="214"/>
      <c r="Q168" s="239">
        <f t="shared" si="44"/>
        <v>0</v>
      </c>
      <c r="R168" s="214">
        <f t="shared" si="45"/>
        <v>0</v>
      </c>
      <c r="S168" s="214"/>
      <c r="T168" s="214"/>
      <c r="U168" s="239">
        <f t="shared" si="46"/>
        <v>0</v>
      </c>
      <c r="V168" s="214"/>
      <c r="W168" s="214"/>
      <c r="X168" s="214"/>
      <c r="Y168" s="214"/>
      <c r="Z168" s="214"/>
      <c r="AA168" s="214"/>
      <c r="AB168" s="214">
        <f t="shared" si="47"/>
        <v>0</v>
      </c>
      <c r="AC168" s="214"/>
      <c r="AD168" s="214"/>
      <c r="AE168" s="214"/>
      <c r="AF168" s="214">
        <f t="shared" si="37"/>
        <v>0</v>
      </c>
      <c r="AG168" s="214"/>
      <c r="AH168" s="214"/>
      <c r="AI168" s="214">
        <f t="shared" si="38"/>
        <v>0</v>
      </c>
      <c r="AJ168" s="214"/>
      <c r="AK168" s="214"/>
      <c r="AL168" s="214">
        <f t="shared" si="39"/>
        <v>100</v>
      </c>
      <c r="AM168" s="214"/>
      <c r="AN168" s="214">
        <f t="shared" si="52"/>
        <v>100</v>
      </c>
      <c r="AO168" s="194"/>
    </row>
    <row r="169" spans="1:42" ht="32.25" customHeight="1" x14ac:dyDescent="0.25">
      <c r="A169" s="194"/>
      <c r="B169" s="213" t="s">
        <v>347</v>
      </c>
      <c r="C169" s="214">
        <f t="shared" si="49"/>
        <v>5</v>
      </c>
      <c r="D169" s="214"/>
      <c r="E169" s="214">
        <v>5</v>
      </c>
      <c r="F169" s="214"/>
      <c r="G169" s="214">
        <f t="shared" si="40"/>
        <v>5</v>
      </c>
      <c r="H169" s="214">
        <f t="shared" si="41"/>
        <v>0</v>
      </c>
      <c r="I169" s="214">
        <f t="shared" si="48"/>
        <v>5</v>
      </c>
      <c r="J169" s="214">
        <f t="shared" si="42"/>
        <v>5</v>
      </c>
      <c r="K169" s="214">
        <f t="shared" si="43"/>
        <v>0</v>
      </c>
      <c r="L169" s="214"/>
      <c r="M169" s="214"/>
      <c r="N169" s="214">
        <f t="shared" si="53"/>
        <v>5</v>
      </c>
      <c r="O169" s="326">
        <v>5</v>
      </c>
      <c r="P169" s="214"/>
      <c r="Q169" s="239">
        <f t="shared" si="44"/>
        <v>0</v>
      </c>
      <c r="R169" s="214">
        <f t="shared" si="45"/>
        <v>0</v>
      </c>
      <c r="S169" s="214"/>
      <c r="T169" s="214"/>
      <c r="U169" s="239">
        <f t="shared" si="46"/>
        <v>0</v>
      </c>
      <c r="V169" s="214"/>
      <c r="W169" s="214"/>
      <c r="X169" s="214"/>
      <c r="Y169" s="214"/>
      <c r="Z169" s="214"/>
      <c r="AA169" s="214"/>
      <c r="AB169" s="214">
        <f t="shared" si="47"/>
        <v>0</v>
      </c>
      <c r="AC169" s="214"/>
      <c r="AD169" s="214"/>
      <c r="AE169" s="214"/>
      <c r="AF169" s="214">
        <f t="shared" si="37"/>
        <v>0</v>
      </c>
      <c r="AG169" s="214"/>
      <c r="AH169" s="214"/>
      <c r="AI169" s="214">
        <f t="shared" si="38"/>
        <v>0</v>
      </c>
      <c r="AJ169" s="214"/>
      <c r="AK169" s="214"/>
      <c r="AL169" s="214">
        <f t="shared" si="39"/>
        <v>100</v>
      </c>
      <c r="AM169" s="214"/>
      <c r="AN169" s="214">
        <f t="shared" si="52"/>
        <v>100</v>
      </c>
      <c r="AO169" s="194"/>
    </row>
    <row r="170" spans="1:42" ht="32.25" customHeight="1" x14ac:dyDescent="0.25">
      <c r="A170" s="194"/>
      <c r="B170" s="213" t="s">
        <v>348</v>
      </c>
      <c r="C170" s="214">
        <f t="shared" si="49"/>
        <v>5</v>
      </c>
      <c r="D170" s="214"/>
      <c r="E170" s="214">
        <v>5</v>
      </c>
      <c r="F170" s="214"/>
      <c r="G170" s="214">
        <f t="shared" si="40"/>
        <v>4.9999979999999997</v>
      </c>
      <c r="H170" s="214">
        <f t="shared" si="41"/>
        <v>0</v>
      </c>
      <c r="I170" s="214">
        <f t="shared" si="48"/>
        <v>4.9999979999999997</v>
      </c>
      <c r="J170" s="214">
        <f t="shared" si="42"/>
        <v>4.9999979999999997</v>
      </c>
      <c r="K170" s="214">
        <f t="shared" si="43"/>
        <v>0</v>
      </c>
      <c r="L170" s="214"/>
      <c r="M170" s="214"/>
      <c r="N170" s="214">
        <f t="shared" si="53"/>
        <v>4.9999979999999997</v>
      </c>
      <c r="O170" s="326">
        <v>4.9999979999999997</v>
      </c>
      <c r="P170" s="214"/>
      <c r="Q170" s="239">
        <f t="shared" si="44"/>
        <v>0</v>
      </c>
      <c r="R170" s="214">
        <f t="shared" si="45"/>
        <v>0</v>
      </c>
      <c r="S170" s="214"/>
      <c r="T170" s="214"/>
      <c r="U170" s="239">
        <f t="shared" si="46"/>
        <v>0</v>
      </c>
      <c r="V170" s="214"/>
      <c r="W170" s="214"/>
      <c r="X170" s="214"/>
      <c r="Y170" s="214"/>
      <c r="Z170" s="214"/>
      <c r="AA170" s="214"/>
      <c r="AB170" s="214">
        <f t="shared" si="47"/>
        <v>0</v>
      </c>
      <c r="AC170" s="214"/>
      <c r="AD170" s="214"/>
      <c r="AE170" s="214"/>
      <c r="AF170" s="214">
        <f t="shared" si="37"/>
        <v>0</v>
      </c>
      <c r="AG170" s="214"/>
      <c r="AH170" s="214"/>
      <c r="AI170" s="214">
        <f t="shared" si="38"/>
        <v>0</v>
      </c>
      <c r="AJ170" s="214"/>
      <c r="AK170" s="214"/>
      <c r="AL170" s="214">
        <f t="shared" si="39"/>
        <v>99.999959999999987</v>
      </c>
      <c r="AM170" s="214"/>
      <c r="AN170" s="214">
        <f t="shared" si="52"/>
        <v>99.999959999999987</v>
      </c>
      <c r="AO170" s="194"/>
    </row>
    <row r="171" spans="1:42" ht="32.25" customHeight="1" x14ac:dyDescent="0.25">
      <c r="A171" s="194"/>
      <c r="B171" s="213" t="s">
        <v>349</v>
      </c>
      <c r="C171" s="214">
        <f t="shared" si="49"/>
        <v>5</v>
      </c>
      <c r="D171" s="214"/>
      <c r="E171" s="214">
        <v>5</v>
      </c>
      <c r="F171" s="214"/>
      <c r="G171" s="214">
        <f t="shared" si="40"/>
        <v>5</v>
      </c>
      <c r="H171" s="214">
        <f t="shared" si="41"/>
        <v>0</v>
      </c>
      <c r="I171" s="214">
        <f t="shared" si="48"/>
        <v>5</v>
      </c>
      <c r="J171" s="214">
        <f t="shared" si="42"/>
        <v>5</v>
      </c>
      <c r="K171" s="214">
        <f t="shared" si="43"/>
        <v>0</v>
      </c>
      <c r="L171" s="214"/>
      <c r="M171" s="214"/>
      <c r="N171" s="214">
        <f t="shared" si="53"/>
        <v>5</v>
      </c>
      <c r="O171" s="326">
        <v>5</v>
      </c>
      <c r="P171" s="214"/>
      <c r="Q171" s="239">
        <f t="shared" si="44"/>
        <v>0</v>
      </c>
      <c r="R171" s="214">
        <f t="shared" si="45"/>
        <v>0</v>
      </c>
      <c r="S171" s="214"/>
      <c r="T171" s="214"/>
      <c r="U171" s="239">
        <f t="shared" si="46"/>
        <v>0</v>
      </c>
      <c r="V171" s="214"/>
      <c r="W171" s="214"/>
      <c r="X171" s="214"/>
      <c r="Y171" s="214"/>
      <c r="Z171" s="214"/>
      <c r="AA171" s="214"/>
      <c r="AB171" s="214">
        <f t="shared" si="47"/>
        <v>0</v>
      </c>
      <c r="AC171" s="214"/>
      <c r="AD171" s="214"/>
      <c r="AE171" s="214"/>
      <c r="AF171" s="214">
        <f t="shared" si="37"/>
        <v>0</v>
      </c>
      <c r="AG171" s="214"/>
      <c r="AH171" s="214"/>
      <c r="AI171" s="214">
        <f t="shared" si="38"/>
        <v>0</v>
      </c>
      <c r="AJ171" s="214"/>
      <c r="AK171" s="214"/>
      <c r="AL171" s="214">
        <f t="shared" si="39"/>
        <v>100</v>
      </c>
      <c r="AM171" s="214"/>
      <c r="AN171" s="214">
        <f t="shared" si="52"/>
        <v>100</v>
      </c>
      <c r="AO171" s="194"/>
    </row>
    <row r="172" spans="1:42" ht="32.25" customHeight="1" x14ac:dyDescent="0.25">
      <c r="A172" s="194"/>
      <c r="B172" s="213" t="s">
        <v>350</v>
      </c>
      <c r="C172" s="214">
        <f t="shared" si="49"/>
        <v>5</v>
      </c>
      <c r="D172" s="214"/>
      <c r="E172" s="214">
        <v>5</v>
      </c>
      <c r="F172" s="214"/>
      <c r="G172" s="214">
        <f t="shared" si="40"/>
        <v>4.9599549999999999</v>
      </c>
      <c r="H172" s="214">
        <f t="shared" si="41"/>
        <v>0</v>
      </c>
      <c r="I172" s="214">
        <f t="shared" si="48"/>
        <v>4.9599549999999999</v>
      </c>
      <c r="J172" s="214">
        <f t="shared" si="42"/>
        <v>4.9599549999999999</v>
      </c>
      <c r="K172" s="214">
        <f t="shared" si="43"/>
        <v>0</v>
      </c>
      <c r="L172" s="214"/>
      <c r="M172" s="214"/>
      <c r="N172" s="214">
        <f t="shared" si="53"/>
        <v>4.9599549999999999</v>
      </c>
      <c r="O172" s="326">
        <v>4.9599549999999999</v>
      </c>
      <c r="P172" s="214"/>
      <c r="Q172" s="239">
        <f t="shared" si="44"/>
        <v>0</v>
      </c>
      <c r="R172" s="214">
        <f t="shared" si="45"/>
        <v>0</v>
      </c>
      <c r="S172" s="214"/>
      <c r="T172" s="214"/>
      <c r="U172" s="239">
        <f t="shared" si="46"/>
        <v>0</v>
      </c>
      <c r="V172" s="214"/>
      <c r="W172" s="214"/>
      <c r="X172" s="214"/>
      <c r="Y172" s="214"/>
      <c r="Z172" s="214"/>
      <c r="AA172" s="214"/>
      <c r="AB172" s="214">
        <f t="shared" si="47"/>
        <v>0</v>
      </c>
      <c r="AC172" s="214"/>
      <c r="AD172" s="214"/>
      <c r="AE172" s="214"/>
      <c r="AF172" s="214">
        <f t="shared" si="37"/>
        <v>0</v>
      </c>
      <c r="AG172" s="214"/>
      <c r="AH172" s="214"/>
      <c r="AI172" s="214">
        <f t="shared" si="38"/>
        <v>0</v>
      </c>
      <c r="AJ172" s="214"/>
      <c r="AK172" s="214"/>
      <c r="AL172" s="214">
        <f t="shared" si="39"/>
        <v>99.199099999999987</v>
      </c>
      <c r="AM172" s="214"/>
      <c r="AN172" s="214">
        <f t="shared" si="52"/>
        <v>99.199099999999987</v>
      </c>
      <c r="AO172" s="194"/>
    </row>
    <row r="173" spans="1:42" ht="32.25" customHeight="1" x14ac:dyDescent="0.25">
      <c r="A173" s="194"/>
      <c r="B173" s="213" t="s">
        <v>351</v>
      </c>
      <c r="C173" s="214">
        <f t="shared" si="49"/>
        <v>5</v>
      </c>
      <c r="D173" s="214"/>
      <c r="E173" s="214">
        <v>5</v>
      </c>
      <c r="F173" s="214"/>
      <c r="G173" s="214">
        <f t="shared" si="40"/>
        <v>5</v>
      </c>
      <c r="H173" s="214">
        <f t="shared" si="41"/>
        <v>0</v>
      </c>
      <c r="I173" s="214">
        <f t="shared" si="48"/>
        <v>5</v>
      </c>
      <c r="J173" s="214">
        <f t="shared" si="42"/>
        <v>5</v>
      </c>
      <c r="K173" s="214">
        <f t="shared" si="43"/>
        <v>0</v>
      </c>
      <c r="L173" s="214"/>
      <c r="M173" s="214"/>
      <c r="N173" s="214">
        <f t="shared" si="53"/>
        <v>5</v>
      </c>
      <c r="O173" s="326">
        <v>5</v>
      </c>
      <c r="P173" s="214"/>
      <c r="Q173" s="239">
        <f t="shared" si="44"/>
        <v>0</v>
      </c>
      <c r="R173" s="214">
        <f t="shared" si="45"/>
        <v>0</v>
      </c>
      <c r="S173" s="214"/>
      <c r="T173" s="214"/>
      <c r="U173" s="239">
        <f t="shared" si="46"/>
        <v>0</v>
      </c>
      <c r="V173" s="214"/>
      <c r="W173" s="214"/>
      <c r="X173" s="214"/>
      <c r="Y173" s="214"/>
      <c r="Z173" s="214"/>
      <c r="AA173" s="214"/>
      <c r="AB173" s="214">
        <f t="shared" si="47"/>
        <v>0</v>
      </c>
      <c r="AC173" s="214"/>
      <c r="AD173" s="214"/>
      <c r="AE173" s="214"/>
      <c r="AF173" s="214">
        <f t="shared" si="37"/>
        <v>0</v>
      </c>
      <c r="AG173" s="214"/>
      <c r="AH173" s="214"/>
      <c r="AI173" s="214">
        <f t="shared" si="38"/>
        <v>0</v>
      </c>
      <c r="AJ173" s="214"/>
      <c r="AK173" s="214"/>
      <c r="AL173" s="214">
        <f t="shared" si="39"/>
        <v>100</v>
      </c>
      <c r="AM173" s="214"/>
      <c r="AN173" s="214">
        <f t="shared" si="52"/>
        <v>100</v>
      </c>
      <c r="AO173" s="194"/>
    </row>
    <row r="174" spans="1:42" ht="32.25" customHeight="1" x14ac:dyDescent="0.25">
      <c r="A174" s="194"/>
      <c r="B174" s="213" t="s">
        <v>352</v>
      </c>
      <c r="C174" s="214">
        <f t="shared" si="49"/>
        <v>5</v>
      </c>
      <c r="D174" s="214"/>
      <c r="E174" s="214">
        <v>5</v>
      </c>
      <c r="F174" s="214"/>
      <c r="G174" s="214">
        <f t="shared" si="40"/>
        <v>5</v>
      </c>
      <c r="H174" s="214">
        <f t="shared" si="41"/>
        <v>0</v>
      </c>
      <c r="I174" s="214">
        <f t="shared" si="48"/>
        <v>5</v>
      </c>
      <c r="J174" s="214">
        <f t="shared" si="42"/>
        <v>5</v>
      </c>
      <c r="K174" s="214">
        <f t="shared" si="43"/>
        <v>0</v>
      </c>
      <c r="L174" s="214"/>
      <c r="M174" s="214"/>
      <c r="N174" s="214">
        <f t="shared" si="53"/>
        <v>5</v>
      </c>
      <c r="O174" s="326">
        <v>5</v>
      </c>
      <c r="P174" s="214"/>
      <c r="Q174" s="239">
        <f t="shared" si="44"/>
        <v>0</v>
      </c>
      <c r="R174" s="214">
        <f t="shared" si="45"/>
        <v>0</v>
      </c>
      <c r="S174" s="214"/>
      <c r="T174" s="214"/>
      <c r="U174" s="239">
        <f t="shared" si="46"/>
        <v>0</v>
      </c>
      <c r="V174" s="214"/>
      <c r="W174" s="214"/>
      <c r="X174" s="214"/>
      <c r="Y174" s="214"/>
      <c r="Z174" s="214"/>
      <c r="AA174" s="214"/>
      <c r="AB174" s="214">
        <f t="shared" si="47"/>
        <v>0</v>
      </c>
      <c r="AC174" s="214"/>
      <c r="AD174" s="214"/>
      <c r="AE174" s="214"/>
      <c r="AF174" s="214">
        <f t="shared" si="37"/>
        <v>0</v>
      </c>
      <c r="AG174" s="214"/>
      <c r="AH174" s="214"/>
      <c r="AI174" s="214">
        <f t="shared" si="38"/>
        <v>0</v>
      </c>
      <c r="AJ174" s="214"/>
      <c r="AK174" s="214"/>
      <c r="AL174" s="214">
        <f t="shared" si="39"/>
        <v>100</v>
      </c>
      <c r="AM174" s="214"/>
      <c r="AN174" s="214">
        <f t="shared" si="52"/>
        <v>100</v>
      </c>
      <c r="AO174" s="194"/>
    </row>
    <row r="175" spans="1:42" ht="32.25" customHeight="1" x14ac:dyDescent="0.25">
      <c r="A175" s="194"/>
      <c r="B175" s="213" t="s">
        <v>353</v>
      </c>
      <c r="C175" s="214">
        <f t="shared" si="49"/>
        <v>5</v>
      </c>
      <c r="D175" s="214"/>
      <c r="E175" s="214">
        <v>5</v>
      </c>
      <c r="F175" s="214"/>
      <c r="G175" s="214">
        <f t="shared" si="40"/>
        <v>5</v>
      </c>
      <c r="H175" s="214">
        <f t="shared" si="41"/>
        <v>0</v>
      </c>
      <c r="I175" s="214">
        <f t="shared" si="48"/>
        <v>5</v>
      </c>
      <c r="J175" s="214">
        <f t="shared" si="42"/>
        <v>5</v>
      </c>
      <c r="K175" s="214">
        <f t="shared" si="43"/>
        <v>0</v>
      </c>
      <c r="L175" s="214"/>
      <c r="M175" s="214"/>
      <c r="N175" s="214">
        <f t="shared" si="53"/>
        <v>5</v>
      </c>
      <c r="O175" s="326">
        <v>5</v>
      </c>
      <c r="P175" s="214"/>
      <c r="Q175" s="239">
        <f t="shared" si="44"/>
        <v>0</v>
      </c>
      <c r="R175" s="214">
        <f t="shared" si="45"/>
        <v>0</v>
      </c>
      <c r="S175" s="214"/>
      <c r="T175" s="214"/>
      <c r="U175" s="239">
        <f t="shared" si="46"/>
        <v>0</v>
      </c>
      <c r="V175" s="214"/>
      <c r="W175" s="214"/>
      <c r="X175" s="214"/>
      <c r="Y175" s="214"/>
      <c r="Z175" s="214"/>
      <c r="AA175" s="214"/>
      <c r="AB175" s="214">
        <f t="shared" si="47"/>
        <v>0</v>
      </c>
      <c r="AC175" s="214"/>
      <c r="AD175" s="214"/>
      <c r="AE175" s="214"/>
      <c r="AF175" s="214">
        <f t="shared" si="37"/>
        <v>0</v>
      </c>
      <c r="AG175" s="214"/>
      <c r="AH175" s="214"/>
      <c r="AI175" s="214">
        <f t="shared" si="38"/>
        <v>0</v>
      </c>
      <c r="AJ175" s="214"/>
      <c r="AK175" s="214"/>
      <c r="AL175" s="214">
        <f t="shared" si="39"/>
        <v>100</v>
      </c>
      <c r="AM175" s="214"/>
      <c r="AN175" s="214">
        <f t="shared" si="52"/>
        <v>100</v>
      </c>
      <c r="AO175" s="194"/>
    </row>
    <row r="176" spans="1:42" ht="32.25" customHeight="1" x14ac:dyDescent="0.25">
      <c r="A176" s="194"/>
      <c r="B176" s="213" t="s">
        <v>354</v>
      </c>
      <c r="C176" s="214">
        <f t="shared" si="49"/>
        <v>5</v>
      </c>
      <c r="D176" s="214"/>
      <c r="E176" s="214">
        <v>5</v>
      </c>
      <c r="F176" s="214"/>
      <c r="G176" s="214">
        <f t="shared" si="40"/>
        <v>5</v>
      </c>
      <c r="H176" s="214">
        <f t="shared" si="41"/>
        <v>0</v>
      </c>
      <c r="I176" s="214">
        <f t="shared" si="48"/>
        <v>5</v>
      </c>
      <c r="J176" s="214">
        <f t="shared" si="42"/>
        <v>5</v>
      </c>
      <c r="K176" s="214">
        <f t="shared" si="43"/>
        <v>0</v>
      </c>
      <c r="L176" s="214"/>
      <c r="M176" s="214"/>
      <c r="N176" s="214">
        <f t="shared" si="53"/>
        <v>5</v>
      </c>
      <c r="O176" s="326">
        <v>5</v>
      </c>
      <c r="P176" s="214"/>
      <c r="Q176" s="239">
        <f t="shared" si="44"/>
        <v>0</v>
      </c>
      <c r="R176" s="214">
        <f t="shared" si="45"/>
        <v>0</v>
      </c>
      <c r="S176" s="214"/>
      <c r="T176" s="214"/>
      <c r="U176" s="239">
        <f t="shared" si="46"/>
        <v>0</v>
      </c>
      <c r="V176" s="214"/>
      <c r="W176" s="214"/>
      <c r="X176" s="214"/>
      <c r="Y176" s="214"/>
      <c r="Z176" s="214"/>
      <c r="AA176" s="214"/>
      <c r="AB176" s="214">
        <f t="shared" si="47"/>
        <v>0</v>
      </c>
      <c r="AC176" s="214"/>
      <c r="AD176" s="214"/>
      <c r="AE176" s="214"/>
      <c r="AF176" s="214">
        <f t="shared" si="37"/>
        <v>0</v>
      </c>
      <c r="AG176" s="214"/>
      <c r="AH176" s="214"/>
      <c r="AI176" s="214">
        <f t="shared" si="38"/>
        <v>0</v>
      </c>
      <c r="AJ176" s="214"/>
      <c r="AK176" s="214"/>
      <c r="AL176" s="214">
        <f t="shared" si="39"/>
        <v>100</v>
      </c>
      <c r="AM176" s="214"/>
      <c r="AN176" s="214">
        <f t="shared" si="52"/>
        <v>100</v>
      </c>
      <c r="AO176" s="194"/>
    </row>
    <row r="177" spans="1:41" ht="32.25" customHeight="1" x14ac:dyDescent="0.25">
      <c r="A177" s="194"/>
      <c r="B177" s="213" t="s">
        <v>355</v>
      </c>
      <c r="C177" s="214">
        <f t="shared" si="49"/>
        <v>5</v>
      </c>
      <c r="D177" s="214"/>
      <c r="E177" s="214">
        <v>5</v>
      </c>
      <c r="F177" s="214"/>
      <c r="G177" s="214">
        <f t="shared" si="40"/>
        <v>5</v>
      </c>
      <c r="H177" s="214">
        <f t="shared" si="41"/>
        <v>0</v>
      </c>
      <c r="I177" s="214">
        <f t="shared" si="48"/>
        <v>5</v>
      </c>
      <c r="J177" s="214">
        <f t="shared" si="42"/>
        <v>5</v>
      </c>
      <c r="K177" s="214">
        <f t="shared" si="43"/>
        <v>0</v>
      </c>
      <c r="L177" s="214"/>
      <c r="M177" s="214"/>
      <c r="N177" s="214">
        <f t="shared" si="53"/>
        <v>5</v>
      </c>
      <c r="O177" s="326">
        <v>5</v>
      </c>
      <c r="P177" s="214"/>
      <c r="Q177" s="239">
        <f t="shared" si="44"/>
        <v>0</v>
      </c>
      <c r="R177" s="214">
        <f t="shared" si="45"/>
        <v>0</v>
      </c>
      <c r="S177" s="214"/>
      <c r="T177" s="214"/>
      <c r="U177" s="239">
        <f t="shared" si="46"/>
        <v>0</v>
      </c>
      <c r="V177" s="214"/>
      <c r="W177" s="214"/>
      <c r="X177" s="214"/>
      <c r="Y177" s="214"/>
      <c r="Z177" s="214"/>
      <c r="AA177" s="214"/>
      <c r="AB177" s="214">
        <f t="shared" si="47"/>
        <v>0</v>
      </c>
      <c r="AC177" s="214"/>
      <c r="AD177" s="214"/>
      <c r="AE177" s="214"/>
      <c r="AF177" s="214">
        <f t="shared" si="37"/>
        <v>0</v>
      </c>
      <c r="AG177" s="214"/>
      <c r="AH177" s="214"/>
      <c r="AI177" s="214">
        <f t="shared" si="38"/>
        <v>0</v>
      </c>
      <c r="AJ177" s="214"/>
      <c r="AK177" s="214"/>
      <c r="AL177" s="214">
        <f t="shared" si="39"/>
        <v>100</v>
      </c>
      <c r="AM177" s="214"/>
      <c r="AN177" s="214">
        <f t="shared" si="52"/>
        <v>100</v>
      </c>
      <c r="AO177" s="194"/>
    </row>
    <row r="178" spans="1:41" ht="20.25" customHeight="1" x14ac:dyDescent="0.25">
      <c r="A178" s="329"/>
      <c r="B178" s="329" t="s">
        <v>356</v>
      </c>
      <c r="C178" s="214">
        <f t="shared" si="49"/>
        <v>5</v>
      </c>
      <c r="D178" s="313"/>
      <c r="E178" s="313">
        <v>5</v>
      </c>
      <c r="F178" s="313"/>
      <c r="G178" s="214">
        <f t="shared" si="40"/>
        <v>5</v>
      </c>
      <c r="H178" s="214">
        <f t="shared" si="41"/>
        <v>0</v>
      </c>
      <c r="I178" s="214">
        <f t="shared" si="48"/>
        <v>5</v>
      </c>
      <c r="J178" s="214">
        <f t="shared" si="42"/>
        <v>5</v>
      </c>
      <c r="K178" s="214">
        <f t="shared" si="43"/>
        <v>0</v>
      </c>
      <c r="L178" s="313"/>
      <c r="M178" s="313"/>
      <c r="N178" s="214">
        <f t="shared" si="53"/>
        <v>5</v>
      </c>
      <c r="O178" s="363">
        <v>5</v>
      </c>
      <c r="P178" s="313"/>
      <c r="Q178" s="239">
        <f t="shared" si="44"/>
        <v>0</v>
      </c>
      <c r="R178" s="214">
        <f t="shared" si="45"/>
        <v>0</v>
      </c>
      <c r="S178" s="313"/>
      <c r="T178" s="313"/>
      <c r="U178" s="239">
        <f t="shared" si="46"/>
        <v>0</v>
      </c>
      <c r="V178" s="313"/>
      <c r="W178" s="313"/>
      <c r="X178" s="313"/>
      <c r="Y178" s="313"/>
      <c r="Z178" s="313"/>
      <c r="AA178" s="313"/>
      <c r="AB178" s="214">
        <f t="shared" si="47"/>
        <v>0</v>
      </c>
      <c r="AC178" s="313"/>
      <c r="AD178" s="313"/>
      <c r="AE178" s="313"/>
      <c r="AF178" s="214">
        <f t="shared" si="37"/>
        <v>0</v>
      </c>
      <c r="AG178" s="313"/>
      <c r="AH178" s="313"/>
      <c r="AI178" s="214">
        <f t="shared" si="38"/>
        <v>0</v>
      </c>
      <c r="AJ178" s="313"/>
      <c r="AK178" s="313"/>
      <c r="AL178" s="214">
        <f t="shared" si="39"/>
        <v>100</v>
      </c>
      <c r="AM178" s="214"/>
      <c r="AN178" s="214">
        <f t="shared" si="52"/>
        <v>100</v>
      </c>
      <c r="AO178" s="329"/>
    </row>
    <row r="179" spans="1:41" ht="20.25" customHeight="1" x14ac:dyDescent="0.25">
      <c r="A179" s="330"/>
      <c r="B179" s="329" t="s">
        <v>555</v>
      </c>
      <c r="C179" s="214">
        <f t="shared" si="49"/>
        <v>5</v>
      </c>
      <c r="D179" s="313"/>
      <c r="E179" s="313">
        <v>5</v>
      </c>
      <c r="F179" s="313"/>
      <c r="G179" s="214">
        <f t="shared" si="40"/>
        <v>5</v>
      </c>
      <c r="H179" s="214">
        <f t="shared" si="41"/>
        <v>0</v>
      </c>
      <c r="I179" s="214">
        <f t="shared" si="48"/>
        <v>5</v>
      </c>
      <c r="J179" s="214">
        <f t="shared" si="42"/>
        <v>5</v>
      </c>
      <c r="K179" s="214">
        <f t="shared" si="43"/>
        <v>0</v>
      </c>
      <c r="L179" s="313"/>
      <c r="M179" s="313"/>
      <c r="N179" s="214">
        <f t="shared" si="53"/>
        <v>5</v>
      </c>
      <c r="O179" s="363">
        <v>5</v>
      </c>
      <c r="P179" s="313"/>
      <c r="Q179" s="239">
        <f t="shared" si="44"/>
        <v>0</v>
      </c>
      <c r="R179" s="214">
        <f t="shared" si="45"/>
        <v>0</v>
      </c>
      <c r="S179" s="313"/>
      <c r="T179" s="313"/>
      <c r="U179" s="239">
        <f t="shared" si="46"/>
        <v>0</v>
      </c>
      <c r="V179" s="313"/>
      <c r="W179" s="313"/>
      <c r="X179" s="313"/>
      <c r="Y179" s="313"/>
      <c r="Z179" s="313"/>
      <c r="AA179" s="313"/>
      <c r="AB179" s="214">
        <f t="shared" si="47"/>
        <v>0</v>
      </c>
      <c r="AC179" s="313"/>
      <c r="AD179" s="313"/>
      <c r="AE179" s="313"/>
      <c r="AF179" s="214">
        <f t="shared" si="37"/>
        <v>0</v>
      </c>
      <c r="AG179" s="313"/>
      <c r="AH179" s="313"/>
      <c r="AI179" s="214">
        <f t="shared" si="38"/>
        <v>0</v>
      </c>
      <c r="AJ179" s="313"/>
      <c r="AK179" s="313"/>
      <c r="AL179" s="214">
        <f t="shared" si="39"/>
        <v>100</v>
      </c>
      <c r="AM179" s="214"/>
      <c r="AN179" s="214">
        <f t="shared" si="52"/>
        <v>100</v>
      </c>
      <c r="AO179" s="329"/>
    </row>
    <row r="180" spans="1:41" ht="20.25" customHeight="1" x14ac:dyDescent="0.25">
      <c r="A180" s="329"/>
      <c r="B180" s="329" t="s">
        <v>556</v>
      </c>
      <c r="C180" s="214">
        <f t="shared" si="49"/>
        <v>5</v>
      </c>
      <c r="D180" s="313"/>
      <c r="E180" s="313">
        <v>5</v>
      </c>
      <c r="F180" s="313"/>
      <c r="G180" s="214">
        <f t="shared" si="40"/>
        <v>5</v>
      </c>
      <c r="H180" s="214">
        <f t="shared" si="41"/>
        <v>0</v>
      </c>
      <c r="I180" s="214">
        <f t="shared" si="48"/>
        <v>5</v>
      </c>
      <c r="J180" s="214">
        <f t="shared" si="42"/>
        <v>5</v>
      </c>
      <c r="K180" s="214">
        <f t="shared" si="43"/>
        <v>0</v>
      </c>
      <c r="L180" s="313"/>
      <c r="M180" s="313"/>
      <c r="N180" s="214">
        <f t="shared" si="53"/>
        <v>5</v>
      </c>
      <c r="O180" s="363">
        <v>5</v>
      </c>
      <c r="P180" s="313"/>
      <c r="Q180" s="239">
        <f t="shared" si="44"/>
        <v>0</v>
      </c>
      <c r="R180" s="214">
        <f t="shared" si="45"/>
        <v>0</v>
      </c>
      <c r="S180" s="313"/>
      <c r="T180" s="313"/>
      <c r="U180" s="239">
        <f t="shared" si="46"/>
        <v>0</v>
      </c>
      <c r="V180" s="313"/>
      <c r="W180" s="313"/>
      <c r="X180" s="313"/>
      <c r="Y180" s="313"/>
      <c r="Z180" s="313"/>
      <c r="AA180" s="313"/>
      <c r="AB180" s="214">
        <f t="shared" si="47"/>
        <v>0</v>
      </c>
      <c r="AC180" s="313"/>
      <c r="AD180" s="313"/>
      <c r="AE180" s="313"/>
      <c r="AF180" s="214">
        <f t="shared" si="37"/>
        <v>0</v>
      </c>
      <c r="AG180" s="313"/>
      <c r="AH180" s="313"/>
      <c r="AI180" s="214">
        <f t="shared" si="38"/>
        <v>0</v>
      </c>
      <c r="AJ180" s="313"/>
      <c r="AK180" s="313"/>
      <c r="AL180" s="214">
        <f t="shared" si="39"/>
        <v>100</v>
      </c>
      <c r="AM180" s="214"/>
      <c r="AN180" s="214">
        <f t="shared" si="52"/>
        <v>100</v>
      </c>
      <c r="AO180" s="329"/>
    </row>
    <row r="181" spans="1:41" ht="20.25" customHeight="1" x14ac:dyDescent="0.25">
      <c r="A181" s="329"/>
      <c r="B181" s="329" t="s">
        <v>557</v>
      </c>
      <c r="C181" s="214">
        <f t="shared" si="49"/>
        <v>5</v>
      </c>
      <c r="D181" s="313"/>
      <c r="E181" s="313">
        <v>5</v>
      </c>
      <c r="F181" s="313"/>
      <c r="G181" s="214">
        <f t="shared" si="40"/>
        <v>3.7330000000000001</v>
      </c>
      <c r="H181" s="214">
        <f t="shared" si="41"/>
        <v>0</v>
      </c>
      <c r="I181" s="214">
        <f t="shared" si="48"/>
        <v>3.7330000000000001</v>
      </c>
      <c r="J181" s="214">
        <f t="shared" si="42"/>
        <v>3.7330000000000001</v>
      </c>
      <c r="K181" s="214">
        <f t="shared" si="43"/>
        <v>0</v>
      </c>
      <c r="L181" s="313"/>
      <c r="M181" s="313"/>
      <c r="N181" s="214">
        <f t="shared" si="53"/>
        <v>3.7330000000000001</v>
      </c>
      <c r="O181" s="363">
        <v>3.7330000000000001</v>
      </c>
      <c r="P181" s="313"/>
      <c r="Q181" s="239">
        <f t="shared" si="44"/>
        <v>0</v>
      </c>
      <c r="R181" s="214">
        <f t="shared" si="45"/>
        <v>0</v>
      </c>
      <c r="S181" s="313"/>
      <c r="T181" s="313"/>
      <c r="U181" s="239">
        <f t="shared" si="46"/>
        <v>0</v>
      </c>
      <c r="V181" s="313"/>
      <c r="W181" s="313"/>
      <c r="X181" s="313"/>
      <c r="Y181" s="313"/>
      <c r="Z181" s="313"/>
      <c r="AA181" s="313"/>
      <c r="AB181" s="214">
        <f t="shared" si="47"/>
        <v>0</v>
      </c>
      <c r="AC181" s="313"/>
      <c r="AD181" s="313"/>
      <c r="AE181" s="313"/>
      <c r="AF181" s="214">
        <f t="shared" si="37"/>
        <v>0</v>
      </c>
      <c r="AG181" s="313"/>
      <c r="AH181" s="313"/>
      <c r="AI181" s="214">
        <f t="shared" si="38"/>
        <v>0</v>
      </c>
      <c r="AJ181" s="313"/>
      <c r="AK181" s="313"/>
      <c r="AL181" s="214">
        <f t="shared" si="39"/>
        <v>74.66</v>
      </c>
      <c r="AM181" s="214"/>
      <c r="AN181" s="214">
        <f t="shared" si="52"/>
        <v>74.66</v>
      </c>
      <c r="AO181" s="329"/>
    </row>
    <row r="182" spans="1:41" ht="20.25" customHeight="1" x14ac:dyDescent="0.25">
      <c r="A182" s="329"/>
      <c r="B182" s="329" t="s">
        <v>558</v>
      </c>
      <c r="C182" s="214">
        <f t="shared" si="49"/>
        <v>5</v>
      </c>
      <c r="D182" s="313"/>
      <c r="E182" s="313">
        <v>5</v>
      </c>
      <c r="F182" s="313"/>
      <c r="G182" s="214">
        <f t="shared" si="40"/>
        <v>5</v>
      </c>
      <c r="H182" s="214">
        <f t="shared" si="41"/>
        <v>0</v>
      </c>
      <c r="I182" s="214">
        <f t="shared" si="48"/>
        <v>5</v>
      </c>
      <c r="J182" s="214">
        <f t="shared" si="42"/>
        <v>5</v>
      </c>
      <c r="K182" s="214">
        <f t="shared" si="43"/>
        <v>0</v>
      </c>
      <c r="L182" s="313"/>
      <c r="M182" s="313"/>
      <c r="N182" s="214">
        <f t="shared" si="53"/>
        <v>5</v>
      </c>
      <c r="O182" s="363">
        <v>5</v>
      </c>
      <c r="P182" s="313"/>
      <c r="Q182" s="239">
        <f t="shared" si="44"/>
        <v>0</v>
      </c>
      <c r="R182" s="214">
        <f t="shared" si="45"/>
        <v>0</v>
      </c>
      <c r="S182" s="313"/>
      <c r="T182" s="313"/>
      <c r="U182" s="239">
        <f t="shared" si="46"/>
        <v>0</v>
      </c>
      <c r="V182" s="313"/>
      <c r="W182" s="313"/>
      <c r="X182" s="313"/>
      <c r="Y182" s="313"/>
      <c r="Z182" s="313"/>
      <c r="AA182" s="313"/>
      <c r="AB182" s="214">
        <f t="shared" si="47"/>
        <v>0</v>
      </c>
      <c r="AC182" s="313"/>
      <c r="AD182" s="313"/>
      <c r="AE182" s="313"/>
      <c r="AF182" s="214">
        <f t="shared" si="37"/>
        <v>0</v>
      </c>
      <c r="AG182" s="313"/>
      <c r="AH182" s="313"/>
      <c r="AI182" s="214">
        <f t="shared" si="38"/>
        <v>0</v>
      </c>
      <c r="AJ182" s="313"/>
      <c r="AK182" s="313"/>
      <c r="AL182" s="214">
        <f t="shared" si="39"/>
        <v>100</v>
      </c>
      <c r="AM182" s="214"/>
      <c r="AN182" s="214">
        <f t="shared" si="52"/>
        <v>100</v>
      </c>
      <c r="AO182" s="329"/>
    </row>
    <row r="183" spans="1:41" ht="20.25" customHeight="1" x14ac:dyDescent="0.25">
      <c r="A183" s="329"/>
      <c r="B183" s="329" t="s">
        <v>559</v>
      </c>
      <c r="C183" s="214">
        <f t="shared" si="49"/>
        <v>5</v>
      </c>
      <c r="D183" s="313"/>
      <c r="E183" s="313">
        <v>5</v>
      </c>
      <c r="F183" s="313"/>
      <c r="G183" s="214">
        <f t="shared" si="40"/>
        <v>0</v>
      </c>
      <c r="H183" s="214">
        <f t="shared" si="41"/>
        <v>0</v>
      </c>
      <c r="I183" s="214">
        <f t="shared" si="48"/>
        <v>0</v>
      </c>
      <c r="J183" s="214">
        <f t="shared" si="42"/>
        <v>0</v>
      </c>
      <c r="K183" s="214">
        <f t="shared" si="43"/>
        <v>0</v>
      </c>
      <c r="L183" s="313"/>
      <c r="M183" s="313"/>
      <c r="N183" s="214">
        <f t="shared" si="53"/>
        <v>0</v>
      </c>
      <c r="O183" s="363"/>
      <c r="P183" s="313"/>
      <c r="Q183" s="239">
        <f t="shared" si="44"/>
        <v>0</v>
      </c>
      <c r="R183" s="214">
        <f t="shared" si="45"/>
        <v>0</v>
      </c>
      <c r="S183" s="313"/>
      <c r="T183" s="313"/>
      <c r="U183" s="239">
        <f t="shared" si="46"/>
        <v>0</v>
      </c>
      <c r="V183" s="313"/>
      <c r="W183" s="313"/>
      <c r="X183" s="313"/>
      <c r="Y183" s="313"/>
      <c r="Z183" s="313"/>
      <c r="AA183" s="313"/>
      <c r="AB183" s="214">
        <f t="shared" si="47"/>
        <v>0</v>
      </c>
      <c r="AC183" s="313"/>
      <c r="AD183" s="313"/>
      <c r="AE183" s="313"/>
      <c r="AF183" s="214">
        <f t="shared" si="37"/>
        <v>0</v>
      </c>
      <c r="AG183" s="313"/>
      <c r="AH183" s="313"/>
      <c r="AI183" s="214">
        <f t="shared" si="38"/>
        <v>0</v>
      </c>
      <c r="AJ183" s="313"/>
      <c r="AK183" s="313"/>
      <c r="AL183" s="214">
        <f t="shared" si="39"/>
        <v>0</v>
      </c>
      <c r="AM183" s="214"/>
      <c r="AN183" s="214">
        <f t="shared" si="52"/>
        <v>0</v>
      </c>
      <c r="AO183" s="329"/>
    </row>
    <row r="184" spans="1:41" ht="20.25" customHeight="1" x14ac:dyDescent="0.25">
      <c r="A184" s="329"/>
      <c r="B184" s="329" t="s">
        <v>803</v>
      </c>
      <c r="C184" s="214">
        <f t="shared" si="49"/>
        <v>5</v>
      </c>
      <c r="D184" s="313"/>
      <c r="E184" s="313">
        <v>5</v>
      </c>
      <c r="F184" s="313"/>
      <c r="G184" s="214">
        <f t="shared" si="40"/>
        <v>5</v>
      </c>
      <c r="H184" s="214">
        <f t="shared" si="41"/>
        <v>0</v>
      </c>
      <c r="I184" s="214">
        <f t="shared" si="48"/>
        <v>5</v>
      </c>
      <c r="J184" s="214">
        <f t="shared" si="42"/>
        <v>5</v>
      </c>
      <c r="K184" s="214">
        <f t="shared" si="43"/>
        <v>0</v>
      </c>
      <c r="L184" s="313"/>
      <c r="M184" s="313"/>
      <c r="N184" s="214">
        <f t="shared" si="53"/>
        <v>5</v>
      </c>
      <c r="O184" s="363">
        <v>5</v>
      </c>
      <c r="P184" s="313"/>
      <c r="Q184" s="239">
        <f t="shared" si="44"/>
        <v>0</v>
      </c>
      <c r="R184" s="214">
        <f t="shared" si="45"/>
        <v>0</v>
      </c>
      <c r="S184" s="313"/>
      <c r="T184" s="313"/>
      <c r="U184" s="239">
        <f t="shared" si="46"/>
        <v>0</v>
      </c>
      <c r="V184" s="313"/>
      <c r="W184" s="313"/>
      <c r="X184" s="313"/>
      <c r="Y184" s="313"/>
      <c r="Z184" s="313"/>
      <c r="AA184" s="313"/>
      <c r="AB184" s="214">
        <f t="shared" si="47"/>
        <v>0</v>
      </c>
      <c r="AC184" s="313"/>
      <c r="AD184" s="313"/>
      <c r="AE184" s="313"/>
      <c r="AF184" s="214">
        <f t="shared" si="37"/>
        <v>0</v>
      </c>
      <c r="AG184" s="313"/>
      <c r="AH184" s="313"/>
      <c r="AI184" s="214">
        <f t="shared" si="38"/>
        <v>0</v>
      </c>
      <c r="AJ184" s="313"/>
      <c r="AK184" s="313"/>
      <c r="AL184" s="214">
        <f t="shared" si="39"/>
        <v>100</v>
      </c>
      <c r="AM184" s="214"/>
      <c r="AN184" s="214">
        <f t="shared" si="52"/>
        <v>100</v>
      </c>
      <c r="AO184" s="329"/>
    </row>
    <row r="185" spans="1:41" ht="20.25" customHeight="1" x14ac:dyDescent="0.25">
      <c r="A185" s="329"/>
      <c r="B185" s="329" t="s">
        <v>560</v>
      </c>
      <c r="C185" s="214">
        <f t="shared" si="49"/>
        <v>5</v>
      </c>
      <c r="D185" s="313"/>
      <c r="E185" s="313">
        <v>5</v>
      </c>
      <c r="F185" s="313"/>
      <c r="G185" s="214">
        <f t="shared" si="40"/>
        <v>5</v>
      </c>
      <c r="H185" s="214">
        <f t="shared" si="41"/>
        <v>0</v>
      </c>
      <c r="I185" s="214">
        <f t="shared" si="48"/>
        <v>5</v>
      </c>
      <c r="J185" s="214">
        <f t="shared" si="42"/>
        <v>5</v>
      </c>
      <c r="K185" s="214">
        <f t="shared" si="43"/>
        <v>0</v>
      </c>
      <c r="L185" s="313"/>
      <c r="M185" s="313"/>
      <c r="N185" s="214">
        <f t="shared" si="53"/>
        <v>5</v>
      </c>
      <c r="O185" s="363">
        <v>5</v>
      </c>
      <c r="P185" s="313"/>
      <c r="Q185" s="239">
        <f t="shared" si="44"/>
        <v>0</v>
      </c>
      <c r="R185" s="214">
        <f t="shared" si="45"/>
        <v>0</v>
      </c>
      <c r="S185" s="313"/>
      <c r="T185" s="313"/>
      <c r="U185" s="239">
        <f t="shared" si="46"/>
        <v>0</v>
      </c>
      <c r="V185" s="313"/>
      <c r="W185" s="313"/>
      <c r="X185" s="313"/>
      <c r="Y185" s="313"/>
      <c r="Z185" s="313"/>
      <c r="AA185" s="313"/>
      <c r="AB185" s="214">
        <f t="shared" si="47"/>
        <v>0</v>
      </c>
      <c r="AC185" s="313"/>
      <c r="AD185" s="313"/>
      <c r="AE185" s="313"/>
      <c r="AF185" s="214">
        <f t="shared" si="37"/>
        <v>0</v>
      </c>
      <c r="AG185" s="313"/>
      <c r="AH185" s="313"/>
      <c r="AI185" s="214">
        <f t="shared" si="38"/>
        <v>0</v>
      </c>
      <c r="AJ185" s="313"/>
      <c r="AK185" s="313"/>
      <c r="AL185" s="214">
        <f t="shared" si="39"/>
        <v>100</v>
      </c>
      <c r="AM185" s="214"/>
      <c r="AN185" s="214">
        <f t="shared" si="52"/>
        <v>100</v>
      </c>
      <c r="AO185" s="329"/>
    </row>
    <row r="186" spans="1:41" s="309" customFormat="1" ht="20.25" customHeight="1" x14ac:dyDescent="0.25">
      <c r="A186" s="331" t="s">
        <v>1495</v>
      </c>
      <c r="B186" s="331" t="s">
        <v>170</v>
      </c>
      <c r="C186" s="307">
        <f>C187+C205+C222+C204</f>
        <v>8626.1064220000007</v>
      </c>
      <c r="D186" s="307">
        <f>D187+D205+D222+D204</f>
        <v>4967.1461899999995</v>
      </c>
      <c r="E186" s="307">
        <f>E187+E205+E222+E204</f>
        <v>3658.9602319999999</v>
      </c>
      <c r="F186" s="307">
        <f>F187+F205+F222+F204</f>
        <v>0</v>
      </c>
      <c r="G186" s="307">
        <f>G187+G205+G222+G204</f>
        <v>7743.9723150000009</v>
      </c>
      <c r="H186" s="307">
        <f t="shared" ref="H186:AK186" si="56">H187+H205+H222+H204</f>
        <v>4380.5757190000004</v>
      </c>
      <c r="I186" s="307">
        <f t="shared" si="56"/>
        <v>3363.3965959999996</v>
      </c>
      <c r="J186" s="307">
        <f t="shared" si="56"/>
        <v>0</v>
      </c>
      <c r="K186" s="307">
        <f t="shared" si="56"/>
        <v>0</v>
      </c>
      <c r="L186" s="307">
        <f t="shared" si="56"/>
        <v>0</v>
      </c>
      <c r="M186" s="307">
        <f t="shared" si="56"/>
        <v>0</v>
      </c>
      <c r="N186" s="307">
        <f t="shared" si="56"/>
        <v>0</v>
      </c>
      <c r="O186" s="356">
        <f t="shared" si="56"/>
        <v>0</v>
      </c>
      <c r="P186" s="307">
        <f t="shared" si="56"/>
        <v>0</v>
      </c>
      <c r="Q186" s="242">
        <f t="shared" si="56"/>
        <v>3181.5636589999995</v>
      </c>
      <c r="R186" s="307">
        <f t="shared" si="56"/>
        <v>0</v>
      </c>
      <c r="S186" s="307">
        <f t="shared" si="56"/>
        <v>0</v>
      </c>
      <c r="T186" s="307">
        <f t="shared" si="56"/>
        <v>0</v>
      </c>
      <c r="U186" s="242">
        <f t="shared" si="56"/>
        <v>3181.5636589999995</v>
      </c>
      <c r="V186" s="307">
        <f t="shared" si="56"/>
        <v>3181.5636589999995</v>
      </c>
      <c r="W186" s="307">
        <f t="shared" si="56"/>
        <v>0</v>
      </c>
      <c r="X186" s="307">
        <f t="shared" si="56"/>
        <v>0</v>
      </c>
      <c r="Y186" s="307">
        <f t="shared" si="56"/>
        <v>0</v>
      </c>
      <c r="Z186" s="307">
        <f t="shared" si="56"/>
        <v>0</v>
      </c>
      <c r="AA186" s="307">
        <f t="shared" si="56"/>
        <v>0</v>
      </c>
      <c r="AB186" s="307">
        <f t="shared" si="56"/>
        <v>0</v>
      </c>
      <c r="AC186" s="307">
        <f t="shared" si="56"/>
        <v>0</v>
      </c>
      <c r="AD186" s="307">
        <f t="shared" si="56"/>
        <v>0</v>
      </c>
      <c r="AE186" s="307">
        <f t="shared" si="56"/>
        <v>4562.4086560000005</v>
      </c>
      <c r="AF186" s="307">
        <f t="shared" si="56"/>
        <v>4380.5757190000004</v>
      </c>
      <c r="AG186" s="307">
        <f t="shared" si="56"/>
        <v>0</v>
      </c>
      <c r="AH186" s="307">
        <f t="shared" si="56"/>
        <v>0</v>
      </c>
      <c r="AI186" s="307">
        <f t="shared" si="56"/>
        <v>181.83293700000002</v>
      </c>
      <c r="AJ186" s="307">
        <f t="shared" si="56"/>
        <v>181.83293700000002</v>
      </c>
      <c r="AK186" s="307">
        <f t="shared" si="56"/>
        <v>0</v>
      </c>
      <c r="AL186" s="308">
        <f t="shared" si="39"/>
        <v>89.773670021619409</v>
      </c>
      <c r="AM186" s="308"/>
      <c r="AN186" s="308">
        <f t="shared" si="52"/>
        <v>91.922195999423479</v>
      </c>
      <c r="AO186" s="215">
        <f>AO187+AO205+AO222</f>
        <v>0</v>
      </c>
    </row>
    <row r="187" spans="1:41" s="297" customFormat="1" ht="20.25" customHeight="1" x14ac:dyDescent="0.25">
      <c r="A187" s="332"/>
      <c r="B187" s="332" t="s">
        <v>804</v>
      </c>
      <c r="C187" s="308">
        <f t="shared" si="49"/>
        <v>624</v>
      </c>
      <c r="D187" s="333"/>
      <c r="E187" s="333">
        <f>SUM(E188:E203)</f>
        <v>624</v>
      </c>
      <c r="F187" s="333">
        <f t="shared" ref="F187:W187" si="57">SUM(F188:F203)</f>
        <v>0</v>
      </c>
      <c r="G187" s="334">
        <f t="shared" si="40"/>
        <v>553.27965000000006</v>
      </c>
      <c r="H187" s="308">
        <f t="shared" si="41"/>
        <v>0</v>
      </c>
      <c r="I187" s="308">
        <f t="shared" si="48"/>
        <v>553.27965000000006</v>
      </c>
      <c r="J187" s="308">
        <f t="shared" si="42"/>
        <v>0</v>
      </c>
      <c r="K187" s="308">
        <f t="shared" si="43"/>
        <v>0</v>
      </c>
      <c r="L187" s="333">
        <f t="shared" si="57"/>
        <v>0</v>
      </c>
      <c r="M187" s="333">
        <f t="shared" si="57"/>
        <v>0</v>
      </c>
      <c r="N187" s="333">
        <f t="shared" si="57"/>
        <v>0</v>
      </c>
      <c r="O187" s="364">
        <f t="shared" si="57"/>
        <v>0</v>
      </c>
      <c r="P187" s="333">
        <f t="shared" si="57"/>
        <v>0</v>
      </c>
      <c r="Q187" s="240">
        <f>R187+U187</f>
        <v>553.27965000000006</v>
      </c>
      <c r="R187" s="308">
        <f t="shared" si="45"/>
        <v>0</v>
      </c>
      <c r="S187" s="333">
        <f t="shared" si="57"/>
        <v>0</v>
      </c>
      <c r="T187" s="333">
        <f t="shared" si="57"/>
        <v>0</v>
      </c>
      <c r="U187" s="240">
        <f>V187+W187</f>
        <v>553.27965000000006</v>
      </c>
      <c r="V187" s="333">
        <f>SUM(V188:V203)</f>
        <v>553.27965000000006</v>
      </c>
      <c r="W187" s="333">
        <f t="shared" si="57"/>
        <v>0</v>
      </c>
      <c r="X187" s="333"/>
      <c r="Y187" s="333"/>
      <c r="Z187" s="333"/>
      <c r="AA187" s="333"/>
      <c r="AB187" s="308">
        <f t="shared" si="47"/>
        <v>0</v>
      </c>
      <c r="AC187" s="333"/>
      <c r="AD187" s="333"/>
      <c r="AE187" s="333"/>
      <c r="AF187" s="308">
        <f t="shared" si="37"/>
        <v>0</v>
      </c>
      <c r="AG187" s="333"/>
      <c r="AH187" s="333"/>
      <c r="AI187" s="308">
        <f t="shared" si="38"/>
        <v>0</v>
      </c>
      <c r="AJ187" s="333"/>
      <c r="AK187" s="333"/>
      <c r="AL187" s="308">
        <f t="shared" si="39"/>
        <v>88.666610576923077</v>
      </c>
      <c r="AM187" s="308"/>
      <c r="AN187" s="308">
        <f t="shared" si="52"/>
        <v>88.666610576923077</v>
      </c>
      <c r="AO187" s="332"/>
    </row>
    <row r="188" spans="1:41" ht="20.25" customHeight="1" x14ac:dyDescent="0.25">
      <c r="A188" s="329"/>
      <c r="B188" s="329" t="s">
        <v>344</v>
      </c>
      <c r="C188" s="214">
        <f t="shared" si="49"/>
        <v>30</v>
      </c>
      <c r="D188" s="313"/>
      <c r="E188" s="313">
        <v>30</v>
      </c>
      <c r="F188" s="313"/>
      <c r="G188" s="214">
        <f t="shared" si="40"/>
        <v>0</v>
      </c>
      <c r="H188" s="214">
        <f t="shared" si="41"/>
        <v>0</v>
      </c>
      <c r="I188" s="214">
        <f t="shared" si="48"/>
        <v>0</v>
      </c>
      <c r="J188" s="214">
        <f t="shared" si="42"/>
        <v>0</v>
      </c>
      <c r="K188" s="214">
        <f t="shared" si="43"/>
        <v>0</v>
      </c>
      <c r="L188" s="313"/>
      <c r="M188" s="313"/>
      <c r="N188" s="313"/>
      <c r="O188" s="363"/>
      <c r="P188" s="313"/>
      <c r="Q188" s="239">
        <f t="shared" si="44"/>
        <v>0</v>
      </c>
      <c r="R188" s="214">
        <f t="shared" si="45"/>
        <v>0</v>
      </c>
      <c r="S188" s="313"/>
      <c r="T188" s="313"/>
      <c r="U188" s="239">
        <f t="shared" si="46"/>
        <v>0</v>
      </c>
      <c r="V188" s="313">
        <v>0</v>
      </c>
      <c r="W188" s="313"/>
      <c r="X188" s="313"/>
      <c r="Y188" s="313"/>
      <c r="Z188" s="313"/>
      <c r="AA188" s="313"/>
      <c r="AB188" s="214">
        <f t="shared" si="47"/>
        <v>0</v>
      </c>
      <c r="AC188" s="313"/>
      <c r="AD188" s="313"/>
      <c r="AE188" s="313"/>
      <c r="AF188" s="214">
        <f t="shared" si="37"/>
        <v>0</v>
      </c>
      <c r="AG188" s="313"/>
      <c r="AH188" s="313"/>
      <c r="AI188" s="214">
        <f t="shared" si="38"/>
        <v>0</v>
      </c>
      <c r="AJ188" s="313"/>
      <c r="AK188" s="313"/>
      <c r="AL188" s="214">
        <f t="shared" si="39"/>
        <v>0</v>
      </c>
      <c r="AM188" s="214"/>
      <c r="AN188" s="214">
        <f t="shared" si="52"/>
        <v>0</v>
      </c>
      <c r="AO188" s="329"/>
    </row>
    <row r="189" spans="1:41" ht="20.25" customHeight="1" x14ac:dyDescent="0.25">
      <c r="A189" s="329"/>
      <c r="B189" s="329" t="s">
        <v>347</v>
      </c>
      <c r="C189" s="214">
        <f t="shared" si="49"/>
        <v>43</v>
      </c>
      <c r="D189" s="313"/>
      <c r="E189" s="313">
        <v>43</v>
      </c>
      <c r="F189" s="313"/>
      <c r="G189" s="214">
        <f t="shared" si="40"/>
        <v>42.790922000000002</v>
      </c>
      <c r="H189" s="214">
        <f t="shared" si="41"/>
        <v>0</v>
      </c>
      <c r="I189" s="214">
        <f t="shared" si="48"/>
        <v>42.790922000000002</v>
      </c>
      <c r="J189" s="214">
        <f t="shared" si="42"/>
        <v>0</v>
      </c>
      <c r="K189" s="214">
        <f t="shared" si="43"/>
        <v>0</v>
      </c>
      <c r="L189" s="313"/>
      <c r="M189" s="313"/>
      <c r="N189" s="313"/>
      <c r="O189" s="363"/>
      <c r="P189" s="313"/>
      <c r="Q189" s="239">
        <f t="shared" si="44"/>
        <v>42.790922000000002</v>
      </c>
      <c r="R189" s="214">
        <f t="shared" si="45"/>
        <v>0</v>
      </c>
      <c r="S189" s="313"/>
      <c r="T189" s="313"/>
      <c r="U189" s="239">
        <f t="shared" si="46"/>
        <v>42.790922000000002</v>
      </c>
      <c r="V189" s="313">
        <v>42.790922000000002</v>
      </c>
      <c r="W189" s="313"/>
      <c r="X189" s="313"/>
      <c r="Y189" s="313"/>
      <c r="Z189" s="313"/>
      <c r="AA189" s="313"/>
      <c r="AB189" s="214">
        <f t="shared" si="47"/>
        <v>0</v>
      </c>
      <c r="AC189" s="313"/>
      <c r="AD189" s="313"/>
      <c r="AE189" s="313"/>
      <c r="AF189" s="214">
        <f t="shared" si="37"/>
        <v>0</v>
      </c>
      <c r="AG189" s="313"/>
      <c r="AH189" s="313"/>
      <c r="AI189" s="214">
        <f t="shared" si="38"/>
        <v>0</v>
      </c>
      <c r="AJ189" s="313"/>
      <c r="AK189" s="313"/>
      <c r="AL189" s="214">
        <f t="shared" si="39"/>
        <v>99.513772093023263</v>
      </c>
      <c r="AM189" s="214"/>
      <c r="AN189" s="214">
        <f t="shared" si="52"/>
        <v>99.513772093023263</v>
      </c>
      <c r="AO189" s="329"/>
    </row>
    <row r="190" spans="1:41" ht="20.25" customHeight="1" x14ac:dyDescent="0.25">
      <c r="A190" s="329"/>
      <c r="B190" s="329" t="s">
        <v>348</v>
      </c>
      <c r="C190" s="214">
        <f t="shared" si="49"/>
        <v>42</v>
      </c>
      <c r="D190" s="313"/>
      <c r="E190" s="313">
        <v>42</v>
      </c>
      <c r="F190" s="313"/>
      <c r="G190" s="214">
        <f t="shared" si="40"/>
        <v>41.612934000000003</v>
      </c>
      <c r="H190" s="214">
        <f t="shared" si="41"/>
        <v>0</v>
      </c>
      <c r="I190" s="214">
        <f t="shared" si="48"/>
        <v>41.612934000000003</v>
      </c>
      <c r="J190" s="214">
        <f t="shared" si="42"/>
        <v>0</v>
      </c>
      <c r="K190" s="214">
        <f t="shared" si="43"/>
        <v>0</v>
      </c>
      <c r="L190" s="313"/>
      <c r="M190" s="313"/>
      <c r="N190" s="313"/>
      <c r="O190" s="363"/>
      <c r="P190" s="313"/>
      <c r="Q190" s="239">
        <f t="shared" si="44"/>
        <v>41.612934000000003</v>
      </c>
      <c r="R190" s="214">
        <f t="shared" si="45"/>
        <v>0</v>
      </c>
      <c r="S190" s="313"/>
      <c r="T190" s="313"/>
      <c r="U190" s="239">
        <f t="shared" si="46"/>
        <v>41.612934000000003</v>
      </c>
      <c r="V190" s="313">
        <v>41.612934000000003</v>
      </c>
      <c r="W190" s="313"/>
      <c r="X190" s="313"/>
      <c r="Y190" s="313"/>
      <c r="Z190" s="313"/>
      <c r="AA190" s="313"/>
      <c r="AB190" s="214">
        <f t="shared" si="47"/>
        <v>0</v>
      </c>
      <c r="AC190" s="313"/>
      <c r="AD190" s="313"/>
      <c r="AE190" s="313"/>
      <c r="AF190" s="214">
        <f t="shared" si="37"/>
        <v>0</v>
      </c>
      <c r="AG190" s="313"/>
      <c r="AH190" s="313"/>
      <c r="AI190" s="214">
        <f t="shared" si="38"/>
        <v>0</v>
      </c>
      <c r="AJ190" s="313"/>
      <c r="AK190" s="313"/>
      <c r="AL190" s="214">
        <f t="shared" si="39"/>
        <v>99.078414285714302</v>
      </c>
      <c r="AM190" s="214"/>
      <c r="AN190" s="214">
        <f t="shared" si="52"/>
        <v>99.078414285714302</v>
      </c>
      <c r="AO190" s="329"/>
    </row>
    <row r="191" spans="1:41" ht="20.25" customHeight="1" x14ac:dyDescent="0.25">
      <c r="A191" s="329"/>
      <c r="B191" s="329" t="s">
        <v>349</v>
      </c>
      <c r="C191" s="214">
        <f t="shared" si="49"/>
        <v>35</v>
      </c>
      <c r="D191" s="313"/>
      <c r="E191" s="313">
        <v>35</v>
      </c>
      <c r="F191" s="313"/>
      <c r="G191" s="214">
        <f t="shared" si="40"/>
        <v>35</v>
      </c>
      <c r="H191" s="214">
        <f t="shared" si="41"/>
        <v>0</v>
      </c>
      <c r="I191" s="214">
        <f t="shared" si="48"/>
        <v>35</v>
      </c>
      <c r="J191" s="214">
        <f t="shared" si="42"/>
        <v>0</v>
      </c>
      <c r="K191" s="214">
        <f t="shared" si="43"/>
        <v>0</v>
      </c>
      <c r="L191" s="313"/>
      <c r="M191" s="313"/>
      <c r="N191" s="313"/>
      <c r="O191" s="363"/>
      <c r="P191" s="313"/>
      <c r="Q191" s="239">
        <f t="shared" si="44"/>
        <v>35</v>
      </c>
      <c r="R191" s="214">
        <f t="shared" si="45"/>
        <v>0</v>
      </c>
      <c r="S191" s="313"/>
      <c r="T191" s="313"/>
      <c r="U191" s="239">
        <f t="shared" si="46"/>
        <v>35</v>
      </c>
      <c r="V191" s="313">
        <v>35</v>
      </c>
      <c r="W191" s="313"/>
      <c r="X191" s="313"/>
      <c r="Y191" s="313"/>
      <c r="Z191" s="313"/>
      <c r="AA191" s="313"/>
      <c r="AB191" s="214">
        <f t="shared" si="47"/>
        <v>0</v>
      </c>
      <c r="AC191" s="313"/>
      <c r="AD191" s="313"/>
      <c r="AE191" s="313"/>
      <c r="AF191" s="214">
        <f t="shared" si="37"/>
        <v>0</v>
      </c>
      <c r="AG191" s="313"/>
      <c r="AH191" s="313"/>
      <c r="AI191" s="214">
        <f t="shared" si="38"/>
        <v>0</v>
      </c>
      <c r="AJ191" s="313"/>
      <c r="AK191" s="313"/>
      <c r="AL191" s="214">
        <f t="shared" si="39"/>
        <v>100</v>
      </c>
      <c r="AM191" s="214"/>
      <c r="AN191" s="214">
        <f t="shared" si="52"/>
        <v>100</v>
      </c>
      <c r="AO191" s="329"/>
    </row>
    <row r="192" spans="1:41" ht="20.25" customHeight="1" x14ac:dyDescent="0.25">
      <c r="A192" s="329"/>
      <c r="B192" s="329" t="s">
        <v>351</v>
      </c>
      <c r="C192" s="214">
        <f t="shared" si="49"/>
        <v>43</v>
      </c>
      <c r="D192" s="313"/>
      <c r="E192" s="313">
        <v>43</v>
      </c>
      <c r="F192" s="313"/>
      <c r="G192" s="214">
        <f t="shared" si="40"/>
        <v>43</v>
      </c>
      <c r="H192" s="214">
        <f t="shared" si="41"/>
        <v>0</v>
      </c>
      <c r="I192" s="214">
        <f t="shared" si="48"/>
        <v>43</v>
      </c>
      <c r="J192" s="214">
        <f t="shared" si="42"/>
        <v>0</v>
      </c>
      <c r="K192" s="214">
        <f t="shared" si="43"/>
        <v>0</v>
      </c>
      <c r="L192" s="313"/>
      <c r="M192" s="313"/>
      <c r="N192" s="313"/>
      <c r="O192" s="363"/>
      <c r="P192" s="313"/>
      <c r="Q192" s="239">
        <f t="shared" si="44"/>
        <v>43</v>
      </c>
      <c r="R192" s="214">
        <f t="shared" si="45"/>
        <v>0</v>
      </c>
      <c r="S192" s="313"/>
      <c r="T192" s="313"/>
      <c r="U192" s="239">
        <f t="shared" si="46"/>
        <v>43</v>
      </c>
      <c r="V192" s="313">
        <v>43</v>
      </c>
      <c r="W192" s="313"/>
      <c r="X192" s="313"/>
      <c r="Y192" s="313"/>
      <c r="Z192" s="313"/>
      <c r="AA192" s="313"/>
      <c r="AB192" s="214">
        <f t="shared" si="47"/>
        <v>0</v>
      </c>
      <c r="AC192" s="313"/>
      <c r="AD192" s="313"/>
      <c r="AE192" s="313"/>
      <c r="AF192" s="214">
        <f t="shared" si="37"/>
        <v>0</v>
      </c>
      <c r="AG192" s="313"/>
      <c r="AH192" s="313"/>
      <c r="AI192" s="214">
        <f t="shared" si="38"/>
        <v>0</v>
      </c>
      <c r="AJ192" s="313"/>
      <c r="AK192" s="313"/>
      <c r="AL192" s="214">
        <f t="shared" si="39"/>
        <v>100</v>
      </c>
      <c r="AM192" s="214"/>
      <c r="AN192" s="214">
        <f t="shared" si="52"/>
        <v>100</v>
      </c>
      <c r="AO192" s="329"/>
    </row>
    <row r="193" spans="1:41" ht="20.25" customHeight="1" x14ac:dyDescent="0.25">
      <c r="A193" s="329"/>
      <c r="B193" s="329" t="s">
        <v>352</v>
      </c>
      <c r="C193" s="214">
        <f t="shared" si="49"/>
        <v>37</v>
      </c>
      <c r="D193" s="313"/>
      <c r="E193" s="313">
        <v>37</v>
      </c>
      <c r="F193" s="313"/>
      <c r="G193" s="214">
        <f t="shared" si="40"/>
        <v>37</v>
      </c>
      <c r="H193" s="214">
        <f t="shared" si="41"/>
        <v>0</v>
      </c>
      <c r="I193" s="214">
        <f t="shared" si="48"/>
        <v>37</v>
      </c>
      <c r="J193" s="214">
        <f t="shared" si="42"/>
        <v>0</v>
      </c>
      <c r="K193" s="214">
        <f t="shared" si="43"/>
        <v>0</v>
      </c>
      <c r="L193" s="313"/>
      <c r="M193" s="313"/>
      <c r="N193" s="313"/>
      <c r="O193" s="363"/>
      <c r="P193" s="313"/>
      <c r="Q193" s="239">
        <f t="shared" si="44"/>
        <v>37</v>
      </c>
      <c r="R193" s="214">
        <f t="shared" si="45"/>
        <v>0</v>
      </c>
      <c r="S193" s="313"/>
      <c r="T193" s="313"/>
      <c r="U193" s="239">
        <f t="shared" si="46"/>
        <v>37</v>
      </c>
      <c r="V193" s="313">
        <v>37</v>
      </c>
      <c r="W193" s="313"/>
      <c r="X193" s="313"/>
      <c r="Y193" s="313"/>
      <c r="Z193" s="313"/>
      <c r="AA193" s="313"/>
      <c r="AB193" s="214">
        <f t="shared" si="47"/>
        <v>0</v>
      </c>
      <c r="AC193" s="313"/>
      <c r="AD193" s="313"/>
      <c r="AE193" s="313"/>
      <c r="AF193" s="214">
        <f t="shared" si="37"/>
        <v>0</v>
      </c>
      <c r="AG193" s="313"/>
      <c r="AH193" s="313"/>
      <c r="AI193" s="214">
        <f t="shared" si="38"/>
        <v>0</v>
      </c>
      <c r="AJ193" s="313"/>
      <c r="AK193" s="313"/>
      <c r="AL193" s="214">
        <f t="shared" si="39"/>
        <v>100</v>
      </c>
      <c r="AM193" s="214"/>
      <c r="AN193" s="214">
        <f t="shared" si="52"/>
        <v>100</v>
      </c>
      <c r="AO193" s="329"/>
    </row>
    <row r="194" spans="1:41" ht="20.25" customHeight="1" x14ac:dyDescent="0.25">
      <c r="A194" s="329"/>
      <c r="B194" s="329" t="s">
        <v>353</v>
      </c>
      <c r="C194" s="214">
        <f t="shared" si="49"/>
        <v>50</v>
      </c>
      <c r="D194" s="313"/>
      <c r="E194" s="313">
        <v>50</v>
      </c>
      <c r="F194" s="313"/>
      <c r="G194" s="214">
        <f t="shared" si="40"/>
        <v>50</v>
      </c>
      <c r="H194" s="214">
        <f t="shared" si="41"/>
        <v>0</v>
      </c>
      <c r="I194" s="214">
        <f t="shared" si="48"/>
        <v>50</v>
      </c>
      <c r="J194" s="214">
        <f t="shared" si="42"/>
        <v>0</v>
      </c>
      <c r="K194" s="214">
        <f t="shared" si="43"/>
        <v>0</v>
      </c>
      <c r="L194" s="313"/>
      <c r="M194" s="313"/>
      <c r="N194" s="313"/>
      <c r="O194" s="363"/>
      <c r="P194" s="313"/>
      <c r="Q194" s="239">
        <f t="shared" si="44"/>
        <v>50</v>
      </c>
      <c r="R194" s="214">
        <f t="shared" si="45"/>
        <v>0</v>
      </c>
      <c r="S194" s="313"/>
      <c r="T194" s="313"/>
      <c r="U194" s="239">
        <f t="shared" si="46"/>
        <v>50</v>
      </c>
      <c r="V194" s="313">
        <v>50</v>
      </c>
      <c r="W194" s="313"/>
      <c r="X194" s="313"/>
      <c r="Y194" s="313"/>
      <c r="Z194" s="313"/>
      <c r="AA194" s="313"/>
      <c r="AB194" s="214">
        <f t="shared" si="47"/>
        <v>0</v>
      </c>
      <c r="AC194" s="313"/>
      <c r="AD194" s="313"/>
      <c r="AE194" s="313"/>
      <c r="AF194" s="214">
        <f t="shared" si="37"/>
        <v>0</v>
      </c>
      <c r="AG194" s="313"/>
      <c r="AH194" s="313"/>
      <c r="AI194" s="214">
        <f t="shared" si="38"/>
        <v>0</v>
      </c>
      <c r="AJ194" s="313"/>
      <c r="AK194" s="313"/>
      <c r="AL194" s="214">
        <f t="shared" si="39"/>
        <v>100</v>
      </c>
      <c r="AM194" s="214"/>
      <c r="AN194" s="214">
        <f t="shared" si="52"/>
        <v>100</v>
      </c>
      <c r="AO194" s="329"/>
    </row>
    <row r="195" spans="1:41" ht="20.25" customHeight="1" x14ac:dyDescent="0.25">
      <c r="A195" s="329"/>
      <c r="B195" s="329" t="s">
        <v>354</v>
      </c>
      <c r="C195" s="214">
        <f t="shared" si="49"/>
        <v>40</v>
      </c>
      <c r="D195" s="313"/>
      <c r="E195" s="313">
        <v>40</v>
      </c>
      <c r="F195" s="313"/>
      <c r="G195" s="214">
        <f t="shared" si="40"/>
        <v>40</v>
      </c>
      <c r="H195" s="214">
        <f t="shared" si="41"/>
        <v>0</v>
      </c>
      <c r="I195" s="214">
        <f t="shared" si="48"/>
        <v>40</v>
      </c>
      <c r="J195" s="214">
        <f t="shared" si="42"/>
        <v>0</v>
      </c>
      <c r="K195" s="214">
        <f t="shared" si="43"/>
        <v>0</v>
      </c>
      <c r="L195" s="313"/>
      <c r="M195" s="313"/>
      <c r="N195" s="313"/>
      <c r="O195" s="363"/>
      <c r="P195" s="313"/>
      <c r="Q195" s="239">
        <f t="shared" si="44"/>
        <v>40</v>
      </c>
      <c r="R195" s="214">
        <f t="shared" si="45"/>
        <v>0</v>
      </c>
      <c r="S195" s="313"/>
      <c r="T195" s="313"/>
      <c r="U195" s="239">
        <f t="shared" si="46"/>
        <v>40</v>
      </c>
      <c r="V195" s="313">
        <v>40</v>
      </c>
      <c r="W195" s="313"/>
      <c r="X195" s="313"/>
      <c r="Y195" s="313"/>
      <c r="Z195" s="313"/>
      <c r="AA195" s="313"/>
      <c r="AB195" s="214">
        <f t="shared" si="47"/>
        <v>0</v>
      </c>
      <c r="AC195" s="313"/>
      <c r="AD195" s="313"/>
      <c r="AE195" s="313"/>
      <c r="AF195" s="214">
        <f t="shared" si="37"/>
        <v>0</v>
      </c>
      <c r="AG195" s="313"/>
      <c r="AH195" s="313"/>
      <c r="AI195" s="214">
        <f t="shared" si="38"/>
        <v>0</v>
      </c>
      <c r="AJ195" s="313"/>
      <c r="AK195" s="313"/>
      <c r="AL195" s="214">
        <f t="shared" si="39"/>
        <v>100</v>
      </c>
      <c r="AM195" s="214"/>
      <c r="AN195" s="214">
        <f t="shared" si="52"/>
        <v>100</v>
      </c>
      <c r="AO195" s="329"/>
    </row>
    <row r="196" spans="1:41" ht="20.25" customHeight="1" x14ac:dyDescent="0.25">
      <c r="A196" s="329"/>
      <c r="B196" s="329" t="s">
        <v>802</v>
      </c>
      <c r="C196" s="214">
        <f t="shared" si="49"/>
        <v>36</v>
      </c>
      <c r="D196" s="313"/>
      <c r="E196" s="313">
        <v>36</v>
      </c>
      <c r="F196" s="313"/>
      <c r="G196" s="214">
        <f t="shared" si="40"/>
        <v>36</v>
      </c>
      <c r="H196" s="214">
        <f t="shared" si="41"/>
        <v>0</v>
      </c>
      <c r="I196" s="214">
        <f t="shared" si="48"/>
        <v>36</v>
      </c>
      <c r="J196" s="214">
        <f t="shared" si="42"/>
        <v>0</v>
      </c>
      <c r="K196" s="214">
        <f t="shared" si="43"/>
        <v>0</v>
      </c>
      <c r="L196" s="313"/>
      <c r="M196" s="313"/>
      <c r="N196" s="313"/>
      <c r="O196" s="363"/>
      <c r="P196" s="313"/>
      <c r="Q196" s="239">
        <f t="shared" si="44"/>
        <v>36</v>
      </c>
      <c r="R196" s="214">
        <f t="shared" si="45"/>
        <v>0</v>
      </c>
      <c r="S196" s="313"/>
      <c r="T196" s="313"/>
      <c r="U196" s="239">
        <f t="shared" si="46"/>
        <v>36</v>
      </c>
      <c r="V196" s="313">
        <v>36</v>
      </c>
      <c r="W196" s="313"/>
      <c r="X196" s="313"/>
      <c r="Y196" s="313"/>
      <c r="Z196" s="313"/>
      <c r="AA196" s="313"/>
      <c r="AB196" s="214">
        <f t="shared" si="47"/>
        <v>0</v>
      </c>
      <c r="AC196" s="313"/>
      <c r="AD196" s="313"/>
      <c r="AE196" s="313"/>
      <c r="AF196" s="214">
        <f t="shared" si="37"/>
        <v>0</v>
      </c>
      <c r="AG196" s="313"/>
      <c r="AH196" s="313"/>
      <c r="AI196" s="214">
        <f t="shared" si="38"/>
        <v>0</v>
      </c>
      <c r="AJ196" s="313"/>
      <c r="AK196" s="313"/>
      <c r="AL196" s="214">
        <f t="shared" si="39"/>
        <v>100</v>
      </c>
      <c r="AM196" s="214"/>
      <c r="AN196" s="214">
        <f t="shared" si="52"/>
        <v>100</v>
      </c>
      <c r="AO196" s="329"/>
    </row>
    <row r="197" spans="1:41" ht="20.25" customHeight="1" x14ac:dyDescent="0.25">
      <c r="A197" s="329"/>
      <c r="B197" s="329" t="s">
        <v>356</v>
      </c>
      <c r="C197" s="214">
        <f t="shared" si="49"/>
        <v>41</v>
      </c>
      <c r="D197" s="313"/>
      <c r="E197" s="313">
        <v>41</v>
      </c>
      <c r="F197" s="313"/>
      <c r="G197" s="214">
        <f t="shared" si="40"/>
        <v>41</v>
      </c>
      <c r="H197" s="214">
        <f t="shared" si="41"/>
        <v>0</v>
      </c>
      <c r="I197" s="214">
        <f t="shared" si="48"/>
        <v>41</v>
      </c>
      <c r="J197" s="214">
        <f t="shared" si="42"/>
        <v>0</v>
      </c>
      <c r="K197" s="214">
        <f t="shared" si="43"/>
        <v>0</v>
      </c>
      <c r="L197" s="313"/>
      <c r="M197" s="313"/>
      <c r="N197" s="313"/>
      <c r="O197" s="363"/>
      <c r="P197" s="313"/>
      <c r="Q197" s="239">
        <f t="shared" si="44"/>
        <v>41</v>
      </c>
      <c r="R197" s="214">
        <f t="shared" si="45"/>
        <v>0</v>
      </c>
      <c r="S197" s="313"/>
      <c r="T197" s="313"/>
      <c r="U197" s="239">
        <f t="shared" si="46"/>
        <v>41</v>
      </c>
      <c r="V197" s="313">
        <v>41</v>
      </c>
      <c r="W197" s="313"/>
      <c r="X197" s="313"/>
      <c r="Y197" s="313"/>
      <c r="Z197" s="313"/>
      <c r="AA197" s="313"/>
      <c r="AB197" s="214">
        <f t="shared" si="47"/>
        <v>0</v>
      </c>
      <c r="AC197" s="313"/>
      <c r="AD197" s="313"/>
      <c r="AE197" s="313"/>
      <c r="AF197" s="214">
        <f t="shared" si="37"/>
        <v>0</v>
      </c>
      <c r="AG197" s="313"/>
      <c r="AH197" s="313"/>
      <c r="AI197" s="214">
        <f t="shared" si="38"/>
        <v>0</v>
      </c>
      <c r="AJ197" s="313"/>
      <c r="AK197" s="313"/>
      <c r="AL197" s="214">
        <f t="shared" si="39"/>
        <v>100</v>
      </c>
      <c r="AM197" s="214"/>
      <c r="AN197" s="214">
        <f t="shared" si="52"/>
        <v>100</v>
      </c>
      <c r="AO197" s="329"/>
    </row>
    <row r="198" spans="1:41" ht="20.25" customHeight="1" x14ac:dyDescent="0.25">
      <c r="A198" s="329"/>
      <c r="B198" s="329" t="s">
        <v>555</v>
      </c>
      <c r="C198" s="214">
        <f t="shared" si="49"/>
        <v>45</v>
      </c>
      <c r="D198" s="313"/>
      <c r="E198" s="313">
        <v>45</v>
      </c>
      <c r="F198" s="313"/>
      <c r="G198" s="214">
        <f t="shared" si="40"/>
        <v>44.880265000000001</v>
      </c>
      <c r="H198" s="214">
        <f t="shared" si="41"/>
        <v>0</v>
      </c>
      <c r="I198" s="214">
        <f t="shared" si="48"/>
        <v>44.880265000000001</v>
      </c>
      <c r="J198" s="214">
        <f t="shared" si="42"/>
        <v>0</v>
      </c>
      <c r="K198" s="214">
        <f t="shared" si="43"/>
        <v>0</v>
      </c>
      <c r="L198" s="313"/>
      <c r="M198" s="313"/>
      <c r="N198" s="313"/>
      <c r="O198" s="363"/>
      <c r="P198" s="313"/>
      <c r="Q198" s="239">
        <f t="shared" si="44"/>
        <v>44.880265000000001</v>
      </c>
      <c r="R198" s="214">
        <f t="shared" si="45"/>
        <v>0</v>
      </c>
      <c r="S198" s="313"/>
      <c r="T198" s="313"/>
      <c r="U198" s="239">
        <f t="shared" si="46"/>
        <v>44.880265000000001</v>
      </c>
      <c r="V198" s="313">
        <v>44.880265000000001</v>
      </c>
      <c r="W198" s="313"/>
      <c r="X198" s="313"/>
      <c r="Y198" s="313"/>
      <c r="Z198" s="313"/>
      <c r="AA198" s="313"/>
      <c r="AB198" s="214">
        <f t="shared" si="47"/>
        <v>0</v>
      </c>
      <c r="AC198" s="313"/>
      <c r="AD198" s="313"/>
      <c r="AE198" s="313"/>
      <c r="AF198" s="214">
        <f t="shared" si="37"/>
        <v>0</v>
      </c>
      <c r="AG198" s="313"/>
      <c r="AH198" s="313"/>
      <c r="AI198" s="214">
        <f t="shared" si="38"/>
        <v>0</v>
      </c>
      <c r="AJ198" s="313"/>
      <c r="AK198" s="313"/>
      <c r="AL198" s="214">
        <f t="shared" si="39"/>
        <v>99.733922222222219</v>
      </c>
      <c r="AM198" s="214"/>
      <c r="AN198" s="214">
        <f t="shared" si="52"/>
        <v>99.733922222222219</v>
      </c>
      <c r="AO198" s="329"/>
    </row>
    <row r="199" spans="1:41" ht="20.25" customHeight="1" x14ac:dyDescent="0.25">
      <c r="A199" s="329"/>
      <c r="B199" s="329" t="s">
        <v>556</v>
      </c>
      <c r="C199" s="214">
        <f t="shared" si="49"/>
        <v>39</v>
      </c>
      <c r="D199" s="313"/>
      <c r="E199" s="313">
        <v>39</v>
      </c>
      <c r="F199" s="313"/>
      <c r="G199" s="214">
        <f t="shared" si="40"/>
        <v>29</v>
      </c>
      <c r="H199" s="214">
        <f t="shared" si="41"/>
        <v>0</v>
      </c>
      <c r="I199" s="214">
        <f t="shared" si="48"/>
        <v>29</v>
      </c>
      <c r="J199" s="214">
        <f t="shared" si="42"/>
        <v>0</v>
      </c>
      <c r="K199" s="214">
        <f t="shared" si="43"/>
        <v>0</v>
      </c>
      <c r="L199" s="313"/>
      <c r="M199" s="313"/>
      <c r="N199" s="313"/>
      <c r="O199" s="363"/>
      <c r="P199" s="313"/>
      <c r="Q199" s="239">
        <f t="shared" si="44"/>
        <v>29</v>
      </c>
      <c r="R199" s="214">
        <f t="shared" si="45"/>
        <v>0</v>
      </c>
      <c r="S199" s="313"/>
      <c r="T199" s="313"/>
      <c r="U199" s="239">
        <f t="shared" si="46"/>
        <v>29</v>
      </c>
      <c r="V199" s="313">
        <v>29</v>
      </c>
      <c r="W199" s="313"/>
      <c r="X199" s="313"/>
      <c r="Y199" s="313"/>
      <c r="Z199" s="313"/>
      <c r="AA199" s="313"/>
      <c r="AB199" s="214">
        <f t="shared" si="47"/>
        <v>0</v>
      </c>
      <c r="AC199" s="313"/>
      <c r="AD199" s="313"/>
      <c r="AE199" s="313"/>
      <c r="AF199" s="214">
        <f t="shared" si="37"/>
        <v>0</v>
      </c>
      <c r="AG199" s="313"/>
      <c r="AH199" s="313"/>
      <c r="AI199" s="214">
        <f t="shared" si="38"/>
        <v>0</v>
      </c>
      <c r="AJ199" s="313"/>
      <c r="AK199" s="313"/>
      <c r="AL199" s="214">
        <f t="shared" si="39"/>
        <v>74.358974358974351</v>
      </c>
      <c r="AM199" s="214"/>
      <c r="AN199" s="214">
        <f t="shared" si="52"/>
        <v>74.358974358974351</v>
      </c>
      <c r="AO199" s="329"/>
    </row>
    <row r="200" spans="1:41" ht="20.25" customHeight="1" x14ac:dyDescent="0.25">
      <c r="A200" s="329"/>
      <c r="B200" s="329" t="s">
        <v>557</v>
      </c>
      <c r="C200" s="214">
        <f t="shared" si="49"/>
        <v>27</v>
      </c>
      <c r="D200" s="313"/>
      <c r="E200" s="313">
        <v>27</v>
      </c>
      <c r="F200" s="313"/>
      <c r="G200" s="214">
        <f t="shared" si="40"/>
        <v>0</v>
      </c>
      <c r="H200" s="214">
        <f t="shared" si="41"/>
        <v>0</v>
      </c>
      <c r="I200" s="214">
        <f t="shared" si="48"/>
        <v>0</v>
      </c>
      <c r="J200" s="214">
        <f t="shared" si="42"/>
        <v>0</v>
      </c>
      <c r="K200" s="214">
        <f t="shared" si="43"/>
        <v>0</v>
      </c>
      <c r="L200" s="313"/>
      <c r="M200" s="313"/>
      <c r="N200" s="313"/>
      <c r="O200" s="363"/>
      <c r="P200" s="313"/>
      <c r="Q200" s="239">
        <f t="shared" si="44"/>
        <v>0</v>
      </c>
      <c r="R200" s="214">
        <f t="shared" si="45"/>
        <v>0</v>
      </c>
      <c r="S200" s="313"/>
      <c r="T200" s="313"/>
      <c r="U200" s="239">
        <f t="shared" si="46"/>
        <v>0</v>
      </c>
      <c r="V200" s="313">
        <v>0</v>
      </c>
      <c r="W200" s="313"/>
      <c r="X200" s="313"/>
      <c r="Y200" s="313"/>
      <c r="Z200" s="313"/>
      <c r="AA200" s="313"/>
      <c r="AB200" s="214">
        <f t="shared" si="47"/>
        <v>0</v>
      </c>
      <c r="AC200" s="313"/>
      <c r="AD200" s="313"/>
      <c r="AE200" s="313"/>
      <c r="AF200" s="214">
        <f t="shared" si="37"/>
        <v>0</v>
      </c>
      <c r="AG200" s="313"/>
      <c r="AH200" s="313"/>
      <c r="AI200" s="214">
        <f t="shared" si="38"/>
        <v>0</v>
      </c>
      <c r="AJ200" s="313"/>
      <c r="AK200" s="313"/>
      <c r="AL200" s="214">
        <f t="shared" ref="AL200:AL230" si="58">G200/C200%</f>
        <v>0</v>
      </c>
      <c r="AM200" s="214"/>
      <c r="AN200" s="214">
        <f t="shared" si="52"/>
        <v>0</v>
      </c>
      <c r="AO200" s="329"/>
    </row>
    <row r="201" spans="1:41" ht="20.25" customHeight="1" x14ac:dyDescent="0.25">
      <c r="A201" s="329"/>
      <c r="B201" s="329" t="s">
        <v>558</v>
      </c>
      <c r="C201" s="214">
        <f t="shared" si="49"/>
        <v>42</v>
      </c>
      <c r="D201" s="313"/>
      <c r="E201" s="313">
        <v>42</v>
      </c>
      <c r="F201" s="313"/>
      <c r="G201" s="214">
        <f t="shared" si="40"/>
        <v>42</v>
      </c>
      <c r="H201" s="214">
        <f t="shared" si="41"/>
        <v>0</v>
      </c>
      <c r="I201" s="214">
        <f t="shared" si="48"/>
        <v>42</v>
      </c>
      <c r="J201" s="214">
        <f t="shared" si="42"/>
        <v>0</v>
      </c>
      <c r="K201" s="214">
        <f t="shared" si="43"/>
        <v>0</v>
      </c>
      <c r="L201" s="313"/>
      <c r="M201" s="313"/>
      <c r="N201" s="313"/>
      <c r="O201" s="363"/>
      <c r="P201" s="313"/>
      <c r="Q201" s="239">
        <f t="shared" si="44"/>
        <v>42</v>
      </c>
      <c r="R201" s="214">
        <f t="shared" si="45"/>
        <v>0</v>
      </c>
      <c r="S201" s="313"/>
      <c r="T201" s="313"/>
      <c r="U201" s="239">
        <f t="shared" si="46"/>
        <v>42</v>
      </c>
      <c r="V201" s="313">
        <v>42</v>
      </c>
      <c r="W201" s="313"/>
      <c r="X201" s="313"/>
      <c r="Y201" s="313"/>
      <c r="Z201" s="313"/>
      <c r="AA201" s="313"/>
      <c r="AB201" s="214">
        <f t="shared" si="47"/>
        <v>0</v>
      </c>
      <c r="AC201" s="313"/>
      <c r="AD201" s="313"/>
      <c r="AE201" s="313"/>
      <c r="AF201" s="214">
        <f t="shared" si="37"/>
        <v>0</v>
      </c>
      <c r="AG201" s="313"/>
      <c r="AH201" s="313"/>
      <c r="AI201" s="214">
        <f t="shared" si="38"/>
        <v>0</v>
      </c>
      <c r="AJ201" s="313"/>
      <c r="AK201" s="313"/>
      <c r="AL201" s="214">
        <f t="shared" si="58"/>
        <v>100</v>
      </c>
      <c r="AM201" s="214"/>
      <c r="AN201" s="214">
        <f t="shared" si="52"/>
        <v>100</v>
      </c>
      <c r="AO201" s="329"/>
    </row>
    <row r="202" spans="1:41" ht="20.25" customHeight="1" x14ac:dyDescent="0.25">
      <c r="A202" s="329"/>
      <c r="B202" s="329" t="s">
        <v>803</v>
      </c>
      <c r="C202" s="214">
        <f t="shared" si="49"/>
        <v>11</v>
      </c>
      <c r="D202" s="313"/>
      <c r="E202" s="313">
        <v>11</v>
      </c>
      <c r="F202" s="313"/>
      <c r="G202" s="214">
        <f t="shared" si="40"/>
        <v>11</v>
      </c>
      <c r="H202" s="214">
        <f t="shared" si="41"/>
        <v>0</v>
      </c>
      <c r="I202" s="214">
        <f t="shared" si="48"/>
        <v>11</v>
      </c>
      <c r="J202" s="214">
        <f t="shared" si="42"/>
        <v>0</v>
      </c>
      <c r="K202" s="214">
        <f t="shared" si="43"/>
        <v>0</v>
      </c>
      <c r="L202" s="313"/>
      <c r="M202" s="313"/>
      <c r="N202" s="313"/>
      <c r="O202" s="363"/>
      <c r="P202" s="313"/>
      <c r="Q202" s="239">
        <f t="shared" si="44"/>
        <v>11</v>
      </c>
      <c r="R202" s="214">
        <f t="shared" si="45"/>
        <v>0</v>
      </c>
      <c r="S202" s="313"/>
      <c r="T202" s="313"/>
      <c r="U202" s="239">
        <f t="shared" si="46"/>
        <v>11</v>
      </c>
      <c r="V202" s="313">
        <v>11</v>
      </c>
      <c r="W202" s="313"/>
      <c r="X202" s="313"/>
      <c r="Y202" s="313"/>
      <c r="Z202" s="313"/>
      <c r="AA202" s="313"/>
      <c r="AB202" s="214">
        <f t="shared" si="47"/>
        <v>0</v>
      </c>
      <c r="AC202" s="313"/>
      <c r="AD202" s="313"/>
      <c r="AE202" s="313"/>
      <c r="AF202" s="214">
        <f t="shared" si="37"/>
        <v>0</v>
      </c>
      <c r="AG202" s="313"/>
      <c r="AH202" s="313"/>
      <c r="AI202" s="214">
        <f t="shared" si="38"/>
        <v>0</v>
      </c>
      <c r="AJ202" s="313"/>
      <c r="AK202" s="313"/>
      <c r="AL202" s="214">
        <f t="shared" si="58"/>
        <v>100</v>
      </c>
      <c r="AM202" s="214"/>
      <c r="AN202" s="214">
        <f t="shared" si="52"/>
        <v>100</v>
      </c>
      <c r="AO202" s="329"/>
    </row>
    <row r="203" spans="1:41" ht="20.25" customHeight="1" x14ac:dyDescent="0.25">
      <c r="A203" s="329"/>
      <c r="B203" s="329" t="s">
        <v>560</v>
      </c>
      <c r="C203" s="214">
        <f t="shared" si="49"/>
        <v>63</v>
      </c>
      <c r="D203" s="313"/>
      <c r="E203" s="313">
        <v>63</v>
      </c>
      <c r="F203" s="313"/>
      <c r="G203" s="214">
        <f t="shared" si="40"/>
        <v>59.995528999999998</v>
      </c>
      <c r="H203" s="214">
        <f t="shared" si="41"/>
        <v>0</v>
      </c>
      <c r="I203" s="214">
        <f t="shared" si="48"/>
        <v>59.995528999999998</v>
      </c>
      <c r="J203" s="214">
        <f t="shared" si="42"/>
        <v>0</v>
      </c>
      <c r="K203" s="214">
        <f t="shared" si="43"/>
        <v>0</v>
      </c>
      <c r="L203" s="313"/>
      <c r="M203" s="313"/>
      <c r="N203" s="313"/>
      <c r="O203" s="363"/>
      <c r="P203" s="313"/>
      <c r="Q203" s="239">
        <f t="shared" si="44"/>
        <v>59.995528999999998</v>
      </c>
      <c r="R203" s="214">
        <f t="shared" si="45"/>
        <v>0</v>
      </c>
      <c r="S203" s="313"/>
      <c r="T203" s="313"/>
      <c r="U203" s="239">
        <f t="shared" si="46"/>
        <v>59.995528999999998</v>
      </c>
      <c r="V203" s="313">
        <v>59.995528999999998</v>
      </c>
      <c r="W203" s="313"/>
      <c r="X203" s="313"/>
      <c r="Y203" s="313"/>
      <c r="Z203" s="313"/>
      <c r="AA203" s="313"/>
      <c r="AB203" s="214">
        <f t="shared" si="47"/>
        <v>0</v>
      </c>
      <c r="AC203" s="313"/>
      <c r="AD203" s="313"/>
      <c r="AE203" s="313"/>
      <c r="AF203" s="214">
        <f t="shared" si="37"/>
        <v>0</v>
      </c>
      <c r="AG203" s="313"/>
      <c r="AH203" s="313"/>
      <c r="AI203" s="214">
        <f t="shared" si="38"/>
        <v>0</v>
      </c>
      <c r="AJ203" s="313"/>
      <c r="AK203" s="313"/>
      <c r="AL203" s="214">
        <f t="shared" si="58"/>
        <v>95.230998412698412</v>
      </c>
      <c r="AM203" s="214"/>
      <c r="AN203" s="214">
        <f t="shared" si="52"/>
        <v>95.230998412698412</v>
      </c>
      <c r="AO203" s="329"/>
    </row>
    <row r="204" spans="1:41" s="325" customFormat="1" ht="40.5" customHeight="1" x14ac:dyDescent="0.25">
      <c r="A204" s="335"/>
      <c r="B204" s="321" t="s">
        <v>1107</v>
      </c>
      <c r="C204" s="322">
        <f t="shared" si="49"/>
        <v>43.393205000000002</v>
      </c>
      <c r="D204" s="323"/>
      <c r="E204" s="323">
        <v>43.393205000000002</v>
      </c>
      <c r="F204" s="323"/>
      <c r="G204" s="324">
        <f t="shared" si="40"/>
        <v>43.393205000000002</v>
      </c>
      <c r="H204" s="322"/>
      <c r="I204" s="322">
        <f t="shared" si="48"/>
        <v>43.393205000000002</v>
      </c>
      <c r="J204" s="322"/>
      <c r="K204" s="322"/>
      <c r="L204" s="323"/>
      <c r="M204" s="323"/>
      <c r="N204" s="323"/>
      <c r="O204" s="365"/>
      <c r="P204" s="323"/>
      <c r="Q204" s="324">
        <f t="shared" si="44"/>
        <v>43.393205000000002</v>
      </c>
      <c r="R204" s="322"/>
      <c r="S204" s="323"/>
      <c r="T204" s="323"/>
      <c r="U204" s="324">
        <f t="shared" si="46"/>
        <v>43.393205000000002</v>
      </c>
      <c r="V204" s="323">
        <v>43.393205000000002</v>
      </c>
      <c r="W204" s="323"/>
      <c r="X204" s="323"/>
      <c r="Y204" s="323"/>
      <c r="Z204" s="323"/>
      <c r="AA204" s="323"/>
      <c r="AB204" s="322"/>
      <c r="AC204" s="323"/>
      <c r="AD204" s="323"/>
      <c r="AE204" s="323"/>
      <c r="AF204" s="322"/>
      <c r="AG204" s="323"/>
      <c r="AH204" s="323"/>
      <c r="AI204" s="322"/>
      <c r="AJ204" s="323"/>
      <c r="AK204" s="323"/>
      <c r="AL204" s="322">
        <f t="shared" si="58"/>
        <v>100</v>
      </c>
      <c r="AM204" s="322"/>
      <c r="AN204" s="322">
        <f t="shared" si="52"/>
        <v>100</v>
      </c>
      <c r="AO204" s="335"/>
    </row>
    <row r="205" spans="1:41" s="297" customFormat="1" ht="20.25" customHeight="1" x14ac:dyDescent="0.25">
      <c r="A205" s="332"/>
      <c r="B205" s="332" t="s">
        <v>805</v>
      </c>
      <c r="C205" s="308">
        <f>D205+E205</f>
        <v>2807</v>
      </c>
      <c r="D205" s="333"/>
      <c r="E205" s="333">
        <f>SUM(E206:E221)</f>
        <v>2807</v>
      </c>
      <c r="F205" s="333">
        <f t="shared" ref="F205:AD205" si="59">SUM(F206:F221)</f>
        <v>0</v>
      </c>
      <c r="G205" s="334">
        <f t="shared" si="40"/>
        <v>2584.8908039999997</v>
      </c>
      <c r="H205" s="308">
        <f t="shared" si="41"/>
        <v>0</v>
      </c>
      <c r="I205" s="308">
        <f t="shared" si="48"/>
        <v>2584.8908039999997</v>
      </c>
      <c r="J205" s="308">
        <f t="shared" si="42"/>
        <v>0</v>
      </c>
      <c r="K205" s="308">
        <f t="shared" si="43"/>
        <v>0</v>
      </c>
      <c r="L205" s="333">
        <f t="shared" si="59"/>
        <v>0</v>
      </c>
      <c r="M205" s="333">
        <f t="shared" si="59"/>
        <v>0</v>
      </c>
      <c r="N205" s="333">
        <f t="shared" si="59"/>
        <v>0</v>
      </c>
      <c r="O205" s="364">
        <f t="shared" si="59"/>
        <v>0</v>
      </c>
      <c r="P205" s="333">
        <f t="shared" si="59"/>
        <v>0</v>
      </c>
      <c r="Q205" s="240">
        <f t="shared" si="44"/>
        <v>2584.8908039999997</v>
      </c>
      <c r="R205" s="308">
        <f t="shared" si="45"/>
        <v>0</v>
      </c>
      <c r="S205" s="333">
        <f t="shared" si="59"/>
        <v>0</v>
      </c>
      <c r="T205" s="333">
        <f t="shared" si="59"/>
        <v>0</v>
      </c>
      <c r="U205" s="240">
        <f t="shared" si="46"/>
        <v>2584.8908039999997</v>
      </c>
      <c r="V205" s="376">
        <f t="shared" si="59"/>
        <v>2584.8908039999997</v>
      </c>
      <c r="W205" s="333">
        <f t="shared" si="59"/>
        <v>0</v>
      </c>
      <c r="X205" s="333">
        <f t="shared" si="59"/>
        <v>0</v>
      </c>
      <c r="Y205" s="333">
        <f t="shared" si="59"/>
        <v>0</v>
      </c>
      <c r="Z205" s="333">
        <f t="shared" si="59"/>
        <v>0</v>
      </c>
      <c r="AA205" s="333">
        <f t="shared" si="59"/>
        <v>0</v>
      </c>
      <c r="AB205" s="308">
        <f t="shared" si="47"/>
        <v>0</v>
      </c>
      <c r="AC205" s="333">
        <f t="shared" si="59"/>
        <v>0</v>
      </c>
      <c r="AD205" s="333">
        <f t="shared" si="59"/>
        <v>0</v>
      </c>
      <c r="AE205" s="333"/>
      <c r="AF205" s="308">
        <f t="shared" ref="AF205:AF227" si="60">AG205</f>
        <v>0</v>
      </c>
      <c r="AG205" s="333"/>
      <c r="AH205" s="333"/>
      <c r="AI205" s="308">
        <f t="shared" ref="AI205:AI230" si="61">AJ205</f>
        <v>0</v>
      </c>
      <c r="AJ205" s="333"/>
      <c r="AK205" s="333"/>
      <c r="AL205" s="308">
        <f t="shared" si="58"/>
        <v>92.087310438190229</v>
      </c>
      <c r="AM205" s="308"/>
      <c r="AN205" s="308">
        <f t="shared" si="52"/>
        <v>92.087310438190229</v>
      </c>
      <c r="AO205" s="332"/>
    </row>
    <row r="206" spans="1:41" ht="24.75" customHeight="1" x14ac:dyDescent="0.25">
      <c r="A206" s="329"/>
      <c r="B206" s="329" t="s">
        <v>344</v>
      </c>
      <c r="C206" s="214">
        <f t="shared" si="49"/>
        <v>132</v>
      </c>
      <c r="D206" s="313"/>
      <c r="E206" s="313">
        <v>132</v>
      </c>
      <c r="F206" s="313"/>
      <c r="G206" s="214">
        <f t="shared" ref="G206:G231" si="62">H206+I206</f>
        <v>106</v>
      </c>
      <c r="H206" s="214">
        <f t="shared" ref="H206:H231" si="63">K206+R206+Y206+AF206</f>
        <v>0</v>
      </c>
      <c r="I206" s="214">
        <f t="shared" si="48"/>
        <v>106</v>
      </c>
      <c r="J206" s="214">
        <f t="shared" ref="J206:J227" si="64">K206+N206</f>
        <v>0</v>
      </c>
      <c r="K206" s="214">
        <f t="shared" ref="K206:K227" si="65">L206</f>
        <v>0</v>
      </c>
      <c r="L206" s="313"/>
      <c r="M206" s="313"/>
      <c r="N206" s="313"/>
      <c r="O206" s="363"/>
      <c r="P206" s="313"/>
      <c r="Q206" s="239">
        <f t="shared" ref="Q206:Q227" si="66">R206+U206</f>
        <v>106</v>
      </c>
      <c r="R206" s="214">
        <f t="shared" ref="R206:R227" si="67">S206+T206</f>
        <v>0</v>
      </c>
      <c r="S206" s="313"/>
      <c r="T206" s="313"/>
      <c r="U206" s="239">
        <f t="shared" ref="U206:U227" si="68">V206+W206</f>
        <v>106</v>
      </c>
      <c r="V206" s="313">
        <v>106</v>
      </c>
      <c r="W206" s="313"/>
      <c r="X206" s="313"/>
      <c r="Y206" s="313"/>
      <c r="Z206" s="313"/>
      <c r="AA206" s="313"/>
      <c r="AB206" s="214">
        <f t="shared" ref="AB206:AB227" si="69">AC206+AD206</f>
        <v>0</v>
      </c>
      <c r="AC206" s="313"/>
      <c r="AD206" s="313"/>
      <c r="AE206" s="313"/>
      <c r="AF206" s="214">
        <f t="shared" si="60"/>
        <v>0</v>
      </c>
      <c r="AG206" s="313"/>
      <c r="AH206" s="313"/>
      <c r="AI206" s="214">
        <f t="shared" si="61"/>
        <v>0</v>
      </c>
      <c r="AJ206" s="313"/>
      <c r="AK206" s="313"/>
      <c r="AL206" s="214">
        <f t="shared" si="58"/>
        <v>80.303030303030297</v>
      </c>
      <c r="AM206" s="214"/>
      <c r="AN206" s="214">
        <f t="shared" si="52"/>
        <v>80.303030303030297</v>
      </c>
      <c r="AO206" s="329"/>
    </row>
    <row r="207" spans="1:41" ht="24.75" customHeight="1" x14ac:dyDescent="0.25">
      <c r="A207" s="329"/>
      <c r="B207" s="329" t="s">
        <v>347</v>
      </c>
      <c r="C207" s="214">
        <f t="shared" si="49"/>
        <v>185</v>
      </c>
      <c r="D207" s="313"/>
      <c r="E207" s="313">
        <v>185</v>
      </c>
      <c r="F207" s="313"/>
      <c r="G207" s="214">
        <f t="shared" si="62"/>
        <v>184.72</v>
      </c>
      <c r="H207" s="214">
        <f t="shared" si="63"/>
        <v>0</v>
      </c>
      <c r="I207" s="214">
        <f t="shared" ref="I207:I226" si="70">N207+U207+AB207+AI207</f>
        <v>184.72</v>
      </c>
      <c r="J207" s="214">
        <f t="shared" si="64"/>
        <v>0</v>
      </c>
      <c r="K207" s="214">
        <f t="shared" si="65"/>
        <v>0</v>
      </c>
      <c r="L207" s="313"/>
      <c r="M207" s="313"/>
      <c r="N207" s="313"/>
      <c r="O207" s="363"/>
      <c r="P207" s="313"/>
      <c r="Q207" s="239">
        <f t="shared" si="66"/>
        <v>184.72</v>
      </c>
      <c r="R207" s="214">
        <f t="shared" si="67"/>
        <v>0</v>
      </c>
      <c r="S207" s="313"/>
      <c r="T207" s="313"/>
      <c r="U207" s="239">
        <f t="shared" si="68"/>
        <v>184.72</v>
      </c>
      <c r="V207" s="313">
        <v>184.72</v>
      </c>
      <c r="W207" s="313"/>
      <c r="X207" s="313"/>
      <c r="Y207" s="313"/>
      <c r="Z207" s="313"/>
      <c r="AA207" s="313"/>
      <c r="AB207" s="214">
        <f t="shared" si="69"/>
        <v>0</v>
      </c>
      <c r="AC207" s="313"/>
      <c r="AD207" s="313"/>
      <c r="AE207" s="313"/>
      <c r="AF207" s="214">
        <f t="shared" si="60"/>
        <v>0</v>
      </c>
      <c r="AG207" s="313"/>
      <c r="AH207" s="313"/>
      <c r="AI207" s="214">
        <f t="shared" si="61"/>
        <v>0</v>
      </c>
      <c r="AJ207" s="313"/>
      <c r="AK207" s="313"/>
      <c r="AL207" s="214">
        <f t="shared" si="58"/>
        <v>99.848648648648648</v>
      </c>
      <c r="AM207" s="214"/>
      <c r="AN207" s="214">
        <f t="shared" si="52"/>
        <v>99.848648648648648</v>
      </c>
      <c r="AO207" s="329"/>
    </row>
    <row r="208" spans="1:41" ht="24.75" customHeight="1" x14ac:dyDescent="0.25">
      <c r="A208" s="329"/>
      <c r="B208" s="329" t="s">
        <v>348</v>
      </c>
      <c r="C208" s="214">
        <f t="shared" si="49"/>
        <v>206</v>
      </c>
      <c r="D208" s="313"/>
      <c r="E208" s="313">
        <v>206</v>
      </c>
      <c r="F208" s="313"/>
      <c r="G208" s="214">
        <f t="shared" si="62"/>
        <v>206</v>
      </c>
      <c r="H208" s="214">
        <f t="shared" si="63"/>
        <v>0</v>
      </c>
      <c r="I208" s="214">
        <f t="shared" si="70"/>
        <v>206</v>
      </c>
      <c r="J208" s="214">
        <f t="shared" si="64"/>
        <v>0</v>
      </c>
      <c r="K208" s="214">
        <f t="shared" si="65"/>
        <v>0</v>
      </c>
      <c r="L208" s="313"/>
      <c r="M208" s="313"/>
      <c r="N208" s="313"/>
      <c r="O208" s="363"/>
      <c r="P208" s="313"/>
      <c r="Q208" s="239">
        <f t="shared" si="66"/>
        <v>206</v>
      </c>
      <c r="R208" s="214">
        <f t="shared" si="67"/>
        <v>0</v>
      </c>
      <c r="S208" s="313"/>
      <c r="T208" s="313"/>
      <c r="U208" s="239">
        <f t="shared" si="68"/>
        <v>206</v>
      </c>
      <c r="V208" s="313">
        <v>206</v>
      </c>
      <c r="W208" s="313"/>
      <c r="X208" s="313"/>
      <c r="Y208" s="313"/>
      <c r="Z208" s="313"/>
      <c r="AA208" s="313"/>
      <c r="AB208" s="214">
        <f t="shared" si="69"/>
        <v>0</v>
      </c>
      <c r="AC208" s="313"/>
      <c r="AD208" s="313"/>
      <c r="AE208" s="313"/>
      <c r="AF208" s="214">
        <f t="shared" si="60"/>
        <v>0</v>
      </c>
      <c r="AG208" s="313"/>
      <c r="AH208" s="313"/>
      <c r="AI208" s="214">
        <f t="shared" si="61"/>
        <v>0</v>
      </c>
      <c r="AJ208" s="313"/>
      <c r="AK208" s="313"/>
      <c r="AL208" s="214">
        <f t="shared" si="58"/>
        <v>100</v>
      </c>
      <c r="AM208" s="214"/>
      <c r="AN208" s="214">
        <f t="shared" si="52"/>
        <v>100</v>
      </c>
      <c r="AO208" s="329"/>
    </row>
    <row r="209" spans="1:41" ht="24.75" customHeight="1" x14ac:dyDescent="0.25">
      <c r="A209" s="329"/>
      <c r="B209" s="329" t="s">
        <v>349</v>
      </c>
      <c r="C209" s="214">
        <f t="shared" si="49"/>
        <v>137</v>
      </c>
      <c r="D209" s="313"/>
      <c r="E209" s="313">
        <v>137</v>
      </c>
      <c r="F209" s="313"/>
      <c r="G209" s="214">
        <f t="shared" si="62"/>
        <v>132</v>
      </c>
      <c r="H209" s="214">
        <f t="shared" si="63"/>
        <v>0</v>
      </c>
      <c r="I209" s="214">
        <f t="shared" si="70"/>
        <v>132</v>
      </c>
      <c r="J209" s="214">
        <f t="shared" si="64"/>
        <v>0</v>
      </c>
      <c r="K209" s="214">
        <f t="shared" si="65"/>
        <v>0</v>
      </c>
      <c r="L209" s="313"/>
      <c r="M209" s="313"/>
      <c r="N209" s="313"/>
      <c r="O209" s="363"/>
      <c r="P209" s="313"/>
      <c r="Q209" s="239">
        <f t="shared" si="66"/>
        <v>132</v>
      </c>
      <c r="R209" s="214">
        <f t="shared" si="67"/>
        <v>0</v>
      </c>
      <c r="S209" s="313"/>
      <c r="T209" s="313"/>
      <c r="U209" s="239">
        <f t="shared" si="68"/>
        <v>132</v>
      </c>
      <c r="V209" s="313">
        <v>132</v>
      </c>
      <c r="W209" s="313"/>
      <c r="X209" s="313"/>
      <c r="Y209" s="313"/>
      <c r="Z209" s="313"/>
      <c r="AA209" s="313"/>
      <c r="AB209" s="214">
        <f t="shared" si="69"/>
        <v>0</v>
      </c>
      <c r="AC209" s="313"/>
      <c r="AD209" s="313"/>
      <c r="AE209" s="313"/>
      <c r="AF209" s="214">
        <f t="shared" si="60"/>
        <v>0</v>
      </c>
      <c r="AG209" s="313"/>
      <c r="AH209" s="313"/>
      <c r="AI209" s="214">
        <f t="shared" si="61"/>
        <v>0</v>
      </c>
      <c r="AJ209" s="313"/>
      <c r="AK209" s="313"/>
      <c r="AL209" s="214">
        <f t="shared" si="58"/>
        <v>96.350364963503637</v>
      </c>
      <c r="AM209" s="214"/>
      <c r="AN209" s="214">
        <f t="shared" si="52"/>
        <v>96.350364963503637</v>
      </c>
      <c r="AO209" s="329"/>
    </row>
    <row r="210" spans="1:41" ht="24.75" customHeight="1" x14ac:dyDescent="0.25">
      <c r="A210" s="329"/>
      <c r="B210" s="329" t="s">
        <v>351</v>
      </c>
      <c r="C210" s="214">
        <f t="shared" si="49"/>
        <v>192</v>
      </c>
      <c r="D210" s="313"/>
      <c r="E210" s="313">
        <v>192</v>
      </c>
      <c r="F210" s="313"/>
      <c r="G210" s="214">
        <f t="shared" si="62"/>
        <v>192</v>
      </c>
      <c r="H210" s="214">
        <f t="shared" si="63"/>
        <v>0</v>
      </c>
      <c r="I210" s="214">
        <f t="shared" si="70"/>
        <v>192</v>
      </c>
      <c r="J210" s="214">
        <f t="shared" si="64"/>
        <v>0</v>
      </c>
      <c r="K210" s="214">
        <f t="shared" si="65"/>
        <v>0</v>
      </c>
      <c r="L210" s="313"/>
      <c r="M210" s="313"/>
      <c r="N210" s="313"/>
      <c r="O210" s="363"/>
      <c r="P210" s="313"/>
      <c r="Q210" s="239">
        <f t="shared" si="66"/>
        <v>192</v>
      </c>
      <c r="R210" s="214">
        <f t="shared" si="67"/>
        <v>0</v>
      </c>
      <c r="S210" s="313"/>
      <c r="T210" s="313"/>
      <c r="U210" s="239">
        <f t="shared" si="68"/>
        <v>192</v>
      </c>
      <c r="V210" s="313">
        <v>192</v>
      </c>
      <c r="W210" s="313"/>
      <c r="X210" s="313"/>
      <c r="Y210" s="313"/>
      <c r="Z210" s="313"/>
      <c r="AA210" s="313"/>
      <c r="AB210" s="214">
        <f t="shared" si="69"/>
        <v>0</v>
      </c>
      <c r="AC210" s="313"/>
      <c r="AD210" s="313"/>
      <c r="AE210" s="313"/>
      <c r="AF210" s="214">
        <f t="shared" si="60"/>
        <v>0</v>
      </c>
      <c r="AG210" s="313"/>
      <c r="AH210" s="313"/>
      <c r="AI210" s="214">
        <f t="shared" si="61"/>
        <v>0</v>
      </c>
      <c r="AJ210" s="313"/>
      <c r="AK210" s="313"/>
      <c r="AL210" s="214">
        <f t="shared" si="58"/>
        <v>100</v>
      </c>
      <c r="AM210" s="214"/>
      <c r="AN210" s="214">
        <f t="shared" si="52"/>
        <v>100</v>
      </c>
      <c r="AO210" s="329"/>
    </row>
    <row r="211" spans="1:41" ht="24.75" customHeight="1" x14ac:dyDescent="0.25">
      <c r="A211" s="329"/>
      <c r="B211" s="329" t="s">
        <v>352</v>
      </c>
      <c r="C211" s="214">
        <f t="shared" si="49"/>
        <v>190.2</v>
      </c>
      <c r="D211" s="313"/>
      <c r="E211" s="313">
        <v>190.2</v>
      </c>
      <c r="F211" s="313"/>
      <c r="G211" s="214">
        <f t="shared" si="62"/>
        <v>170.2</v>
      </c>
      <c r="H211" s="214">
        <f t="shared" si="63"/>
        <v>0</v>
      </c>
      <c r="I211" s="214">
        <f t="shared" si="70"/>
        <v>170.2</v>
      </c>
      <c r="J211" s="214">
        <f t="shared" si="64"/>
        <v>0</v>
      </c>
      <c r="K211" s="214">
        <f t="shared" si="65"/>
        <v>0</v>
      </c>
      <c r="L211" s="313"/>
      <c r="M211" s="313"/>
      <c r="N211" s="313"/>
      <c r="O211" s="363"/>
      <c r="P211" s="313"/>
      <c r="Q211" s="239">
        <f t="shared" si="66"/>
        <v>170.2</v>
      </c>
      <c r="R211" s="214">
        <f t="shared" si="67"/>
        <v>0</v>
      </c>
      <c r="S211" s="313"/>
      <c r="T211" s="313"/>
      <c r="U211" s="239">
        <f t="shared" si="68"/>
        <v>170.2</v>
      </c>
      <c r="V211" s="313">
        <v>170.2</v>
      </c>
      <c r="W211" s="313"/>
      <c r="X211" s="313"/>
      <c r="Y211" s="313"/>
      <c r="Z211" s="313"/>
      <c r="AA211" s="313"/>
      <c r="AB211" s="214">
        <f t="shared" si="69"/>
        <v>0</v>
      </c>
      <c r="AC211" s="313"/>
      <c r="AD211" s="313"/>
      <c r="AE211" s="313"/>
      <c r="AF211" s="214">
        <f t="shared" si="60"/>
        <v>0</v>
      </c>
      <c r="AG211" s="313"/>
      <c r="AH211" s="313"/>
      <c r="AI211" s="214">
        <f t="shared" si="61"/>
        <v>0</v>
      </c>
      <c r="AJ211" s="313"/>
      <c r="AK211" s="313"/>
      <c r="AL211" s="214">
        <f t="shared" si="58"/>
        <v>89.484752891692949</v>
      </c>
      <c r="AM211" s="214"/>
      <c r="AN211" s="214">
        <f t="shared" si="52"/>
        <v>89.484752891692949</v>
      </c>
      <c r="AO211" s="329"/>
    </row>
    <row r="212" spans="1:41" ht="24.75" customHeight="1" x14ac:dyDescent="0.25">
      <c r="A212" s="329"/>
      <c r="B212" s="329" t="s">
        <v>353</v>
      </c>
      <c r="C212" s="214">
        <f t="shared" si="49"/>
        <v>277</v>
      </c>
      <c r="D212" s="313"/>
      <c r="E212" s="313">
        <v>277</v>
      </c>
      <c r="F212" s="313"/>
      <c r="G212" s="214">
        <f t="shared" si="62"/>
        <v>246.99930000000001</v>
      </c>
      <c r="H212" s="214">
        <f t="shared" si="63"/>
        <v>0</v>
      </c>
      <c r="I212" s="214">
        <f t="shared" si="70"/>
        <v>246.99930000000001</v>
      </c>
      <c r="J212" s="214">
        <f t="shared" si="64"/>
        <v>0</v>
      </c>
      <c r="K212" s="214">
        <f t="shared" si="65"/>
        <v>0</v>
      </c>
      <c r="L212" s="313"/>
      <c r="M212" s="313"/>
      <c r="N212" s="313"/>
      <c r="O212" s="363"/>
      <c r="P212" s="313"/>
      <c r="Q212" s="239">
        <f t="shared" si="66"/>
        <v>246.99930000000001</v>
      </c>
      <c r="R212" s="214">
        <f t="shared" si="67"/>
        <v>0</v>
      </c>
      <c r="S212" s="313"/>
      <c r="T212" s="313"/>
      <c r="U212" s="239">
        <f t="shared" si="68"/>
        <v>246.99930000000001</v>
      </c>
      <c r="V212" s="313">
        <v>246.99930000000001</v>
      </c>
      <c r="W212" s="313"/>
      <c r="X212" s="313"/>
      <c r="Y212" s="313"/>
      <c r="Z212" s="313"/>
      <c r="AA212" s="313"/>
      <c r="AB212" s="214">
        <f t="shared" si="69"/>
        <v>0</v>
      </c>
      <c r="AC212" s="313"/>
      <c r="AD212" s="313"/>
      <c r="AE212" s="313"/>
      <c r="AF212" s="214">
        <f t="shared" si="60"/>
        <v>0</v>
      </c>
      <c r="AG212" s="313"/>
      <c r="AH212" s="313"/>
      <c r="AI212" s="214">
        <f t="shared" si="61"/>
        <v>0</v>
      </c>
      <c r="AJ212" s="313"/>
      <c r="AK212" s="313"/>
      <c r="AL212" s="214">
        <f t="shared" si="58"/>
        <v>89.169422382671485</v>
      </c>
      <c r="AM212" s="214"/>
      <c r="AN212" s="214">
        <f t="shared" si="52"/>
        <v>89.169422382671485</v>
      </c>
      <c r="AO212" s="329"/>
    </row>
    <row r="213" spans="1:41" ht="24.75" customHeight="1" x14ac:dyDescent="0.25">
      <c r="A213" s="329"/>
      <c r="B213" s="329" t="s">
        <v>354</v>
      </c>
      <c r="C213" s="214">
        <f t="shared" si="49"/>
        <v>192</v>
      </c>
      <c r="D213" s="313"/>
      <c r="E213" s="313">
        <v>192</v>
      </c>
      <c r="F213" s="313"/>
      <c r="G213" s="214">
        <f t="shared" si="62"/>
        <v>155.79900000000001</v>
      </c>
      <c r="H213" s="214">
        <f t="shared" si="63"/>
        <v>0</v>
      </c>
      <c r="I213" s="214">
        <f t="shared" si="70"/>
        <v>155.79900000000001</v>
      </c>
      <c r="J213" s="214">
        <f t="shared" si="64"/>
        <v>0</v>
      </c>
      <c r="K213" s="214">
        <f t="shared" si="65"/>
        <v>0</v>
      </c>
      <c r="L213" s="313"/>
      <c r="M213" s="313"/>
      <c r="N213" s="313"/>
      <c r="O213" s="363"/>
      <c r="P213" s="313"/>
      <c r="Q213" s="239">
        <f t="shared" si="66"/>
        <v>155.79900000000001</v>
      </c>
      <c r="R213" s="214">
        <f t="shared" si="67"/>
        <v>0</v>
      </c>
      <c r="S213" s="313"/>
      <c r="T213" s="313"/>
      <c r="U213" s="239">
        <f t="shared" si="68"/>
        <v>155.79900000000001</v>
      </c>
      <c r="V213" s="313">
        <v>155.79900000000001</v>
      </c>
      <c r="W213" s="313"/>
      <c r="X213" s="313"/>
      <c r="Y213" s="313"/>
      <c r="Z213" s="313"/>
      <c r="AA213" s="313"/>
      <c r="AB213" s="214">
        <f t="shared" si="69"/>
        <v>0</v>
      </c>
      <c r="AC213" s="313"/>
      <c r="AD213" s="313"/>
      <c r="AE213" s="313"/>
      <c r="AF213" s="214">
        <f t="shared" si="60"/>
        <v>0</v>
      </c>
      <c r="AG213" s="313"/>
      <c r="AH213" s="313"/>
      <c r="AI213" s="214">
        <f t="shared" si="61"/>
        <v>0</v>
      </c>
      <c r="AJ213" s="313"/>
      <c r="AK213" s="313"/>
      <c r="AL213" s="214">
        <f t="shared" si="58"/>
        <v>81.145312500000003</v>
      </c>
      <c r="AM213" s="214"/>
      <c r="AN213" s="214">
        <f t="shared" si="52"/>
        <v>81.145312500000003</v>
      </c>
      <c r="AO213" s="329"/>
    </row>
    <row r="214" spans="1:41" ht="24.75" customHeight="1" x14ac:dyDescent="0.25">
      <c r="A214" s="329"/>
      <c r="B214" s="329" t="s">
        <v>802</v>
      </c>
      <c r="C214" s="214">
        <f t="shared" si="49"/>
        <v>10.8</v>
      </c>
      <c r="D214" s="313"/>
      <c r="E214" s="313">
        <v>10.8</v>
      </c>
      <c r="F214" s="313"/>
      <c r="G214" s="214">
        <f t="shared" si="62"/>
        <v>0</v>
      </c>
      <c r="H214" s="214">
        <f t="shared" si="63"/>
        <v>0</v>
      </c>
      <c r="I214" s="214">
        <f t="shared" si="70"/>
        <v>0</v>
      </c>
      <c r="J214" s="214">
        <f t="shared" si="64"/>
        <v>0</v>
      </c>
      <c r="K214" s="214">
        <f t="shared" si="65"/>
        <v>0</v>
      </c>
      <c r="L214" s="313"/>
      <c r="M214" s="313"/>
      <c r="N214" s="313"/>
      <c r="O214" s="363"/>
      <c r="P214" s="313"/>
      <c r="Q214" s="239">
        <f t="shared" si="66"/>
        <v>0</v>
      </c>
      <c r="R214" s="214">
        <f t="shared" si="67"/>
        <v>0</v>
      </c>
      <c r="S214" s="313"/>
      <c r="T214" s="313"/>
      <c r="U214" s="239">
        <f t="shared" si="68"/>
        <v>0</v>
      </c>
      <c r="V214" s="313">
        <v>0</v>
      </c>
      <c r="W214" s="313"/>
      <c r="X214" s="313"/>
      <c r="Y214" s="313"/>
      <c r="Z214" s="313"/>
      <c r="AA214" s="313"/>
      <c r="AB214" s="214">
        <f t="shared" si="69"/>
        <v>0</v>
      </c>
      <c r="AC214" s="313"/>
      <c r="AD214" s="313"/>
      <c r="AE214" s="313"/>
      <c r="AF214" s="214">
        <f t="shared" si="60"/>
        <v>0</v>
      </c>
      <c r="AG214" s="313"/>
      <c r="AH214" s="313"/>
      <c r="AI214" s="214">
        <f t="shared" si="61"/>
        <v>0</v>
      </c>
      <c r="AJ214" s="313"/>
      <c r="AK214" s="313"/>
      <c r="AL214" s="214">
        <f t="shared" si="58"/>
        <v>0</v>
      </c>
      <c r="AM214" s="214"/>
      <c r="AN214" s="214">
        <f t="shared" si="52"/>
        <v>0</v>
      </c>
      <c r="AO214" s="329"/>
    </row>
    <row r="215" spans="1:41" ht="24.75" customHeight="1" x14ac:dyDescent="0.25">
      <c r="A215" s="329"/>
      <c r="B215" s="329" t="s">
        <v>356</v>
      </c>
      <c r="C215" s="214">
        <f t="shared" si="49"/>
        <v>221</v>
      </c>
      <c r="D215" s="313"/>
      <c r="E215" s="313">
        <f>199+22</f>
        <v>221</v>
      </c>
      <c r="F215" s="313"/>
      <c r="G215" s="214">
        <f t="shared" si="62"/>
        <v>194.68222</v>
      </c>
      <c r="H215" s="214">
        <f t="shared" si="63"/>
        <v>0</v>
      </c>
      <c r="I215" s="214">
        <f t="shared" si="70"/>
        <v>194.68222</v>
      </c>
      <c r="J215" s="214">
        <f t="shared" si="64"/>
        <v>0</v>
      </c>
      <c r="K215" s="214">
        <f t="shared" si="65"/>
        <v>0</v>
      </c>
      <c r="L215" s="313"/>
      <c r="M215" s="313"/>
      <c r="N215" s="313"/>
      <c r="O215" s="363"/>
      <c r="P215" s="313"/>
      <c r="Q215" s="239">
        <f t="shared" si="66"/>
        <v>194.68222</v>
      </c>
      <c r="R215" s="214">
        <f t="shared" si="67"/>
        <v>0</v>
      </c>
      <c r="S215" s="313"/>
      <c r="T215" s="313"/>
      <c r="U215" s="239">
        <f t="shared" si="68"/>
        <v>194.68222</v>
      </c>
      <c r="V215" s="313">
        <v>194.68222</v>
      </c>
      <c r="W215" s="313"/>
      <c r="X215" s="313"/>
      <c r="Y215" s="313"/>
      <c r="Z215" s="313"/>
      <c r="AA215" s="313"/>
      <c r="AB215" s="214">
        <f t="shared" si="69"/>
        <v>0</v>
      </c>
      <c r="AC215" s="313"/>
      <c r="AD215" s="313"/>
      <c r="AE215" s="313"/>
      <c r="AF215" s="214">
        <f t="shared" si="60"/>
        <v>0</v>
      </c>
      <c r="AG215" s="313"/>
      <c r="AH215" s="313"/>
      <c r="AI215" s="214">
        <f t="shared" si="61"/>
        <v>0</v>
      </c>
      <c r="AJ215" s="313"/>
      <c r="AK215" s="313"/>
      <c r="AL215" s="214">
        <f t="shared" si="58"/>
        <v>88.091502262443441</v>
      </c>
      <c r="AM215" s="214"/>
      <c r="AN215" s="214">
        <f t="shared" si="52"/>
        <v>88.091502262443441</v>
      </c>
      <c r="AO215" s="329"/>
    </row>
    <row r="216" spans="1:41" ht="24.75" customHeight="1" x14ac:dyDescent="0.25">
      <c r="A216" s="329"/>
      <c r="B216" s="329" t="s">
        <v>555</v>
      </c>
      <c r="C216" s="214">
        <f t="shared" si="49"/>
        <v>219</v>
      </c>
      <c r="D216" s="313"/>
      <c r="E216" s="313">
        <v>219</v>
      </c>
      <c r="F216" s="313"/>
      <c r="G216" s="214">
        <f t="shared" si="62"/>
        <v>219</v>
      </c>
      <c r="H216" s="214">
        <f t="shared" si="63"/>
        <v>0</v>
      </c>
      <c r="I216" s="214">
        <f t="shared" si="70"/>
        <v>219</v>
      </c>
      <c r="J216" s="214">
        <f t="shared" si="64"/>
        <v>0</v>
      </c>
      <c r="K216" s="214">
        <f t="shared" si="65"/>
        <v>0</v>
      </c>
      <c r="L216" s="313"/>
      <c r="M216" s="313"/>
      <c r="N216" s="313"/>
      <c r="O216" s="363"/>
      <c r="P216" s="313"/>
      <c r="Q216" s="239">
        <f t="shared" si="66"/>
        <v>219</v>
      </c>
      <c r="R216" s="214">
        <f t="shared" si="67"/>
        <v>0</v>
      </c>
      <c r="S216" s="313"/>
      <c r="T216" s="313"/>
      <c r="U216" s="239">
        <f t="shared" si="68"/>
        <v>219</v>
      </c>
      <c r="V216" s="313">
        <v>219</v>
      </c>
      <c r="W216" s="313"/>
      <c r="X216" s="313"/>
      <c r="Y216" s="313"/>
      <c r="Z216" s="313"/>
      <c r="AA216" s="313"/>
      <c r="AB216" s="214">
        <f t="shared" si="69"/>
        <v>0</v>
      </c>
      <c r="AC216" s="313"/>
      <c r="AD216" s="313"/>
      <c r="AE216" s="313"/>
      <c r="AF216" s="214">
        <f t="shared" si="60"/>
        <v>0</v>
      </c>
      <c r="AG216" s="313"/>
      <c r="AH216" s="313"/>
      <c r="AI216" s="214">
        <f t="shared" si="61"/>
        <v>0</v>
      </c>
      <c r="AJ216" s="313"/>
      <c r="AK216" s="313"/>
      <c r="AL216" s="214">
        <f t="shared" si="58"/>
        <v>100</v>
      </c>
      <c r="AM216" s="214"/>
      <c r="AN216" s="214">
        <f t="shared" si="52"/>
        <v>100</v>
      </c>
      <c r="AO216" s="329"/>
    </row>
    <row r="217" spans="1:41" ht="24.75" customHeight="1" x14ac:dyDescent="0.25">
      <c r="A217" s="329"/>
      <c r="B217" s="329" t="s">
        <v>556</v>
      </c>
      <c r="C217" s="214">
        <f t="shared" si="49"/>
        <v>144</v>
      </c>
      <c r="D217" s="313"/>
      <c r="E217" s="313">
        <v>144</v>
      </c>
      <c r="F217" s="313"/>
      <c r="G217" s="214">
        <f t="shared" si="62"/>
        <v>130.5</v>
      </c>
      <c r="H217" s="214">
        <f t="shared" si="63"/>
        <v>0</v>
      </c>
      <c r="I217" s="214">
        <f t="shared" si="70"/>
        <v>130.5</v>
      </c>
      <c r="J217" s="214">
        <f t="shared" si="64"/>
        <v>0</v>
      </c>
      <c r="K217" s="214">
        <f t="shared" si="65"/>
        <v>0</v>
      </c>
      <c r="L217" s="313"/>
      <c r="M217" s="313"/>
      <c r="N217" s="313"/>
      <c r="O217" s="363"/>
      <c r="P217" s="313"/>
      <c r="Q217" s="239">
        <f t="shared" si="66"/>
        <v>130.5</v>
      </c>
      <c r="R217" s="214">
        <f t="shared" si="67"/>
        <v>0</v>
      </c>
      <c r="S217" s="313"/>
      <c r="T217" s="313"/>
      <c r="U217" s="239">
        <f t="shared" si="68"/>
        <v>130.5</v>
      </c>
      <c r="V217" s="313">
        <v>130.5</v>
      </c>
      <c r="W217" s="313"/>
      <c r="X217" s="313"/>
      <c r="Y217" s="313"/>
      <c r="Z217" s="313"/>
      <c r="AA217" s="313"/>
      <c r="AB217" s="214">
        <f t="shared" si="69"/>
        <v>0</v>
      </c>
      <c r="AC217" s="313"/>
      <c r="AD217" s="313"/>
      <c r="AE217" s="313"/>
      <c r="AF217" s="214">
        <f t="shared" si="60"/>
        <v>0</v>
      </c>
      <c r="AG217" s="313"/>
      <c r="AH217" s="313"/>
      <c r="AI217" s="214">
        <f t="shared" si="61"/>
        <v>0</v>
      </c>
      <c r="AJ217" s="313"/>
      <c r="AK217" s="313"/>
      <c r="AL217" s="214">
        <f t="shared" si="58"/>
        <v>90.625</v>
      </c>
      <c r="AM217" s="214"/>
      <c r="AN217" s="214">
        <f t="shared" si="52"/>
        <v>90.625</v>
      </c>
      <c r="AO217" s="329"/>
    </row>
    <row r="218" spans="1:41" ht="24.75" customHeight="1" x14ac:dyDescent="0.25">
      <c r="A218" s="329"/>
      <c r="B218" s="329" t="s">
        <v>557</v>
      </c>
      <c r="C218" s="214">
        <f t="shared" si="49"/>
        <v>98</v>
      </c>
      <c r="D218" s="313"/>
      <c r="E218" s="313">
        <v>98</v>
      </c>
      <c r="F218" s="313"/>
      <c r="G218" s="214">
        <f t="shared" si="62"/>
        <v>97.990284000000003</v>
      </c>
      <c r="H218" s="214">
        <f t="shared" si="63"/>
        <v>0</v>
      </c>
      <c r="I218" s="214">
        <f t="shared" si="70"/>
        <v>97.990284000000003</v>
      </c>
      <c r="J218" s="214">
        <f t="shared" si="64"/>
        <v>0</v>
      </c>
      <c r="K218" s="214">
        <f t="shared" si="65"/>
        <v>0</v>
      </c>
      <c r="L218" s="313"/>
      <c r="M218" s="313"/>
      <c r="N218" s="313"/>
      <c r="O218" s="363"/>
      <c r="P218" s="313"/>
      <c r="Q218" s="239">
        <f t="shared" si="66"/>
        <v>97.990284000000003</v>
      </c>
      <c r="R218" s="214">
        <f t="shared" si="67"/>
        <v>0</v>
      </c>
      <c r="S218" s="313"/>
      <c r="T218" s="313"/>
      <c r="U218" s="239">
        <f t="shared" si="68"/>
        <v>97.990284000000003</v>
      </c>
      <c r="V218" s="313">
        <v>97.990284000000003</v>
      </c>
      <c r="W218" s="313"/>
      <c r="X218" s="313"/>
      <c r="Y218" s="313"/>
      <c r="Z218" s="313"/>
      <c r="AA218" s="313"/>
      <c r="AB218" s="214">
        <f t="shared" si="69"/>
        <v>0</v>
      </c>
      <c r="AC218" s="313"/>
      <c r="AD218" s="313"/>
      <c r="AE218" s="313"/>
      <c r="AF218" s="214">
        <f t="shared" si="60"/>
        <v>0</v>
      </c>
      <c r="AG218" s="313"/>
      <c r="AH218" s="313"/>
      <c r="AI218" s="214">
        <f t="shared" si="61"/>
        <v>0</v>
      </c>
      <c r="AJ218" s="313"/>
      <c r="AK218" s="313"/>
      <c r="AL218" s="214">
        <f t="shared" si="58"/>
        <v>99.990085714285712</v>
      </c>
      <c r="AM218" s="214"/>
      <c r="AN218" s="214">
        <f t="shared" si="52"/>
        <v>99.990085714285712</v>
      </c>
      <c r="AO218" s="329"/>
    </row>
    <row r="219" spans="1:41" ht="24.75" customHeight="1" x14ac:dyDescent="0.25">
      <c r="A219" s="329"/>
      <c r="B219" s="329" t="s">
        <v>558</v>
      </c>
      <c r="C219" s="214">
        <f>D219+E219</f>
        <v>205</v>
      </c>
      <c r="D219" s="313"/>
      <c r="E219" s="313">
        <v>205</v>
      </c>
      <c r="F219" s="313"/>
      <c r="G219" s="214">
        <f t="shared" si="62"/>
        <v>194</v>
      </c>
      <c r="H219" s="214">
        <f t="shared" si="63"/>
        <v>0</v>
      </c>
      <c r="I219" s="214">
        <f t="shared" si="70"/>
        <v>194</v>
      </c>
      <c r="J219" s="214">
        <f t="shared" si="64"/>
        <v>0</v>
      </c>
      <c r="K219" s="214">
        <f t="shared" si="65"/>
        <v>0</v>
      </c>
      <c r="L219" s="313"/>
      <c r="M219" s="313"/>
      <c r="N219" s="313"/>
      <c r="O219" s="363"/>
      <c r="P219" s="313"/>
      <c r="Q219" s="239">
        <f t="shared" si="66"/>
        <v>194</v>
      </c>
      <c r="R219" s="214">
        <f t="shared" si="67"/>
        <v>0</v>
      </c>
      <c r="S219" s="313"/>
      <c r="T219" s="313"/>
      <c r="U219" s="239">
        <f t="shared" si="68"/>
        <v>194</v>
      </c>
      <c r="V219" s="313">
        <v>194</v>
      </c>
      <c r="W219" s="313"/>
      <c r="X219" s="313"/>
      <c r="Y219" s="313"/>
      <c r="Z219" s="313"/>
      <c r="AA219" s="313"/>
      <c r="AB219" s="214">
        <f t="shared" si="69"/>
        <v>0</v>
      </c>
      <c r="AC219" s="313"/>
      <c r="AD219" s="313"/>
      <c r="AE219" s="313"/>
      <c r="AF219" s="214">
        <f t="shared" si="60"/>
        <v>0</v>
      </c>
      <c r="AG219" s="313"/>
      <c r="AH219" s="313"/>
      <c r="AI219" s="214">
        <f t="shared" si="61"/>
        <v>0</v>
      </c>
      <c r="AJ219" s="313"/>
      <c r="AK219" s="313"/>
      <c r="AL219" s="214">
        <f t="shared" si="58"/>
        <v>94.634146341463421</v>
      </c>
      <c r="AM219" s="214"/>
      <c r="AN219" s="214">
        <f t="shared" si="52"/>
        <v>94.634146341463421</v>
      </c>
      <c r="AO219" s="329"/>
    </row>
    <row r="220" spans="1:41" ht="24.75" customHeight="1" x14ac:dyDescent="0.25">
      <c r="A220" s="329"/>
      <c r="B220" s="329" t="s">
        <v>803</v>
      </c>
      <c r="C220" s="214">
        <f>D220+E220</f>
        <v>50</v>
      </c>
      <c r="D220" s="313"/>
      <c r="E220" s="313">
        <v>50</v>
      </c>
      <c r="F220" s="313"/>
      <c r="G220" s="214">
        <f t="shared" si="62"/>
        <v>45</v>
      </c>
      <c r="H220" s="214">
        <f t="shared" si="63"/>
        <v>0</v>
      </c>
      <c r="I220" s="214">
        <f t="shared" si="70"/>
        <v>45</v>
      </c>
      <c r="J220" s="214">
        <f t="shared" si="64"/>
        <v>0</v>
      </c>
      <c r="K220" s="214">
        <f t="shared" si="65"/>
        <v>0</v>
      </c>
      <c r="L220" s="313"/>
      <c r="M220" s="313"/>
      <c r="N220" s="313"/>
      <c r="O220" s="363"/>
      <c r="P220" s="313"/>
      <c r="Q220" s="239">
        <f t="shared" si="66"/>
        <v>45</v>
      </c>
      <c r="R220" s="214">
        <f t="shared" si="67"/>
        <v>0</v>
      </c>
      <c r="S220" s="313"/>
      <c r="T220" s="313"/>
      <c r="U220" s="239">
        <f t="shared" si="68"/>
        <v>45</v>
      </c>
      <c r="V220" s="313">
        <v>45</v>
      </c>
      <c r="W220" s="313"/>
      <c r="X220" s="313"/>
      <c r="Y220" s="313"/>
      <c r="Z220" s="313"/>
      <c r="AA220" s="313"/>
      <c r="AB220" s="214">
        <f t="shared" si="69"/>
        <v>0</v>
      </c>
      <c r="AC220" s="313"/>
      <c r="AD220" s="313"/>
      <c r="AE220" s="313"/>
      <c r="AF220" s="214">
        <f t="shared" si="60"/>
        <v>0</v>
      </c>
      <c r="AG220" s="313"/>
      <c r="AH220" s="313"/>
      <c r="AI220" s="214">
        <f t="shared" si="61"/>
        <v>0</v>
      </c>
      <c r="AJ220" s="313"/>
      <c r="AK220" s="313"/>
      <c r="AL220" s="214">
        <f t="shared" si="58"/>
        <v>90</v>
      </c>
      <c r="AM220" s="214"/>
      <c r="AN220" s="214">
        <f>I220/E220%</f>
        <v>90</v>
      </c>
      <c r="AO220" s="329"/>
    </row>
    <row r="221" spans="1:41" ht="24.75" customHeight="1" x14ac:dyDescent="0.25">
      <c r="A221" s="329"/>
      <c r="B221" s="329" t="s">
        <v>560</v>
      </c>
      <c r="C221" s="214">
        <f>D221+E221</f>
        <v>348</v>
      </c>
      <c r="D221" s="313"/>
      <c r="E221" s="313">
        <v>348</v>
      </c>
      <c r="F221" s="313"/>
      <c r="G221" s="214">
        <f t="shared" si="62"/>
        <v>310</v>
      </c>
      <c r="H221" s="214">
        <f t="shared" si="63"/>
        <v>0</v>
      </c>
      <c r="I221" s="214">
        <f t="shared" si="70"/>
        <v>310</v>
      </c>
      <c r="J221" s="214">
        <f t="shared" si="64"/>
        <v>0</v>
      </c>
      <c r="K221" s="214">
        <f t="shared" si="65"/>
        <v>0</v>
      </c>
      <c r="L221" s="313"/>
      <c r="M221" s="313"/>
      <c r="N221" s="313"/>
      <c r="O221" s="363"/>
      <c r="P221" s="313"/>
      <c r="Q221" s="239">
        <f t="shared" si="66"/>
        <v>310</v>
      </c>
      <c r="R221" s="214">
        <f t="shared" si="67"/>
        <v>0</v>
      </c>
      <c r="S221" s="313"/>
      <c r="T221" s="313"/>
      <c r="U221" s="239">
        <f t="shared" si="68"/>
        <v>310</v>
      </c>
      <c r="V221" s="313">
        <v>310</v>
      </c>
      <c r="W221" s="313"/>
      <c r="X221" s="313"/>
      <c r="Y221" s="313"/>
      <c r="Z221" s="313"/>
      <c r="AA221" s="313"/>
      <c r="AB221" s="214">
        <f t="shared" si="69"/>
        <v>0</v>
      </c>
      <c r="AC221" s="313"/>
      <c r="AD221" s="313"/>
      <c r="AE221" s="313"/>
      <c r="AF221" s="214">
        <f t="shared" si="60"/>
        <v>0</v>
      </c>
      <c r="AG221" s="313"/>
      <c r="AH221" s="313"/>
      <c r="AI221" s="214">
        <f t="shared" si="61"/>
        <v>0</v>
      </c>
      <c r="AJ221" s="313"/>
      <c r="AK221" s="313"/>
      <c r="AL221" s="214">
        <f t="shared" si="58"/>
        <v>89.080459770114942</v>
      </c>
      <c r="AM221" s="214"/>
      <c r="AN221" s="214">
        <f>I221/E221%</f>
        <v>89.080459770114942</v>
      </c>
      <c r="AO221" s="329"/>
    </row>
    <row r="222" spans="1:41" s="297" customFormat="1" ht="24.75" customHeight="1" x14ac:dyDescent="0.25">
      <c r="A222" s="332"/>
      <c r="B222" s="212" t="s">
        <v>1108</v>
      </c>
      <c r="C222" s="308">
        <f>C223+C228</f>
        <v>5151.7132169999995</v>
      </c>
      <c r="D222" s="308">
        <f t="shared" ref="D222:AK222" si="71">D223+D228</f>
        <v>4967.1461899999995</v>
      </c>
      <c r="E222" s="308">
        <f t="shared" si="71"/>
        <v>184.567027</v>
      </c>
      <c r="F222" s="308">
        <f t="shared" si="71"/>
        <v>0</v>
      </c>
      <c r="G222" s="308">
        <f t="shared" si="71"/>
        <v>4562.4086560000005</v>
      </c>
      <c r="H222" s="308">
        <f t="shared" si="71"/>
        <v>4380.5757190000004</v>
      </c>
      <c r="I222" s="308">
        <f t="shared" si="71"/>
        <v>181.83293700000002</v>
      </c>
      <c r="J222" s="308">
        <f t="shared" si="71"/>
        <v>0</v>
      </c>
      <c r="K222" s="308">
        <f t="shared" si="71"/>
        <v>0</v>
      </c>
      <c r="L222" s="308">
        <f t="shared" si="71"/>
        <v>0</v>
      </c>
      <c r="M222" s="308">
        <f t="shared" si="71"/>
        <v>0</v>
      </c>
      <c r="N222" s="308">
        <f t="shared" si="71"/>
        <v>0</v>
      </c>
      <c r="O222" s="311">
        <f t="shared" si="71"/>
        <v>0</v>
      </c>
      <c r="P222" s="308">
        <f t="shared" si="71"/>
        <v>0</v>
      </c>
      <c r="Q222" s="240">
        <f t="shared" si="71"/>
        <v>0</v>
      </c>
      <c r="R222" s="308">
        <f t="shared" si="71"/>
        <v>0</v>
      </c>
      <c r="S222" s="308">
        <f t="shared" si="71"/>
        <v>0</v>
      </c>
      <c r="T222" s="308">
        <f t="shared" si="71"/>
        <v>0</v>
      </c>
      <c r="U222" s="240">
        <f t="shared" si="71"/>
        <v>0</v>
      </c>
      <c r="V222" s="308">
        <f t="shared" si="71"/>
        <v>0</v>
      </c>
      <c r="W222" s="308">
        <f t="shared" si="71"/>
        <v>0</v>
      </c>
      <c r="X222" s="308">
        <f t="shared" si="71"/>
        <v>0</v>
      </c>
      <c r="Y222" s="308">
        <f t="shared" si="71"/>
        <v>0</v>
      </c>
      <c r="Z222" s="308">
        <f t="shared" si="71"/>
        <v>0</v>
      </c>
      <c r="AA222" s="308">
        <f t="shared" si="71"/>
        <v>0</v>
      </c>
      <c r="AB222" s="308">
        <f t="shared" si="71"/>
        <v>0</v>
      </c>
      <c r="AC222" s="308">
        <f t="shared" si="71"/>
        <v>0</v>
      </c>
      <c r="AD222" s="308">
        <f t="shared" si="71"/>
        <v>0</v>
      </c>
      <c r="AE222" s="308">
        <f t="shared" si="71"/>
        <v>4562.4086560000005</v>
      </c>
      <c r="AF222" s="308">
        <f t="shared" si="71"/>
        <v>4380.5757190000004</v>
      </c>
      <c r="AG222" s="308">
        <f t="shared" si="71"/>
        <v>0</v>
      </c>
      <c r="AH222" s="308">
        <f t="shared" si="71"/>
        <v>0</v>
      </c>
      <c r="AI222" s="308">
        <f t="shared" si="71"/>
        <v>181.83293700000002</v>
      </c>
      <c r="AJ222" s="308">
        <f t="shared" si="71"/>
        <v>181.83293700000002</v>
      </c>
      <c r="AK222" s="308">
        <f t="shared" si="71"/>
        <v>0</v>
      </c>
      <c r="AL222" s="241">
        <f>G222/C222%</f>
        <v>88.560998328568274</v>
      </c>
      <c r="AM222" s="308"/>
      <c r="AN222" s="308">
        <f>I222/E222%</f>
        <v>98.518646561934389</v>
      </c>
      <c r="AO222" s="332"/>
    </row>
    <row r="223" spans="1:41" s="297" customFormat="1" ht="24.75" customHeight="1" x14ac:dyDescent="0.25">
      <c r="A223" s="332"/>
      <c r="B223" s="212" t="s">
        <v>1109</v>
      </c>
      <c r="C223" s="308">
        <f>SUM(C224:C227)</f>
        <v>184.567027</v>
      </c>
      <c r="D223" s="308">
        <f t="shared" ref="D223:AK223" si="72">SUM(D224:D227)</f>
        <v>0</v>
      </c>
      <c r="E223" s="240">
        <f t="shared" si="72"/>
        <v>184.567027</v>
      </c>
      <c r="F223" s="308">
        <f t="shared" si="72"/>
        <v>0</v>
      </c>
      <c r="G223" s="240">
        <f t="shared" si="72"/>
        <v>181.83293700000002</v>
      </c>
      <c r="H223" s="308">
        <f t="shared" si="72"/>
        <v>0</v>
      </c>
      <c r="I223" s="310">
        <f t="shared" si="72"/>
        <v>181.83293700000002</v>
      </c>
      <c r="J223" s="308">
        <f t="shared" si="72"/>
        <v>0</v>
      </c>
      <c r="K223" s="308">
        <f t="shared" si="72"/>
        <v>0</v>
      </c>
      <c r="L223" s="308">
        <f t="shared" si="72"/>
        <v>0</v>
      </c>
      <c r="M223" s="308">
        <f t="shared" si="72"/>
        <v>0</v>
      </c>
      <c r="N223" s="308">
        <f t="shared" si="72"/>
        <v>0</v>
      </c>
      <c r="O223" s="311">
        <f t="shared" si="72"/>
        <v>0</v>
      </c>
      <c r="P223" s="308">
        <f t="shared" si="72"/>
        <v>0</v>
      </c>
      <c r="Q223" s="240">
        <f t="shared" si="72"/>
        <v>0</v>
      </c>
      <c r="R223" s="308">
        <f t="shared" si="72"/>
        <v>0</v>
      </c>
      <c r="S223" s="308">
        <f t="shared" si="72"/>
        <v>0</v>
      </c>
      <c r="T223" s="308">
        <f t="shared" si="72"/>
        <v>0</v>
      </c>
      <c r="U223" s="240">
        <f t="shared" si="72"/>
        <v>0</v>
      </c>
      <c r="V223" s="308">
        <f t="shared" si="72"/>
        <v>0</v>
      </c>
      <c r="W223" s="308">
        <f t="shared" si="72"/>
        <v>0</v>
      </c>
      <c r="X223" s="308">
        <f t="shared" si="72"/>
        <v>0</v>
      </c>
      <c r="Y223" s="308">
        <f t="shared" si="72"/>
        <v>0</v>
      </c>
      <c r="Z223" s="308">
        <f t="shared" si="72"/>
        <v>0</v>
      </c>
      <c r="AA223" s="308">
        <f t="shared" si="72"/>
        <v>0</v>
      </c>
      <c r="AB223" s="308">
        <f t="shared" si="72"/>
        <v>0</v>
      </c>
      <c r="AC223" s="308">
        <f t="shared" si="72"/>
        <v>0</v>
      </c>
      <c r="AD223" s="308">
        <f t="shared" si="72"/>
        <v>0</v>
      </c>
      <c r="AE223" s="308">
        <f t="shared" si="72"/>
        <v>181.83293700000002</v>
      </c>
      <c r="AF223" s="308">
        <f t="shared" si="72"/>
        <v>0</v>
      </c>
      <c r="AG223" s="308">
        <f t="shared" si="72"/>
        <v>0</v>
      </c>
      <c r="AH223" s="308">
        <f t="shared" si="72"/>
        <v>0</v>
      </c>
      <c r="AI223" s="308">
        <f t="shared" si="72"/>
        <v>181.83293700000002</v>
      </c>
      <c r="AJ223" s="308">
        <f t="shared" si="72"/>
        <v>181.83293700000002</v>
      </c>
      <c r="AK223" s="308">
        <f t="shared" si="72"/>
        <v>0</v>
      </c>
      <c r="AL223" s="241"/>
      <c r="AM223" s="308"/>
      <c r="AN223" s="308"/>
      <c r="AO223" s="336"/>
    </row>
    <row r="224" spans="1:41" s="295" customFormat="1" ht="24.75" customHeight="1" x14ac:dyDescent="0.25">
      <c r="A224" s="337"/>
      <c r="B224" s="337" t="s">
        <v>347</v>
      </c>
      <c r="C224" s="199">
        <f>D224+E224</f>
        <v>40</v>
      </c>
      <c r="D224" s="221"/>
      <c r="E224" s="221">
        <v>40</v>
      </c>
      <c r="F224" s="221"/>
      <c r="G224" s="338">
        <f t="shared" si="62"/>
        <v>40</v>
      </c>
      <c r="H224" s="199">
        <f t="shared" si="63"/>
        <v>0</v>
      </c>
      <c r="I224" s="338">
        <f t="shared" si="70"/>
        <v>40</v>
      </c>
      <c r="J224" s="199">
        <f t="shared" si="64"/>
        <v>0</v>
      </c>
      <c r="K224" s="199">
        <f t="shared" si="65"/>
        <v>0</v>
      </c>
      <c r="L224" s="221"/>
      <c r="M224" s="221"/>
      <c r="N224" s="221"/>
      <c r="O224" s="366"/>
      <c r="P224" s="221"/>
      <c r="Q224" s="380">
        <f t="shared" si="66"/>
        <v>0</v>
      </c>
      <c r="R224" s="199">
        <f t="shared" si="67"/>
        <v>0</v>
      </c>
      <c r="S224" s="221"/>
      <c r="T224" s="221"/>
      <c r="U224" s="380">
        <f t="shared" si="68"/>
        <v>0</v>
      </c>
      <c r="V224" s="221"/>
      <c r="W224" s="221"/>
      <c r="X224" s="221"/>
      <c r="Y224" s="221"/>
      <c r="Z224" s="221"/>
      <c r="AA224" s="221"/>
      <c r="AB224" s="199">
        <f t="shared" si="69"/>
        <v>0</v>
      </c>
      <c r="AC224" s="221"/>
      <c r="AD224" s="221"/>
      <c r="AE224" s="221">
        <f t="shared" ref="AE224:AE231" si="73">AF224+AI224</f>
        <v>40</v>
      </c>
      <c r="AF224" s="199">
        <f t="shared" si="60"/>
        <v>0</v>
      </c>
      <c r="AG224" s="221"/>
      <c r="AH224" s="221"/>
      <c r="AI224" s="199">
        <f t="shared" si="61"/>
        <v>40</v>
      </c>
      <c r="AJ224" s="221">
        <v>40</v>
      </c>
      <c r="AK224" s="221"/>
      <c r="AL224" s="199">
        <f t="shared" si="58"/>
        <v>100</v>
      </c>
      <c r="AM224" s="199"/>
      <c r="AN224" s="199">
        <f>I224/E224%</f>
        <v>100</v>
      </c>
      <c r="AO224" s="339"/>
    </row>
    <row r="225" spans="1:41" s="295" customFormat="1" ht="24.75" customHeight="1" x14ac:dyDescent="0.25">
      <c r="A225" s="337"/>
      <c r="B225" s="337" t="s">
        <v>348</v>
      </c>
      <c r="C225" s="199">
        <f>D225+E225</f>
        <v>50</v>
      </c>
      <c r="D225" s="221"/>
      <c r="E225" s="221">
        <v>50</v>
      </c>
      <c r="F225" s="221"/>
      <c r="G225" s="338">
        <f t="shared" si="62"/>
        <v>49.687837000000002</v>
      </c>
      <c r="H225" s="199">
        <f t="shared" si="63"/>
        <v>0</v>
      </c>
      <c r="I225" s="338">
        <f t="shared" si="70"/>
        <v>49.687837000000002</v>
      </c>
      <c r="J225" s="199">
        <f t="shared" si="64"/>
        <v>0</v>
      </c>
      <c r="K225" s="199">
        <f t="shared" si="65"/>
        <v>0</v>
      </c>
      <c r="L225" s="221"/>
      <c r="M225" s="221"/>
      <c r="N225" s="221"/>
      <c r="O225" s="366"/>
      <c r="P225" s="221"/>
      <c r="Q225" s="380">
        <f t="shared" si="66"/>
        <v>0</v>
      </c>
      <c r="R225" s="199">
        <f t="shared" si="67"/>
        <v>0</v>
      </c>
      <c r="S225" s="221"/>
      <c r="T225" s="221"/>
      <c r="U225" s="380">
        <f t="shared" si="68"/>
        <v>0</v>
      </c>
      <c r="V225" s="221"/>
      <c r="W225" s="221"/>
      <c r="X225" s="221"/>
      <c r="Y225" s="221"/>
      <c r="Z225" s="221"/>
      <c r="AA225" s="221"/>
      <c r="AB225" s="199">
        <f t="shared" si="69"/>
        <v>0</v>
      </c>
      <c r="AC225" s="221"/>
      <c r="AD225" s="221"/>
      <c r="AE225" s="221">
        <f t="shared" si="73"/>
        <v>49.687837000000002</v>
      </c>
      <c r="AF225" s="199">
        <f t="shared" si="60"/>
        <v>0</v>
      </c>
      <c r="AG225" s="221"/>
      <c r="AH225" s="221"/>
      <c r="AI225" s="199">
        <f t="shared" si="61"/>
        <v>49.687837000000002</v>
      </c>
      <c r="AJ225" s="221">
        <v>49.687837000000002</v>
      </c>
      <c r="AK225" s="221"/>
      <c r="AL225" s="199">
        <f t="shared" si="58"/>
        <v>99.375674000000004</v>
      </c>
      <c r="AM225" s="199"/>
      <c r="AN225" s="199">
        <f>I225/E225%</f>
        <v>99.375674000000004</v>
      </c>
      <c r="AO225" s="339"/>
    </row>
    <row r="226" spans="1:41" s="295" customFormat="1" ht="24.75" customHeight="1" x14ac:dyDescent="0.25">
      <c r="A226" s="337"/>
      <c r="B226" s="337" t="s">
        <v>558</v>
      </c>
      <c r="C226" s="199">
        <f>D226+E226</f>
        <v>64.567026999999996</v>
      </c>
      <c r="D226" s="221"/>
      <c r="E226" s="221">
        <v>64.567026999999996</v>
      </c>
      <c r="F226" s="221"/>
      <c r="G226" s="338">
        <f t="shared" si="62"/>
        <v>63.16825</v>
      </c>
      <c r="H226" s="199">
        <f t="shared" si="63"/>
        <v>0</v>
      </c>
      <c r="I226" s="338">
        <f t="shared" si="70"/>
        <v>63.16825</v>
      </c>
      <c r="J226" s="199">
        <f t="shared" si="64"/>
        <v>0</v>
      </c>
      <c r="K226" s="199">
        <f t="shared" si="65"/>
        <v>0</v>
      </c>
      <c r="L226" s="221"/>
      <c r="M226" s="221"/>
      <c r="N226" s="221"/>
      <c r="O226" s="366"/>
      <c r="P226" s="221"/>
      <c r="Q226" s="380">
        <f t="shared" si="66"/>
        <v>0</v>
      </c>
      <c r="R226" s="199">
        <f t="shared" si="67"/>
        <v>0</v>
      </c>
      <c r="S226" s="221"/>
      <c r="T226" s="221"/>
      <c r="U226" s="380">
        <f t="shared" si="68"/>
        <v>0</v>
      </c>
      <c r="V226" s="221"/>
      <c r="W226" s="221"/>
      <c r="X226" s="221"/>
      <c r="Y226" s="221"/>
      <c r="Z226" s="221"/>
      <c r="AA226" s="221"/>
      <c r="AB226" s="199">
        <f t="shared" si="69"/>
        <v>0</v>
      </c>
      <c r="AC226" s="221"/>
      <c r="AD226" s="221"/>
      <c r="AE226" s="221">
        <f t="shared" si="73"/>
        <v>63.16825</v>
      </c>
      <c r="AF226" s="199">
        <f t="shared" si="60"/>
        <v>0</v>
      </c>
      <c r="AG226" s="221"/>
      <c r="AH226" s="221"/>
      <c r="AI226" s="199">
        <f t="shared" si="61"/>
        <v>63.16825</v>
      </c>
      <c r="AJ226" s="221">
        <v>63.16825</v>
      </c>
      <c r="AK226" s="221"/>
      <c r="AL226" s="199">
        <f t="shared" si="58"/>
        <v>97.833604759283716</v>
      </c>
      <c r="AM226" s="199"/>
      <c r="AN226" s="199">
        <f>I226/E226%</f>
        <v>97.833604759283716</v>
      </c>
      <c r="AO226" s="339"/>
    </row>
    <row r="227" spans="1:41" s="295" customFormat="1" ht="24.75" customHeight="1" x14ac:dyDescent="0.25">
      <c r="A227" s="337"/>
      <c r="B227" s="337" t="s">
        <v>560</v>
      </c>
      <c r="C227" s="199">
        <f>D227+E227</f>
        <v>30</v>
      </c>
      <c r="D227" s="221"/>
      <c r="E227" s="221">
        <v>30</v>
      </c>
      <c r="F227" s="221"/>
      <c r="G227" s="338">
        <f t="shared" si="62"/>
        <v>28.976849999999999</v>
      </c>
      <c r="H227" s="199">
        <f t="shared" si="63"/>
        <v>0</v>
      </c>
      <c r="I227" s="338">
        <f>N227+U227+AB227+AI227</f>
        <v>28.976849999999999</v>
      </c>
      <c r="J227" s="199">
        <f t="shared" si="64"/>
        <v>0</v>
      </c>
      <c r="K227" s="199">
        <f t="shared" si="65"/>
        <v>0</v>
      </c>
      <c r="L227" s="221"/>
      <c r="M227" s="221"/>
      <c r="N227" s="221"/>
      <c r="O227" s="366"/>
      <c r="P227" s="221"/>
      <c r="Q227" s="380">
        <f t="shared" si="66"/>
        <v>0</v>
      </c>
      <c r="R227" s="199">
        <f t="shared" si="67"/>
        <v>0</v>
      </c>
      <c r="S227" s="221"/>
      <c r="T227" s="221"/>
      <c r="U227" s="380">
        <f t="shared" si="68"/>
        <v>0</v>
      </c>
      <c r="V227" s="221"/>
      <c r="W227" s="221"/>
      <c r="X227" s="221"/>
      <c r="Y227" s="221"/>
      <c r="Z227" s="221"/>
      <c r="AA227" s="221"/>
      <c r="AB227" s="199">
        <f t="shared" si="69"/>
        <v>0</v>
      </c>
      <c r="AC227" s="221"/>
      <c r="AD227" s="221"/>
      <c r="AE227" s="221">
        <f t="shared" si="73"/>
        <v>28.976849999999999</v>
      </c>
      <c r="AF227" s="199">
        <f t="shared" si="60"/>
        <v>0</v>
      </c>
      <c r="AG227" s="221"/>
      <c r="AH227" s="221"/>
      <c r="AI227" s="199">
        <f t="shared" si="61"/>
        <v>28.976849999999999</v>
      </c>
      <c r="AJ227" s="221">
        <v>28.976849999999999</v>
      </c>
      <c r="AK227" s="221"/>
      <c r="AL227" s="199">
        <f t="shared" si="58"/>
        <v>96.589500000000001</v>
      </c>
      <c r="AM227" s="199"/>
      <c r="AN227" s="199">
        <f>I227/E227%</f>
        <v>96.589500000000001</v>
      </c>
      <c r="AO227" s="339"/>
    </row>
    <row r="228" spans="1:41" s="325" customFormat="1" ht="24.75" customHeight="1" x14ac:dyDescent="0.25">
      <c r="A228" s="335"/>
      <c r="B228" s="321" t="s">
        <v>1110</v>
      </c>
      <c r="C228" s="322">
        <f>SUM(C229:C231)</f>
        <v>4967.1461899999995</v>
      </c>
      <c r="D228" s="322">
        <f t="shared" ref="D228:AK228" si="74">SUM(D229:D231)</f>
        <v>4967.1461899999995</v>
      </c>
      <c r="E228" s="322">
        <f t="shared" si="74"/>
        <v>0</v>
      </c>
      <c r="F228" s="322">
        <f t="shared" si="74"/>
        <v>0</v>
      </c>
      <c r="G228" s="322">
        <f t="shared" si="74"/>
        <v>4380.5757190000004</v>
      </c>
      <c r="H228" s="322">
        <f t="shared" si="74"/>
        <v>4380.5757190000004</v>
      </c>
      <c r="I228" s="322">
        <f t="shared" si="74"/>
        <v>0</v>
      </c>
      <c r="J228" s="322">
        <f t="shared" si="74"/>
        <v>0</v>
      </c>
      <c r="K228" s="322">
        <f t="shared" si="74"/>
        <v>0</v>
      </c>
      <c r="L228" s="322">
        <f t="shared" si="74"/>
        <v>0</v>
      </c>
      <c r="M228" s="322">
        <f t="shared" si="74"/>
        <v>0</v>
      </c>
      <c r="N228" s="322">
        <f t="shared" si="74"/>
        <v>0</v>
      </c>
      <c r="O228" s="362">
        <f t="shared" si="74"/>
        <v>0</v>
      </c>
      <c r="P228" s="322">
        <f t="shared" si="74"/>
        <v>0</v>
      </c>
      <c r="Q228" s="324">
        <f t="shared" si="74"/>
        <v>0</v>
      </c>
      <c r="R228" s="322">
        <f t="shared" si="74"/>
        <v>0</v>
      </c>
      <c r="S228" s="322">
        <f t="shared" si="74"/>
        <v>0</v>
      </c>
      <c r="T228" s="322">
        <f t="shared" si="74"/>
        <v>0</v>
      </c>
      <c r="U228" s="324">
        <f t="shared" si="74"/>
        <v>0</v>
      </c>
      <c r="V228" s="322">
        <f t="shared" si="74"/>
        <v>0</v>
      </c>
      <c r="W228" s="322">
        <f t="shared" si="74"/>
        <v>0</v>
      </c>
      <c r="X228" s="322">
        <f t="shared" si="74"/>
        <v>0</v>
      </c>
      <c r="Y228" s="322">
        <f t="shared" si="74"/>
        <v>0</v>
      </c>
      <c r="Z228" s="322">
        <f t="shared" si="74"/>
        <v>0</v>
      </c>
      <c r="AA228" s="322">
        <f t="shared" si="74"/>
        <v>0</v>
      </c>
      <c r="AB228" s="322">
        <f t="shared" si="74"/>
        <v>0</v>
      </c>
      <c r="AC228" s="322">
        <f t="shared" si="74"/>
        <v>0</v>
      </c>
      <c r="AD228" s="322">
        <f t="shared" si="74"/>
        <v>0</v>
      </c>
      <c r="AE228" s="322">
        <f t="shared" si="74"/>
        <v>4380.5757190000004</v>
      </c>
      <c r="AF228" s="322">
        <f t="shared" si="74"/>
        <v>4380.5757190000004</v>
      </c>
      <c r="AG228" s="322">
        <f t="shared" si="74"/>
        <v>0</v>
      </c>
      <c r="AH228" s="322">
        <f t="shared" si="74"/>
        <v>0</v>
      </c>
      <c r="AI228" s="322">
        <f t="shared" si="74"/>
        <v>0</v>
      </c>
      <c r="AJ228" s="322">
        <f t="shared" si="74"/>
        <v>0</v>
      </c>
      <c r="AK228" s="322">
        <f t="shared" si="74"/>
        <v>0</v>
      </c>
      <c r="AL228" s="322"/>
      <c r="AM228" s="322"/>
      <c r="AN228" s="322"/>
      <c r="AO228" s="340"/>
    </row>
    <row r="229" spans="1:41" s="295" customFormat="1" ht="51" customHeight="1" x14ac:dyDescent="0.25">
      <c r="A229" s="337"/>
      <c r="B229" s="198" t="s">
        <v>1111</v>
      </c>
      <c r="C229" s="199">
        <f>D229+E229</f>
        <v>1000</v>
      </c>
      <c r="D229" s="221">
        <v>1000</v>
      </c>
      <c r="E229" s="199"/>
      <c r="F229" s="221"/>
      <c r="G229" s="338">
        <f t="shared" si="62"/>
        <v>781.54</v>
      </c>
      <c r="H229" s="199">
        <f t="shared" si="63"/>
        <v>781.54</v>
      </c>
      <c r="I229" s="199">
        <f>N229+U229+AB229+AI229</f>
        <v>0</v>
      </c>
      <c r="J229" s="199"/>
      <c r="K229" s="199"/>
      <c r="L229" s="221"/>
      <c r="M229" s="221"/>
      <c r="N229" s="221"/>
      <c r="O229" s="366"/>
      <c r="P229" s="221"/>
      <c r="Q229" s="380"/>
      <c r="R229" s="199"/>
      <c r="S229" s="221"/>
      <c r="T229" s="221"/>
      <c r="U229" s="380"/>
      <c r="V229" s="221"/>
      <c r="W229" s="221"/>
      <c r="X229" s="221"/>
      <c r="Y229" s="221"/>
      <c r="Z229" s="221"/>
      <c r="AA229" s="221"/>
      <c r="AB229" s="199"/>
      <c r="AC229" s="221"/>
      <c r="AD229" s="221"/>
      <c r="AE229" s="221">
        <f t="shared" si="73"/>
        <v>781.54</v>
      </c>
      <c r="AF229" s="199">
        <v>781.54</v>
      </c>
      <c r="AG229" s="221"/>
      <c r="AH229" s="221"/>
      <c r="AI229" s="199">
        <f t="shared" si="61"/>
        <v>0</v>
      </c>
      <c r="AJ229" s="221"/>
      <c r="AK229" s="221"/>
      <c r="AL229" s="199">
        <f t="shared" si="58"/>
        <v>78.153999999999996</v>
      </c>
      <c r="AM229" s="199"/>
      <c r="AN229" s="199"/>
      <c r="AO229" s="341"/>
    </row>
    <row r="230" spans="1:41" s="295" customFormat="1" ht="42.75" customHeight="1" x14ac:dyDescent="0.25">
      <c r="A230" s="337"/>
      <c r="B230" s="198" t="s">
        <v>1112</v>
      </c>
      <c r="C230" s="199">
        <f>D230+E230</f>
        <v>1967.1461899999999</v>
      </c>
      <c r="D230" s="221">
        <v>1967.1461899999999</v>
      </c>
      <c r="E230" s="199"/>
      <c r="F230" s="221"/>
      <c r="G230" s="338">
        <f t="shared" si="62"/>
        <v>1675.7922000000001</v>
      </c>
      <c r="H230" s="199">
        <f t="shared" si="63"/>
        <v>1675.7922000000001</v>
      </c>
      <c r="I230" s="199">
        <f>N230+U230+AB230+AI230</f>
        <v>0</v>
      </c>
      <c r="J230" s="199"/>
      <c r="K230" s="199"/>
      <c r="L230" s="221"/>
      <c r="M230" s="221"/>
      <c r="N230" s="221"/>
      <c r="O230" s="366"/>
      <c r="P230" s="221"/>
      <c r="Q230" s="380"/>
      <c r="R230" s="199"/>
      <c r="S230" s="221"/>
      <c r="T230" s="221"/>
      <c r="U230" s="380"/>
      <c r="V230" s="221"/>
      <c r="W230" s="221"/>
      <c r="X230" s="221"/>
      <c r="Y230" s="221"/>
      <c r="Z230" s="221"/>
      <c r="AA230" s="221"/>
      <c r="AB230" s="199"/>
      <c r="AC230" s="221"/>
      <c r="AD230" s="221"/>
      <c r="AE230" s="221">
        <f t="shared" si="73"/>
        <v>1675.7922000000001</v>
      </c>
      <c r="AF230" s="199">
        <v>1675.7922000000001</v>
      </c>
      <c r="AG230" s="221"/>
      <c r="AH230" s="221"/>
      <c r="AI230" s="199">
        <f t="shared" si="61"/>
        <v>0</v>
      </c>
      <c r="AJ230" s="221"/>
      <c r="AK230" s="221"/>
      <c r="AL230" s="199">
        <f t="shared" si="58"/>
        <v>85.189001636934776</v>
      </c>
      <c r="AM230" s="199"/>
      <c r="AN230" s="199"/>
      <c r="AO230" s="341"/>
    </row>
    <row r="231" spans="1:41" s="295" customFormat="1" ht="51" x14ac:dyDescent="0.25">
      <c r="A231" s="342"/>
      <c r="B231" s="343" t="s">
        <v>1113</v>
      </c>
      <c r="C231" s="344">
        <f>D231+E231</f>
        <v>2000</v>
      </c>
      <c r="D231" s="342">
        <v>2000</v>
      </c>
      <c r="E231" s="342"/>
      <c r="F231" s="342"/>
      <c r="G231" s="345">
        <f t="shared" si="62"/>
        <v>1923.2435190000001</v>
      </c>
      <c r="H231" s="344">
        <f t="shared" si="63"/>
        <v>1923.2435190000001</v>
      </c>
      <c r="I231" s="342"/>
      <c r="J231" s="342"/>
      <c r="K231" s="342"/>
      <c r="L231" s="342"/>
      <c r="M231" s="342"/>
      <c r="N231" s="342"/>
      <c r="O231" s="367"/>
      <c r="P231" s="342"/>
      <c r="Q231" s="381"/>
      <c r="R231" s="342"/>
      <c r="S231" s="342"/>
      <c r="T231" s="342"/>
      <c r="U231" s="381"/>
      <c r="V231" s="342"/>
      <c r="W231" s="342"/>
      <c r="X231" s="342"/>
      <c r="Y231" s="342"/>
      <c r="Z231" s="342"/>
      <c r="AA231" s="342"/>
      <c r="AB231" s="342"/>
      <c r="AC231" s="342"/>
      <c r="AD231" s="342"/>
      <c r="AE231" s="346">
        <f t="shared" si="73"/>
        <v>1923.2435190000001</v>
      </c>
      <c r="AF231" s="342">
        <v>1923.2435190000001</v>
      </c>
      <c r="AG231" s="342"/>
      <c r="AH231" s="342"/>
      <c r="AI231" s="342"/>
      <c r="AJ231" s="342"/>
      <c r="AK231" s="342"/>
      <c r="AL231" s="342"/>
      <c r="AM231" s="342"/>
      <c r="AN231" s="342"/>
      <c r="AO231" s="347"/>
    </row>
    <row r="233" spans="1:41" ht="15.75" customHeight="1" x14ac:dyDescent="0.25">
      <c r="AF233" s="4366" t="s">
        <v>404</v>
      </c>
      <c r="AG233" s="4366"/>
      <c r="AH233" s="4366"/>
      <c r="AI233" s="4366"/>
      <c r="AJ233" s="4366"/>
      <c r="AK233" s="4366"/>
      <c r="AL233" s="4366"/>
      <c r="AM233" s="354"/>
    </row>
    <row r="234" spans="1:41" ht="15.75" customHeight="1" x14ac:dyDescent="0.25">
      <c r="AF234" s="4368" t="s">
        <v>638</v>
      </c>
      <c r="AG234" s="4368"/>
      <c r="AH234" s="4368"/>
      <c r="AI234" s="4368"/>
      <c r="AJ234" s="4368"/>
      <c r="AK234" s="4368"/>
      <c r="AL234" s="4368"/>
      <c r="AM234" s="354"/>
    </row>
    <row r="235" spans="1:41" ht="15.75" customHeight="1" x14ac:dyDescent="0.25">
      <c r="AF235" s="4368" t="s">
        <v>639</v>
      </c>
      <c r="AG235" s="4368"/>
      <c r="AH235" s="4368"/>
      <c r="AI235" s="4368"/>
      <c r="AJ235" s="4368"/>
      <c r="AK235" s="4368"/>
      <c r="AL235" s="4368"/>
      <c r="AM235" s="354"/>
    </row>
    <row r="236" spans="1:41" ht="15.75" x14ac:dyDescent="0.25">
      <c r="AF236" s="4659"/>
      <c r="AG236" s="4659"/>
      <c r="AH236" s="4659"/>
      <c r="AI236" s="4659"/>
      <c r="AJ236" s="354"/>
      <c r="AK236" s="354"/>
      <c r="AL236" s="354"/>
      <c r="AM236" s="354"/>
    </row>
    <row r="237" spans="1:41" ht="15" x14ac:dyDescent="0.25">
      <c r="AF237" s="355"/>
      <c r="AG237" s="355"/>
      <c r="AH237" s="355"/>
      <c r="AI237" s="355"/>
      <c r="AJ237" s="354"/>
      <c r="AK237" s="354"/>
      <c r="AL237" s="354"/>
      <c r="AM237" s="354"/>
    </row>
    <row r="238" spans="1:41" ht="15" x14ac:dyDescent="0.25">
      <c r="AF238" s="355"/>
      <c r="AG238" s="355"/>
      <c r="AH238" s="355"/>
      <c r="AI238" s="355"/>
      <c r="AJ238" s="354"/>
      <c r="AK238" s="354"/>
      <c r="AL238" s="354"/>
      <c r="AM238" s="354"/>
    </row>
    <row r="239" spans="1:41" ht="15" x14ac:dyDescent="0.25">
      <c r="AF239" s="355"/>
      <c r="AG239" s="355"/>
      <c r="AH239" s="355"/>
      <c r="AI239" s="355"/>
      <c r="AJ239" s="354"/>
      <c r="AK239" s="354"/>
      <c r="AL239" s="354"/>
      <c r="AM239" s="354"/>
    </row>
    <row r="240" spans="1:41" ht="15" x14ac:dyDescent="0.25">
      <c r="AF240" s="355"/>
      <c r="AG240" s="355"/>
      <c r="AH240" s="355"/>
      <c r="AI240" s="355"/>
      <c r="AJ240" s="354"/>
      <c r="AK240" s="354"/>
      <c r="AL240" s="354"/>
      <c r="AM240" s="354"/>
    </row>
    <row r="241" spans="32:39" ht="15" x14ac:dyDescent="0.25">
      <c r="AF241" s="355"/>
      <c r="AG241" s="355"/>
      <c r="AH241" s="355"/>
      <c r="AI241" s="355"/>
      <c r="AJ241" s="354"/>
      <c r="AK241" s="354"/>
      <c r="AL241" s="354"/>
      <c r="AM241" s="354"/>
    </row>
    <row r="242" spans="32:39" ht="18.75" x14ac:dyDescent="0.25">
      <c r="AF242" s="4660" t="s">
        <v>666</v>
      </c>
      <c r="AG242" s="4660"/>
      <c r="AH242" s="4660"/>
      <c r="AI242" s="4660"/>
      <c r="AJ242" s="4660"/>
      <c r="AK242" s="4660"/>
      <c r="AL242" s="4660"/>
      <c r="AM242" s="354"/>
    </row>
    <row r="243" spans="32:39" x14ac:dyDescent="0.25">
      <c r="AF243" s="354"/>
      <c r="AG243" s="354"/>
      <c r="AH243" s="354"/>
      <c r="AI243" s="354"/>
      <c r="AJ243" s="354"/>
      <c r="AK243" s="354"/>
      <c r="AL243" s="354"/>
      <c r="AM243" s="354"/>
    </row>
  </sheetData>
  <mergeCells count="62">
    <mergeCell ref="J4:K4"/>
    <mergeCell ref="D1:E1"/>
    <mergeCell ref="G1:H1"/>
    <mergeCell ref="AM1:AN1"/>
    <mergeCell ref="A2:AO2"/>
    <mergeCell ref="A3:AO3"/>
    <mergeCell ref="A5:A9"/>
    <mergeCell ref="B5:B9"/>
    <mergeCell ref="C5:F5"/>
    <mergeCell ref="G5:AK5"/>
    <mergeCell ref="AL5:AO5"/>
    <mergeCell ref="C6:C9"/>
    <mergeCell ref="D6:E6"/>
    <mergeCell ref="F6:F9"/>
    <mergeCell ref="G6:G9"/>
    <mergeCell ref="H6:I6"/>
    <mergeCell ref="AO6:AO9"/>
    <mergeCell ref="D7:D9"/>
    <mergeCell ref="E7:E9"/>
    <mergeCell ref="H7:H9"/>
    <mergeCell ref="I7:I9"/>
    <mergeCell ref="J7:J9"/>
    <mergeCell ref="K7:M7"/>
    <mergeCell ref="N7:P7"/>
    <mergeCell ref="Q7:Q9"/>
    <mergeCell ref="R7:T7"/>
    <mergeCell ref="J6:P6"/>
    <mergeCell ref="Q6:W6"/>
    <mergeCell ref="K8:K9"/>
    <mergeCell ref="L8:M8"/>
    <mergeCell ref="N8:N9"/>
    <mergeCell ref="O8:P8"/>
    <mergeCell ref="R8:R9"/>
    <mergeCell ref="U7:W7"/>
    <mergeCell ref="S8:T8"/>
    <mergeCell ref="U8:U9"/>
    <mergeCell ref="V8:W8"/>
    <mergeCell ref="X6:AD6"/>
    <mergeCell ref="AE6:AK6"/>
    <mergeCell ref="AL6:AL9"/>
    <mergeCell ref="AM6:AN6"/>
    <mergeCell ref="AN7:AN9"/>
    <mergeCell ref="X7:X9"/>
    <mergeCell ref="Y7:AA7"/>
    <mergeCell ref="AB7:AD7"/>
    <mergeCell ref="AB8:AB9"/>
    <mergeCell ref="AE7:AE9"/>
    <mergeCell ref="AF7:AH7"/>
    <mergeCell ref="AI7:AK7"/>
    <mergeCell ref="AM7:AM9"/>
    <mergeCell ref="Y8:Y9"/>
    <mergeCell ref="Z8:AA8"/>
    <mergeCell ref="AF234:AL234"/>
    <mergeCell ref="AF235:AL235"/>
    <mergeCell ref="AF236:AI236"/>
    <mergeCell ref="AF242:AL242"/>
    <mergeCell ref="AC8:AD8"/>
    <mergeCell ref="AF8:AF9"/>
    <mergeCell ref="AG8:AH8"/>
    <mergeCell ref="AI8:AI9"/>
    <mergeCell ref="AJ8:AK8"/>
    <mergeCell ref="AF233:AL233"/>
  </mergeCells>
  <pageMargins left="0.35433070866141703" right="0.15748031496063" top="0.75" bottom="0.75" header="0.31496062992126" footer="0.31496062992126"/>
  <pageSetup paperSize="9" scale="48" firstPageNumber="170" orientation="landscape" useFirstPageNumber="1"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sheetPr>
  <dimension ref="A1:Q157"/>
  <sheetViews>
    <sheetView workbookViewId="0">
      <pane xSplit="1" ySplit="6" topLeftCell="B7" activePane="bottomRight" state="frozen"/>
      <selection pane="topRight" activeCell="B1" sqref="B1"/>
      <selection pane="bottomLeft" activeCell="A7" sqref="A7"/>
      <selection pane="bottomRight" activeCell="G97" sqref="G97"/>
    </sheetView>
  </sheetViews>
  <sheetFormatPr defaultColWidth="9.140625" defaultRowHeight="15" x14ac:dyDescent="0.25"/>
  <cols>
    <col min="1" max="1" width="14" style="191" customWidth="1"/>
    <col min="2" max="6" width="12.140625" style="191" customWidth="1"/>
    <col min="7" max="7" width="20.5703125" style="191" customWidth="1"/>
    <col min="8" max="8" width="9.140625" style="191"/>
    <col min="9" max="9" width="21.7109375" style="191" customWidth="1"/>
    <col min="10" max="16384" width="9.140625" style="191"/>
  </cols>
  <sheetData>
    <row r="1" spans="1:15" ht="15.75" x14ac:dyDescent="0.25">
      <c r="A1" s="185" t="s">
        <v>640</v>
      </c>
      <c r="G1" s="179"/>
    </row>
    <row r="2" spans="1:15" ht="15.75" x14ac:dyDescent="0.25">
      <c r="A2" s="217"/>
    </row>
    <row r="3" spans="1:15" ht="38.25" customHeight="1" x14ac:dyDescent="0.25">
      <c r="A3" s="4122" t="s">
        <v>319</v>
      </c>
      <c r="B3" s="4122"/>
      <c r="C3" s="4122"/>
      <c r="D3" s="4122"/>
      <c r="E3" s="4122"/>
      <c r="F3" s="4122"/>
      <c r="G3" s="4122"/>
    </row>
    <row r="4" spans="1:15" ht="15.75" x14ac:dyDescent="0.25">
      <c r="A4" s="4360"/>
      <c r="B4" s="4360"/>
      <c r="C4" s="4360"/>
      <c r="D4" s="4360"/>
      <c r="E4" s="4360"/>
      <c r="F4" s="4360"/>
      <c r="G4" s="4360"/>
    </row>
    <row r="5" spans="1:15" ht="15.75" x14ac:dyDescent="0.25">
      <c r="G5" s="218" t="s">
        <v>493</v>
      </c>
    </row>
    <row r="6" spans="1:15" ht="47.25" x14ac:dyDescent="0.25">
      <c r="A6" s="2" t="s">
        <v>505</v>
      </c>
      <c r="B6" s="2" t="s">
        <v>494</v>
      </c>
      <c r="C6" s="2" t="s">
        <v>502</v>
      </c>
      <c r="D6" s="2" t="s">
        <v>503</v>
      </c>
      <c r="E6" s="2" t="s">
        <v>495</v>
      </c>
      <c r="F6" s="2" t="s">
        <v>496</v>
      </c>
      <c r="G6" s="2" t="s">
        <v>504</v>
      </c>
      <c r="I6" s="4661"/>
      <c r="J6" s="4661"/>
      <c r="K6" s="4661"/>
      <c r="L6" s="4661"/>
      <c r="M6" s="4661"/>
      <c r="N6" s="4661"/>
      <c r="O6" s="4661"/>
    </row>
    <row r="7" spans="1:15" ht="63" x14ac:dyDescent="0.25">
      <c r="A7" s="2" t="s">
        <v>320</v>
      </c>
      <c r="B7" s="2"/>
      <c r="C7" s="2"/>
      <c r="D7" s="2"/>
      <c r="E7" s="2"/>
      <c r="F7" s="2"/>
      <c r="G7" s="219">
        <f>G8+G23+G34+G35+G36+G37+G38+G42+G46+G50+G53+G54+G57</f>
        <v>15941993837</v>
      </c>
    </row>
    <row r="8" spans="1:15" s="186" customFormat="1" ht="15.75" x14ac:dyDescent="0.25">
      <c r="A8" s="222"/>
      <c r="B8" s="222">
        <v>612</v>
      </c>
      <c r="C8" s="222">
        <v>460</v>
      </c>
      <c r="D8" s="222">
        <v>463</v>
      </c>
      <c r="E8" s="222"/>
      <c r="F8" s="223"/>
      <c r="G8" s="224">
        <f>SUM(G9:G22)</f>
        <v>180000000</v>
      </c>
      <c r="H8" s="243" t="s">
        <v>441</v>
      </c>
    </row>
    <row r="9" spans="1:15" ht="15.75" x14ac:dyDescent="0.25">
      <c r="A9" s="225"/>
      <c r="B9" s="225"/>
      <c r="C9" s="225"/>
      <c r="D9" s="225"/>
      <c r="E9" s="225"/>
      <c r="F9" s="225">
        <v>6106</v>
      </c>
      <c r="G9" s="226">
        <v>11107700</v>
      </c>
    </row>
    <row r="10" spans="1:15" ht="15.75" x14ac:dyDescent="0.25">
      <c r="A10" s="225"/>
      <c r="B10" s="227"/>
      <c r="C10" s="227"/>
      <c r="D10" s="227"/>
      <c r="E10" s="225"/>
      <c r="F10" s="225">
        <v>6503</v>
      </c>
      <c r="G10" s="226">
        <v>269100</v>
      </c>
    </row>
    <row r="11" spans="1:15" ht="15.75" x14ac:dyDescent="0.25">
      <c r="A11" s="225"/>
      <c r="B11" s="227"/>
      <c r="C11" s="227"/>
      <c r="D11" s="227"/>
      <c r="E11" s="225"/>
      <c r="F11" s="225">
        <v>6551</v>
      </c>
      <c r="G11" s="226">
        <v>4665000</v>
      </c>
    </row>
    <row r="12" spans="1:15" ht="15.75" x14ac:dyDescent="0.25">
      <c r="A12" s="225"/>
      <c r="B12" s="227"/>
      <c r="C12" s="227"/>
      <c r="D12" s="227"/>
      <c r="E12" s="225"/>
      <c r="F12" s="225">
        <v>6603</v>
      </c>
      <c r="G12" s="226">
        <v>3900000</v>
      </c>
    </row>
    <row r="13" spans="1:15" ht="15.75" x14ac:dyDescent="0.25">
      <c r="A13" s="225"/>
      <c r="B13" s="225"/>
      <c r="C13" s="225"/>
      <c r="D13" s="225"/>
      <c r="E13" s="225"/>
      <c r="F13" s="225">
        <v>6606</v>
      </c>
      <c r="G13" s="226">
        <v>100000000</v>
      </c>
    </row>
    <row r="14" spans="1:15" ht="15.75" x14ac:dyDescent="0.25">
      <c r="A14" s="225"/>
      <c r="B14" s="225"/>
      <c r="C14" s="225"/>
      <c r="D14" s="225"/>
      <c r="E14" s="225"/>
      <c r="F14" s="225">
        <v>6658</v>
      </c>
      <c r="G14" s="226">
        <v>9456000</v>
      </c>
    </row>
    <row r="15" spans="1:15" ht="15.75" x14ac:dyDescent="0.25">
      <c r="A15" s="225"/>
      <c r="B15" s="225"/>
      <c r="C15" s="225"/>
      <c r="D15" s="225"/>
      <c r="E15" s="225"/>
      <c r="F15" s="225">
        <v>6699</v>
      </c>
      <c r="G15" s="226">
        <v>195000</v>
      </c>
    </row>
    <row r="16" spans="1:15" ht="15.75" x14ac:dyDescent="0.25">
      <c r="A16" s="225"/>
      <c r="B16" s="225"/>
      <c r="C16" s="225"/>
      <c r="D16" s="225"/>
      <c r="E16" s="225"/>
      <c r="F16" s="225">
        <v>6702</v>
      </c>
      <c r="G16" s="226">
        <v>8650000</v>
      </c>
    </row>
    <row r="17" spans="1:7" ht="15.75" x14ac:dyDescent="0.25">
      <c r="A17" s="225"/>
      <c r="B17" s="225"/>
      <c r="C17" s="225"/>
      <c r="D17" s="225"/>
      <c r="E17" s="225"/>
      <c r="F17" s="225">
        <v>6703</v>
      </c>
      <c r="G17" s="226">
        <v>1450000</v>
      </c>
    </row>
    <row r="18" spans="1:7" ht="15.75" x14ac:dyDescent="0.25">
      <c r="A18" s="225"/>
      <c r="B18" s="225"/>
      <c r="C18" s="225"/>
      <c r="D18" s="225"/>
      <c r="E18" s="225"/>
      <c r="F18" s="225">
        <v>6749</v>
      </c>
      <c r="G18" s="226">
        <v>4649200</v>
      </c>
    </row>
    <row r="19" spans="1:7" ht="15.75" x14ac:dyDescent="0.25">
      <c r="A19" s="225"/>
      <c r="B19" s="225"/>
      <c r="C19" s="225"/>
      <c r="D19" s="225"/>
      <c r="E19" s="225"/>
      <c r="F19" s="225">
        <v>6912</v>
      </c>
      <c r="G19" s="226">
        <v>4700000</v>
      </c>
    </row>
    <row r="20" spans="1:7" ht="15.75" x14ac:dyDescent="0.25">
      <c r="A20" s="225"/>
      <c r="B20" s="225"/>
      <c r="C20" s="225"/>
      <c r="D20" s="225"/>
      <c r="E20" s="225"/>
      <c r="F20" s="225">
        <v>7003</v>
      </c>
      <c r="G20" s="226">
        <v>23069000</v>
      </c>
    </row>
    <row r="21" spans="1:7" ht="15.75" x14ac:dyDescent="0.25">
      <c r="A21" s="225"/>
      <c r="B21" s="225"/>
      <c r="C21" s="225"/>
      <c r="D21" s="225"/>
      <c r="E21" s="225"/>
      <c r="F21" s="225">
        <v>7006</v>
      </c>
      <c r="G21" s="226">
        <v>1050000</v>
      </c>
    </row>
    <row r="22" spans="1:7" ht="15.75" x14ac:dyDescent="0.25">
      <c r="A22" s="225"/>
      <c r="B22" s="225"/>
      <c r="C22" s="225"/>
      <c r="D22" s="225"/>
      <c r="E22" s="225"/>
      <c r="F22" s="225">
        <v>7761</v>
      </c>
      <c r="G22" s="226">
        <v>6839000</v>
      </c>
    </row>
    <row r="23" spans="1:7" ht="15.75" x14ac:dyDescent="0.25">
      <c r="A23" s="225"/>
      <c r="B23" s="227">
        <v>800</v>
      </c>
      <c r="C23" s="228">
        <v>460</v>
      </c>
      <c r="D23" s="228">
        <v>463</v>
      </c>
      <c r="E23" s="225"/>
      <c r="F23" s="225"/>
      <c r="G23" s="229">
        <f>SUM(G24:G33)</f>
        <v>93672953</v>
      </c>
    </row>
    <row r="24" spans="1:7" ht="15.75" x14ac:dyDescent="0.25">
      <c r="A24" s="225"/>
      <c r="B24" s="225"/>
      <c r="C24" s="230"/>
      <c r="D24" s="230"/>
      <c r="E24" s="225"/>
      <c r="F24" s="225">
        <v>6106</v>
      </c>
      <c r="G24" s="226">
        <f>15508955+4999998</f>
        <v>20508953</v>
      </c>
    </row>
    <row r="25" spans="1:7" ht="15.75" x14ac:dyDescent="0.25">
      <c r="A25" s="225"/>
      <c r="B25" s="225"/>
      <c r="C25" s="230"/>
      <c r="D25" s="230"/>
      <c r="E25" s="225"/>
      <c r="F25" s="225">
        <v>6551</v>
      </c>
      <c r="G25" s="226">
        <v>3489000</v>
      </c>
    </row>
    <row r="26" spans="1:7" ht="15.75" x14ac:dyDescent="0.25">
      <c r="A26" s="225"/>
      <c r="B26" s="225"/>
      <c r="C26" s="230"/>
      <c r="D26" s="230"/>
      <c r="E26" s="225"/>
      <c r="F26" s="225">
        <v>6606</v>
      </c>
      <c r="G26" s="226">
        <v>5000000</v>
      </c>
    </row>
    <row r="27" spans="1:7" ht="15.75" x14ac:dyDescent="0.25">
      <c r="A27" s="225"/>
      <c r="B27" s="225"/>
      <c r="C27" s="230"/>
      <c r="D27" s="230"/>
      <c r="E27" s="225"/>
      <c r="F27" s="225">
        <v>6658</v>
      </c>
      <c r="G27" s="226">
        <f>46080000+5000000</f>
        <v>51080000</v>
      </c>
    </row>
    <row r="28" spans="1:7" ht="15.75" x14ac:dyDescent="0.25">
      <c r="A28" s="225"/>
      <c r="B28" s="225"/>
      <c r="C28" s="230"/>
      <c r="D28" s="230"/>
      <c r="E28" s="225"/>
      <c r="F28" s="225">
        <v>6699</v>
      </c>
      <c r="G28" s="226">
        <v>592000</v>
      </c>
    </row>
    <row r="29" spans="1:7" ht="15.75" x14ac:dyDescent="0.25">
      <c r="A29" s="225"/>
      <c r="B29" s="225"/>
      <c r="C29" s="230"/>
      <c r="D29" s="230"/>
      <c r="E29" s="225"/>
      <c r="F29" s="225">
        <v>6702</v>
      </c>
      <c r="G29" s="226">
        <v>873000</v>
      </c>
    </row>
    <row r="30" spans="1:7" ht="15.75" x14ac:dyDescent="0.25">
      <c r="A30" s="225"/>
      <c r="B30" s="225"/>
      <c r="C30" s="230"/>
      <c r="D30" s="230"/>
      <c r="E30" s="225"/>
      <c r="F30" s="225">
        <v>6703</v>
      </c>
      <c r="G30" s="226">
        <v>1000000</v>
      </c>
    </row>
    <row r="31" spans="1:7" ht="15.75" x14ac:dyDescent="0.25">
      <c r="A31" s="225"/>
      <c r="B31" s="225"/>
      <c r="C31" s="230"/>
      <c r="D31" s="230"/>
      <c r="E31" s="225"/>
      <c r="F31" s="225">
        <v>7758</v>
      </c>
      <c r="G31" s="226">
        <v>2400000</v>
      </c>
    </row>
    <row r="32" spans="1:7" ht="15.75" x14ac:dyDescent="0.25">
      <c r="A32" s="225"/>
      <c r="B32" s="225"/>
      <c r="C32" s="230"/>
      <c r="D32" s="230"/>
      <c r="E32" s="225"/>
      <c r="F32" s="225">
        <v>7761</v>
      </c>
      <c r="G32" s="226">
        <v>8650000</v>
      </c>
    </row>
    <row r="33" spans="1:7" ht="15.75" x14ac:dyDescent="0.25">
      <c r="A33" s="225"/>
      <c r="B33" s="225"/>
      <c r="C33" s="230"/>
      <c r="D33" s="230"/>
      <c r="E33" s="225"/>
      <c r="F33" s="225">
        <v>7799</v>
      </c>
      <c r="G33" s="226">
        <v>80000</v>
      </c>
    </row>
    <row r="34" spans="1:7" s="186" customFormat="1" ht="15.75" x14ac:dyDescent="0.25">
      <c r="A34" s="227"/>
      <c r="B34" s="227">
        <v>800</v>
      </c>
      <c r="C34" s="228">
        <v>280</v>
      </c>
      <c r="D34" s="228">
        <v>282</v>
      </c>
      <c r="E34" s="227"/>
      <c r="F34" s="227">
        <v>6949</v>
      </c>
      <c r="G34" s="229">
        <v>100000000</v>
      </c>
    </row>
    <row r="35" spans="1:7" s="186" customFormat="1" ht="15.75" x14ac:dyDescent="0.25">
      <c r="A35" s="227"/>
      <c r="B35" s="227">
        <v>800</v>
      </c>
      <c r="C35" s="228">
        <v>280</v>
      </c>
      <c r="D35" s="228">
        <v>283</v>
      </c>
      <c r="E35" s="227"/>
      <c r="F35" s="227">
        <v>6949</v>
      </c>
      <c r="G35" s="229">
        <v>33750000</v>
      </c>
    </row>
    <row r="36" spans="1:7" s="186" customFormat="1" ht="15.75" x14ac:dyDescent="0.25">
      <c r="A36" s="227"/>
      <c r="B36" s="227">
        <v>800</v>
      </c>
      <c r="C36" s="228" t="s">
        <v>321</v>
      </c>
      <c r="D36" s="228" t="s">
        <v>323</v>
      </c>
      <c r="E36" s="227"/>
      <c r="F36" s="227">
        <v>7149</v>
      </c>
      <c r="G36" s="229">
        <v>484429924</v>
      </c>
    </row>
    <row r="37" spans="1:7" s="186" customFormat="1" ht="15.75" x14ac:dyDescent="0.25">
      <c r="A37" s="227"/>
      <c r="B37" s="227">
        <v>800</v>
      </c>
      <c r="C37" s="228" t="s">
        <v>321</v>
      </c>
      <c r="D37" s="228" t="s">
        <v>322</v>
      </c>
      <c r="E37" s="227"/>
      <c r="F37" s="227">
        <v>7149</v>
      </c>
      <c r="G37" s="229">
        <v>299947544</v>
      </c>
    </row>
    <row r="38" spans="1:7" s="186" customFormat="1" ht="15.75" x14ac:dyDescent="0.25">
      <c r="A38" s="227"/>
      <c r="B38" s="227">
        <v>800</v>
      </c>
      <c r="C38" s="228">
        <v>220</v>
      </c>
      <c r="D38" s="228">
        <v>223</v>
      </c>
      <c r="E38" s="227"/>
      <c r="F38" s="231"/>
      <c r="G38" s="232">
        <f>SUM(G39:G41)</f>
        <v>8835490360</v>
      </c>
    </row>
    <row r="39" spans="1:7" ht="15.75" x14ac:dyDescent="0.25">
      <c r="A39" s="225"/>
      <c r="B39" s="225"/>
      <c r="C39" s="230"/>
      <c r="D39" s="230"/>
      <c r="E39" s="225"/>
      <c r="F39" s="225">
        <v>9301</v>
      </c>
      <c r="G39" s="226">
        <v>8672109786</v>
      </c>
    </row>
    <row r="40" spans="1:7" ht="15.75" x14ac:dyDescent="0.25">
      <c r="A40" s="225"/>
      <c r="B40" s="225"/>
      <c r="C40" s="230"/>
      <c r="D40" s="230"/>
      <c r="E40" s="225"/>
      <c r="F40" s="225">
        <v>9401</v>
      </c>
      <c r="G40" s="226">
        <v>151355953</v>
      </c>
    </row>
    <row r="41" spans="1:7" ht="15.75" x14ac:dyDescent="0.25">
      <c r="A41" s="225"/>
      <c r="B41" s="225"/>
      <c r="C41" s="230"/>
      <c r="D41" s="230"/>
      <c r="E41" s="225"/>
      <c r="F41" s="225">
        <v>9404</v>
      </c>
      <c r="G41" s="226">
        <v>12024621</v>
      </c>
    </row>
    <row r="42" spans="1:7" s="186" customFormat="1" ht="15.75" x14ac:dyDescent="0.25">
      <c r="A42" s="227"/>
      <c r="B42" s="227">
        <v>800</v>
      </c>
      <c r="C42" s="228" t="s">
        <v>321</v>
      </c>
      <c r="D42" s="228" t="s">
        <v>324</v>
      </c>
      <c r="E42" s="227"/>
      <c r="F42" s="231"/>
      <c r="G42" s="232">
        <f>SUM(G43:G45)</f>
        <v>1511787768</v>
      </c>
    </row>
    <row r="43" spans="1:7" ht="15.75" x14ac:dyDescent="0.25">
      <c r="A43" s="225"/>
      <c r="B43" s="225"/>
      <c r="C43" s="230"/>
      <c r="D43" s="230"/>
      <c r="E43" s="225"/>
      <c r="F43" s="225">
        <v>9301</v>
      </c>
      <c r="G43" s="226">
        <v>1366374386</v>
      </c>
    </row>
    <row r="44" spans="1:7" ht="15.75" x14ac:dyDescent="0.25">
      <c r="A44" s="225"/>
      <c r="B44" s="225"/>
      <c r="C44" s="230"/>
      <c r="D44" s="230"/>
      <c r="E44" s="225"/>
      <c r="F44" s="225">
        <v>9401</v>
      </c>
      <c r="G44" s="226">
        <v>144026111</v>
      </c>
    </row>
    <row r="45" spans="1:7" ht="15.75" x14ac:dyDescent="0.25">
      <c r="A45" s="225"/>
      <c r="B45" s="225"/>
      <c r="C45" s="230"/>
      <c r="D45" s="230"/>
      <c r="E45" s="225"/>
      <c r="F45" s="225">
        <v>9404</v>
      </c>
      <c r="G45" s="226">
        <v>1387271</v>
      </c>
    </row>
    <row r="46" spans="1:7" s="186" customFormat="1" ht="15.75" x14ac:dyDescent="0.25">
      <c r="A46" s="227"/>
      <c r="B46" s="227">
        <v>800</v>
      </c>
      <c r="C46" s="228">
        <v>550</v>
      </c>
      <c r="D46" s="228">
        <v>579</v>
      </c>
      <c r="E46" s="227"/>
      <c r="F46" s="231"/>
      <c r="G46" s="232">
        <f>SUM(G47:G49)</f>
        <v>1712380534</v>
      </c>
    </row>
    <row r="47" spans="1:7" ht="15.75" x14ac:dyDescent="0.25">
      <c r="A47" s="225"/>
      <c r="B47" s="225"/>
      <c r="C47" s="230"/>
      <c r="D47" s="230"/>
      <c r="E47" s="225"/>
      <c r="F47" s="225">
        <v>9301</v>
      </c>
      <c r="G47" s="226">
        <v>1647265638</v>
      </c>
    </row>
    <row r="48" spans="1:7" ht="15.75" x14ac:dyDescent="0.25">
      <c r="A48" s="225"/>
      <c r="B48" s="225"/>
      <c r="C48" s="230"/>
      <c r="D48" s="230"/>
      <c r="E48" s="225"/>
      <c r="F48" s="225">
        <v>9401</v>
      </c>
      <c r="G48" s="226">
        <v>5114896</v>
      </c>
    </row>
    <row r="49" spans="1:8" ht="15.75" x14ac:dyDescent="0.25">
      <c r="A49" s="225"/>
      <c r="B49" s="225"/>
      <c r="C49" s="230"/>
      <c r="D49" s="230"/>
      <c r="E49" s="225"/>
      <c r="F49" s="225">
        <v>9402</v>
      </c>
      <c r="G49" s="226">
        <v>60000000</v>
      </c>
    </row>
    <row r="50" spans="1:8" s="186" customFormat="1" ht="15.75" x14ac:dyDescent="0.25">
      <c r="A50" s="227"/>
      <c r="B50" s="227">
        <v>800</v>
      </c>
      <c r="C50" s="228">
        <v>490</v>
      </c>
      <c r="D50" s="228">
        <v>492</v>
      </c>
      <c r="E50" s="227"/>
      <c r="F50" s="231"/>
      <c r="G50" s="232">
        <f>SUM(G51:G52)</f>
        <v>554000000</v>
      </c>
    </row>
    <row r="51" spans="1:8" ht="15.75" x14ac:dyDescent="0.25">
      <c r="A51" s="225"/>
      <c r="B51" s="225"/>
      <c r="C51" s="230"/>
      <c r="D51" s="230"/>
      <c r="E51" s="225"/>
      <c r="F51" s="225">
        <v>9301</v>
      </c>
      <c r="G51" s="226">
        <v>517000000</v>
      </c>
    </row>
    <row r="52" spans="1:8" ht="15.75" x14ac:dyDescent="0.25">
      <c r="A52" s="225"/>
      <c r="B52" s="225"/>
      <c r="C52" s="230"/>
      <c r="D52" s="230"/>
      <c r="E52" s="225"/>
      <c r="F52" s="225">
        <v>9402</v>
      </c>
      <c r="G52" s="226">
        <v>37000000</v>
      </c>
    </row>
    <row r="53" spans="1:8" s="186" customFormat="1" ht="15.75" x14ac:dyDescent="0.25">
      <c r="A53" s="227"/>
      <c r="B53" s="227">
        <v>800</v>
      </c>
      <c r="C53" s="228" t="s">
        <v>321</v>
      </c>
      <c r="D53" s="228" t="s">
        <v>323</v>
      </c>
      <c r="E53" s="227"/>
      <c r="F53" s="227">
        <v>7149</v>
      </c>
      <c r="G53" s="229">
        <v>999856353</v>
      </c>
      <c r="H53" s="243" t="s">
        <v>327</v>
      </c>
    </row>
    <row r="54" spans="1:8" s="186" customFormat="1" ht="15.75" x14ac:dyDescent="0.25">
      <c r="A54" s="227"/>
      <c r="B54" s="227">
        <v>800</v>
      </c>
      <c r="C54" s="228" t="s">
        <v>321</v>
      </c>
      <c r="D54" s="228" t="s">
        <v>324</v>
      </c>
      <c r="E54" s="227"/>
      <c r="F54" s="231"/>
      <c r="G54" s="232">
        <f>G55+G56</f>
        <v>233384827</v>
      </c>
    </row>
    <row r="55" spans="1:8" s="186" customFormat="1" ht="15.75" x14ac:dyDescent="0.25">
      <c r="A55" s="227"/>
      <c r="B55" s="227"/>
      <c r="C55" s="228"/>
      <c r="D55" s="228"/>
      <c r="E55" s="227"/>
      <c r="F55" s="225">
        <v>9301</v>
      </c>
      <c r="G55" s="226">
        <v>215022261</v>
      </c>
    </row>
    <row r="56" spans="1:8" s="186" customFormat="1" ht="15.75" x14ac:dyDescent="0.25">
      <c r="A56" s="227"/>
      <c r="B56" s="227"/>
      <c r="C56" s="228"/>
      <c r="D56" s="228"/>
      <c r="E56" s="227"/>
      <c r="F56" s="225">
        <v>9401</v>
      </c>
      <c r="G56" s="226">
        <v>18362566</v>
      </c>
    </row>
    <row r="57" spans="1:8" s="186" customFormat="1" ht="15.75" x14ac:dyDescent="0.25">
      <c r="A57" s="227"/>
      <c r="B57" s="227">
        <v>800</v>
      </c>
      <c r="C57" s="228">
        <v>220</v>
      </c>
      <c r="D57" s="228">
        <v>223</v>
      </c>
      <c r="E57" s="227"/>
      <c r="F57" s="231"/>
      <c r="G57" s="232">
        <f>G58+G59</f>
        <v>903293574</v>
      </c>
    </row>
    <row r="58" spans="1:8" ht="15.75" x14ac:dyDescent="0.25">
      <c r="A58" s="225"/>
      <c r="B58" s="225"/>
      <c r="C58" s="230"/>
      <c r="D58" s="230"/>
      <c r="E58" s="225"/>
      <c r="F58" s="225">
        <v>9301</v>
      </c>
      <c r="G58" s="226">
        <v>848347265</v>
      </c>
    </row>
    <row r="59" spans="1:8" ht="15.75" x14ac:dyDescent="0.25">
      <c r="A59" s="225"/>
      <c r="B59" s="225"/>
      <c r="C59" s="230"/>
      <c r="D59" s="230"/>
      <c r="E59" s="225"/>
      <c r="F59" s="225">
        <v>9401</v>
      </c>
      <c r="G59" s="226">
        <v>54946309</v>
      </c>
    </row>
    <row r="60" spans="1:8" ht="63" x14ac:dyDescent="0.25">
      <c r="A60" s="227" t="s">
        <v>328</v>
      </c>
      <c r="B60" s="225"/>
      <c r="C60" s="230"/>
      <c r="D60" s="230"/>
      <c r="E60" s="225"/>
      <c r="F60" s="225"/>
      <c r="G60" s="229">
        <f>G62+G77+G82+G83+G84+G89+G94+G98+G102+G106</f>
        <v>18569272569</v>
      </c>
    </row>
    <row r="61" spans="1:8" ht="15.75" x14ac:dyDescent="0.25">
      <c r="A61" s="231" t="s">
        <v>725</v>
      </c>
      <c r="B61" s="225"/>
      <c r="C61" s="230"/>
      <c r="D61" s="230"/>
      <c r="E61" s="225"/>
      <c r="F61" s="225"/>
      <c r="G61" s="226"/>
    </row>
    <row r="62" spans="1:8" s="186" customFormat="1" ht="15.75" x14ac:dyDescent="0.25">
      <c r="A62" s="231"/>
      <c r="B62" s="227">
        <v>612</v>
      </c>
      <c r="C62" s="228" t="s">
        <v>321</v>
      </c>
      <c r="D62" s="228" t="s">
        <v>322</v>
      </c>
      <c r="E62" s="227"/>
      <c r="F62" s="227"/>
      <c r="G62" s="229">
        <f>SUM(G63:G75)</f>
        <v>494000000</v>
      </c>
      <c r="H62" s="243" t="s">
        <v>440</v>
      </c>
    </row>
    <row r="63" spans="1:8" ht="15.75" x14ac:dyDescent="0.25">
      <c r="A63" s="225"/>
      <c r="B63" s="225"/>
      <c r="C63" s="230"/>
      <c r="D63" s="230"/>
      <c r="E63" s="225"/>
      <c r="F63" s="225">
        <v>6106</v>
      </c>
      <c r="G63" s="226">
        <v>7636300</v>
      </c>
    </row>
    <row r="64" spans="1:8" ht="15.75" x14ac:dyDescent="0.25">
      <c r="A64" s="225"/>
      <c r="B64" s="225"/>
      <c r="C64" s="230"/>
      <c r="D64" s="230"/>
      <c r="E64" s="225"/>
      <c r="F64" s="225">
        <v>6551</v>
      </c>
      <c r="G64" s="226">
        <v>3516000</v>
      </c>
    </row>
    <row r="65" spans="1:7" ht="15.75" x14ac:dyDescent="0.25">
      <c r="A65" s="225"/>
      <c r="B65" s="225"/>
      <c r="C65" s="230"/>
      <c r="D65" s="230"/>
      <c r="E65" s="225"/>
      <c r="F65" s="225">
        <v>6651</v>
      </c>
      <c r="G65" s="226">
        <v>346500</v>
      </c>
    </row>
    <row r="66" spans="1:7" ht="15.75" x14ac:dyDescent="0.25">
      <c r="A66" s="225"/>
      <c r="B66" s="225"/>
      <c r="C66" s="230"/>
      <c r="D66" s="230"/>
      <c r="E66" s="225"/>
      <c r="F66" s="225">
        <v>6652</v>
      </c>
      <c r="G66" s="226">
        <v>1200000</v>
      </c>
    </row>
    <row r="67" spans="1:7" ht="15.75" x14ac:dyDescent="0.25">
      <c r="A67" s="225"/>
      <c r="B67" s="225"/>
      <c r="C67" s="230"/>
      <c r="D67" s="230"/>
      <c r="E67" s="225"/>
      <c r="F67" s="225">
        <v>6655</v>
      </c>
      <c r="G67" s="226">
        <v>600000</v>
      </c>
    </row>
    <row r="68" spans="1:7" ht="15.75" x14ac:dyDescent="0.25">
      <c r="A68" s="225"/>
      <c r="B68" s="225"/>
      <c r="C68" s="230"/>
      <c r="D68" s="230"/>
      <c r="E68" s="225"/>
      <c r="F68" s="225">
        <v>6658</v>
      </c>
      <c r="G68" s="226">
        <v>5200000</v>
      </c>
    </row>
    <row r="69" spans="1:7" ht="15.75" x14ac:dyDescent="0.25">
      <c r="A69" s="225"/>
      <c r="B69" s="225"/>
      <c r="C69" s="230"/>
      <c r="D69" s="230"/>
      <c r="E69" s="225"/>
      <c r="F69" s="225">
        <v>6699</v>
      </c>
      <c r="G69" s="226">
        <v>2393500</v>
      </c>
    </row>
    <row r="70" spans="1:7" ht="15.75" x14ac:dyDescent="0.25">
      <c r="A70" s="225"/>
      <c r="B70" s="225"/>
      <c r="C70" s="230"/>
      <c r="D70" s="230"/>
      <c r="E70" s="225"/>
      <c r="F70" s="225">
        <v>6702</v>
      </c>
      <c r="G70" s="226">
        <v>850000</v>
      </c>
    </row>
    <row r="71" spans="1:7" ht="15.75" x14ac:dyDescent="0.25">
      <c r="A71" s="225"/>
      <c r="B71" s="225"/>
      <c r="C71" s="230"/>
      <c r="D71" s="230"/>
      <c r="E71" s="225"/>
      <c r="F71" s="225">
        <v>6749</v>
      </c>
      <c r="G71" s="226">
        <v>79200</v>
      </c>
    </row>
    <row r="72" spans="1:7" ht="15.75" x14ac:dyDescent="0.25">
      <c r="A72" s="225"/>
      <c r="B72" s="225"/>
      <c r="C72" s="230"/>
      <c r="D72" s="230"/>
      <c r="E72" s="225"/>
      <c r="F72" s="225">
        <v>6751</v>
      </c>
      <c r="G72" s="226">
        <v>2000000</v>
      </c>
    </row>
    <row r="73" spans="1:7" ht="15.75" x14ac:dyDescent="0.25">
      <c r="A73" s="225"/>
      <c r="B73" s="225"/>
      <c r="C73" s="230"/>
      <c r="D73" s="230"/>
      <c r="E73" s="225"/>
      <c r="F73" s="225">
        <v>7003</v>
      </c>
      <c r="G73" s="226">
        <v>2778500</v>
      </c>
    </row>
    <row r="74" spans="1:7" ht="15.75" x14ac:dyDescent="0.25">
      <c r="A74" s="225"/>
      <c r="B74" s="225"/>
      <c r="C74" s="230"/>
      <c r="D74" s="230"/>
      <c r="E74" s="225"/>
      <c r="F74" s="225">
        <v>7103</v>
      </c>
      <c r="G74" s="226">
        <v>459000000</v>
      </c>
    </row>
    <row r="75" spans="1:7" ht="15.75" x14ac:dyDescent="0.25">
      <c r="A75" s="225"/>
      <c r="B75" s="225"/>
      <c r="C75" s="230"/>
      <c r="D75" s="230"/>
      <c r="E75" s="225"/>
      <c r="F75" s="225">
        <v>7758</v>
      </c>
      <c r="G75" s="226">
        <v>8400000</v>
      </c>
    </row>
    <row r="76" spans="1:7" s="220" customFormat="1" ht="15.75" x14ac:dyDescent="0.25">
      <c r="A76" s="233"/>
      <c r="B76" s="234"/>
      <c r="C76" s="235"/>
      <c r="D76" s="235"/>
      <c r="E76" s="234"/>
      <c r="F76" s="234"/>
      <c r="G76" s="236"/>
    </row>
    <row r="77" spans="1:7" s="186" customFormat="1" ht="47.25" x14ac:dyDescent="0.25">
      <c r="A77" s="234" t="s">
        <v>330</v>
      </c>
      <c r="B77" s="227">
        <v>624</v>
      </c>
      <c r="C77" s="228">
        <v>460</v>
      </c>
      <c r="D77" s="228">
        <v>463</v>
      </c>
      <c r="E77" s="227"/>
      <c r="F77" s="227"/>
      <c r="G77" s="229">
        <f>SUM(G78:G81)</f>
        <v>13469000</v>
      </c>
    </row>
    <row r="78" spans="1:7" ht="15.75" x14ac:dyDescent="0.25">
      <c r="A78" s="225"/>
      <c r="B78" s="225"/>
      <c r="C78" s="230"/>
      <c r="D78" s="230"/>
      <c r="E78" s="225"/>
      <c r="F78" s="225">
        <v>6106</v>
      </c>
      <c r="G78" s="226">
        <v>5052000</v>
      </c>
    </row>
    <row r="79" spans="1:7" ht="15.75" x14ac:dyDescent="0.25">
      <c r="A79" s="225"/>
      <c r="B79" s="225"/>
      <c r="C79" s="230"/>
      <c r="D79" s="230"/>
      <c r="E79" s="225"/>
      <c r="F79" s="225">
        <v>6503</v>
      </c>
      <c r="G79" s="226">
        <v>275000</v>
      </c>
    </row>
    <row r="80" spans="1:7" ht="15.75" x14ac:dyDescent="0.25">
      <c r="A80" s="225"/>
      <c r="B80" s="225"/>
      <c r="C80" s="230"/>
      <c r="D80" s="230"/>
      <c r="E80" s="225"/>
      <c r="F80" s="225">
        <v>6702</v>
      </c>
      <c r="G80" s="226">
        <v>6742000</v>
      </c>
    </row>
    <row r="81" spans="1:8" ht="15.75" x14ac:dyDescent="0.25">
      <c r="A81" s="225"/>
      <c r="B81" s="225"/>
      <c r="C81" s="230"/>
      <c r="D81" s="230"/>
      <c r="E81" s="225"/>
      <c r="F81" s="225">
        <v>6751</v>
      </c>
      <c r="G81" s="226">
        <v>1400000</v>
      </c>
    </row>
    <row r="82" spans="1:8" s="186" customFormat="1" ht="141.75" x14ac:dyDescent="0.25">
      <c r="A82" s="227" t="s">
        <v>331</v>
      </c>
      <c r="B82" s="227">
        <v>624</v>
      </c>
      <c r="C82" s="228">
        <v>460</v>
      </c>
      <c r="D82" s="228">
        <v>463</v>
      </c>
      <c r="E82" s="227"/>
      <c r="F82" s="227">
        <v>7003</v>
      </c>
      <c r="G82" s="229">
        <v>15000000</v>
      </c>
    </row>
    <row r="83" spans="1:8" s="186" customFormat="1" ht="78.75" x14ac:dyDescent="0.25">
      <c r="A83" s="227" t="s">
        <v>332</v>
      </c>
      <c r="B83" s="227">
        <v>799</v>
      </c>
      <c r="C83" s="228" t="s">
        <v>321</v>
      </c>
      <c r="D83" s="228" t="s">
        <v>324</v>
      </c>
      <c r="E83" s="227"/>
      <c r="F83" s="231">
        <v>6923</v>
      </c>
      <c r="G83" s="237">
        <v>43393205</v>
      </c>
    </row>
    <row r="84" spans="1:8" s="186" customFormat="1" ht="15.75" x14ac:dyDescent="0.25">
      <c r="A84" s="227"/>
      <c r="B84" s="227">
        <v>799</v>
      </c>
      <c r="C84" s="228" t="s">
        <v>321</v>
      </c>
      <c r="D84" s="228" t="s">
        <v>324</v>
      </c>
      <c r="E84" s="227"/>
      <c r="F84" s="231"/>
      <c r="G84" s="232">
        <f>SUM(G85:G88)</f>
        <v>4035971274</v>
      </c>
      <c r="H84" s="4662" t="s">
        <v>335</v>
      </c>
    </row>
    <row r="85" spans="1:8" ht="15.75" x14ac:dyDescent="0.25">
      <c r="A85" s="225"/>
      <c r="B85" s="225"/>
      <c r="C85" s="230"/>
      <c r="D85" s="230"/>
      <c r="E85" s="225"/>
      <c r="F85" s="225">
        <v>9301</v>
      </c>
      <c r="G85" s="226">
        <v>3579782674</v>
      </c>
      <c r="H85" s="4663"/>
    </row>
    <row r="86" spans="1:8" ht="15.75" x14ac:dyDescent="0.25">
      <c r="A86" s="225"/>
      <c r="B86" s="225"/>
      <c r="C86" s="230"/>
      <c r="D86" s="230"/>
      <c r="E86" s="225"/>
      <c r="F86" s="225">
        <v>9401</v>
      </c>
      <c r="G86" s="226">
        <v>53225013</v>
      </c>
      <c r="H86" s="4663"/>
    </row>
    <row r="87" spans="1:8" ht="15.75" x14ac:dyDescent="0.25">
      <c r="A87" s="225"/>
      <c r="B87" s="225"/>
      <c r="C87" s="230"/>
      <c r="D87" s="230"/>
      <c r="E87" s="225"/>
      <c r="F87" s="225">
        <v>9402</v>
      </c>
      <c r="G87" s="226">
        <v>399324079</v>
      </c>
      <c r="H87" s="4663"/>
    </row>
    <row r="88" spans="1:8" ht="15.75" x14ac:dyDescent="0.25">
      <c r="A88" s="225"/>
      <c r="B88" s="225"/>
      <c r="C88" s="230"/>
      <c r="D88" s="230"/>
      <c r="E88" s="225"/>
      <c r="F88" s="225">
        <v>9404</v>
      </c>
      <c r="G88" s="226">
        <v>3639508</v>
      </c>
      <c r="H88" s="4663"/>
    </row>
    <row r="89" spans="1:8" s="186" customFormat="1" ht="15.75" x14ac:dyDescent="0.25">
      <c r="A89" s="227"/>
      <c r="B89" s="227">
        <v>799</v>
      </c>
      <c r="C89" s="228">
        <v>220</v>
      </c>
      <c r="D89" s="228">
        <v>223</v>
      </c>
      <c r="E89" s="227"/>
      <c r="F89" s="231"/>
      <c r="G89" s="232">
        <f>SUM(G90:G93)</f>
        <v>11659646932</v>
      </c>
      <c r="H89" s="4663"/>
    </row>
    <row r="90" spans="1:8" ht="15.75" x14ac:dyDescent="0.25">
      <c r="A90" s="225"/>
      <c r="B90" s="225"/>
      <c r="C90" s="230"/>
      <c r="D90" s="230"/>
      <c r="E90" s="225"/>
      <c r="F90" s="225">
        <v>9301</v>
      </c>
      <c r="G90" s="226">
        <v>10354449458</v>
      </c>
      <c r="H90" s="4663"/>
    </row>
    <row r="91" spans="1:8" ht="15.75" x14ac:dyDescent="0.25">
      <c r="A91" s="225"/>
      <c r="B91" s="225"/>
      <c r="C91" s="230"/>
      <c r="D91" s="230"/>
      <c r="E91" s="225"/>
      <c r="F91" s="225">
        <v>9401</v>
      </c>
      <c r="G91" s="226">
        <v>197092086</v>
      </c>
      <c r="H91" s="4663"/>
    </row>
    <row r="92" spans="1:8" ht="15.75" x14ac:dyDescent="0.25">
      <c r="A92" s="225"/>
      <c r="B92" s="225"/>
      <c r="C92" s="230"/>
      <c r="D92" s="230"/>
      <c r="E92" s="225"/>
      <c r="F92" s="225">
        <v>9402</v>
      </c>
      <c r="G92" s="226">
        <v>1043886750</v>
      </c>
      <c r="H92" s="4663"/>
    </row>
    <row r="93" spans="1:8" ht="15.75" x14ac:dyDescent="0.25">
      <c r="A93" s="225"/>
      <c r="B93" s="225"/>
      <c r="C93" s="230"/>
      <c r="D93" s="230"/>
      <c r="E93" s="225"/>
      <c r="F93" s="225">
        <v>9404</v>
      </c>
      <c r="G93" s="226">
        <v>64218638</v>
      </c>
      <c r="H93" s="4663"/>
    </row>
    <row r="94" spans="1:8" s="186" customFormat="1" ht="15.75" x14ac:dyDescent="0.25">
      <c r="A94" s="227"/>
      <c r="B94" s="227">
        <v>7799</v>
      </c>
      <c r="C94" s="228"/>
      <c r="D94" s="228">
        <v>491</v>
      </c>
      <c r="E94" s="227"/>
      <c r="F94" s="231"/>
      <c r="G94" s="232">
        <f>G95+G96+G97</f>
        <v>672074000</v>
      </c>
      <c r="H94" s="4663"/>
    </row>
    <row r="95" spans="1:8" ht="15.75" x14ac:dyDescent="0.25">
      <c r="A95" s="225"/>
      <c r="B95" s="225"/>
      <c r="C95" s="230"/>
      <c r="D95" s="230"/>
      <c r="E95" s="225"/>
      <c r="F95" s="225">
        <v>9301</v>
      </c>
      <c r="G95" s="226">
        <v>603000000</v>
      </c>
      <c r="H95" s="4663"/>
    </row>
    <row r="96" spans="1:8" ht="15.75" x14ac:dyDescent="0.25">
      <c r="A96" s="225"/>
      <c r="B96" s="225"/>
      <c r="C96" s="230"/>
      <c r="D96" s="230"/>
      <c r="E96" s="225"/>
      <c r="F96" s="225">
        <v>9401</v>
      </c>
      <c r="G96" s="226">
        <v>11574000</v>
      </c>
      <c r="H96" s="4663"/>
    </row>
    <row r="97" spans="1:8" ht="15.75" x14ac:dyDescent="0.25">
      <c r="A97" s="225"/>
      <c r="B97" s="225"/>
      <c r="C97" s="230"/>
      <c r="D97" s="230"/>
      <c r="E97" s="225"/>
      <c r="F97" s="225">
        <v>9402</v>
      </c>
      <c r="G97" s="226">
        <v>57500000</v>
      </c>
      <c r="H97" s="4663"/>
    </row>
    <row r="98" spans="1:8" s="186" customFormat="1" ht="15.75" x14ac:dyDescent="0.25">
      <c r="A98" s="227"/>
      <c r="B98" s="227"/>
      <c r="C98" s="228"/>
      <c r="D98" s="228">
        <v>492</v>
      </c>
      <c r="E98" s="227"/>
      <c r="F98" s="227"/>
      <c r="G98" s="229">
        <f>G99+G100+G101</f>
        <v>187806000</v>
      </c>
      <c r="H98" s="4663"/>
    </row>
    <row r="99" spans="1:8" ht="16.5" customHeight="1" x14ac:dyDescent="0.25">
      <c r="A99" s="225"/>
      <c r="B99" s="225"/>
      <c r="C99" s="230"/>
      <c r="D99" s="230"/>
      <c r="E99" s="225"/>
      <c r="F99" s="225">
        <v>9301</v>
      </c>
      <c r="G99" s="226">
        <v>167116000</v>
      </c>
      <c r="H99" s="4663"/>
    </row>
    <row r="100" spans="1:8" ht="16.5" customHeight="1" x14ac:dyDescent="0.25">
      <c r="A100" s="225"/>
      <c r="B100" s="225"/>
      <c r="C100" s="230"/>
      <c r="D100" s="230"/>
      <c r="E100" s="225"/>
      <c r="F100" s="225">
        <v>9401</v>
      </c>
      <c r="G100" s="226">
        <v>3047000</v>
      </c>
      <c r="H100" s="4663"/>
    </row>
    <row r="101" spans="1:8" s="186" customFormat="1" ht="16.5" customHeight="1" x14ac:dyDescent="0.25">
      <c r="A101" s="227"/>
      <c r="B101" s="227"/>
      <c r="C101" s="228"/>
      <c r="D101" s="228"/>
      <c r="E101" s="227"/>
      <c r="F101" s="225">
        <v>9402</v>
      </c>
      <c r="G101" s="226">
        <v>17643000</v>
      </c>
      <c r="H101" s="4663"/>
    </row>
    <row r="102" spans="1:8" s="186" customFormat="1" ht="16.5" customHeight="1" x14ac:dyDescent="0.25">
      <c r="A102" s="227"/>
      <c r="B102" s="227"/>
      <c r="C102" s="228">
        <v>550</v>
      </c>
      <c r="D102" s="228">
        <v>579</v>
      </c>
      <c r="E102" s="227"/>
      <c r="F102" s="227"/>
      <c r="G102" s="229">
        <f>G103+G104</f>
        <v>1315912158</v>
      </c>
      <c r="H102" s="4663"/>
    </row>
    <row r="103" spans="1:8" ht="15.75" x14ac:dyDescent="0.25">
      <c r="A103" s="225"/>
      <c r="B103" s="225"/>
      <c r="C103" s="230"/>
      <c r="D103" s="230"/>
      <c r="E103" s="225"/>
      <c r="F103" s="225">
        <v>9301</v>
      </c>
      <c r="G103" s="226">
        <v>1309752158</v>
      </c>
      <c r="H103" s="4663"/>
    </row>
    <row r="104" spans="1:8" ht="15.75" x14ac:dyDescent="0.25">
      <c r="A104" s="225"/>
      <c r="B104" s="225"/>
      <c r="C104" s="230"/>
      <c r="D104" s="230"/>
      <c r="E104" s="225"/>
      <c r="F104" s="225">
        <v>9401</v>
      </c>
      <c r="G104" s="226">
        <v>6160000</v>
      </c>
      <c r="H104" s="4663"/>
    </row>
    <row r="105" spans="1:8" s="186" customFormat="1" ht="15.75" x14ac:dyDescent="0.25">
      <c r="A105" s="227" t="s">
        <v>726</v>
      </c>
      <c r="B105" s="227"/>
      <c r="C105" s="228"/>
      <c r="D105" s="228"/>
      <c r="E105" s="227"/>
      <c r="F105" s="227"/>
      <c r="G105" s="229"/>
      <c r="H105" s="4663"/>
    </row>
    <row r="106" spans="1:8" s="186" customFormat="1" ht="15.75" x14ac:dyDescent="0.25">
      <c r="A106" s="227"/>
      <c r="B106" s="227">
        <v>800</v>
      </c>
      <c r="C106" s="228" t="s">
        <v>321</v>
      </c>
      <c r="D106" s="228" t="s">
        <v>322</v>
      </c>
      <c r="E106" s="227"/>
      <c r="F106" s="227">
        <v>7149</v>
      </c>
      <c r="G106" s="229">
        <v>132000000</v>
      </c>
      <c r="H106" s="243" t="s">
        <v>329</v>
      </c>
    </row>
    <row r="107" spans="1:8" ht="15.75" x14ac:dyDescent="0.25">
      <c r="A107" s="225"/>
      <c r="B107" s="225"/>
      <c r="C107" s="230"/>
      <c r="D107" s="230"/>
      <c r="E107" s="225"/>
      <c r="F107" s="225"/>
      <c r="G107" s="226"/>
    </row>
    <row r="108" spans="1:8" ht="31.5" x14ac:dyDescent="0.25">
      <c r="A108" s="227" t="s">
        <v>333</v>
      </c>
      <c r="B108" s="227"/>
      <c r="C108" s="228"/>
      <c r="D108" s="228"/>
      <c r="E108" s="227"/>
      <c r="F108" s="227"/>
      <c r="G108" s="229">
        <f>G109+G118+G124+G127+G131+G136+G140+G141+G142+G143+G145+G149</f>
        <v>7572179110</v>
      </c>
      <c r="H108" s="244" t="s">
        <v>334</v>
      </c>
    </row>
    <row r="109" spans="1:8" s="186" customFormat="1" ht="15.75" x14ac:dyDescent="0.25">
      <c r="A109" s="227"/>
      <c r="B109" s="227">
        <v>800</v>
      </c>
      <c r="C109" s="228" t="s">
        <v>321</v>
      </c>
      <c r="D109" s="228" t="s">
        <v>322</v>
      </c>
      <c r="E109" s="227"/>
      <c r="F109" s="231"/>
      <c r="G109" s="232">
        <f>SUM(G110:G117)</f>
        <v>1851518300</v>
      </c>
    </row>
    <row r="110" spans="1:8" ht="15.75" x14ac:dyDescent="0.25">
      <c r="A110" s="225"/>
      <c r="B110" s="225"/>
      <c r="C110" s="230"/>
      <c r="D110" s="230"/>
      <c r="E110" s="225"/>
      <c r="F110" s="225">
        <v>6106</v>
      </c>
      <c r="G110" s="226">
        <v>7820000</v>
      </c>
    </row>
    <row r="111" spans="1:8" ht="15.75" x14ac:dyDescent="0.25">
      <c r="A111" s="225"/>
      <c r="B111" s="225"/>
      <c r="C111" s="230"/>
      <c r="D111" s="230"/>
      <c r="E111" s="225"/>
      <c r="F111" s="225">
        <v>6652</v>
      </c>
      <c r="G111" s="226">
        <v>600000</v>
      </c>
    </row>
    <row r="112" spans="1:8" ht="15.75" x14ac:dyDescent="0.25">
      <c r="A112" s="225"/>
      <c r="B112" s="225"/>
      <c r="C112" s="230"/>
      <c r="D112" s="230"/>
      <c r="E112" s="225"/>
      <c r="F112" s="225">
        <v>6655</v>
      </c>
      <c r="G112" s="226">
        <v>300000</v>
      </c>
    </row>
    <row r="113" spans="1:7" ht="15.75" x14ac:dyDescent="0.25">
      <c r="A113" s="225"/>
      <c r="B113" s="225"/>
      <c r="C113" s="230"/>
      <c r="D113" s="230"/>
      <c r="E113" s="225"/>
      <c r="F113" s="225">
        <v>6658</v>
      </c>
      <c r="G113" s="226">
        <v>720000</v>
      </c>
    </row>
    <row r="114" spans="1:7" ht="15.75" x14ac:dyDescent="0.25">
      <c r="A114" s="225"/>
      <c r="B114" s="225"/>
      <c r="C114" s="230"/>
      <c r="D114" s="230"/>
      <c r="E114" s="225"/>
      <c r="F114" s="225">
        <v>6699</v>
      </c>
      <c r="G114" s="226">
        <v>120000</v>
      </c>
    </row>
    <row r="115" spans="1:7" ht="15.75" x14ac:dyDescent="0.25">
      <c r="A115" s="225"/>
      <c r="B115" s="225"/>
      <c r="C115" s="230"/>
      <c r="D115" s="230"/>
      <c r="E115" s="225"/>
      <c r="F115" s="225">
        <v>6749</v>
      </c>
      <c r="G115" s="226">
        <v>3920000</v>
      </c>
    </row>
    <row r="116" spans="1:7" ht="15.75" x14ac:dyDescent="0.25">
      <c r="A116" s="225"/>
      <c r="B116" s="225"/>
      <c r="C116" s="230"/>
      <c r="D116" s="230"/>
      <c r="E116" s="225"/>
      <c r="F116" s="225">
        <v>7003</v>
      </c>
      <c r="G116" s="226">
        <v>240000</v>
      </c>
    </row>
    <row r="117" spans="1:7" ht="15.75" x14ac:dyDescent="0.25">
      <c r="A117" s="225"/>
      <c r="B117" s="225"/>
      <c r="C117" s="230"/>
      <c r="D117" s="230"/>
      <c r="E117" s="225"/>
      <c r="F117" s="225">
        <v>7149</v>
      </c>
      <c r="G117" s="226">
        <v>1837798300</v>
      </c>
    </row>
    <row r="118" spans="1:7" s="186" customFormat="1" ht="15.75" x14ac:dyDescent="0.25">
      <c r="A118" s="227"/>
      <c r="B118" s="227"/>
      <c r="C118" s="228"/>
      <c r="D118" s="228" t="s">
        <v>336</v>
      </c>
      <c r="E118" s="227"/>
      <c r="F118" s="227"/>
      <c r="G118" s="229">
        <f>SUM(G119:G123)</f>
        <v>265781206</v>
      </c>
    </row>
    <row r="119" spans="1:7" ht="15.75" x14ac:dyDescent="0.25">
      <c r="A119" s="225"/>
      <c r="B119" s="225"/>
      <c r="C119" s="230"/>
      <c r="D119" s="238"/>
      <c r="E119" s="225"/>
      <c r="F119" s="225">
        <v>6106</v>
      </c>
      <c r="G119" s="226">
        <v>680284</v>
      </c>
    </row>
    <row r="120" spans="1:7" ht="15.75" x14ac:dyDescent="0.25">
      <c r="A120" s="225"/>
      <c r="B120" s="225"/>
      <c r="C120" s="230"/>
      <c r="D120" s="230"/>
      <c r="E120" s="225"/>
      <c r="F120" s="225">
        <v>6702</v>
      </c>
      <c r="G120" s="226">
        <v>230000</v>
      </c>
    </row>
    <row r="121" spans="1:7" ht="15.75" x14ac:dyDescent="0.25">
      <c r="A121" s="225"/>
      <c r="B121" s="225"/>
      <c r="C121" s="230"/>
      <c r="D121" s="230"/>
      <c r="E121" s="225"/>
      <c r="F121" s="225">
        <v>7149</v>
      </c>
      <c r="G121" s="226">
        <v>221800000</v>
      </c>
    </row>
    <row r="122" spans="1:7" ht="15.75" x14ac:dyDescent="0.25">
      <c r="A122" s="225"/>
      <c r="B122" s="225"/>
      <c r="C122" s="230"/>
      <c r="D122" s="230"/>
      <c r="E122" s="225"/>
      <c r="F122" s="225">
        <v>7799</v>
      </c>
      <c r="G122" s="226">
        <v>280000</v>
      </c>
    </row>
    <row r="123" spans="1:7" s="186" customFormat="1" ht="15.75" x14ac:dyDescent="0.25">
      <c r="A123" s="227"/>
      <c r="B123" s="227"/>
      <c r="C123" s="228"/>
      <c r="D123" s="228">
        <v>161</v>
      </c>
      <c r="E123" s="227"/>
      <c r="F123" s="227">
        <v>6907</v>
      </c>
      <c r="G123" s="229">
        <v>42790922</v>
      </c>
    </row>
    <row r="124" spans="1:7" s="186" customFormat="1" ht="15.75" x14ac:dyDescent="0.25">
      <c r="A124" s="227"/>
      <c r="B124" s="227"/>
      <c r="C124" s="228"/>
      <c r="D124" s="228">
        <v>521</v>
      </c>
      <c r="E124" s="227"/>
      <c r="F124" s="231"/>
      <c r="G124" s="232">
        <f>SUM(G125:G126)</f>
        <v>81000000</v>
      </c>
    </row>
    <row r="125" spans="1:7" ht="15.75" x14ac:dyDescent="0.25">
      <c r="A125" s="225"/>
      <c r="B125" s="225"/>
      <c r="C125" s="230"/>
      <c r="D125" s="230"/>
      <c r="E125" s="225"/>
      <c r="F125" s="225">
        <v>6907</v>
      </c>
      <c r="G125" s="226">
        <v>40000000</v>
      </c>
    </row>
    <row r="126" spans="1:7" ht="15.75" x14ac:dyDescent="0.25">
      <c r="A126" s="225"/>
      <c r="B126" s="225"/>
      <c r="C126" s="230"/>
      <c r="D126" s="230"/>
      <c r="E126" s="225"/>
      <c r="F126" s="225">
        <v>6949</v>
      </c>
      <c r="G126" s="226">
        <v>41000000</v>
      </c>
    </row>
    <row r="127" spans="1:7" s="186" customFormat="1" ht="15.75" x14ac:dyDescent="0.25">
      <c r="A127" s="227"/>
      <c r="B127" s="227"/>
      <c r="C127" s="228"/>
      <c r="D127" s="228">
        <v>167</v>
      </c>
      <c r="E127" s="227"/>
      <c r="F127" s="231"/>
      <c r="G127" s="232">
        <f>SUM(G128:G130)</f>
        <v>180273150</v>
      </c>
    </row>
    <row r="128" spans="1:7" ht="15.75" x14ac:dyDescent="0.25">
      <c r="A128" s="225"/>
      <c r="B128" s="225"/>
      <c r="C128" s="230"/>
      <c r="D128" s="230"/>
      <c r="E128" s="225"/>
      <c r="F128" s="225">
        <v>6907</v>
      </c>
      <c r="G128" s="226">
        <v>59995529</v>
      </c>
    </row>
    <row r="129" spans="1:7" ht="15.75" x14ac:dyDescent="0.25">
      <c r="A129" s="225"/>
      <c r="B129" s="225"/>
      <c r="C129" s="230"/>
      <c r="D129" s="230"/>
      <c r="E129" s="225"/>
      <c r="F129" s="225">
        <v>6949</v>
      </c>
      <c r="G129" s="226">
        <v>28976850</v>
      </c>
    </row>
    <row r="130" spans="1:7" ht="15.75" x14ac:dyDescent="0.25">
      <c r="A130" s="225"/>
      <c r="B130" s="225"/>
      <c r="C130" s="230"/>
      <c r="D130" s="230"/>
      <c r="E130" s="225"/>
      <c r="F130" s="225">
        <v>6923</v>
      </c>
      <c r="G130" s="226">
        <v>91300771</v>
      </c>
    </row>
    <row r="131" spans="1:7" s="186" customFormat="1" ht="15.75" x14ac:dyDescent="0.25">
      <c r="A131" s="227"/>
      <c r="B131" s="227"/>
      <c r="C131" s="228"/>
      <c r="D131" s="228">
        <v>223</v>
      </c>
      <c r="E131" s="227"/>
      <c r="F131" s="231"/>
      <c r="G131" s="232">
        <f>SUM(G132:G135)</f>
        <v>109000000</v>
      </c>
    </row>
    <row r="132" spans="1:7" ht="15.75" x14ac:dyDescent="0.25">
      <c r="A132" s="225"/>
      <c r="B132" s="225"/>
      <c r="C132" s="230"/>
      <c r="D132" s="230"/>
      <c r="E132" s="225"/>
      <c r="F132" s="225">
        <v>6921</v>
      </c>
      <c r="G132" s="226">
        <v>6896736</v>
      </c>
    </row>
    <row r="133" spans="1:7" ht="15.75" x14ac:dyDescent="0.25">
      <c r="A133" s="225"/>
      <c r="B133" s="225"/>
      <c r="C133" s="230"/>
      <c r="D133" s="230"/>
      <c r="E133" s="225"/>
      <c r="F133" s="225">
        <v>6922</v>
      </c>
      <c r="G133" s="226">
        <v>83000000</v>
      </c>
    </row>
    <row r="134" spans="1:7" ht="15.75" x14ac:dyDescent="0.25">
      <c r="A134" s="225"/>
      <c r="B134" s="225"/>
      <c r="C134" s="230"/>
      <c r="D134" s="230"/>
      <c r="E134" s="225"/>
      <c r="F134" s="225">
        <v>6923</v>
      </c>
      <c r="G134" s="226">
        <v>8000000</v>
      </c>
    </row>
    <row r="135" spans="1:7" ht="15.75" x14ac:dyDescent="0.25">
      <c r="A135" s="225"/>
      <c r="B135" s="225"/>
      <c r="C135" s="230"/>
      <c r="D135" s="230"/>
      <c r="E135" s="225"/>
      <c r="F135" s="225">
        <v>6949</v>
      </c>
      <c r="G135" s="226">
        <v>11103264</v>
      </c>
    </row>
    <row r="136" spans="1:7" s="186" customFormat="1" ht="15.75" x14ac:dyDescent="0.25">
      <c r="A136" s="227"/>
      <c r="B136" s="227"/>
      <c r="C136" s="228"/>
      <c r="D136" s="228" t="s">
        <v>324</v>
      </c>
      <c r="E136" s="227"/>
      <c r="F136" s="231"/>
      <c r="G136" s="232">
        <f>SUM(G137:G139)</f>
        <v>235048515</v>
      </c>
    </row>
    <row r="137" spans="1:7" ht="15.75" x14ac:dyDescent="0.25">
      <c r="A137" s="225"/>
      <c r="B137" s="225"/>
      <c r="C137" s="230"/>
      <c r="D137" s="230"/>
      <c r="E137" s="225"/>
      <c r="F137" s="225">
        <v>6921</v>
      </c>
      <c r="G137" s="226">
        <v>27000000</v>
      </c>
    </row>
    <row r="138" spans="1:7" ht="15.75" x14ac:dyDescent="0.25">
      <c r="A138" s="225"/>
      <c r="B138" s="225"/>
      <c r="C138" s="230"/>
      <c r="D138" s="230"/>
      <c r="E138" s="225"/>
      <c r="F138" s="225">
        <v>6922</v>
      </c>
      <c r="G138" s="226">
        <v>42000000</v>
      </c>
    </row>
    <row r="139" spans="1:7" ht="15.75" x14ac:dyDescent="0.25">
      <c r="A139" s="225"/>
      <c r="B139" s="225"/>
      <c r="C139" s="230"/>
      <c r="D139" s="230"/>
      <c r="E139" s="225"/>
      <c r="F139" s="225">
        <v>6923</v>
      </c>
      <c r="G139" s="226">
        <v>166048515</v>
      </c>
    </row>
    <row r="140" spans="1:7" ht="15.75" x14ac:dyDescent="0.25">
      <c r="A140" s="225"/>
      <c r="B140" s="225"/>
      <c r="C140" s="230"/>
      <c r="D140" s="228">
        <v>101</v>
      </c>
      <c r="E140" s="227"/>
      <c r="F140" s="227">
        <v>6922</v>
      </c>
      <c r="G140" s="229">
        <v>37000000</v>
      </c>
    </row>
    <row r="141" spans="1:7" ht="15.75" x14ac:dyDescent="0.25">
      <c r="A141" s="225"/>
      <c r="B141" s="225"/>
      <c r="C141" s="230"/>
      <c r="D141" s="228">
        <v>168</v>
      </c>
      <c r="E141" s="227"/>
      <c r="F141" s="227">
        <v>6922</v>
      </c>
      <c r="G141" s="229">
        <v>50000000</v>
      </c>
    </row>
    <row r="142" spans="1:7" ht="15.75" x14ac:dyDescent="0.25">
      <c r="A142" s="225"/>
      <c r="B142" s="225"/>
      <c r="C142" s="230"/>
      <c r="D142" s="228" t="s">
        <v>337</v>
      </c>
      <c r="E142" s="227"/>
      <c r="F142" s="227">
        <v>7149</v>
      </c>
      <c r="G142" s="229">
        <v>130500000</v>
      </c>
    </row>
    <row r="143" spans="1:7" ht="15.75" x14ac:dyDescent="0.25">
      <c r="A143" s="225"/>
      <c r="B143" s="225"/>
      <c r="C143" s="230"/>
      <c r="D143" s="228" t="s">
        <v>323</v>
      </c>
      <c r="E143" s="227"/>
      <c r="F143" s="227">
        <v>7149</v>
      </c>
      <c r="G143" s="229">
        <v>247882220</v>
      </c>
    </row>
    <row r="144" spans="1:7" ht="15.75" x14ac:dyDescent="0.25">
      <c r="A144" s="225"/>
      <c r="B144" s="225"/>
      <c r="C144" s="230"/>
      <c r="D144" s="230"/>
      <c r="E144" s="225"/>
      <c r="F144" s="225"/>
      <c r="G144" s="226"/>
    </row>
    <row r="145" spans="1:17" s="186" customFormat="1" ht="15.75" x14ac:dyDescent="0.25">
      <c r="A145" s="227"/>
      <c r="B145" s="227">
        <v>799</v>
      </c>
      <c r="C145" s="228">
        <v>220</v>
      </c>
      <c r="D145" s="228">
        <v>223</v>
      </c>
      <c r="E145" s="227"/>
      <c r="F145" s="227"/>
      <c r="G145" s="229">
        <f>SUM(G146:G148)</f>
        <v>4380575719</v>
      </c>
      <c r="H145" s="243" t="s">
        <v>338</v>
      </c>
    </row>
    <row r="146" spans="1:17" ht="15.75" x14ac:dyDescent="0.25">
      <c r="A146" s="225"/>
      <c r="B146" s="225"/>
      <c r="C146" s="230"/>
      <c r="D146" s="230"/>
      <c r="E146" s="225"/>
      <c r="F146" s="225">
        <v>9301</v>
      </c>
      <c r="G146" s="226">
        <v>3992530543</v>
      </c>
    </row>
    <row r="147" spans="1:17" ht="15.75" x14ac:dyDescent="0.25">
      <c r="A147" s="225"/>
      <c r="B147" s="225"/>
      <c r="C147" s="230"/>
      <c r="D147" s="230"/>
      <c r="E147" s="225"/>
      <c r="F147" s="225">
        <v>9401</v>
      </c>
      <c r="G147" s="226">
        <v>31359760</v>
      </c>
    </row>
    <row r="148" spans="1:17" ht="15.75" x14ac:dyDescent="0.25">
      <c r="A148" s="225"/>
      <c r="B148" s="225"/>
      <c r="C148" s="230"/>
      <c r="D148" s="230"/>
      <c r="E148" s="225"/>
      <c r="F148" s="225">
        <v>9402</v>
      </c>
      <c r="G148" s="226">
        <v>356685416</v>
      </c>
    </row>
    <row r="149" spans="1:17" ht="15.75" x14ac:dyDescent="0.25">
      <c r="A149" s="225"/>
      <c r="B149" s="227">
        <v>624</v>
      </c>
      <c r="C149" s="228">
        <v>460</v>
      </c>
      <c r="D149" s="228">
        <v>463</v>
      </c>
      <c r="E149" s="225"/>
      <c r="F149" s="225"/>
      <c r="G149" s="229">
        <f>G150+G151</f>
        <v>3600000</v>
      </c>
      <c r="H149" s="243" t="s">
        <v>442</v>
      </c>
    </row>
    <row r="150" spans="1:17" ht="15.75" x14ac:dyDescent="0.25">
      <c r="A150" s="225"/>
      <c r="E150" s="225"/>
      <c r="F150" s="225">
        <v>6702</v>
      </c>
      <c r="G150" s="226">
        <v>1600000</v>
      </c>
    </row>
    <row r="151" spans="1:17" ht="15.75" x14ac:dyDescent="0.25">
      <c r="A151" s="225"/>
      <c r="B151" s="225"/>
      <c r="C151" s="230"/>
      <c r="D151" s="230"/>
      <c r="E151" s="225"/>
      <c r="F151" s="225">
        <v>6751</v>
      </c>
      <c r="G151" s="226">
        <v>2000000</v>
      </c>
    </row>
    <row r="152" spans="1:17" ht="15.75" hidden="1" x14ac:dyDescent="0.25">
      <c r="A152" s="225"/>
      <c r="B152" s="225"/>
      <c r="C152" s="230"/>
      <c r="D152" s="230"/>
      <c r="E152" s="225"/>
      <c r="F152" s="225"/>
      <c r="G152" s="226"/>
    </row>
    <row r="153" spans="1:17" s="248" customFormat="1" ht="15.75" x14ac:dyDescent="0.25">
      <c r="A153" s="4664" t="s">
        <v>1516</v>
      </c>
      <c r="B153" s="4664"/>
      <c r="C153" s="246"/>
      <c r="D153" s="246"/>
      <c r="E153" s="245"/>
      <c r="F153" s="245"/>
      <c r="G153" s="247">
        <f>G108+G60+G7</f>
        <v>42083445516</v>
      </c>
      <c r="H153" s="186"/>
      <c r="I153" s="250">
        <v>42205445518</v>
      </c>
      <c r="J153" s="186"/>
      <c r="K153" s="186"/>
      <c r="L153" s="186"/>
      <c r="M153" s="186"/>
      <c r="N153" s="186"/>
      <c r="O153" s="186"/>
      <c r="P153" s="186"/>
      <c r="Q153" s="186"/>
    </row>
    <row r="154" spans="1:17" ht="15.75" x14ac:dyDescent="0.25">
      <c r="A154" s="7"/>
      <c r="I154" s="249">
        <f>G153-I153</f>
        <v>-122000002</v>
      </c>
    </row>
    <row r="155" spans="1:17" ht="15.75" customHeight="1" x14ac:dyDescent="0.25">
      <c r="A155" s="4303" t="s">
        <v>462</v>
      </c>
      <c r="B155" s="4303"/>
      <c r="C155" s="4303"/>
      <c r="F155" s="4042" t="s">
        <v>508</v>
      </c>
      <c r="G155" s="4042"/>
    </row>
    <row r="156" spans="1:17" ht="15.75" customHeight="1" x14ac:dyDescent="0.25">
      <c r="A156" s="4122" t="s">
        <v>463</v>
      </c>
      <c r="B156" s="4122"/>
      <c r="C156" s="4122"/>
      <c r="D156" s="4122" t="s">
        <v>506</v>
      </c>
      <c r="E156" s="4122"/>
      <c r="F156" s="4122" t="s">
        <v>1441</v>
      </c>
      <c r="G156" s="4122"/>
    </row>
    <row r="157" spans="1:17" ht="15.75" customHeight="1" x14ac:dyDescent="0.25">
      <c r="A157" s="4042" t="s">
        <v>867</v>
      </c>
      <c r="B157" s="4042"/>
      <c r="C157" s="4042"/>
      <c r="D157" s="4042" t="s">
        <v>507</v>
      </c>
      <c r="E157" s="4042"/>
      <c r="F157" s="4042" t="s">
        <v>867</v>
      </c>
      <c r="G157" s="4042"/>
    </row>
  </sheetData>
  <mergeCells count="13">
    <mergeCell ref="I6:O6"/>
    <mergeCell ref="H84:H105"/>
    <mergeCell ref="A155:C155"/>
    <mergeCell ref="F155:G155"/>
    <mergeCell ref="A156:C156"/>
    <mergeCell ref="A153:B153"/>
    <mergeCell ref="A3:G3"/>
    <mergeCell ref="A4:G4"/>
    <mergeCell ref="F156:G156"/>
    <mergeCell ref="F157:G157"/>
    <mergeCell ref="D156:E156"/>
    <mergeCell ref="D157:E157"/>
    <mergeCell ref="A157:C157"/>
  </mergeCells>
  <phoneticPr fontId="70" type="noConversion"/>
  <pageMargins left="0.7" right="0.2" top="0.75" bottom="0.99" header="0.43" footer="0.63"/>
  <pageSetup paperSize="9" firstPageNumber="185" orientation="portrait" useFirstPageNumber="1" r:id="rId1"/>
  <headerFooter>
    <oddHeader>&amp;RBiểu số 5.25</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0000"/>
  </sheetPr>
  <dimension ref="A1:D19"/>
  <sheetViews>
    <sheetView workbookViewId="0">
      <selection activeCell="A11" sqref="A11"/>
    </sheetView>
  </sheetViews>
  <sheetFormatPr defaultColWidth="9.140625" defaultRowHeight="15" x14ac:dyDescent="0.25"/>
  <cols>
    <col min="1" max="1" width="35.140625" style="1" customWidth="1"/>
    <col min="2" max="2" width="11.140625" style="1" customWidth="1"/>
    <col min="3" max="3" width="36.140625" style="1" customWidth="1"/>
    <col min="4" max="4" width="12.85546875" style="1" customWidth="1"/>
    <col min="5" max="16384" width="9.140625" style="1"/>
  </cols>
  <sheetData>
    <row r="1" spans="1:4" s="166" customFormat="1" ht="21.75" customHeight="1" x14ac:dyDescent="0.25">
      <c r="A1" s="164" t="s">
        <v>1508</v>
      </c>
      <c r="B1" s="165"/>
    </row>
    <row r="2" spans="1:4" s="166" customFormat="1" ht="21" customHeight="1" x14ac:dyDescent="0.25">
      <c r="A2" s="4280" t="s">
        <v>564</v>
      </c>
      <c r="B2" s="4280"/>
      <c r="C2" s="4280"/>
      <c r="D2" s="4280"/>
    </row>
    <row r="3" spans="1:4" ht="23.25" customHeight="1" x14ac:dyDescent="0.25">
      <c r="A3" s="77"/>
      <c r="C3" s="78" t="s">
        <v>493</v>
      </c>
    </row>
    <row r="4" spans="1:4" ht="30" customHeight="1" x14ac:dyDescent="0.25">
      <c r="A4" s="79" t="s">
        <v>565</v>
      </c>
      <c r="B4" s="79" t="s">
        <v>13</v>
      </c>
      <c r="C4" s="79" t="s">
        <v>466</v>
      </c>
      <c r="D4" s="79" t="s">
        <v>13</v>
      </c>
    </row>
    <row r="5" spans="1:4" x14ac:dyDescent="0.25">
      <c r="A5" s="80" t="s">
        <v>1485</v>
      </c>
      <c r="B5" s="81"/>
      <c r="C5" s="80" t="s">
        <v>1486</v>
      </c>
      <c r="D5" s="82"/>
    </row>
    <row r="6" spans="1:4" ht="34.5" customHeight="1" x14ac:dyDescent="0.25">
      <c r="A6" s="83" t="s">
        <v>566</v>
      </c>
      <c r="B6" s="83"/>
      <c r="C6" s="83" t="s">
        <v>567</v>
      </c>
      <c r="D6" s="83"/>
    </row>
    <row r="7" spans="1:4" ht="39.75" customHeight="1" x14ac:dyDescent="0.25">
      <c r="A7" s="83" t="s">
        <v>1506</v>
      </c>
      <c r="B7" s="83"/>
      <c r="C7" s="83" t="s">
        <v>568</v>
      </c>
      <c r="D7" s="83"/>
    </row>
    <row r="8" spans="1:4" x14ac:dyDescent="0.25">
      <c r="A8" s="83" t="s">
        <v>569</v>
      </c>
      <c r="B8" s="83"/>
      <c r="C8" s="4666" t="s">
        <v>572</v>
      </c>
      <c r="D8" s="4666"/>
    </row>
    <row r="9" spans="1:4" ht="34.5" customHeight="1" x14ac:dyDescent="0.25">
      <c r="A9" s="83" t="s">
        <v>570</v>
      </c>
      <c r="B9" s="83"/>
      <c r="C9" s="4666"/>
      <c r="D9" s="4666"/>
    </row>
    <row r="10" spans="1:4" x14ac:dyDescent="0.25">
      <c r="A10" s="83" t="s">
        <v>571</v>
      </c>
      <c r="B10" s="83"/>
      <c r="C10" s="4666"/>
      <c r="D10" s="4666"/>
    </row>
    <row r="11" spans="1:4" ht="27.75" customHeight="1" x14ac:dyDescent="0.25">
      <c r="A11" s="83" t="s">
        <v>573</v>
      </c>
      <c r="B11" s="83"/>
      <c r="C11" s="4666" t="s">
        <v>576</v>
      </c>
      <c r="D11" s="4666"/>
    </row>
    <row r="12" spans="1:4" x14ac:dyDescent="0.25">
      <c r="A12" s="83" t="s">
        <v>574</v>
      </c>
      <c r="B12" s="83"/>
      <c r="C12" s="4666"/>
      <c r="D12" s="4666"/>
    </row>
    <row r="13" spans="1:4" ht="49.5" customHeight="1" x14ac:dyDescent="0.25">
      <c r="A13" s="83" t="s">
        <v>575</v>
      </c>
      <c r="B13" s="83"/>
      <c r="C13" s="4666"/>
      <c r="D13" s="4666"/>
    </row>
    <row r="14" spans="1:4" ht="18.75" customHeight="1" x14ac:dyDescent="0.25">
      <c r="A14" s="84" t="s">
        <v>577</v>
      </c>
      <c r="B14" s="85"/>
      <c r="C14" s="85"/>
      <c r="D14" s="85"/>
    </row>
    <row r="15" spans="1:4" ht="56.25" customHeight="1" x14ac:dyDescent="0.25">
      <c r="A15" s="4665" t="s">
        <v>1507</v>
      </c>
      <c r="B15" s="4665"/>
      <c r="C15" s="4665"/>
      <c r="D15" s="4665"/>
    </row>
    <row r="16" spans="1:4" ht="18.75" customHeight="1" x14ac:dyDescent="0.25">
      <c r="A16" s="74"/>
      <c r="B16" s="4668" t="s">
        <v>579</v>
      </c>
      <c r="C16" s="4668"/>
      <c r="D16" s="4668"/>
    </row>
    <row r="17" spans="1:4" ht="29.25" customHeight="1" x14ac:dyDescent="0.25">
      <c r="A17" s="86" t="s">
        <v>578</v>
      </c>
      <c r="B17" s="4669" t="s">
        <v>580</v>
      </c>
      <c r="C17" s="4669"/>
      <c r="D17" s="4669"/>
    </row>
    <row r="18" spans="1:4" x14ac:dyDescent="0.25">
      <c r="A18" s="75"/>
      <c r="B18" s="4669" t="s">
        <v>581</v>
      </c>
      <c r="C18" s="4669"/>
      <c r="D18" s="4669"/>
    </row>
    <row r="19" spans="1:4" ht="24" customHeight="1" x14ac:dyDescent="0.25">
      <c r="A19" s="75"/>
      <c r="B19" s="4667" t="s">
        <v>582</v>
      </c>
      <c r="C19" s="4667"/>
      <c r="D19" s="4667"/>
    </row>
  </sheetData>
  <mergeCells count="10">
    <mergeCell ref="A2:D2"/>
    <mergeCell ref="A15:D15"/>
    <mergeCell ref="C8:C10"/>
    <mergeCell ref="D8:D10"/>
    <mergeCell ref="B19:D19"/>
    <mergeCell ref="C11:C13"/>
    <mergeCell ref="D11:D13"/>
    <mergeCell ref="B16:D16"/>
    <mergeCell ref="B17:D17"/>
    <mergeCell ref="B18:D18"/>
  </mergeCells>
  <phoneticPr fontId="70" type="noConversion"/>
  <pageMargins left="0.7" right="0.2" top="0.75" bottom="0.75" header="0.43" footer="0.3"/>
  <pageSetup paperSize="9" firstPageNumber="192" orientation="portrait" useFirstPageNumber="1" r:id="rId1"/>
  <headerFooter>
    <oddHeader>&amp;RBiểu số 5.32</oddHead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sheetPr>
  <dimension ref="A1:G37"/>
  <sheetViews>
    <sheetView workbookViewId="0">
      <selection activeCell="B14" sqref="B14"/>
    </sheetView>
  </sheetViews>
  <sheetFormatPr defaultRowHeight="15" x14ac:dyDescent="0.25"/>
  <cols>
    <col min="1" max="1" width="43" customWidth="1"/>
    <col min="2" max="2" width="7.7109375" customWidth="1"/>
    <col min="3" max="4" width="7.85546875" customWidth="1"/>
  </cols>
  <sheetData>
    <row r="1" spans="1:7" ht="16.5" customHeight="1" x14ac:dyDescent="0.25">
      <c r="A1" s="76" t="s">
        <v>563</v>
      </c>
      <c r="B1" s="161"/>
      <c r="C1" s="1"/>
      <c r="D1" s="1"/>
      <c r="E1" s="1"/>
      <c r="F1" s="1"/>
      <c r="G1" s="1"/>
    </row>
    <row r="2" spans="1:7" ht="21.75" customHeight="1" x14ac:dyDescent="0.25">
      <c r="A2" s="4670" t="s">
        <v>583</v>
      </c>
      <c r="B2" s="4670"/>
      <c r="C2" s="4670"/>
      <c r="D2" s="4670"/>
      <c r="E2" s="4670"/>
      <c r="F2" s="4670"/>
      <c r="G2" s="4670"/>
    </row>
    <row r="3" spans="1:7" ht="16.5" customHeight="1" x14ac:dyDescent="0.25">
      <c r="A3" s="4668"/>
      <c r="B3" s="4668"/>
      <c r="C3" s="4668"/>
      <c r="D3" s="4668"/>
      <c r="E3" s="4668"/>
      <c r="F3" s="4668"/>
      <c r="G3" s="4668"/>
    </row>
    <row r="4" spans="1:7" ht="18.75" customHeight="1" x14ac:dyDescent="0.25">
      <c r="A4" s="77"/>
      <c r="B4" s="1"/>
      <c r="C4" s="1"/>
      <c r="D4" s="1"/>
      <c r="E4" s="1"/>
      <c r="F4" s="4671" t="s">
        <v>493</v>
      </c>
      <c r="G4" s="4671"/>
    </row>
    <row r="5" spans="1:7" ht="19.5" customHeight="1" x14ac:dyDescent="0.25">
      <c r="A5" s="4672" t="s">
        <v>845</v>
      </c>
      <c r="B5" s="4672" t="s">
        <v>846</v>
      </c>
      <c r="C5" s="4672"/>
      <c r="D5" s="4672" t="s">
        <v>13</v>
      </c>
      <c r="E5" s="4672"/>
      <c r="F5" s="4672" t="s">
        <v>28</v>
      </c>
      <c r="G5" s="4672"/>
    </row>
    <row r="6" spans="1:7" ht="32.25" customHeight="1" x14ac:dyDescent="0.25">
      <c r="A6" s="4672"/>
      <c r="B6" s="79" t="s">
        <v>584</v>
      </c>
      <c r="C6" s="79" t="s">
        <v>585</v>
      </c>
      <c r="D6" s="79" t="s">
        <v>584</v>
      </c>
      <c r="E6" s="79" t="s">
        <v>585</v>
      </c>
      <c r="F6" s="79" t="s">
        <v>584</v>
      </c>
      <c r="G6" s="79" t="s">
        <v>585</v>
      </c>
    </row>
    <row r="7" spans="1:7" x14ac:dyDescent="0.25">
      <c r="A7" s="87"/>
      <c r="B7" s="88">
        <v>1</v>
      </c>
      <c r="C7" s="88">
        <v>2</v>
      </c>
      <c r="D7" s="88">
        <v>3</v>
      </c>
      <c r="E7" s="88">
        <v>4</v>
      </c>
      <c r="F7" s="88" t="s">
        <v>586</v>
      </c>
      <c r="G7" s="88" t="s">
        <v>587</v>
      </c>
    </row>
    <row r="8" spans="1:7" x14ac:dyDescent="0.25">
      <c r="A8" s="80" t="s">
        <v>588</v>
      </c>
      <c r="B8" s="89"/>
      <c r="C8" s="89"/>
      <c r="D8" s="89"/>
      <c r="E8" s="89"/>
      <c r="F8" s="89"/>
      <c r="G8" s="89"/>
    </row>
    <row r="9" spans="1:7" x14ac:dyDescent="0.25">
      <c r="A9" s="90" t="s">
        <v>589</v>
      </c>
      <c r="B9" s="83"/>
      <c r="C9" s="83"/>
      <c r="D9" s="83"/>
      <c r="E9" s="83"/>
      <c r="F9" s="83"/>
      <c r="G9" s="83"/>
    </row>
    <row r="10" spans="1:7" ht="18" customHeight="1" x14ac:dyDescent="0.25">
      <c r="A10" s="83" t="s">
        <v>590</v>
      </c>
      <c r="B10" s="83"/>
      <c r="C10" s="83"/>
      <c r="D10" s="83"/>
      <c r="E10" s="83"/>
      <c r="F10" s="83"/>
      <c r="G10" s="83"/>
    </row>
    <row r="11" spans="1:7" ht="30" x14ac:dyDescent="0.25">
      <c r="A11" s="83" t="s">
        <v>591</v>
      </c>
      <c r="B11" s="83"/>
      <c r="C11" s="83"/>
      <c r="D11" s="83"/>
      <c r="E11" s="83"/>
      <c r="F11" s="83"/>
      <c r="G11" s="83"/>
    </row>
    <row r="12" spans="1:7" ht="19.5" customHeight="1" x14ac:dyDescent="0.25">
      <c r="A12" s="83" t="s">
        <v>592</v>
      </c>
      <c r="B12" s="83"/>
      <c r="C12" s="83"/>
      <c r="D12" s="83"/>
      <c r="E12" s="83"/>
      <c r="F12" s="83"/>
      <c r="G12" s="83"/>
    </row>
    <row r="13" spans="1:7" ht="18" customHeight="1" x14ac:dyDescent="0.25">
      <c r="A13" s="83" t="s">
        <v>593</v>
      </c>
      <c r="B13" s="83"/>
      <c r="C13" s="83"/>
      <c r="D13" s="83"/>
      <c r="E13" s="83"/>
      <c r="F13" s="83"/>
      <c r="G13" s="83"/>
    </row>
    <row r="14" spans="1:7" ht="33.75" customHeight="1" x14ac:dyDescent="0.25">
      <c r="A14" s="83" t="s">
        <v>594</v>
      </c>
      <c r="B14" s="83"/>
      <c r="C14" s="83"/>
      <c r="D14" s="83"/>
      <c r="E14" s="83"/>
      <c r="F14" s="83"/>
      <c r="G14" s="83"/>
    </row>
    <row r="15" spans="1:7" ht="18.75" customHeight="1" x14ac:dyDescent="0.25">
      <c r="A15" s="83" t="s">
        <v>595</v>
      </c>
      <c r="B15" s="83"/>
      <c r="C15" s="83"/>
      <c r="D15" s="83"/>
      <c r="E15" s="83"/>
      <c r="F15" s="83"/>
      <c r="G15" s="83"/>
    </row>
    <row r="16" spans="1:7" ht="18" customHeight="1" x14ac:dyDescent="0.25">
      <c r="A16" s="83" t="s">
        <v>596</v>
      </c>
      <c r="B16" s="83"/>
      <c r="C16" s="83"/>
      <c r="D16" s="83"/>
      <c r="E16" s="83"/>
      <c r="F16" s="83"/>
      <c r="G16" s="83"/>
    </row>
    <row r="17" spans="1:7" ht="18" customHeight="1" x14ac:dyDescent="0.25">
      <c r="A17" s="83" t="s">
        <v>597</v>
      </c>
      <c r="B17" s="83"/>
      <c r="C17" s="83"/>
      <c r="D17" s="83"/>
      <c r="E17" s="83"/>
      <c r="F17" s="83"/>
      <c r="G17" s="83"/>
    </row>
    <row r="18" spans="1:7" ht="31.5" customHeight="1" x14ac:dyDescent="0.25">
      <c r="A18" s="90" t="s">
        <v>598</v>
      </c>
      <c r="B18" s="83"/>
      <c r="C18" s="83"/>
      <c r="D18" s="83"/>
      <c r="E18" s="83"/>
      <c r="F18" s="83"/>
      <c r="G18" s="83"/>
    </row>
    <row r="19" spans="1:7" ht="23.25" customHeight="1" x14ac:dyDescent="0.25">
      <c r="A19" s="83" t="s">
        <v>599</v>
      </c>
      <c r="B19" s="83"/>
      <c r="C19" s="83"/>
      <c r="D19" s="83"/>
      <c r="E19" s="83"/>
      <c r="F19" s="83"/>
      <c r="G19" s="83"/>
    </row>
    <row r="20" spans="1:7" ht="21.75" customHeight="1" x14ac:dyDescent="0.25">
      <c r="A20" s="83" t="s">
        <v>863</v>
      </c>
      <c r="B20" s="83"/>
      <c r="C20" s="83"/>
      <c r="D20" s="83"/>
      <c r="E20" s="83"/>
      <c r="F20" s="83"/>
      <c r="G20" s="83"/>
    </row>
    <row r="21" spans="1:7" ht="23.25" customHeight="1" x14ac:dyDescent="0.25">
      <c r="A21" s="83" t="s">
        <v>600</v>
      </c>
      <c r="B21" s="83"/>
      <c r="C21" s="83"/>
      <c r="D21" s="83"/>
      <c r="E21" s="83"/>
      <c r="F21" s="83"/>
      <c r="G21" s="83"/>
    </row>
    <row r="22" spans="1:7" ht="19.5" customHeight="1" x14ac:dyDescent="0.25">
      <c r="A22" s="83" t="s">
        <v>601</v>
      </c>
      <c r="B22" s="83"/>
      <c r="C22" s="83"/>
      <c r="D22" s="83"/>
      <c r="E22" s="83"/>
      <c r="F22" s="83"/>
      <c r="G22" s="83"/>
    </row>
    <row r="23" spans="1:7" ht="20.25" customHeight="1" x14ac:dyDescent="0.25">
      <c r="A23" s="83" t="s">
        <v>602</v>
      </c>
      <c r="B23" s="83"/>
      <c r="C23" s="83"/>
      <c r="D23" s="83"/>
      <c r="E23" s="83"/>
      <c r="F23" s="83"/>
      <c r="G23" s="83"/>
    </row>
    <row r="24" spans="1:7" ht="35.25" customHeight="1" x14ac:dyDescent="0.25">
      <c r="A24" s="83" t="s">
        <v>603</v>
      </c>
      <c r="B24" s="83"/>
      <c r="C24" s="83"/>
      <c r="D24" s="83"/>
      <c r="E24" s="83"/>
      <c r="F24" s="83"/>
      <c r="G24" s="83"/>
    </row>
    <row r="25" spans="1:7" x14ac:dyDescent="0.25">
      <c r="A25" s="83" t="s">
        <v>882</v>
      </c>
      <c r="B25" s="83"/>
      <c r="C25" s="83"/>
      <c r="D25" s="83"/>
      <c r="E25" s="83"/>
      <c r="F25" s="83"/>
      <c r="G25" s="83"/>
    </row>
    <row r="26" spans="1:7" x14ac:dyDescent="0.25">
      <c r="A26" s="83" t="s">
        <v>891</v>
      </c>
      <c r="B26" s="83"/>
      <c r="C26" s="83"/>
      <c r="D26" s="83"/>
      <c r="E26" s="83"/>
      <c r="F26" s="83"/>
      <c r="G26" s="83"/>
    </row>
    <row r="27" spans="1:7" ht="32.25" customHeight="1" x14ac:dyDescent="0.25">
      <c r="A27" s="90" t="s">
        <v>604</v>
      </c>
      <c r="B27" s="83"/>
      <c r="C27" s="83"/>
      <c r="D27" s="83"/>
      <c r="E27" s="83"/>
      <c r="F27" s="83"/>
      <c r="G27" s="83"/>
    </row>
    <row r="28" spans="1:7" ht="23.25" customHeight="1" x14ac:dyDescent="0.25">
      <c r="A28" s="90" t="s">
        <v>605</v>
      </c>
      <c r="B28" s="83"/>
      <c r="C28" s="83"/>
      <c r="D28" s="83"/>
      <c r="E28" s="83"/>
      <c r="F28" s="83"/>
      <c r="G28" s="83"/>
    </row>
    <row r="29" spans="1:7" ht="18.75" customHeight="1" x14ac:dyDescent="0.25">
      <c r="A29" s="90" t="s">
        <v>606</v>
      </c>
      <c r="B29" s="83"/>
      <c r="C29" s="83"/>
      <c r="D29" s="83"/>
      <c r="E29" s="83"/>
      <c r="F29" s="83"/>
      <c r="G29" s="83"/>
    </row>
    <row r="30" spans="1:7" ht="19.5" customHeight="1" x14ac:dyDescent="0.25">
      <c r="A30" s="90" t="s">
        <v>607</v>
      </c>
      <c r="B30" s="83"/>
      <c r="C30" s="83"/>
      <c r="D30" s="83"/>
      <c r="E30" s="83"/>
      <c r="F30" s="83"/>
      <c r="G30" s="83"/>
    </row>
    <row r="31" spans="1:7" ht="20.25" customHeight="1" x14ac:dyDescent="0.25">
      <c r="A31" s="83" t="s">
        <v>570</v>
      </c>
      <c r="B31" s="83"/>
      <c r="C31" s="83"/>
      <c r="D31" s="83"/>
      <c r="E31" s="83"/>
      <c r="F31" s="83"/>
      <c r="G31" s="83"/>
    </row>
    <row r="32" spans="1:7" ht="15" customHeight="1" x14ac:dyDescent="0.25">
      <c r="A32" s="85" t="s">
        <v>571</v>
      </c>
      <c r="B32" s="85"/>
      <c r="C32" s="85"/>
      <c r="D32" s="85"/>
      <c r="E32" s="85"/>
      <c r="F32" s="85"/>
      <c r="G32" s="85"/>
    </row>
    <row r="33" spans="1:7" ht="9.75" customHeight="1" x14ac:dyDescent="0.25">
      <c r="A33" s="23"/>
    </row>
    <row r="34" spans="1:7" ht="16.5" customHeight="1" x14ac:dyDescent="0.25">
      <c r="A34" s="74"/>
      <c r="B34" s="4668" t="s">
        <v>579</v>
      </c>
      <c r="C34" s="4668"/>
      <c r="D34" s="4668"/>
      <c r="E34" s="4668"/>
      <c r="F34" s="4668"/>
      <c r="G34" s="4668"/>
    </row>
    <row r="35" spans="1:7" ht="21.75" customHeight="1" x14ac:dyDescent="0.25">
      <c r="A35" s="91" t="s">
        <v>578</v>
      </c>
      <c r="B35" s="4669" t="s">
        <v>580</v>
      </c>
      <c r="C35" s="4669"/>
      <c r="D35" s="4669"/>
      <c r="E35" s="4669"/>
      <c r="F35" s="4669"/>
      <c r="G35" s="4669"/>
    </row>
    <row r="36" spans="1:7" ht="15" customHeight="1" x14ac:dyDescent="0.25">
      <c r="A36" s="75"/>
      <c r="B36" s="4669" t="s">
        <v>581</v>
      </c>
      <c r="C36" s="4669"/>
      <c r="D36" s="4669"/>
      <c r="E36" s="4669"/>
      <c r="F36" s="4669"/>
      <c r="G36" s="4669"/>
    </row>
    <row r="37" spans="1:7" ht="14.25" customHeight="1" x14ac:dyDescent="0.25">
      <c r="A37" s="75"/>
      <c r="B37" s="4667" t="s">
        <v>582</v>
      </c>
      <c r="C37" s="4667"/>
      <c r="D37" s="4667"/>
      <c r="E37" s="4667"/>
      <c r="F37" s="4667"/>
      <c r="G37" s="4667"/>
    </row>
  </sheetData>
  <mergeCells count="11">
    <mergeCell ref="B37:G37"/>
    <mergeCell ref="A2:G2"/>
    <mergeCell ref="A3:G3"/>
    <mergeCell ref="F4:G4"/>
    <mergeCell ref="A5:A6"/>
    <mergeCell ref="B5:C5"/>
    <mergeCell ref="D5:E5"/>
    <mergeCell ref="F5:G5"/>
    <mergeCell ref="B34:G34"/>
    <mergeCell ref="B35:G35"/>
    <mergeCell ref="B36:G36"/>
  </mergeCells>
  <phoneticPr fontId="70" type="noConversion"/>
  <pageMargins left="0.7" right="0.28999999999999998" top="0.75" bottom="0.75" header="0.3" footer="0.3"/>
  <pageSetup paperSize="9" firstPageNumber="193" orientation="portrait" useFirstPageNumber="1" r:id="rId1"/>
  <headerFooter>
    <oddHeader>&amp;RBiểu số 5.33</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31"/>
  <sheetViews>
    <sheetView topLeftCell="A7" workbookViewId="0">
      <selection activeCell="S12" sqref="S12"/>
    </sheetView>
  </sheetViews>
  <sheetFormatPr defaultColWidth="9.140625" defaultRowHeight="12.75" x14ac:dyDescent="0.2"/>
  <cols>
    <col min="1" max="1" width="5.7109375" style="645" customWidth="1"/>
    <col min="2" max="2" width="9.140625" style="644"/>
    <col min="3" max="3" width="10.28515625" style="644" customWidth="1"/>
    <col min="4" max="6" width="9.140625" style="644"/>
    <col min="7" max="7" width="11.7109375" style="644" customWidth="1"/>
    <col min="8" max="9" width="0" style="644" hidden="1" customWidth="1"/>
    <col min="10" max="13" width="9.140625" style="644"/>
    <col min="14" max="14" width="0" style="644" hidden="1" customWidth="1"/>
    <col min="15" max="15" width="12.85546875" style="644" customWidth="1"/>
    <col min="16" max="16" width="5" style="644" customWidth="1"/>
    <col min="17" max="17" width="6.7109375" style="644" customWidth="1"/>
    <col min="18" max="18" width="11.140625" style="644" customWidth="1"/>
    <col min="19" max="19" width="9.140625" style="644"/>
    <col min="20" max="20" width="6" style="644" customWidth="1"/>
    <col min="21" max="21" width="23.42578125" style="644" customWidth="1"/>
    <col min="22" max="16384" width="9.140625" style="644"/>
  </cols>
  <sheetData>
    <row r="1" spans="1:29" ht="15.75" x14ac:dyDescent="0.25">
      <c r="A1" s="643"/>
      <c r="Q1" s="4004" t="s">
        <v>2553</v>
      </c>
      <c r="R1" s="4004"/>
      <c r="S1" s="4004"/>
      <c r="T1" s="4004"/>
    </row>
    <row r="2" spans="1:29" ht="18.75" x14ac:dyDescent="0.3">
      <c r="A2" s="4007" t="s">
        <v>2267</v>
      </c>
      <c r="B2" s="4007"/>
      <c r="C2" s="4007"/>
      <c r="D2" s="4007"/>
      <c r="E2" s="4007"/>
      <c r="F2" s="4007"/>
      <c r="G2" s="4007"/>
      <c r="H2" s="4007"/>
      <c r="I2" s="4007"/>
      <c r="J2" s="4007"/>
      <c r="K2" s="4007"/>
      <c r="L2" s="4007"/>
      <c r="M2" s="4007"/>
      <c r="N2" s="4007"/>
      <c r="O2" s="4007"/>
      <c r="P2" s="4007"/>
      <c r="Q2" s="4007"/>
      <c r="R2" s="4007"/>
      <c r="S2" s="4007"/>
    </row>
    <row r="3" spans="1:29" ht="18.75" x14ac:dyDescent="0.3">
      <c r="A3" s="1179"/>
      <c r="B3" s="1179"/>
      <c r="C3" s="1179"/>
      <c r="D3" s="1179"/>
      <c r="E3" s="1179"/>
      <c r="F3" s="1179"/>
      <c r="G3" s="1179"/>
      <c r="H3" s="1179"/>
      <c r="I3" s="1179"/>
      <c r="J3" s="1179"/>
      <c r="K3" s="1179"/>
      <c r="L3" s="1179"/>
      <c r="M3" s="1179"/>
      <c r="N3" s="1179"/>
      <c r="O3" s="1179"/>
      <c r="P3" s="1179"/>
      <c r="Q3" s="1179"/>
      <c r="R3" s="1179"/>
      <c r="S3" s="1179"/>
    </row>
    <row r="4" spans="1:29" ht="18.75" x14ac:dyDescent="0.3">
      <c r="A4" s="4006" t="str">
        <f>'B48'!A4:F4</f>
        <v>(Kèm theo Quyết định số         /QĐ-UBND ngày      tháng 4 năm 2026 của UBND xã Phong Quang)</v>
      </c>
      <c r="B4" s="4006"/>
      <c r="C4" s="4006"/>
      <c r="D4" s="4006"/>
      <c r="E4" s="4006"/>
      <c r="F4" s="4006"/>
      <c r="G4" s="4006"/>
      <c r="H4" s="4006"/>
      <c r="I4" s="4006"/>
      <c r="J4" s="4006"/>
      <c r="K4" s="4006"/>
      <c r="L4" s="4006"/>
      <c r="M4" s="4006"/>
      <c r="N4" s="4006"/>
      <c r="O4" s="4006"/>
      <c r="P4" s="4006"/>
      <c r="Q4" s="4006"/>
      <c r="R4" s="4006"/>
      <c r="S4" s="4006"/>
      <c r="T4" s="4006"/>
    </row>
    <row r="5" spans="1:29" ht="15.75" x14ac:dyDescent="0.25">
      <c r="I5" s="646"/>
      <c r="J5" s="646"/>
      <c r="K5" s="646"/>
      <c r="L5" s="646"/>
      <c r="M5" s="647"/>
      <c r="N5" s="647"/>
      <c r="O5" s="4005" t="s">
        <v>843</v>
      </c>
      <c r="P5" s="4005"/>
      <c r="Q5" s="4005"/>
      <c r="R5" s="4005"/>
      <c r="S5" s="4005"/>
      <c r="T5" s="4005"/>
    </row>
    <row r="6" spans="1:29" x14ac:dyDescent="0.2">
      <c r="I6" s="646"/>
      <c r="J6" s="646"/>
      <c r="K6" s="646"/>
      <c r="L6" s="646"/>
      <c r="M6" s="647"/>
      <c r="N6" s="647"/>
      <c r="O6" s="1180"/>
      <c r="P6" s="1180"/>
      <c r="Q6" s="1180"/>
      <c r="R6" s="1180"/>
      <c r="S6" s="1180"/>
    </row>
    <row r="7" spans="1:29" s="648" customFormat="1" ht="23.25" customHeight="1" x14ac:dyDescent="0.25">
      <c r="A7" s="4008" t="s">
        <v>844</v>
      </c>
      <c r="B7" s="4008" t="s">
        <v>466</v>
      </c>
      <c r="C7" s="4017" t="s">
        <v>2215</v>
      </c>
      <c r="D7" s="4018"/>
      <c r="E7" s="4018"/>
      <c r="F7" s="4018"/>
      <c r="G7" s="4018"/>
      <c r="H7" s="4018"/>
      <c r="I7" s="4019"/>
      <c r="J7" s="4008" t="s">
        <v>2268</v>
      </c>
      <c r="K7" s="4008"/>
      <c r="L7" s="4008"/>
      <c r="M7" s="4008"/>
      <c r="N7" s="4008"/>
      <c r="O7" s="4008" t="s">
        <v>2546</v>
      </c>
      <c r="P7" s="4008"/>
      <c r="Q7" s="4008"/>
      <c r="R7" s="4008"/>
      <c r="S7" s="4008"/>
      <c r="T7" s="4009" t="s">
        <v>1267</v>
      </c>
    </row>
    <row r="8" spans="1:29" s="648" customFormat="1" x14ac:dyDescent="0.25">
      <c r="A8" s="4008"/>
      <c r="B8" s="4008"/>
      <c r="C8" s="4012" t="s">
        <v>868</v>
      </c>
      <c r="D8" s="4014" t="s">
        <v>1206</v>
      </c>
      <c r="E8" s="4014"/>
      <c r="F8" s="4014"/>
      <c r="G8" s="4015" t="s">
        <v>2358</v>
      </c>
      <c r="H8" s="4015" t="s">
        <v>1269</v>
      </c>
      <c r="I8" s="4015" t="s">
        <v>1270</v>
      </c>
      <c r="J8" s="4008" t="s">
        <v>868</v>
      </c>
      <c r="K8" s="4008" t="s">
        <v>907</v>
      </c>
      <c r="L8" s="4008"/>
      <c r="M8" s="4008"/>
      <c r="N8" s="4008"/>
      <c r="O8" s="4014" t="s">
        <v>868</v>
      </c>
      <c r="P8" s="710"/>
      <c r="Q8" s="710"/>
      <c r="R8" s="4008" t="s">
        <v>907</v>
      </c>
      <c r="S8" s="4008"/>
      <c r="T8" s="4010"/>
    </row>
    <row r="9" spans="1:29" s="648" customFormat="1" ht="102" x14ac:dyDescent="0.25">
      <c r="A9" s="4008"/>
      <c r="B9" s="4008"/>
      <c r="C9" s="4013"/>
      <c r="D9" s="709" t="s">
        <v>868</v>
      </c>
      <c r="E9" s="709" t="s">
        <v>1271</v>
      </c>
      <c r="F9" s="709" t="s">
        <v>34</v>
      </c>
      <c r="G9" s="4016"/>
      <c r="H9" s="4016"/>
      <c r="I9" s="4016"/>
      <c r="J9" s="4008"/>
      <c r="K9" s="710" t="s">
        <v>1272</v>
      </c>
      <c r="L9" s="710" t="s">
        <v>1273</v>
      </c>
      <c r="M9" s="710" t="s">
        <v>1487</v>
      </c>
      <c r="N9" s="710" t="s">
        <v>1274</v>
      </c>
      <c r="O9" s="4014"/>
      <c r="P9" s="708" t="s">
        <v>1604</v>
      </c>
      <c r="Q9" s="708" t="s">
        <v>1275</v>
      </c>
      <c r="R9" s="708" t="s">
        <v>1603</v>
      </c>
      <c r="S9" s="708" t="s">
        <v>1276</v>
      </c>
      <c r="T9" s="4011"/>
    </row>
    <row r="10" spans="1:29" s="648" customFormat="1" x14ac:dyDescent="0.25">
      <c r="A10" s="649" t="s">
        <v>847</v>
      </c>
      <c r="B10" s="649" t="s">
        <v>848</v>
      </c>
      <c r="C10" s="649" t="s">
        <v>1277</v>
      </c>
      <c r="D10" s="649" t="s">
        <v>1278</v>
      </c>
      <c r="E10" s="649">
        <v>3</v>
      </c>
      <c r="F10" s="650">
        <v>4</v>
      </c>
      <c r="G10" s="650">
        <v>5</v>
      </c>
      <c r="H10" s="650">
        <v>6</v>
      </c>
      <c r="I10" s="649">
        <v>7</v>
      </c>
      <c r="J10" s="649"/>
      <c r="K10" s="649"/>
      <c r="L10" s="649"/>
      <c r="M10" s="650">
        <v>8</v>
      </c>
      <c r="N10" s="650"/>
      <c r="O10" s="650" t="s">
        <v>1279</v>
      </c>
      <c r="P10" s="650"/>
      <c r="Q10" s="650"/>
      <c r="R10" s="649">
        <v>10</v>
      </c>
      <c r="S10" s="649">
        <v>11</v>
      </c>
      <c r="T10" s="711"/>
    </row>
    <row r="11" spans="1:29" s="654" customFormat="1" ht="33.6" customHeight="1" x14ac:dyDescent="0.25">
      <c r="A11" s="651"/>
      <c r="B11" s="651" t="s">
        <v>868</v>
      </c>
      <c r="C11" s="652" t="e">
        <f t="shared" ref="C11:S11" si="0">C12</f>
        <v>#REF!</v>
      </c>
      <c r="D11" s="652">
        <f t="shared" si="0"/>
        <v>423.4383200000002</v>
      </c>
      <c r="E11" s="652">
        <f t="shared" si="0"/>
        <v>360.73599999999999</v>
      </c>
      <c r="F11" s="652">
        <f t="shared" si="0"/>
        <v>62.702320000000213</v>
      </c>
      <c r="G11" s="652">
        <v>14836.30299</v>
      </c>
      <c r="H11" s="652">
        <f t="shared" si="0"/>
        <v>0</v>
      </c>
      <c r="I11" s="652">
        <f t="shared" si="0"/>
        <v>0</v>
      </c>
      <c r="J11" s="652">
        <f t="shared" si="0"/>
        <v>0</v>
      </c>
      <c r="K11" s="652">
        <f t="shared" si="0"/>
        <v>0</v>
      </c>
      <c r="L11" s="652">
        <f t="shared" si="0"/>
        <v>0</v>
      </c>
      <c r="M11" s="652">
        <f t="shared" si="0"/>
        <v>0</v>
      </c>
      <c r="N11" s="652">
        <f t="shared" si="0"/>
        <v>0</v>
      </c>
      <c r="O11" s="652" t="e">
        <f t="shared" si="0"/>
        <v>#REF!</v>
      </c>
      <c r="P11" s="1330">
        <f t="shared" si="0"/>
        <v>0</v>
      </c>
      <c r="Q11" s="1330">
        <f t="shared" si="0"/>
        <v>0</v>
      </c>
      <c r="R11" s="652">
        <f t="shared" si="0"/>
        <v>9095.9863100000002</v>
      </c>
      <c r="S11" s="652" t="e">
        <f t="shared" si="0"/>
        <v>#REF!</v>
      </c>
      <c r="T11" s="653"/>
    </row>
    <row r="12" spans="1:29" s="654" customFormat="1" ht="19.899999999999999" customHeight="1" x14ac:dyDescent="0.25">
      <c r="A12" s="649">
        <v>1</v>
      </c>
      <c r="B12" s="655" t="s">
        <v>1280</v>
      </c>
      <c r="C12" s="656" t="e">
        <f>D12+SUM(G12:I12)</f>
        <v>#REF!</v>
      </c>
      <c r="D12" s="656">
        <f>SUM(E12:F12)</f>
        <v>423.4383200000002</v>
      </c>
      <c r="E12" s="656">
        <v>360.73599999999999</v>
      </c>
      <c r="F12" s="656">
        <v>62.702320000000213</v>
      </c>
      <c r="G12" s="656" t="e">
        <f>'B61-342'!#REF!</f>
        <v>#REF!</v>
      </c>
      <c r="H12" s="656"/>
      <c r="I12" s="656"/>
      <c r="J12" s="656">
        <f>K12+L12+M12+N12</f>
        <v>0</v>
      </c>
      <c r="K12" s="656"/>
      <c r="L12" s="656"/>
      <c r="M12" s="656">
        <f>'B51'!D15</f>
        <v>0</v>
      </c>
      <c r="N12" s="656"/>
      <c r="O12" s="656" t="e">
        <f>D12+G12-J12</f>
        <v>#REF!</v>
      </c>
      <c r="P12" s="656"/>
      <c r="Q12" s="656"/>
      <c r="R12" s="656">
        <v>9095.9863100000002</v>
      </c>
      <c r="S12" s="656" t="e">
        <f>O12-R12</f>
        <v>#REF!</v>
      </c>
      <c r="T12" s="656"/>
    </row>
    <row r="13" spans="1:29" x14ac:dyDescent="0.2">
      <c r="D13" s="657"/>
      <c r="E13" s="657"/>
      <c r="F13" s="658"/>
      <c r="G13" s="659"/>
      <c r="H13" s="657"/>
      <c r="I13" s="657"/>
      <c r="J13" s="657"/>
      <c r="K13" s="657"/>
      <c r="L13" s="657"/>
      <c r="M13" s="657"/>
      <c r="N13" s="657"/>
      <c r="O13" s="657"/>
      <c r="P13" s="657"/>
      <c r="Q13" s="657"/>
      <c r="R13" s="659"/>
    </row>
    <row r="14" spans="1:29" s="852" customFormat="1" ht="33" customHeight="1" x14ac:dyDescent="0.25">
      <c r="A14" s="851"/>
      <c r="E14" s="853"/>
      <c r="F14" s="854"/>
      <c r="G14" s="854"/>
      <c r="H14" s="854"/>
      <c r="I14" s="854"/>
      <c r="O14" s="3995" t="s">
        <v>2554</v>
      </c>
      <c r="P14" s="3995"/>
      <c r="Q14" s="3995"/>
      <c r="R14" s="3995"/>
      <c r="S14" s="3995"/>
      <c r="U14" s="854"/>
      <c r="AC14" s="855"/>
    </row>
    <row r="15" spans="1:29" s="852" customFormat="1" ht="16.5" x14ac:dyDescent="0.25">
      <c r="A15" s="851"/>
      <c r="B15" s="3993"/>
      <c r="C15" s="3993"/>
      <c r="D15" s="3993"/>
      <c r="E15" s="853"/>
      <c r="F15" s="854"/>
      <c r="G15" s="854"/>
      <c r="H15" s="854"/>
      <c r="I15" s="854"/>
      <c r="O15" s="3996" t="s">
        <v>1441</v>
      </c>
      <c r="P15" s="3996"/>
      <c r="Q15" s="3996"/>
      <c r="R15" s="3996"/>
      <c r="S15" s="3996"/>
      <c r="AC15" s="855"/>
    </row>
    <row r="16" spans="1:29" s="852" customFormat="1" ht="16.5" x14ac:dyDescent="0.25">
      <c r="A16" s="851"/>
      <c r="B16" s="856"/>
      <c r="C16" s="856"/>
      <c r="D16" s="856"/>
      <c r="E16" s="853"/>
      <c r="F16" s="854"/>
      <c r="G16" s="854"/>
      <c r="H16" s="854"/>
      <c r="I16" s="854"/>
      <c r="O16" s="857"/>
      <c r="P16" s="857"/>
      <c r="Q16" s="857"/>
      <c r="R16" s="857"/>
      <c r="S16" s="857"/>
      <c r="AC16" s="855"/>
    </row>
    <row r="17" spans="1:29" s="852" customFormat="1" ht="16.5" x14ac:dyDescent="0.25">
      <c r="A17" s="851"/>
      <c r="B17" s="856"/>
      <c r="C17" s="856"/>
      <c r="D17" s="856"/>
      <c r="E17" s="853"/>
      <c r="F17" s="854"/>
      <c r="G17" s="854"/>
      <c r="H17" s="854"/>
      <c r="I17" s="854"/>
      <c r="O17" s="857"/>
      <c r="P17" s="857"/>
      <c r="Q17" s="857"/>
      <c r="R17" s="857"/>
      <c r="S17" s="857"/>
      <c r="AC17" s="855"/>
    </row>
    <row r="18" spans="1:29" s="852" customFormat="1" ht="16.5" x14ac:dyDescent="0.25">
      <c r="A18" s="851"/>
      <c r="B18" s="856"/>
      <c r="C18" s="856"/>
      <c r="D18" s="856"/>
      <c r="E18" s="853"/>
      <c r="F18" s="854"/>
      <c r="G18" s="854"/>
      <c r="H18" s="854"/>
      <c r="I18" s="854"/>
      <c r="O18" s="857"/>
      <c r="P18" s="857"/>
      <c r="Q18" s="857"/>
      <c r="R18" s="857"/>
      <c r="S18" s="857"/>
      <c r="AC18" s="855"/>
    </row>
    <row r="19" spans="1:29" s="852" customFormat="1" ht="16.5" x14ac:dyDescent="0.25">
      <c r="A19" s="851"/>
      <c r="B19" s="858"/>
      <c r="C19" s="855"/>
      <c r="D19" s="859"/>
      <c r="E19" s="853"/>
      <c r="F19" s="854"/>
      <c r="G19" s="854"/>
      <c r="H19" s="854"/>
      <c r="I19" s="854"/>
      <c r="O19" s="3995"/>
      <c r="P19" s="3995"/>
      <c r="Q19" s="3995"/>
      <c r="R19" s="3995"/>
      <c r="S19" s="3995"/>
      <c r="AC19" s="855"/>
    </row>
    <row r="20" spans="1:29" s="852" customFormat="1" ht="16.5" x14ac:dyDescent="0.25">
      <c r="A20" s="851"/>
      <c r="B20" s="858"/>
      <c r="C20" s="855"/>
      <c r="D20" s="859"/>
      <c r="E20" s="853"/>
      <c r="F20" s="854"/>
      <c r="G20" s="854"/>
      <c r="H20" s="854"/>
      <c r="I20" s="854"/>
      <c r="O20" s="854"/>
      <c r="P20" s="854"/>
      <c r="Q20" s="860"/>
      <c r="R20" s="861"/>
      <c r="S20" s="862"/>
      <c r="AC20" s="855"/>
    </row>
    <row r="21" spans="1:29" s="852" customFormat="1" ht="16.5" x14ac:dyDescent="0.25">
      <c r="A21" s="851"/>
      <c r="B21" s="3993"/>
      <c r="C21" s="3993"/>
      <c r="D21" s="3993"/>
      <c r="E21" s="853"/>
      <c r="F21" s="854"/>
      <c r="G21" s="854"/>
      <c r="H21" s="854"/>
      <c r="I21" s="854"/>
      <c r="O21" s="3994" t="s">
        <v>808</v>
      </c>
      <c r="P21" s="3994"/>
      <c r="Q21" s="3994"/>
      <c r="R21" s="3994"/>
      <c r="S21" s="3994"/>
      <c r="T21" s="854"/>
      <c r="U21" s="854"/>
      <c r="V21" s="853"/>
      <c r="W21" s="853"/>
      <c r="AC21" s="855"/>
    </row>
    <row r="22" spans="1:29" x14ac:dyDescent="0.2">
      <c r="D22" s="657"/>
      <c r="E22" s="657"/>
      <c r="F22" s="657"/>
      <c r="G22" s="657"/>
      <c r="H22" s="657"/>
      <c r="I22" s="657"/>
      <c r="J22" s="657"/>
      <c r="K22" s="657"/>
      <c r="L22" s="657"/>
      <c r="M22" s="657"/>
      <c r="N22" s="657"/>
      <c r="O22" s="657"/>
      <c r="P22" s="657"/>
      <c r="Q22" s="657"/>
      <c r="R22" s="657"/>
    </row>
    <row r="23" spans="1:29" x14ac:dyDescent="0.2">
      <c r="D23" s="657"/>
      <c r="E23" s="657"/>
      <c r="F23" s="657"/>
      <c r="G23" s="657"/>
      <c r="H23" s="657"/>
      <c r="I23" s="657"/>
      <c r="J23" s="657"/>
      <c r="K23" s="657"/>
      <c r="L23" s="657"/>
      <c r="M23" s="657"/>
      <c r="N23" s="657"/>
      <c r="O23" s="657"/>
      <c r="P23" s="657"/>
      <c r="Q23" s="657"/>
      <c r="R23" s="657"/>
    </row>
    <row r="24" spans="1:29" x14ac:dyDescent="0.2">
      <c r="D24" s="657"/>
      <c r="E24" s="657"/>
      <c r="F24" s="657"/>
      <c r="G24" s="657"/>
      <c r="H24" s="657"/>
      <c r="I24" s="657"/>
      <c r="J24" s="657"/>
      <c r="K24" s="657"/>
      <c r="L24" s="657"/>
      <c r="M24" s="657"/>
      <c r="N24" s="657"/>
      <c r="O24" s="657"/>
      <c r="P24" s="657"/>
      <c r="Q24" s="657"/>
      <c r="R24" s="657"/>
    </row>
    <row r="25" spans="1:29" x14ac:dyDescent="0.2">
      <c r="D25" s="657"/>
      <c r="E25" s="657"/>
      <c r="F25" s="657"/>
      <c r="G25" s="657"/>
      <c r="H25" s="657"/>
      <c r="I25" s="657"/>
      <c r="J25" s="657"/>
      <c r="K25" s="657"/>
      <c r="L25" s="657"/>
      <c r="M25" s="657"/>
      <c r="N25" s="657"/>
      <c r="O25" s="657"/>
      <c r="P25" s="657"/>
      <c r="Q25" s="657"/>
      <c r="R25" s="657"/>
    </row>
    <row r="26" spans="1:29" x14ac:dyDescent="0.2">
      <c r="D26" s="657"/>
      <c r="E26" s="657"/>
      <c r="F26" s="657"/>
      <c r="G26" s="657"/>
      <c r="H26" s="657"/>
      <c r="I26" s="657"/>
      <c r="J26" s="657"/>
      <c r="K26" s="657"/>
      <c r="L26" s="657"/>
      <c r="M26" s="657"/>
      <c r="N26" s="657"/>
      <c r="O26" s="657"/>
      <c r="P26" s="657"/>
      <c r="Q26" s="657"/>
      <c r="R26" s="657"/>
    </row>
    <row r="27" spans="1:29" x14ac:dyDescent="0.2">
      <c r="D27" s="657"/>
      <c r="E27" s="657"/>
      <c r="F27" s="657"/>
      <c r="G27" s="657"/>
      <c r="H27" s="657"/>
      <c r="I27" s="657"/>
      <c r="J27" s="657"/>
      <c r="K27" s="657"/>
      <c r="L27" s="657"/>
      <c r="M27" s="657"/>
      <c r="N27" s="657"/>
      <c r="O27" s="657"/>
      <c r="P27" s="657"/>
      <c r="Q27" s="657"/>
      <c r="R27" s="657"/>
    </row>
    <row r="28" spans="1:29" x14ac:dyDescent="0.2">
      <c r="D28" s="657"/>
      <c r="E28" s="657"/>
      <c r="F28" s="657"/>
      <c r="G28" s="657"/>
      <c r="H28" s="657"/>
      <c r="I28" s="657"/>
      <c r="J28" s="657"/>
      <c r="K28" s="657"/>
      <c r="L28" s="657"/>
      <c r="M28" s="657"/>
      <c r="N28" s="657"/>
      <c r="O28" s="657"/>
      <c r="P28" s="657"/>
      <c r="Q28" s="657"/>
      <c r="R28" s="657"/>
    </row>
    <row r="29" spans="1:29" x14ac:dyDescent="0.2">
      <c r="D29" s="657"/>
      <c r="E29" s="657"/>
      <c r="F29" s="657"/>
      <c r="G29" s="657"/>
      <c r="H29" s="657"/>
      <c r="I29" s="657"/>
      <c r="J29" s="657"/>
      <c r="K29" s="657"/>
      <c r="L29" s="657"/>
      <c r="M29" s="657"/>
      <c r="N29" s="657"/>
      <c r="O29" s="657"/>
      <c r="P29" s="657"/>
      <c r="Q29" s="657"/>
      <c r="R29" s="657"/>
    </row>
    <row r="30" spans="1:29" x14ac:dyDescent="0.2">
      <c r="D30" s="657"/>
      <c r="E30" s="657"/>
      <c r="F30" s="657"/>
      <c r="G30" s="657"/>
      <c r="H30" s="657"/>
      <c r="I30" s="657"/>
      <c r="J30" s="657"/>
      <c r="K30" s="657"/>
      <c r="L30" s="657"/>
      <c r="M30" s="657"/>
      <c r="N30" s="657"/>
      <c r="O30" s="657"/>
      <c r="P30" s="657"/>
      <c r="Q30" s="657"/>
      <c r="R30" s="657"/>
    </row>
    <row r="31" spans="1:29" x14ac:dyDescent="0.2">
      <c r="D31" s="657"/>
      <c r="E31" s="657"/>
      <c r="F31" s="657"/>
      <c r="G31" s="657"/>
      <c r="H31" s="657"/>
      <c r="I31" s="657"/>
      <c r="J31" s="657"/>
      <c r="K31" s="657"/>
      <c r="L31" s="657"/>
      <c r="M31" s="657"/>
      <c r="N31" s="657"/>
      <c r="O31" s="657"/>
      <c r="P31" s="657"/>
      <c r="Q31" s="657"/>
      <c r="R31" s="657"/>
    </row>
  </sheetData>
  <mergeCells count="25">
    <mergeCell ref="O19:S19"/>
    <mergeCell ref="B21:D21"/>
    <mergeCell ref="O21:S21"/>
    <mergeCell ref="T7:T9"/>
    <mergeCell ref="C8:C9"/>
    <mergeCell ref="D8:F8"/>
    <mergeCell ref="G8:G9"/>
    <mergeCell ref="H8:H9"/>
    <mergeCell ref="I8:I9"/>
    <mergeCell ref="J8:J9"/>
    <mergeCell ref="K8:N8"/>
    <mergeCell ref="O8:O9"/>
    <mergeCell ref="R8:S8"/>
    <mergeCell ref="B7:B9"/>
    <mergeCell ref="C7:I7"/>
    <mergeCell ref="J7:N7"/>
    <mergeCell ref="Q1:T1"/>
    <mergeCell ref="O5:T5"/>
    <mergeCell ref="A4:T4"/>
    <mergeCell ref="O14:S14"/>
    <mergeCell ref="B15:D15"/>
    <mergeCell ref="O15:S15"/>
    <mergeCell ref="A2:S2"/>
    <mergeCell ref="A7:A9"/>
    <mergeCell ref="O7:S7"/>
  </mergeCells>
  <pageMargins left="0.31496062992125984" right="0.31496062992125984" top="0.35433070866141736" bottom="0.35433070866141736" header="0.31496062992125984" footer="0.31496062992125984"/>
  <pageSetup paperSize="9" scale="65"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J47"/>
  <sheetViews>
    <sheetView workbookViewId="0">
      <selection activeCell="A3" sqref="A3:J3"/>
    </sheetView>
  </sheetViews>
  <sheetFormatPr defaultColWidth="9.140625" defaultRowHeight="15" x14ac:dyDescent="0.25"/>
  <cols>
    <col min="1" max="1" width="32.7109375" style="1" customWidth="1"/>
    <col min="2" max="2" width="8" style="1" customWidth="1"/>
    <col min="3" max="3" width="7.85546875" style="1" customWidth="1"/>
    <col min="4" max="4" width="6.42578125" style="1" customWidth="1"/>
    <col min="5" max="6" width="6.85546875" style="1" customWidth="1"/>
    <col min="7" max="7" width="7.7109375" style="1" customWidth="1"/>
    <col min="8" max="8" width="6.140625" style="1" customWidth="1"/>
    <col min="9" max="9" width="6.7109375" style="1" customWidth="1"/>
    <col min="10" max="10" width="8.42578125" style="1" customWidth="1"/>
    <col min="11" max="16384" width="9.140625" style="1"/>
  </cols>
  <sheetData>
    <row r="1" spans="1:10" ht="15.75" customHeight="1" x14ac:dyDescent="0.25">
      <c r="A1" s="76" t="s">
        <v>563</v>
      </c>
      <c r="B1" s="161"/>
    </row>
    <row r="2" spans="1:10" ht="15.75" customHeight="1" x14ac:dyDescent="0.25">
      <c r="A2" s="4670" t="s">
        <v>608</v>
      </c>
      <c r="B2" s="4670"/>
      <c r="C2" s="4670"/>
      <c r="D2" s="4670"/>
      <c r="E2" s="4670"/>
      <c r="F2" s="4670"/>
      <c r="G2" s="4670"/>
      <c r="H2" s="4670"/>
      <c r="I2" s="4670"/>
      <c r="J2" s="4670"/>
    </row>
    <row r="3" spans="1:10" ht="16.5" customHeight="1" x14ac:dyDescent="0.25">
      <c r="A3" s="4668"/>
      <c r="B3" s="4668"/>
      <c r="C3" s="4668"/>
      <c r="D3" s="4668"/>
      <c r="E3" s="4668"/>
      <c r="F3" s="4668"/>
      <c r="G3" s="4668"/>
      <c r="H3" s="4668"/>
      <c r="I3" s="4668"/>
      <c r="J3" s="4668"/>
    </row>
    <row r="4" spans="1:10" ht="15" customHeight="1" x14ac:dyDescent="0.25">
      <c r="A4" s="77"/>
      <c r="I4" s="4671" t="s">
        <v>493</v>
      </c>
      <c r="J4" s="4671"/>
    </row>
    <row r="5" spans="1:10" ht="18" customHeight="1" x14ac:dyDescent="0.25">
      <c r="A5" s="4672" t="s">
        <v>845</v>
      </c>
      <c r="B5" s="4672" t="s">
        <v>846</v>
      </c>
      <c r="C5" s="4672"/>
      <c r="D5" s="4672"/>
      <c r="E5" s="4672" t="s">
        <v>13</v>
      </c>
      <c r="F5" s="4672"/>
      <c r="G5" s="4672"/>
      <c r="H5" s="4672" t="s">
        <v>28</v>
      </c>
      <c r="I5" s="4672"/>
      <c r="J5" s="4672"/>
    </row>
    <row r="6" spans="1:10" ht="28.5" customHeight="1" x14ac:dyDescent="0.25">
      <c r="A6" s="4672"/>
      <c r="B6" s="79" t="s">
        <v>868</v>
      </c>
      <c r="C6" s="79" t="s">
        <v>609</v>
      </c>
      <c r="D6" s="79" t="s">
        <v>610</v>
      </c>
      <c r="E6" s="79" t="s">
        <v>868</v>
      </c>
      <c r="F6" s="79" t="s">
        <v>609</v>
      </c>
      <c r="G6" s="79" t="s">
        <v>610</v>
      </c>
      <c r="H6" s="79" t="s">
        <v>868</v>
      </c>
      <c r="I6" s="79" t="s">
        <v>609</v>
      </c>
      <c r="J6" s="79" t="s">
        <v>610</v>
      </c>
    </row>
    <row r="7" spans="1:10" ht="21" customHeight="1" x14ac:dyDescent="0.25">
      <c r="A7" s="88">
        <v>1</v>
      </c>
      <c r="B7" s="88">
        <v>2</v>
      </c>
      <c r="C7" s="88">
        <v>3</v>
      </c>
      <c r="D7" s="88">
        <v>4</v>
      </c>
      <c r="E7" s="88">
        <v>5</v>
      </c>
      <c r="F7" s="88">
        <v>6</v>
      </c>
      <c r="G7" s="88">
        <v>7</v>
      </c>
      <c r="H7" s="88" t="s">
        <v>611</v>
      </c>
      <c r="I7" s="88" t="s">
        <v>612</v>
      </c>
      <c r="J7" s="88" t="s">
        <v>613</v>
      </c>
    </row>
    <row r="8" spans="1:10" x14ac:dyDescent="0.25">
      <c r="A8" s="80" t="s">
        <v>614</v>
      </c>
      <c r="B8" s="81"/>
      <c r="C8" s="81"/>
      <c r="D8" s="81"/>
      <c r="E8" s="81"/>
      <c r="F8" s="81"/>
      <c r="G8" s="81"/>
      <c r="H8" s="81"/>
      <c r="I8" s="81"/>
      <c r="J8" s="81"/>
    </row>
    <row r="9" spans="1:10" ht="35.25" customHeight="1" x14ac:dyDescent="0.25">
      <c r="A9" s="83" t="s">
        <v>615</v>
      </c>
      <c r="B9" s="83"/>
      <c r="C9" s="83"/>
      <c r="D9" s="83"/>
      <c r="E9" s="83"/>
      <c r="F9" s="83"/>
      <c r="G9" s="83"/>
      <c r="H9" s="83"/>
      <c r="I9" s="83"/>
      <c r="J9" s="83"/>
    </row>
    <row r="10" spans="1:10" ht="20.25" customHeight="1" x14ac:dyDescent="0.25">
      <c r="A10" s="83" t="s">
        <v>616</v>
      </c>
      <c r="B10" s="83"/>
      <c r="C10" s="83"/>
      <c r="D10" s="83"/>
      <c r="E10" s="83"/>
      <c r="F10" s="83"/>
      <c r="G10" s="83"/>
      <c r="H10" s="83"/>
      <c r="I10" s="83"/>
      <c r="J10" s="83"/>
    </row>
    <row r="11" spans="1:10" ht="24.75" customHeight="1" x14ac:dyDescent="0.25">
      <c r="A11" s="83" t="s">
        <v>617</v>
      </c>
      <c r="B11" s="83"/>
      <c r="C11" s="83"/>
      <c r="D11" s="83"/>
      <c r="E11" s="83"/>
      <c r="F11" s="83"/>
      <c r="G11" s="83"/>
      <c r="H11" s="83"/>
      <c r="I11" s="83"/>
      <c r="J11" s="83"/>
    </row>
    <row r="12" spans="1:10" x14ac:dyDescent="0.25">
      <c r="A12" s="83" t="s">
        <v>618</v>
      </c>
      <c r="B12" s="83"/>
      <c r="C12" s="83"/>
      <c r="D12" s="83"/>
      <c r="E12" s="83"/>
      <c r="F12" s="83"/>
      <c r="G12" s="83"/>
      <c r="H12" s="83"/>
      <c r="I12" s="83"/>
      <c r="J12" s="83"/>
    </row>
    <row r="13" spans="1:10" ht="30.75" customHeight="1" x14ac:dyDescent="0.25">
      <c r="A13" s="83" t="s">
        <v>619</v>
      </c>
      <c r="B13" s="83"/>
      <c r="C13" s="83"/>
      <c r="D13" s="83"/>
      <c r="E13" s="83"/>
      <c r="F13" s="83"/>
      <c r="G13" s="83"/>
      <c r="H13" s="83"/>
      <c r="I13" s="83"/>
      <c r="J13" s="83"/>
    </row>
    <row r="14" spans="1:10" x14ac:dyDescent="0.25">
      <c r="A14" s="83" t="s">
        <v>620</v>
      </c>
      <c r="B14" s="83"/>
      <c r="C14" s="83"/>
      <c r="D14" s="83"/>
      <c r="E14" s="83"/>
      <c r="F14" s="83"/>
      <c r="G14" s="83"/>
      <c r="H14" s="83"/>
      <c r="I14" s="83"/>
      <c r="J14" s="83"/>
    </row>
    <row r="15" spans="1:10" ht="18.75" customHeight="1" x14ac:dyDescent="0.25">
      <c r="A15" s="83" t="s">
        <v>621</v>
      </c>
      <c r="B15" s="83"/>
      <c r="C15" s="83"/>
      <c r="D15" s="83"/>
      <c r="E15" s="83"/>
      <c r="F15" s="83"/>
      <c r="G15" s="83"/>
      <c r="H15" s="83"/>
      <c r="I15" s="83"/>
      <c r="J15" s="83"/>
    </row>
    <row r="16" spans="1:10" ht="21" customHeight="1" x14ac:dyDescent="0.25">
      <c r="A16" s="83" t="s">
        <v>622</v>
      </c>
      <c r="B16" s="83"/>
      <c r="C16" s="83"/>
      <c r="D16" s="83"/>
      <c r="E16" s="83"/>
      <c r="F16" s="83"/>
      <c r="G16" s="83"/>
      <c r="H16" s="83"/>
      <c r="I16" s="83"/>
      <c r="J16" s="83"/>
    </row>
    <row r="17" spans="1:10" ht="25.5" customHeight="1" x14ac:dyDescent="0.25">
      <c r="A17" s="83" t="s">
        <v>623</v>
      </c>
      <c r="B17" s="83"/>
      <c r="C17" s="83"/>
      <c r="D17" s="83"/>
      <c r="E17" s="83"/>
      <c r="F17" s="83"/>
      <c r="G17" s="83"/>
      <c r="H17" s="83"/>
      <c r="I17" s="83"/>
      <c r="J17" s="83"/>
    </row>
    <row r="18" spans="1:10" ht="27.75" customHeight="1" x14ac:dyDescent="0.25">
      <c r="A18" s="83" t="s">
        <v>624</v>
      </c>
      <c r="B18" s="83"/>
      <c r="C18" s="83"/>
      <c r="D18" s="83"/>
      <c r="E18" s="83"/>
      <c r="F18" s="83"/>
      <c r="G18" s="83"/>
      <c r="H18" s="83"/>
      <c r="I18" s="83"/>
      <c r="J18" s="83"/>
    </row>
    <row r="19" spans="1:10" ht="22.5" customHeight="1" x14ac:dyDescent="0.25">
      <c r="A19" s="83" t="s">
        <v>625</v>
      </c>
      <c r="B19" s="83"/>
      <c r="C19" s="83"/>
      <c r="D19" s="83"/>
      <c r="E19" s="83"/>
      <c r="F19" s="83"/>
      <c r="G19" s="83"/>
      <c r="H19" s="83"/>
      <c r="I19" s="83"/>
      <c r="J19" s="83"/>
    </row>
    <row r="20" spans="1:10" ht="22.5" customHeight="1" x14ac:dyDescent="0.25">
      <c r="A20" s="83" t="s">
        <v>626</v>
      </c>
      <c r="B20" s="83"/>
      <c r="C20" s="83"/>
      <c r="D20" s="83"/>
      <c r="E20" s="83"/>
      <c r="F20" s="83"/>
      <c r="G20" s="83"/>
      <c r="H20" s="83"/>
      <c r="I20" s="83"/>
      <c r="J20" s="83"/>
    </row>
    <row r="21" spans="1:10" ht="22.5" customHeight="1" x14ac:dyDescent="0.25">
      <c r="A21" s="83" t="s">
        <v>627</v>
      </c>
      <c r="B21" s="83"/>
      <c r="C21" s="83"/>
      <c r="D21" s="83"/>
      <c r="E21" s="83"/>
      <c r="F21" s="83"/>
      <c r="G21" s="83"/>
      <c r="H21" s="83"/>
      <c r="I21" s="83"/>
      <c r="J21" s="83"/>
    </row>
    <row r="22" spans="1:10" ht="22.5" customHeight="1" x14ac:dyDescent="0.25">
      <c r="A22" s="83" t="s">
        <v>628</v>
      </c>
      <c r="B22" s="83"/>
      <c r="C22" s="83"/>
      <c r="D22" s="83"/>
      <c r="E22" s="83"/>
      <c r="F22" s="83"/>
      <c r="G22" s="83"/>
      <c r="H22" s="83"/>
      <c r="I22" s="83"/>
      <c r="J22" s="83"/>
    </row>
    <row r="23" spans="1:10" ht="22.5" customHeight="1" x14ac:dyDescent="0.25">
      <c r="A23" s="83" t="s">
        <v>629</v>
      </c>
      <c r="B23" s="83"/>
      <c r="C23" s="83"/>
      <c r="D23" s="83"/>
      <c r="E23" s="83"/>
      <c r="F23" s="83"/>
      <c r="G23" s="83"/>
      <c r="H23" s="83"/>
      <c r="I23" s="83"/>
      <c r="J23" s="83"/>
    </row>
    <row r="24" spans="1:10" ht="22.5" customHeight="1" x14ac:dyDescent="0.25">
      <c r="A24" s="83" t="s">
        <v>630</v>
      </c>
      <c r="B24" s="83"/>
      <c r="C24" s="83"/>
      <c r="D24" s="83"/>
      <c r="E24" s="83"/>
      <c r="F24" s="83"/>
      <c r="G24" s="83"/>
      <c r="H24" s="83"/>
      <c r="I24" s="83"/>
      <c r="J24" s="83"/>
    </row>
    <row r="25" spans="1:10" ht="31.5" customHeight="1" x14ac:dyDescent="0.25">
      <c r="A25" s="83" t="s">
        <v>667</v>
      </c>
      <c r="B25" s="83"/>
      <c r="C25" s="83"/>
      <c r="D25" s="83"/>
      <c r="E25" s="83"/>
      <c r="F25" s="83"/>
      <c r="G25" s="83"/>
      <c r="H25" s="83"/>
      <c r="I25" s="83"/>
      <c r="J25" s="83"/>
    </row>
    <row r="26" spans="1:10" ht="21.75" customHeight="1" x14ac:dyDescent="0.25">
      <c r="A26" s="92" t="s">
        <v>668</v>
      </c>
      <c r="B26" s="83"/>
      <c r="C26" s="83"/>
      <c r="D26" s="83"/>
      <c r="E26" s="83"/>
      <c r="F26" s="83"/>
      <c r="G26" s="83"/>
      <c r="H26" s="83"/>
      <c r="I26" s="83"/>
      <c r="J26" s="83"/>
    </row>
    <row r="27" spans="1:10" ht="25.5" customHeight="1" x14ac:dyDescent="0.25">
      <c r="A27" s="83" t="s">
        <v>669</v>
      </c>
      <c r="B27" s="83"/>
      <c r="C27" s="83"/>
      <c r="D27" s="83"/>
      <c r="E27" s="83"/>
      <c r="F27" s="83"/>
      <c r="G27" s="83"/>
      <c r="H27" s="83"/>
      <c r="I27" s="83"/>
      <c r="J27" s="83"/>
    </row>
    <row r="28" spans="1:10" ht="23.25" customHeight="1" x14ac:dyDescent="0.25">
      <c r="A28" s="83" t="s">
        <v>670</v>
      </c>
      <c r="B28" s="83"/>
      <c r="C28" s="83"/>
      <c r="D28" s="83"/>
      <c r="E28" s="83"/>
      <c r="F28" s="83"/>
      <c r="G28" s="83"/>
      <c r="H28" s="83"/>
      <c r="I28" s="83"/>
      <c r="J28" s="83"/>
    </row>
    <row r="29" spans="1:10" ht="23.25" customHeight="1" x14ac:dyDescent="0.25">
      <c r="A29" s="83" t="s">
        <v>671</v>
      </c>
      <c r="B29" s="83"/>
      <c r="C29" s="83"/>
      <c r="D29" s="83"/>
      <c r="E29" s="83"/>
      <c r="F29" s="83"/>
      <c r="G29" s="83"/>
      <c r="H29" s="83"/>
      <c r="I29" s="83"/>
      <c r="J29" s="83"/>
    </row>
    <row r="30" spans="1:10" ht="30.75" customHeight="1" x14ac:dyDescent="0.25">
      <c r="A30" s="83" t="s">
        <v>672</v>
      </c>
      <c r="B30" s="83"/>
      <c r="C30" s="83"/>
      <c r="D30" s="83"/>
      <c r="E30" s="83"/>
      <c r="F30" s="83"/>
      <c r="G30" s="83"/>
      <c r="H30" s="83"/>
      <c r="I30" s="83"/>
      <c r="J30" s="83"/>
    </row>
    <row r="31" spans="1:10" ht="21" customHeight="1" x14ac:dyDescent="0.25">
      <c r="A31" s="83" t="s">
        <v>673</v>
      </c>
      <c r="B31" s="83"/>
      <c r="C31" s="83"/>
      <c r="D31" s="83"/>
      <c r="E31" s="83"/>
      <c r="F31" s="83"/>
      <c r="G31" s="83"/>
      <c r="H31" s="83"/>
      <c r="I31" s="83"/>
      <c r="J31" s="83"/>
    </row>
    <row r="32" spans="1:10" ht="21" customHeight="1" x14ac:dyDescent="0.25">
      <c r="A32" s="83" t="s">
        <v>674</v>
      </c>
      <c r="B32" s="83"/>
      <c r="C32" s="83"/>
      <c r="D32" s="83"/>
      <c r="E32" s="83"/>
      <c r="F32" s="83"/>
      <c r="G32" s="83"/>
      <c r="H32" s="83"/>
      <c r="I32" s="83"/>
      <c r="J32" s="83"/>
    </row>
    <row r="33" spans="1:10" ht="21" customHeight="1" x14ac:dyDescent="0.25">
      <c r="A33" s="83" t="s">
        <v>675</v>
      </c>
      <c r="B33" s="83"/>
      <c r="C33" s="83"/>
      <c r="D33" s="83"/>
      <c r="E33" s="83"/>
      <c r="F33" s="83"/>
      <c r="G33" s="83"/>
      <c r="H33" s="83"/>
      <c r="I33" s="83"/>
      <c r="J33" s="83"/>
    </row>
    <row r="34" spans="1:10" ht="21" customHeight="1" x14ac:dyDescent="0.25">
      <c r="A34" s="83" t="s">
        <v>676</v>
      </c>
      <c r="B34" s="83"/>
      <c r="C34" s="83"/>
      <c r="D34" s="83"/>
      <c r="E34" s="83"/>
      <c r="F34" s="83"/>
      <c r="G34" s="83"/>
      <c r="H34" s="83"/>
      <c r="I34" s="83"/>
      <c r="J34" s="83"/>
    </row>
    <row r="35" spans="1:10" ht="21" customHeight="1" x14ac:dyDescent="0.25">
      <c r="A35" s="83" t="s">
        <v>677</v>
      </c>
      <c r="B35" s="83"/>
      <c r="C35" s="83"/>
      <c r="D35" s="83"/>
      <c r="E35" s="83"/>
      <c r="F35" s="83"/>
      <c r="G35" s="83"/>
      <c r="H35" s="83"/>
      <c r="I35" s="83"/>
      <c r="J35" s="83"/>
    </row>
    <row r="36" spans="1:10" ht="45.75" customHeight="1" x14ac:dyDescent="0.25">
      <c r="A36" s="83" t="s">
        <v>678</v>
      </c>
      <c r="B36" s="83"/>
      <c r="C36" s="83"/>
      <c r="D36" s="83"/>
      <c r="E36" s="83"/>
      <c r="F36" s="83"/>
      <c r="G36" s="83"/>
      <c r="H36" s="83"/>
      <c r="I36" s="83"/>
      <c r="J36" s="83"/>
    </row>
    <row r="37" spans="1:10" ht="33" customHeight="1" x14ac:dyDescent="0.25">
      <c r="A37" s="83" t="s">
        <v>679</v>
      </c>
      <c r="B37" s="83"/>
      <c r="C37" s="83"/>
      <c r="D37" s="83"/>
      <c r="E37" s="83"/>
      <c r="F37" s="83"/>
      <c r="G37" s="83"/>
      <c r="H37" s="83"/>
      <c r="I37" s="83"/>
      <c r="J37" s="83"/>
    </row>
    <row r="38" spans="1:10" ht="20.25" customHeight="1" x14ac:dyDescent="0.25">
      <c r="A38" s="83" t="s">
        <v>680</v>
      </c>
      <c r="B38" s="83"/>
      <c r="C38" s="83"/>
      <c r="D38" s="83"/>
      <c r="E38" s="83"/>
      <c r="F38" s="83"/>
      <c r="G38" s="83"/>
      <c r="H38" s="83"/>
      <c r="I38" s="83"/>
      <c r="J38" s="83"/>
    </row>
    <row r="39" spans="1:10" ht="21" customHeight="1" x14ac:dyDescent="0.25">
      <c r="A39" s="83" t="s">
        <v>681</v>
      </c>
      <c r="B39" s="83"/>
      <c r="C39" s="83"/>
      <c r="D39" s="83"/>
      <c r="E39" s="83"/>
      <c r="F39" s="83"/>
      <c r="G39" s="83"/>
      <c r="H39" s="83"/>
      <c r="I39" s="83"/>
      <c r="J39" s="83"/>
    </row>
    <row r="40" spans="1:10" ht="17.25" customHeight="1" x14ac:dyDescent="0.25">
      <c r="A40" s="83" t="s">
        <v>682</v>
      </c>
      <c r="B40" s="83"/>
      <c r="C40" s="83"/>
      <c r="D40" s="83"/>
      <c r="E40" s="83"/>
      <c r="F40" s="83"/>
      <c r="G40" s="83"/>
      <c r="H40" s="83"/>
      <c r="I40" s="83"/>
      <c r="J40" s="83"/>
    </row>
    <row r="41" spans="1:10" ht="18.75" customHeight="1" x14ac:dyDescent="0.25">
      <c r="A41" s="83" t="s">
        <v>683</v>
      </c>
      <c r="B41" s="83"/>
      <c r="C41" s="83"/>
      <c r="D41" s="83"/>
      <c r="E41" s="83"/>
      <c r="F41" s="83"/>
      <c r="G41" s="83"/>
      <c r="H41" s="83"/>
      <c r="I41" s="83"/>
      <c r="J41" s="83"/>
    </row>
    <row r="42" spans="1:10" ht="33.75" customHeight="1" x14ac:dyDescent="0.25">
      <c r="A42" s="85" t="s">
        <v>684</v>
      </c>
      <c r="B42" s="85"/>
      <c r="C42" s="85"/>
      <c r="D42" s="85"/>
      <c r="E42" s="85"/>
      <c r="F42" s="85"/>
      <c r="G42" s="85"/>
      <c r="H42" s="85"/>
      <c r="I42" s="85"/>
      <c r="J42" s="85"/>
    </row>
    <row r="43" spans="1:10" x14ac:dyDescent="0.25">
      <c r="A43" s="93"/>
    </row>
    <row r="44" spans="1:10" x14ac:dyDescent="0.25">
      <c r="A44" s="74"/>
      <c r="B44" s="94"/>
      <c r="G44" s="4668" t="s">
        <v>579</v>
      </c>
      <c r="H44" s="4668"/>
      <c r="I44" s="4668"/>
      <c r="J44" s="4668"/>
    </row>
    <row r="45" spans="1:10" x14ac:dyDescent="0.25">
      <c r="A45" s="91" t="s">
        <v>578</v>
      </c>
      <c r="B45" s="86"/>
      <c r="G45" s="4669" t="s">
        <v>580</v>
      </c>
      <c r="H45" s="4669"/>
      <c r="I45" s="4669"/>
      <c r="J45" s="4669"/>
    </row>
    <row r="46" spans="1:10" x14ac:dyDescent="0.25">
      <c r="A46" s="75"/>
      <c r="B46" s="86"/>
      <c r="G46" s="4669" t="s">
        <v>581</v>
      </c>
      <c r="H46" s="4669"/>
      <c r="I46" s="4669"/>
      <c r="J46" s="4669"/>
    </row>
    <row r="47" spans="1:10" x14ac:dyDescent="0.25">
      <c r="A47" s="75"/>
      <c r="B47" s="95"/>
      <c r="G47" s="4667" t="s">
        <v>582</v>
      </c>
      <c r="H47" s="4667"/>
      <c r="I47" s="4667"/>
      <c r="J47" s="4667"/>
    </row>
  </sheetData>
  <mergeCells count="11">
    <mergeCell ref="G47:J47"/>
    <mergeCell ref="A2:J2"/>
    <mergeCell ref="A3:J3"/>
    <mergeCell ref="I4:J4"/>
    <mergeCell ref="A5:A6"/>
    <mergeCell ref="B5:D5"/>
    <mergeCell ref="E5:G5"/>
    <mergeCell ref="H5:J5"/>
    <mergeCell ref="G44:J44"/>
    <mergeCell ref="G45:J45"/>
    <mergeCell ref="G46:J46"/>
  </mergeCells>
  <phoneticPr fontId="70" type="noConversion"/>
  <pageMargins left="0.44" right="0.26" top="0.75" bottom="0.75" header="0.3" footer="0.3"/>
  <pageSetup paperSize="9" firstPageNumber="194" orientation="portrait" useFirstPageNumber="1" r:id="rId1"/>
  <headerFooter>
    <oddHeader>&amp;RBiểu số 5.34</oddHeader>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0000"/>
  </sheetPr>
  <dimension ref="A1:E17"/>
  <sheetViews>
    <sheetView workbookViewId="0">
      <selection activeCell="A11" sqref="A11:D11"/>
    </sheetView>
  </sheetViews>
  <sheetFormatPr defaultRowHeight="15" x14ac:dyDescent="0.25"/>
  <cols>
    <col min="1" max="3" width="14.85546875" customWidth="1"/>
    <col min="4" max="4" width="34" customWidth="1"/>
    <col min="5" max="5" width="16" customWidth="1"/>
  </cols>
  <sheetData>
    <row r="1" spans="1:5" ht="22.5" customHeight="1" x14ac:dyDescent="0.25">
      <c r="A1" s="4673" t="s">
        <v>1508</v>
      </c>
      <c r="B1" s="4673"/>
      <c r="C1" s="4673"/>
      <c r="D1" s="1"/>
      <c r="E1" s="1"/>
    </row>
    <row r="2" spans="1:5" ht="30.75" customHeight="1" x14ac:dyDescent="0.25">
      <c r="A2" s="4670" t="s">
        <v>685</v>
      </c>
      <c r="B2" s="4670"/>
      <c r="C2" s="4670"/>
      <c r="D2" s="4670"/>
      <c r="E2" s="4670"/>
    </row>
    <row r="3" spans="1:5" x14ac:dyDescent="0.25">
      <c r="A3" s="77"/>
      <c r="B3" s="1"/>
      <c r="C3" s="1"/>
      <c r="D3" s="1"/>
      <c r="E3" s="77" t="s">
        <v>493</v>
      </c>
    </row>
    <row r="4" spans="1:5" s="51" customFormat="1" ht="30.75" customHeight="1" x14ac:dyDescent="0.2">
      <c r="A4" s="79" t="s">
        <v>494</v>
      </c>
      <c r="B4" s="79" t="s">
        <v>495</v>
      </c>
      <c r="C4" s="79" t="s">
        <v>496</v>
      </c>
      <c r="D4" s="79" t="s">
        <v>686</v>
      </c>
      <c r="E4" s="79" t="s">
        <v>13</v>
      </c>
    </row>
    <row r="5" spans="1:5" ht="21" customHeight="1" x14ac:dyDescent="0.25">
      <c r="A5" s="96"/>
      <c r="B5" s="96"/>
      <c r="C5" s="96"/>
      <c r="D5" s="96"/>
      <c r="E5" s="96"/>
    </row>
    <row r="6" spans="1:5" ht="21" customHeight="1" x14ac:dyDescent="0.25">
      <c r="A6" s="83"/>
      <c r="B6" s="83"/>
      <c r="C6" s="83"/>
      <c r="D6" s="83"/>
      <c r="E6" s="83"/>
    </row>
    <row r="7" spans="1:5" ht="21" customHeight="1" x14ac:dyDescent="0.25">
      <c r="A7" s="83"/>
      <c r="B7" s="83"/>
      <c r="C7" s="83"/>
      <c r="D7" s="83"/>
      <c r="E7" s="83"/>
    </row>
    <row r="8" spans="1:5" ht="21" customHeight="1" x14ac:dyDescent="0.25">
      <c r="A8" s="83"/>
      <c r="B8" s="83"/>
      <c r="C8" s="83"/>
      <c r="D8" s="83"/>
      <c r="E8" s="83"/>
    </row>
    <row r="9" spans="1:5" ht="21" customHeight="1" x14ac:dyDescent="0.25">
      <c r="A9" s="83"/>
      <c r="B9" s="83"/>
      <c r="C9" s="83"/>
      <c r="D9" s="83"/>
      <c r="E9" s="83"/>
    </row>
    <row r="10" spans="1:5" ht="21" customHeight="1" x14ac:dyDescent="0.25">
      <c r="A10" s="85"/>
      <c r="B10" s="85"/>
      <c r="C10" s="85"/>
      <c r="D10" s="85"/>
      <c r="E10" s="85"/>
    </row>
    <row r="11" spans="1:5" ht="24.75" customHeight="1" x14ac:dyDescent="0.25">
      <c r="A11" s="4674" t="s">
        <v>687</v>
      </c>
      <c r="B11" s="4674"/>
      <c r="C11" s="4674"/>
      <c r="D11" s="4674"/>
      <c r="E11" s="1"/>
    </row>
    <row r="12" spans="1:5" ht="24.75" customHeight="1" x14ac:dyDescent="0.25">
      <c r="A12" s="4674" t="s">
        <v>688</v>
      </c>
      <c r="B12" s="4674"/>
      <c r="C12" s="4674"/>
      <c r="D12" s="4674"/>
      <c r="E12" s="1"/>
    </row>
    <row r="13" spans="1:5" ht="16.5" customHeight="1" x14ac:dyDescent="0.25">
      <c r="A13" s="93"/>
      <c r="B13" s="1"/>
      <c r="C13" s="1"/>
      <c r="D13" s="4668" t="s">
        <v>579</v>
      </c>
      <c r="E13" s="4668"/>
    </row>
    <row r="14" spans="1:5" x14ac:dyDescent="0.25">
      <c r="A14" s="74"/>
      <c r="B14" s="94"/>
      <c r="C14" s="1"/>
      <c r="D14" s="4669" t="s">
        <v>580</v>
      </c>
      <c r="E14" s="4669"/>
    </row>
    <row r="15" spans="1:5" ht="17.25" customHeight="1" x14ac:dyDescent="0.25">
      <c r="A15" s="4669" t="s">
        <v>578</v>
      </c>
      <c r="B15" s="4669"/>
      <c r="C15" s="4669"/>
      <c r="D15" s="4669" t="s">
        <v>581</v>
      </c>
      <c r="E15" s="4669"/>
    </row>
    <row r="16" spans="1:5" x14ac:dyDescent="0.25">
      <c r="A16" s="75"/>
      <c r="B16" s="86"/>
      <c r="C16" s="1"/>
      <c r="D16" s="4667" t="s">
        <v>582</v>
      </c>
      <c r="E16" s="4667"/>
    </row>
    <row r="17" spans="1:2" x14ac:dyDescent="0.25">
      <c r="A17" s="22"/>
      <c r="B17" s="24"/>
    </row>
  </sheetData>
  <mergeCells count="9">
    <mergeCell ref="D16:E16"/>
    <mergeCell ref="A15:C15"/>
    <mergeCell ref="A1:C1"/>
    <mergeCell ref="A11:D11"/>
    <mergeCell ref="A12:D12"/>
    <mergeCell ref="D13:E13"/>
    <mergeCell ref="D14:E14"/>
    <mergeCell ref="D15:E15"/>
    <mergeCell ref="A2:E2"/>
  </mergeCells>
  <phoneticPr fontId="70" type="noConversion"/>
  <pageMargins left="0.7" right="0.2" top="0.86" bottom="0.75" header="0.6" footer="0.3"/>
  <pageSetup paperSize="9" firstPageNumber="196" orientation="portrait" useFirstPageNumber="1" r:id="rId1"/>
  <headerFooter>
    <oddHeader>&amp;RBiểu số 5.35</oddHead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0000"/>
  </sheetPr>
  <dimension ref="A1:G17"/>
  <sheetViews>
    <sheetView workbookViewId="0">
      <selection activeCell="K6" sqref="K6"/>
    </sheetView>
  </sheetViews>
  <sheetFormatPr defaultRowHeight="15" x14ac:dyDescent="0.25"/>
  <cols>
    <col min="1" max="5" width="11.140625" customWidth="1"/>
    <col min="6" max="6" width="25.5703125" customWidth="1"/>
    <col min="7" max="7" width="12.7109375" customWidth="1"/>
  </cols>
  <sheetData>
    <row r="1" spans="1:7" ht="21.75" customHeight="1" x14ac:dyDescent="0.25">
      <c r="A1" s="4673" t="s">
        <v>563</v>
      </c>
      <c r="B1" s="4673"/>
      <c r="C1" s="4673"/>
      <c r="D1" s="4673"/>
      <c r="E1" s="1"/>
      <c r="F1" s="1"/>
      <c r="G1" s="1"/>
    </row>
    <row r="2" spans="1:7" s="166" customFormat="1" ht="23.25" customHeight="1" x14ac:dyDescent="0.25">
      <c r="A2" s="4280" t="s">
        <v>689</v>
      </c>
      <c r="B2" s="4280"/>
      <c r="C2" s="4280"/>
      <c r="D2" s="4280"/>
      <c r="E2" s="4280"/>
      <c r="F2" s="4280"/>
      <c r="G2" s="4280"/>
    </row>
    <row r="3" spans="1:7" ht="15.75" customHeight="1" x14ac:dyDescent="0.25">
      <c r="A3" s="4668"/>
      <c r="B3" s="4668"/>
      <c r="C3" s="4668"/>
      <c r="D3" s="4668"/>
      <c r="E3" s="4668"/>
      <c r="F3" s="4668"/>
      <c r="G3" s="4668"/>
    </row>
    <row r="4" spans="1:7" ht="15.75" x14ac:dyDescent="0.25">
      <c r="A4" s="77"/>
      <c r="B4" s="1"/>
      <c r="C4" s="1"/>
      <c r="D4" s="1"/>
      <c r="E4" s="1"/>
      <c r="F4" s="1"/>
      <c r="G4" s="167" t="s">
        <v>493</v>
      </c>
    </row>
    <row r="5" spans="1:7" s="51" customFormat="1" ht="40.5" customHeight="1" x14ac:dyDescent="0.2">
      <c r="A5" s="79" t="s">
        <v>494</v>
      </c>
      <c r="B5" s="79" t="s">
        <v>502</v>
      </c>
      <c r="C5" s="79" t="s">
        <v>503</v>
      </c>
      <c r="D5" s="79" t="s">
        <v>495</v>
      </c>
      <c r="E5" s="79" t="s">
        <v>496</v>
      </c>
      <c r="F5" s="79" t="s">
        <v>686</v>
      </c>
      <c r="G5" s="79" t="s">
        <v>13</v>
      </c>
    </row>
    <row r="6" spans="1:7" ht="23.25" customHeight="1" x14ac:dyDescent="0.25">
      <c r="A6" s="89"/>
      <c r="B6" s="89"/>
      <c r="C6" s="89"/>
      <c r="D6" s="89"/>
      <c r="E6" s="89"/>
      <c r="F6" s="89"/>
      <c r="G6" s="89"/>
    </row>
    <row r="7" spans="1:7" ht="23.25" customHeight="1" x14ac:dyDescent="0.25">
      <c r="A7" s="83"/>
      <c r="B7" s="83"/>
      <c r="C7" s="83"/>
      <c r="D7" s="83"/>
      <c r="E7" s="83"/>
      <c r="F7" s="83"/>
      <c r="G7" s="83"/>
    </row>
    <row r="8" spans="1:7" ht="23.25" customHeight="1" x14ac:dyDescent="0.25">
      <c r="A8" s="83"/>
      <c r="B8" s="83"/>
      <c r="C8" s="83"/>
      <c r="D8" s="83"/>
      <c r="E8" s="83"/>
      <c r="F8" s="83"/>
      <c r="G8" s="83"/>
    </row>
    <row r="9" spans="1:7" ht="23.25" customHeight="1" x14ac:dyDescent="0.25">
      <c r="A9" s="83"/>
      <c r="B9" s="83"/>
      <c r="C9" s="83"/>
      <c r="D9" s="83"/>
      <c r="E9" s="83"/>
      <c r="F9" s="83"/>
      <c r="G9" s="83"/>
    </row>
    <row r="10" spans="1:7" ht="23.25" customHeight="1" x14ac:dyDescent="0.25">
      <c r="A10" s="85"/>
      <c r="B10" s="85"/>
      <c r="C10" s="85"/>
      <c r="D10" s="85"/>
      <c r="E10" s="85"/>
      <c r="F10" s="85"/>
      <c r="G10" s="85"/>
    </row>
    <row r="11" spans="1:7" ht="25.5" customHeight="1" x14ac:dyDescent="0.25">
      <c r="A11" s="4674" t="s">
        <v>690</v>
      </c>
      <c r="B11" s="4674"/>
      <c r="C11" s="4674"/>
      <c r="D11" s="4674"/>
      <c r="E11" s="4674"/>
      <c r="F11" s="4674"/>
      <c r="G11" s="1"/>
    </row>
    <row r="12" spans="1:7" ht="19.5" customHeight="1" x14ac:dyDescent="0.25">
      <c r="A12" s="4674" t="s">
        <v>691</v>
      </c>
      <c r="B12" s="4674"/>
      <c r="C12" s="4674"/>
      <c r="D12" s="4674"/>
      <c r="E12" s="4674"/>
      <c r="F12" s="4674"/>
      <c r="G12" s="1"/>
    </row>
    <row r="13" spans="1:7" ht="24" customHeight="1" x14ac:dyDescent="0.25">
      <c r="A13" s="74"/>
      <c r="B13" s="94"/>
      <c r="C13" s="1"/>
      <c r="D13" s="1"/>
      <c r="E13" s="1"/>
      <c r="F13" s="4668" t="s">
        <v>579</v>
      </c>
      <c r="G13" s="4668"/>
    </row>
    <row r="14" spans="1:7" ht="33.75" customHeight="1" x14ac:dyDescent="0.25">
      <c r="A14" s="4669" t="s">
        <v>578</v>
      </c>
      <c r="B14" s="4669"/>
      <c r="C14" s="4669"/>
      <c r="D14" s="1"/>
      <c r="E14" s="1"/>
      <c r="F14" s="86" t="s">
        <v>580</v>
      </c>
      <c r="G14" s="1"/>
    </row>
    <row r="15" spans="1:7" x14ac:dyDescent="0.25">
      <c r="A15" s="75"/>
      <c r="B15" s="86"/>
      <c r="C15" s="1"/>
      <c r="D15" s="1"/>
      <c r="E15" s="1"/>
      <c r="F15" s="86" t="s">
        <v>581</v>
      </c>
      <c r="G15" s="1"/>
    </row>
    <row r="16" spans="1:7" x14ac:dyDescent="0.25">
      <c r="A16" s="75"/>
      <c r="B16" s="95"/>
      <c r="C16" s="1"/>
      <c r="D16" s="1"/>
      <c r="E16" s="1"/>
      <c r="F16" s="95" t="s">
        <v>582</v>
      </c>
      <c r="G16" s="1"/>
    </row>
    <row r="17" spans="1:7" x14ac:dyDescent="0.25">
      <c r="A17" s="1"/>
      <c r="B17" s="1"/>
      <c r="C17" s="1"/>
      <c r="D17" s="1"/>
      <c r="E17" s="1"/>
      <c r="F17" s="1"/>
      <c r="G17" s="1"/>
    </row>
  </sheetData>
  <mergeCells count="7">
    <mergeCell ref="A1:D1"/>
    <mergeCell ref="A11:F11"/>
    <mergeCell ref="A12:F12"/>
    <mergeCell ref="A14:C14"/>
    <mergeCell ref="F13:G13"/>
    <mergeCell ref="A2:G2"/>
    <mergeCell ref="A3:G3"/>
  </mergeCells>
  <phoneticPr fontId="70" type="noConversion"/>
  <pageMargins left="0.7" right="0.2" top="0.75" bottom="0.75" header="0.47" footer="0.3"/>
  <pageSetup paperSize="9" firstPageNumber="197" orientation="portrait" useFirstPageNumber="1" r:id="rId1"/>
  <headerFooter>
    <oddHeader>&amp;RBiểu số 5.36</oddHead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sheetPr>
  <dimension ref="A1:I28"/>
  <sheetViews>
    <sheetView workbookViewId="0">
      <selection activeCell="K7" sqref="K7"/>
    </sheetView>
  </sheetViews>
  <sheetFormatPr defaultRowHeight="15" x14ac:dyDescent="0.25"/>
  <cols>
    <col min="1" max="1" width="23.5703125" customWidth="1"/>
    <col min="6" max="6" width="7.85546875" customWidth="1"/>
    <col min="7" max="7" width="8.140625" customWidth="1"/>
    <col min="8" max="8" width="7.7109375" customWidth="1"/>
  </cols>
  <sheetData>
    <row r="1" spans="1:9" ht="17.25" customHeight="1" x14ac:dyDescent="0.25">
      <c r="A1" s="4673" t="s">
        <v>563</v>
      </c>
      <c r="B1" s="4673"/>
      <c r="C1" s="4673"/>
      <c r="D1" s="4673"/>
      <c r="E1" s="4673"/>
      <c r="F1" s="1"/>
      <c r="G1" s="1"/>
      <c r="H1" s="1"/>
      <c r="I1" s="1"/>
    </row>
    <row r="2" spans="1:9" ht="24" customHeight="1" x14ac:dyDescent="0.25">
      <c r="A2" s="4670" t="s">
        <v>1509</v>
      </c>
      <c r="B2" s="4670"/>
      <c r="C2" s="4670"/>
      <c r="D2" s="4670"/>
      <c r="E2" s="4670"/>
      <c r="F2" s="4670"/>
      <c r="G2" s="4670"/>
      <c r="H2" s="4670"/>
      <c r="I2" s="4670"/>
    </row>
    <row r="3" spans="1:9" ht="18" customHeight="1" x14ac:dyDescent="0.25">
      <c r="A3" s="4668"/>
      <c r="B3" s="4668"/>
      <c r="C3" s="4668"/>
      <c r="D3" s="4668"/>
      <c r="E3" s="4668"/>
      <c r="F3" s="4668"/>
      <c r="G3" s="4668"/>
      <c r="H3" s="4668"/>
      <c r="I3" s="4668"/>
    </row>
    <row r="4" spans="1:9" ht="15" customHeight="1" x14ac:dyDescent="0.25">
      <c r="A4" s="77"/>
      <c r="B4" s="1"/>
      <c r="C4" s="1"/>
      <c r="D4" s="1"/>
      <c r="E4" s="1"/>
      <c r="F4" s="1"/>
      <c r="G4" s="1"/>
      <c r="H4" s="4671" t="s">
        <v>493</v>
      </c>
      <c r="I4" s="4671"/>
    </row>
    <row r="5" spans="1:9" s="51" customFormat="1" ht="24" customHeight="1" x14ac:dyDescent="0.2">
      <c r="A5" s="4672" t="s">
        <v>692</v>
      </c>
      <c r="B5" s="4672" t="s">
        <v>914</v>
      </c>
      <c r="C5" s="4672" t="s">
        <v>693</v>
      </c>
      <c r="D5" s="4672"/>
      <c r="E5" s="4672" t="s">
        <v>694</v>
      </c>
      <c r="F5" s="4672" t="s">
        <v>695</v>
      </c>
      <c r="G5" s="4672"/>
      <c r="H5" s="4672"/>
      <c r="I5" s="4672"/>
    </row>
    <row r="6" spans="1:9" s="51" customFormat="1" ht="33" customHeight="1" x14ac:dyDescent="0.2">
      <c r="A6" s="4672"/>
      <c r="B6" s="4672"/>
      <c r="C6" s="4672"/>
      <c r="D6" s="4672"/>
      <c r="E6" s="4672"/>
      <c r="F6" s="4672" t="s">
        <v>868</v>
      </c>
      <c r="G6" s="4672" t="s">
        <v>696</v>
      </c>
      <c r="H6" s="4672" t="s">
        <v>340</v>
      </c>
      <c r="I6" s="4672"/>
    </row>
    <row r="7" spans="1:9" s="51" customFormat="1" ht="112.5" customHeight="1" x14ac:dyDescent="0.2">
      <c r="A7" s="4672"/>
      <c r="B7" s="4672"/>
      <c r="C7" s="79" t="s">
        <v>868</v>
      </c>
      <c r="D7" s="79" t="s">
        <v>697</v>
      </c>
      <c r="E7" s="4672"/>
      <c r="F7" s="4672"/>
      <c r="G7" s="4672"/>
      <c r="H7" s="79" t="s">
        <v>698</v>
      </c>
      <c r="I7" s="79" t="s">
        <v>699</v>
      </c>
    </row>
    <row r="8" spans="1:9" ht="18.75" customHeight="1" x14ac:dyDescent="0.25">
      <c r="A8" s="80" t="s">
        <v>868</v>
      </c>
      <c r="B8" s="89"/>
      <c r="C8" s="89"/>
      <c r="D8" s="89"/>
      <c r="E8" s="89"/>
      <c r="F8" s="89"/>
      <c r="G8" s="89"/>
      <c r="H8" s="89"/>
      <c r="I8" s="89"/>
    </row>
    <row r="9" spans="1:9" x14ac:dyDescent="0.25">
      <c r="A9" s="83" t="s">
        <v>700</v>
      </c>
      <c r="B9" s="83"/>
      <c r="C9" s="83"/>
      <c r="D9" s="83"/>
      <c r="E9" s="83"/>
      <c r="F9" s="83"/>
      <c r="G9" s="83"/>
      <c r="H9" s="83"/>
      <c r="I9" s="83"/>
    </row>
    <row r="10" spans="1:9" x14ac:dyDescent="0.25">
      <c r="A10" s="83" t="s">
        <v>882</v>
      </c>
      <c r="B10" s="83"/>
      <c r="C10" s="83"/>
      <c r="D10" s="83"/>
      <c r="E10" s="83"/>
      <c r="F10" s="83"/>
      <c r="G10" s="83"/>
      <c r="H10" s="83"/>
      <c r="I10" s="83"/>
    </row>
    <row r="11" spans="1:9" x14ac:dyDescent="0.25">
      <c r="A11" s="83" t="s">
        <v>882</v>
      </c>
      <c r="B11" s="83"/>
      <c r="C11" s="83"/>
      <c r="D11" s="83"/>
      <c r="E11" s="83"/>
      <c r="F11" s="83"/>
      <c r="G11" s="83"/>
      <c r="H11" s="83"/>
      <c r="I11" s="83"/>
    </row>
    <row r="12" spans="1:9" ht="30" x14ac:dyDescent="0.25">
      <c r="A12" s="83" t="s">
        <v>701</v>
      </c>
      <c r="B12" s="83"/>
      <c r="C12" s="83"/>
      <c r="D12" s="83"/>
      <c r="E12" s="83"/>
      <c r="F12" s="83"/>
      <c r="G12" s="83"/>
      <c r="H12" s="83"/>
      <c r="I12" s="83"/>
    </row>
    <row r="13" spans="1:9" x14ac:dyDescent="0.25">
      <c r="A13" s="83" t="s">
        <v>882</v>
      </c>
      <c r="B13" s="83"/>
      <c r="C13" s="83"/>
      <c r="D13" s="83"/>
      <c r="E13" s="83"/>
      <c r="F13" s="83"/>
      <c r="G13" s="83"/>
      <c r="H13" s="83"/>
      <c r="I13" s="83"/>
    </row>
    <row r="14" spans="1:9" x14ac:dyDescent="0.25">
      <c r="A14" s="83" t="s">
        <v>882</v>
      </c>
      <c r="B14" s="83"/>
      <c r="C14" s="83"/>
      <c r="D14" s="83"/>
      <c r="E14" s="83"/>
      <c r="F14" s="83"/>
      <c r="G14" s="83"/>
      <c r="H14" s="83"/>
      <c r="I14" s="83"/>
    </row>
    <row r="15" spans="1:9" ht="30" x14ac:dyDescent="0.25">
      <c r="A15" s="83" t="s">
        <v>702</v>
      </c>
      <c r="B15" s="83"/>
      <c r="C15" s="83"/>
      <c r="D15" s="83"/>
      <c r="E15" s="83"/>
      <c r="F15" s="83"/>
      <c r="G15" s="83"/>
      <c r="H15" s="83"/>
      <c r="I15" s="83"/>
    </row>
    <row r="16" spans="1:9" x14ac:dyDescent="0.25">
      <c r="A16" s="83" t="s">
        <v>882</v>
      </c>
      <c r="B16" s="83"/>
      <c r="C16" s="83"/>
      <c r="D16" s="83"/>
      <c r="E16" s="83"/>
      <c r="F16" s="83"/>
      <c r="G16" s="83"/>
      <c r="H16" s="83"/>
      <c r="I16" s="83"/>
    </row>
    <row r="17" spans="1:9" x14ac:dyDescent="0.25">
      <c r="A17" s="83" t="s">
        <v>882</v>
      </c>
      <c r="B17" s="83"/>
      <c r="C17" s="83"/>
      <c r="D17" s="83"/>
      <c r="E17" s="83"/>
      <c r="F17" s="83"/>
      <c r="G17" s="83"/>
      <c r="H17" s="83"/>
      <c r="I17" s="83"/>
    </row>
    <row r="18" spans="1:9" ht="30.75" customHeight="1" x14ac:dyDescent="0.25">
      <c r="A18" s="83" t="s">
        <v>701</v>
      </c>
      <c r="B18" s="83"/>
      <c r="C18" s="83"/>
      <c r="D18" s="83"/>
      <c r="E18" s="83"/>
      <c r="F18" s="83"/>
      <c r="G18" s="83"/>
      <c r="H18" s="83"/>
      <c r="I18" s="83"/>
    </row>
    <row r="19" spans="1:9" ht="15.75" customHeight="1" x14ac:dyDescent="0.25">
      <c r="A19" s="83" t="s">
        <v>882</v>
      </c>
      <c r="B19" s="83"/>
      <c r="C19" s="83"/>
      <c r="D19" s="83"/>
      <c r="E19" s="83"/>
      <c r="F19" s="83"/>
      <c r="G19" s="83"/>
      <c r="H19" s="83"/>
      <c r="I19" s="83"/>
    </row>
    <row r="20" spans="1:9" ht="16.5" customHeight="1" x14ac:dyDescent="0.25">
      <c r="A20" s="83" t="s">
        <v>882</v>
      </c>
      <c r="B20" s="83"/>
      <c r="C20" s="83"/>
      <c r="D20" s="83"/>
      <c r="E20" s="83"/>
      <c r="F20" s="83"/>
      <c r="G20" s="83"/>
      <c r="H20" s="83"/>
      <c r="I20" s="83"/>
    </row>
    <row r="21" spans="1:9" ht="17.25" customHeight="1" x14ac:dyDescent="0.25">
      <c r="A21" s="85" t="s">
        <v>891</v>
      </c>
      <c r="B21" s="85"/>
      <c r="C21" s="85"/>
      <c r="D21" s="85"/>
      <c r="E21" s="85"/>
      <c r="F21" s="85"/>
      <c r="G21" s="85"/>
      <c r="H21" s="85"/>
      <c r="I21" s="85"/>
    </row>
    <row r="22" spans="1:9" ht="29.25" customHeight="1" x14ac:dyDescent="0.25">
      <c r="A22" s="4665" t="s">
        <v>703</v>
      </c>
      <c r="B22" s="4665"/>
      <c r="C22" s="4665"/>
      <c r="D22" s="1"/>
      <c r="E22" s="1"/>
      <c r="F22" s="1"/>
      <c r="G22" s="1"/>
      <c r="H22" s="1"/>
      <c r="I22" s="1"/>
    </row>
    <row r="23" spans="1:9" ht="22.5" customHeight="1" x14ac:dyDescent="0.25">
      <c r="A23" s="93"/>
      <c r="B23" s="1"/>
      <c r="C23" s="1"/>
      <c r="D23" s="1"/>
      <c r="E23" s="1"/>
      <c r="F23" s="4668" t="s">
        <v>579</v>
      </c>
      <c r="G23" s="4668"/>
      <c r="H23" s="4668"/>
      <c r="I23" s="4668"/>
    </row>
    <row r="24" spans="1:9" x14ac:dyDescent="0.25">
      <c r="A24" s="74"/>
      <c r="B24" s="94"/>
      <c r="C24" s="1"/>
      <c r="D24" s="1"/>
      <c r="E24" s="1"/>
      <c r="F24" s="4669" t="s">
        <v>580</v>
      </c>
      <c r="G24" s="4669"/>
      <c r="H24" s="4669"/>
      <c r="I24" s="4669"/>
    </row>
    <row r="25" spans="1:9" ht="24" customHeight="1" x14ac:dyDescent="0.25">
      <c r="A25" s="4669" t="s">
        <v>578</v>
      </c>
      <c r="B25" s="4669"/>
      <c r="C25" s="1"/>
      <c r="D25" s="1"/>
      <c r="E25" s="1"/>
      <c r="F25" s="4669" t="s">
        <v>581</v>
      </c>
      <c r="G25" s="4669"/>
      <c r="H25" s="4669"/>
      <c r="I25" s="4669"/>
    </row>
    <row r="26" spans="1:9" ht="24" customHeight="1" x14ac:dyDescent="0.25">
      <c r="A26" s="75"/>
      <c r="B26" s="86"/>
      <c r="C26" s="1"/>
      <c r="D26" s="1"/>
      <c r="E26" s="1"/>
      <c r="F26" s="4667" t="s">
        <v>582</v>
      </c>
      <c r="G26" s="4667"/>
      <c r="H26" s="4667"/>
      <c r="I26" s="4667"/>
    </row>
    <row r="27" spans="1:9" x14ac:dyDescent="0.25">
      <c r="A27" s="22"/>
      <c r="B27" s="24"/>
    </row>
    <row r="28" spans="1:9" x14ac:dyDescent="0.25">
      <c r="A28" s="23"/>
    </row>
  </sheetData>
  <mergeCells count="18">
    <mergeCell ref="F26:I26"/>
    <mergeCell ref="G6:G7"/>
    <mergeCell ref="H6:I6"/>
    <mergeCell ref="A25:B25"/>
    <mergeCell ref="A22:C22"/>
    <mergeCell ref="F6:F7"/>
    <mergeCell ref="F23:I23"/>
    <mergeCell ref="F24:I24"/>
    <mergeCell ref="F25:I25"/>
    <mergeCell ref="A1:E1"/>
    <mergeCell ref="A5:A7"/>
    <mergeCell ref="B5:B7"/>
    <mergeCell ref="C5:D6"/>
    <mergeCell ref="E5:E7"/>
    <mergeCell ref="A2:I2"/>
    <mergeCell ref="A3:I3"/>
    <mergeCell ref="H4:I4"/>
    <mergeCell ref="F5:I5"/>
  </mergeCells>
  <phoneticPr fontId="70" type="noConversion"/>
  <pageMargins left="0.7" right="0.2" top="0.75" bottom="0.75" header="0.3" footer="0.3"/>
  <pageSetup paperSize="9" firstPageNumber="198" orientation="portrait" useFirstPageNumber="1" r:id="rId1"/>
  <headerFooter>
    <oddHeader>&amp;RBiểu số 5.37</oddHeader>
    <oddFooter>&amp;C&amp;P</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FF0000"/>
  </sheetPr>
  <dimension ref="A1:K37"/>
  <sheetViews>
    <sheetView workbookViewId="0">
      <selection activeCell="N11" sqref="N11"/>
    </sheetView>
  </sheetViews>
  <sheetFormatPr defaultColWidth="9.140625" defaultRowHeight="15.75" x14ac:dyDescent="0.25"/>
  <cols>
    <col min="1" max="1" width="6.42578125" style="26" customWidth="1"/>
    <col min="2" max="2" width="55.7109375" style="27" customWidth="1"/>
    <col min="3" max="3" width="10.42578125" style="27" customWidth="1"/>
    <col min="4" max="4" width="11.140625" style="27" customWidth="1"/>
    <col min="5" max="5" width="10.42578125" style="48" customWidth="1"/>
    <col min="6" max="11" width="0" style="27" hidden="1" customWidth="1"/>
    <col min="12" max="16384" width="9.140625" style="27"/>
  </cols>
  <sheetData>
    <row r="1" spans="1:8" x14ac:dyDescent="0.25">
      <c r="A1" s="4676" t="s">
        <v>641</v>
      </c>
      <c r="B1" s="4676"/>
      <c r="E1" s="97"/>
    </row>
    <row r="2" spans="1:8" s="25" customFormat="1" ht="20.25" customHeight="1" x14ac:dyDescent="0.3">
      <c r="A2" s="4677" t="s">
        <v>1510</v>
      </c>
      <c r="B2" s="4677"/>
      <c r="C2" s="4677"/>
      <c r="D2" s="4677"/>
      <c r="E2" s="4677"/>
    </row>
    <row r="3" spans="1:8" s="25" customFormat="1" ht="16.5" customHeight="1" x14ac:dyDescent="0.25">
      <c r="A3" s="4678"/>
      <c r="B3" s="4678"/>
      <c r="C3" s="4678"/>
      <c r="D3" s="4678"/>
      <c r="E3" s="4678"/>
    </row>
    <row r="4" spans="1:8" ht="18" customHeight="1" x14ac:dyDescent="0.25">
      <c r="B4" s="4679" t="s">
        <v>147</v>
      </c>
      <c r="C4" s="4679"/>
      <c r="D4" s="4679"/>
      <c r="E4" s="4679"/>
    </row>
    <row r="5" spans="1:8" s="28" customFormat="1" ht="22.5" customHeight="1" x14ac:dyDescent="0.25">
      <c r="A5" s="4680" t="s">
        <v>844</v>
      </c>
      <c r="B5" s="4680" t="s">
        <v>845</v>
      </c>
      <c r="C5" s="4682" t="s">
        <v>706</v>
      </c>
      <c r="D5" s="4682"/>
      <c r="E5" s="4682"/>
    </row>
    <row r="6" spans="1:8" s="28" customFormat="1" ht="32.25" customHeight="1" x14ac:dyDescent="0.25">
      <c r="A6" s="4681"/>
      <c r="B6" s="4681"/>
      <c r="C6" s="163" t="s">
        <v>868</v>
      </c>
      <c r="D6" s="163" t="s">
        <v>725</v>
      </c>
      <c r="E6" s="163" t="s">
        <v>726</v>
      </c>
      <c r="F6" s="28" t="e">
        <f>F7-F12</f>
        <v>#REF!</v>
      </c>
      <c r="G6" s="29" t="e">
        <f>F6*50%</f>
        <v>#REF!</v>
      </c>
      <c r="H6" s="28" t="e">
        <v>#VALUE!</v>
      </c>
    </row>
    <row r="7" spans="1:8" s="34" customFormat="1" ht="20.25" customHeight="1" x14ac:dyDescent="0.25">
      <c r="A7" s="49" t="s">
        <v>849</v>
      </c>
      <c r="B7" s="50" t="s">
        <v>707</v>
      </c>
      <c r="C7" s="50"/>
      <c r="D7" s="50"/>
      <c r="E7" s="50"/>
      <c r="F7" s="34">
        <v>9884</v>
      </c>
    </row>
    <row r="8" spans="1:8" s="34" customFormat="1" ht="21.75" customHeight="1" x14ac:dyDescent="0.25">
      <c r="A8" s="32">
        <v>1</v>
      </c>
      <c r="B8" s="33" t="s">
        <v>723</v>
      </c>
      <c r="C8" s="33"/>
      <c r="D8" s="33"/>
      <c r="E8" s="33"/>
    </row>
    <row r="9" spans="1:8" s="38" customFormat="1" ht="21.75" customHeight="1" x14ac:dyDescent="0.25">
      <c r="A9" s="35" t="s">
        <v>711</v>
      </c>
      <c r="B9" s="39" t="s">
        <v>713</v>
      </c>
      <c r="C9" s="39"/>
      <c r="D9" s="39"/>
      <c r="E9" s="39"/>
    </row>
    <row r="10" spans="1:8" s="38" customFormat="1" ht="21.75" customHeight="1" x14ac:dyDescent="0.25">
      <c r="A10" s="35" t="s">
        <v>711</v>
      </c>
      <c r="B10" s="39" t="s">
        <v>714</v>
      </c>
      <c r="C10" s="39"/>
      <c r="D10" s="39"/>
      <c r="E10" s="39"/>
    </row>
    <row r="11" spans="1:8" s="38" customFormat="1" ht="24.75" customHeight="1" x14ac:dyDescent="0.25">
      <c r="A11" s="35" t="s">
        <v>711</v>
      </c>
      <c r="B11" s="39" t="s">
        <v>716</v>
      </c>
      <c r="C11" s="39"/>
      <c r="D11" s="39"/>
      <c r="E11" s="39"/>
    </row>
    <row r="12" spans="1:8" s="38" customFormat="1" ht="24.75" customHeight="1" x14ac:dyDescent="0.25">
      <c r="A12" s="35">
        <v>2</v>
      </c>
      <c r="B12" s="36" t="s">
        <v>708</v>
      </c>
      <c r="C12" s="36"/>
      <c r="D12" s="36"/>
      <c r="E12" s="37"/>
      <c r="F12" s="38" t="e">
        <f>E12+#REF!+E21</f>
        <v>#REF!</v>
      </c>
      <c r="G12" s="38">
        <v>3073</v>
      </c>
    </row>
    <row r="13" spans="1:8" s="38" customFormat="1" ht="24.75" customHeight="1" x14ac:dyDescent="0.25">
      <c r="A13" s="35" t="s">
        <v>711</v>
      </c>
      <c r="B13" s="36" t="s">
        <v>717</v>
      </c>
      <c r="C13" s="36"/>
      <c r="D13" s="36"/>
      <c r="E13" s="37"/>
    </row>
    <row r="14" spans="1:8" s="38" customFormat="1" ht="24.75" customHeight="1" x14ac:dyDescent="0.25">
      <c r="A14" s="35" t="s">
        <v>711</v>
      </c>
      <c r="B14" s="36" t="s">
        <v>876</v>
      </c>
      <c r="C14" s="36"/>
      <c r="D14" s="36"/>
      <c r="E14" s="37"/>
    </row>
    <row r="15" spans="1:8" s="38" customFormat="1" ht="24.75" customHeight="1" x14ac:dyDescent="0.25">
      <c r="A15" s="35" t="s">
        <v>711</v>
      </c>
      <c r="B15" s="36" t="s">
        <v>721</v>
      </c>
      <c r="C15" s="36"/>
      <c r="D15" s="36"/>
      <c r="E15" s="37"/>
    </row>
    <row r="16" spans="1:8" s="38" customFormat="1" ht="24.75" customHeight="1" x14ac:dyDescent="0.25">
      <c r="A16" s="35" t="s">
        <v>711</v>
      </c>
      <c r="B16" s="36" t="s">
        <v>720</v>
      </c>
      <c r="C16" s="36"/>
      <c r="D16" s="36"/>
      <c r="E16" s="37"/>
    </row>
    <row r="17" spans="1:11" s="38" customFormat="1" ht="24.75" customHeight="1" x14ac:dyDescent="0.25">
      <c r="A17" s="35" t="s">
        <v>711</v>
      </c>
      <c r="B17" s="36" t="s">
        <v>718</v>
      </c>
      <c r="C17" s="36"/>
      <c r="D17" s="36"/>
      <c r="E17" s="37"/>
    </row>
    <row r="18" spans="1:11" s="38" customFormat="1" ht="24.75" customHeight="1" x14ac:dyDescent="0.25">
      <c r="A18" s="35" t="s">
        <v>711</v>
      </c>
      <c r="B18" s="36" t="s">
        <v>719</v>
      </c>
      <c r="C18" s="36"/>
      <c r="D18" s="36"/>
      <c r="E18" s="37"/>
    </row>
    <row r="19" spans="1:11" s="38" customFormat="1" ht="24.75" customHeight="1" x14ac:dyDescent="0.25">
      <c r="A19" s="35" t="s">
        <v>711</v>
      </c>
      <c r="B19" s="36" t="s">
        <v>722</v>
      </c>
      <c r="C19" s="36"/>
      <c r="D19" s="36"/>
      <c r="E19" s="37"/>
    </row>
    <row r="20" spans="1:11" s="34" customFormat="1" ht="24.75" customHeight="1" x14ac:dyDescent="0.25">
      <c r="A20" s="32" t="s">
        <v>866</v>
      </c>
      <c r="B20" s="33" t="s">
        <v>709</v>
      </c>
      <c r="C20" s="33"/>
      <c r="D20" s="33"/>
      <c r="E20" s="33"/>
    </row>
    <row r="21" spans="1:11" s="38" customFormat="1" ht="24.75" customHeight="1" x14ac:dyDescent="0.25">
      <c r="A21" s="35">
        <v>1</v>
      </c>
      <c r="B21" s="39" t="s">
        <v>710</v>
      </c>
      <c r="C21" s="39"/>
      <c r="D21" s="39"/>
      <c r="E21" s="39"/>
    </row>
    <row r="22" spans="1:11" s="38" customFormat="1" ht="21.75" customHeight="1" x14ac:dyDescent="0.25">
      <c r="A22" s="35" t="s">
        <v>711</v>
      </c>
      <c r="B22" s="39" t="s">
        <v>713</v>
      </c>
      <c r="C22" s="39"/>
      <c r="D22" s="39"/>
      <c r="E22" s="39"/>
    </row>
    <row r="23" spans="1:11" s="38" customFormat="1" ht="21.75" customHeight="1" x14ac:dyDescent="0.25">
      <c r="A23" s="35" t="s">
        <v>711</v>
      </c>
      <c r="B23" s="39" t="s">
        <v>714</v>
      </c>
      <c r="C23" s="39"/>
      <c r="D23" s="39"/>
      <c r="E23" s="39"/>
    </row>
    <row r="24" spans="1:11" s="38" customFormat="1" ht="24.75" customHeight="1" x14ac:dyDescent="0.25">
      <c r="A24" s="35" t="s">
        <v>711</v>
      </c>
      <c r="B24" s="39" t="s">
        <v>716</v>
      </c>
      <c r="C24" s="39"/>
      <c r="D24" s="39"/>
      <c r="E24" s="39"/>
    </row>
    <row r="25" spans="1:11" s="38" customFormat="1" ht="24.75" customHeight="1" x14ac:dyDescent="0.25">
      <c r="A25" s="35" t="s">
        <v>711</v>
      </c>
      <c r="B25" s="39" t="s">
        <v>715</v>
      </c>
      <c r="C25" s="39"/>
      <c r="D25" s="39"/>
      <c r="E25" s="39"/>
    </row>
    <row r="26" spans="1:11" s="38" customFormat="1" ht="24.75" customHeight="1" x14ac:dyDescent="0.25">
      <c r="A26" s="35">
        <v>2</v>
      </c>
      <c r="B26" s="36" t="s">
        <v>712</v>
      </c>
      <c r="C26" s="36"/>
      <c r="D26" s="36"/>
      <c r="E26" s="39"/>
    </row>
    <row r="27" spans="1:11" s="38" customFormat="1" ht="24.75" customHeight="1" x14ac:dyDescent="0.25">
      <c r="A27" s="35"/>
      <c r="B27" s="36" t="s">
        <v>724</v>
      </c>
      <c r="C27" s="36"/>
      <c r="D27" s="36"/>
      <c r="E27" s="39"/>
    </row>
    <row r="28" spans="1:11" ht="22.5" customHeight="1" x14ac:dyDescent="0.25">
      <c r="A28" s="40"/>
      <c r="B28" s="41"/>
      <c r="C28" s="41"/>
      <c r="D28" s="41"/>
      <c r="E28" s="42"/>
    </row>
    <row r="29" spans="1:11" ht="24" customHeight="1" x14ac:dyDescent="0.25">
      <c r="B29" s="4675"/>
      <c r="C29" s="4675"/>
      <c r="D29" s="4675"/>
      <c r="E29" s="4675"/>
      <c r="F29" s="43"/>
      <c r="G29" s="43"/>
      <c r="H29" s="43"/>
      <c r="I29" s="43"/>
      <c r="J29" s="43"/>
      <c r="K29" s="43"/>
    </row>
    <row r="30" spans="1:11" ht="21" customHeight="1" x14ac:dyDescent="0.25">
      <c r="B30" s="25"/>
      <c r="C30" s="4668" t="s">
        <v>634</v>
      </c>
      <c r="D30" s="4668"/>
      <c r="E30" s="4668"/>
      <c r="F30" s="4668"/>
      <c r="G30" s="25"/>
      <c r="H30" s="25"/>
      <c r="I30" s="25"/>
      <c r="J30" s="25"/>
      <c r="K30" s="25"/>
    </row>
    <row r="31" spans="1:11" ht="18.75" customHeight="1" x14ac:dyDescent="0.3">
      <c r="B31" s="44"/>
      <c r="C31" s="4669" t="s">
        <v>580</v>
      </c>
      <c r="D31" s="4669"/>
      <c r="E31" s="4669"/>
      <c r="F31" s="4669"/>
    </row>
    <row r="32" spans="1:11" ht="18" customHeight="1" x14ac:dyDescent="0.3">
      <c r="B32" s="44"/>
      <c r="C32" s="4669" t="s">
        <v>581</v>
      </c>
      <c r="D32" s="4669"/>
      <c r="E32" s="4669"/>
      <c r="F32" s="4669"/>
    </row>
    <row r="33" spans="2:6" ht="18" customHeight="1" x14ac:dyDescent="0.3">
      <c r="B33" s="45"/>
      <c r="C33" s="4667" t="s">
        <v>582</v>
      </c>
      <c r="D33" s="4667"/>
      <c r="E33" s="4667"/>
      <c r="F33" s="4667"/>
    </row>
    <row r="34" spans="2:6" ht="18" customHeight="1" x14ac:dyDescent="0.3">
      <c r="B34" s="45"/>
      <c r="C34" s="45"/>
      <c r="D34" s="45"/>
      <c r="E34" s="45"/>
    </row>
    <row r="35" spans="2:6" ht="18" customHeight="1" x14ac:dyDescent="0.3">
      <c r="B35" s="46"/>
      <c r="C35" s="46"/>
      <c r="D35" s="46"/>
      <c r="E35" s="47"/>
    </row>
    <row r="36" spans="2:6" ht="18" customHeight="1" x14ac:dyDescent="0.3">
      <c r="B36" s="44"/>
      <c r="C36" s="44"/>
      <c r="D36" s="44"/>
      <c r="E36" s="44"/>
    </row>
    <row r="37" spans="2:6" ht="31.5" customHeight="1" x14ac:dyDescent="0.25"/>
  </sheetData>
  <mergeCells count="12">
    <mergeCell ref="A1:B1"/>
    <mergeCell ref="A2:E2"/>
    <mergeCell ref="A3:E3"/>
    <mergeCell ref="B4:E4"/>
    <mergeCell ref="A5:A6"/>
    <mergeCell ref="B5:B6"/>
    <mergeCell ref="C5:E5"/>
    <mergeCell ref="C30:F30"/>
    <mergeCell ref="C31:F31"/>
    <mergeCell ref="C32:F32"/>
    <mergeCell ref="C33:F33"/>
    <mergeCell ref="B29:E29"/>
  </mergeCells>
  <phoneticPr fontId="70" type="noConversion"/>
  <pageMargins left="0.7" right="0.2" top="0.75" bottom="0.75" header="0.45" footer="0.3"/>
  <pageSetup paperSize="9" firstPageNumber="199" orientation="portrait" useFirstPageNumber="1" r:id="rId1"/>
  <headerFooter>
    <oddHeader>&amp;RBiểu số 5.38</oddHeader>
    <oddFooter>&amp;C&amp;P</oddFooter>
  </headerFooter>
  <legacy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7030A0"/>
  </sheetPr>
  <dimension ref="A1:J121"/>
  <sheetViews>
    <sheetView zoomScale="80" zoomScaleNormal="80" workbookViewId="0">
      <selection activeCell="B20" sqref="B20"/>
    </sheetView>
  </sheetViews>
  <sheetFormatPr defaultColWidth="9.140625" defaultRowHeight="16.5" x14ac:dyDescent="0.25"/>
  <cols>
    <col min="1" max="1" width="6" style="98" customWidth="1"/>
    <col min="2" max="2" width="49.85546875" style="98" customWidth="1"/>
    <col min="3" max="3" width="6" style="98" customWidth="1"/>
    <col min="4" max="4" width="9.140625" style="98"/>
    <col min="5" max="5" width="12.5703125" style="98" customWidth="1"/>
    <col min="6" max="6" width="11" style="98" customWidth="1"/>
    <col min="7" max="7" width="11.140625" style="98" customWidth="1"/>
    <col min="8" max="8" width="13.28515625" style="98" customWidth="1"/>
    <col min="9" max="9" width="11.140625" style="98" customWidth="1"/>
    <col min="10" max="10" width="12.28515625" style="98" customWidth="1"/>
    <col min="11" max="16384" width="9.140625" style="98"/>
  </cols>
  <sheetData>
    <row r="1" spans="1:10" ht="17.25" customHeight="1" x14ac:dyDescent="0.25">
      <c r="A1" s="4688" t="s">
        <v>283</v>
      </c>
      <c r="B1" s="4688"/>
      <c r="G1" s="4689"/>
      <c r="H1" s="4689"/>
      <c r="I1" s="4689"/>
      <c r="J1" s="4689"/>
    </row>
    <row r="2" spans="1:10" ht="17.25" customHeight="1" x14ac:dyDescent="0.25">
      <c r="A2" s="4688" t="s">
        <v>284</v>
      </c>
      <c r="B2" s="4688"/>
      <c r="F2" s="99"/>
      <c r="G2" s="4689"/>
      <c r="H2" s="4689"/>
      <c r="I2" s="4689"/>
      <c r="J2" s="4689"/>
    </row>
    <row r="3" spans="1:10" ht="17.25" customHeight="1" x14ac:dyDescent="0.25">
      <c r="A3" s="4688" t="s">
        <v>285</v>
      </c>
      <c r="B3" s="4688"/>
      <c r="F3" s="99"/>
      <c r="G3" s="4689"/>
      <c r="H3" s="4689"/>
      <c r="I3" s="4689"/>
      <c r="J3" s="4689"/>
    </row>
    <row r="4" spans="1:10" ht="19.5" x14ac:dyDescent="0.25">
      <c r="A4" s="4690" t="s">
        <v>286</v>
      </c>
      <c r="B4" s="4690"/>
      <c r="C4" s="4690"/>
      <c r="D4" s="4690"/>
      <c r="E4" s="4690"/>
      <c r="F4" s="4690"/>
      <c r="G4" s="4690"/>
      <c r="H4" s="4690"/>
      <c r="I4" s="4690"/>
      <c r="J4" s="4690"/>
    </row>
    <row r="5" spans="1:10" ht="18.75" x14ac:dyDescent="0.25">
      <c r="A5" s="4687" t="s">
        <v>287</v>
      </c>
      <c r="B5" s="4687"/>
      <c r="C5" s="4687"/>
      <c r="D5" s="4687"/>
      <c r="E5" s="4687"/>
      <c r="F5" s="4687"/>
      <c r="G5" s="4687"/>
      <c r="H5" s="4687"/>
      <c r="I5" s="4687"/>
      <c r="J5" s="4687"/>
    </row>
    <row r="6" spans="1:10" x14ac:dyDescent="0.25">
      <c r="H6" s="4684" t="s">
        <v>192</v>
      </c>
      <c r="I6" s="4684"/>
      <c r="J6" s="4684"/>
    </row>
    <row r="7" spans="1:10" s="1" customFormat="1" ht="19.5" customHeight="1" x14ac:dyDescent="0.25">
      <c r="A7" s="4672" t="s">
        <v>844</v>
      </c>
      <c r="B7" s="4672" t="s">
        <v>288</v>
      </c>
      <c r="C7" s="4672" t="s">
        <v>289</v>
      </c>
      <c r="D7" s="4672" t="s">
        <v>886</v>
      </c>
      <c r="E7" s="4672" t="s">
        <v>290</v>
      </c>
      <c r="F7" s="4672"/>
      <c r="G7" s="4672"/>
      <c r="H7" s="4672" t="s">
        <v>290</v>
      </c>
      <c r="I7" s="4672"/>
      <c r="J7" s="4672"/>
    </row>
    <row r="8" spans="1:10" s="1" customFormat="1" ht="28.5" x14ac:dyDescent="0.25">
      <c r="A8" s="4672"/>
      <c r="B8" s="4672"/>
      <c r="C8" s="4672"/>
      <c r="D8" s="4672"/>
      <c r="E8" s="79" t="s">
        <v>886</v>
      </c>
      <c r="F8" s="79" t="s">
        <v>291</v>
      </c>
      <c r="G8" s="79" t="s">
        <v>292</v>
      </c>
      <c r="H8" s="79" t="s">
        <v>886</v>
      </c>
      <c r="I8" s="79" t="s">
        <v>291</v>
      </c>
      <c r="J8" s="79" t="s">
        <v>291</v>
      </c>
    </row>
    <row r="9" spans="1:10" s="1" customFormat="1" ht="20.25" customHeight="1" x14ac:dyDescent="0.25">
      <c r="A9" s="88" t="s">
        <v>847</v>
      </c>
      <c r="B9" s="88" t="s">
        <v>848</v>
      </c>
      <c r="C9" s="88" t="s">
        <v>904</v>
      </c>
      <c r="D9" s="88">
        <v>1</v>
      </c>
      <c r="E9" s="88">
        <v>2</v>
      </c>
      <c r="F9" s="88">
        <v>3</v>
      </c>
      <c r="G9" s="88">
        <v>4</v>
      </c>
      <c r="H9" s="88">
        <v>5</v>
      </c>
      <c r="I9" s="88">
        <v>6</v>
      </c>
      <c r="J9" s="88">
        <v>7</v>
      </c>
    </row>
    <row r="10" spans="1:10" s="1" customFormat="1" ht="21.75" customHeight="1" x14ac:dyDescent="0.25">
      <c r="A10" s="168" t="s">
        <v>847</v>
      </c>
      <c r="B10" s="169" t="s">
        <v>293</v>
      </c>
      <c r="C10" s="168"/>
      <c r="D10" s="168"/>
      <c r="E10" s="168"/>
      <c r="F10" s="168"/>
      <c r="G10" s="168"/>
      <c r="H10" s="168"/>
      <c r="I10" s="168"/>
      <c r="J10" s="168"/>
    </row>
    <row r="11" spans="1:10" s="1" customFormat="1" ht="15" x14ac:dyDescent="0.25">
      <c r="A11" s="170" t="s">
        <v>849</v>
      </c>
      <c r="B11" s="90" t="s">
        <v>1333</v>
      </c>
      <c r="C11" s="170"/>
      <c r="D11" s="170"/>
      <c r="E11" s="170"/>
      <c r="F11" s="170"/>
      <c r="G11" s="170"/>
      <c r="H11" s="170"/>
      <c r="I11" s="170"/>
      <c r="J11" s="170"/>
    </row>
    <row r="12" spans="1:10" s="1" customFormat="1" ht="15" x14ac:dyDescent="0.25">
      <c r="A12" s="170">
        <v>1</v>
      </c>
      <c r="B12" s="90" t="s">
        <v>1334</v>
      </c>
      <c r="C12" s="171">
        <v>1</v>
      </c>
      <c r="D12" s="170"/>
      <c r="E12" s="170"/>
      <c r="F12" s="170"/>
      <c r="G12" s="170"/>
      <c r="H12" s="170"/>
      <c r="I12" s="170"/>
      <c r="J12" s="170"/>
    </row>
    <row r="13" spans="1:10" s="1" customFormat="1" ht="15" x14ac:dyDescent="0.25">
      <c r="A13" s="172" t="s">
        <v>851</v>
      </c>
      <c r="B13" s="92" t="s">
        <v>1335</v>
      </c>
      <c r="C13" s="171">
        <v>2</v>
      </c>
      <c r="D13" s="172"/>
      <c r="E13" s="172"/>
      <c r="F13" s="172"/>
      <c r="G13" s="172"/>
      <c r="H13" s="172"/>
      <c r="I13" s="172"/>
      <c r="J13" s="172"/>
    </row>
    <row r="14" spans="1:10" s="1" customFormat="1" ht="15" x14ac:dyDescent="0.25">
      <c r="A14" s="171"/>
      <c r="B14" s="83" t="s">
        <v>1336</v>
      </c>
      <c r="C14" s="171">
        <v>3</v>
      </c>
      <c r="D14" s="171"/>
      <c r="E14" s="171"/>
      <c r="F14" s="171"/>
      <c r="G14" s="171"/>
      <c r="H14" s="171"/>
      <c r="I14" s="171"/>
      <c r="J14" s="171"/>
    </row>
    <row r="15" spans="1:10" s="1" customFormat="1" ht="15" x14ac:dyDescent="0.25">
      <c r="A15" s="171"/>
      <c r="B15" s="83" t="s">
        <v>1337</v>
      </c>
      <c r="C15" s="171">
        <v>4</v>
      </c>
      <c r="D15" s="171"/>
      <c r="E15" s="171"/>
      <c r="F15" s="171"/>
      <c r="G15" s="171"/>
      <c r="H15" s="171"/>
      <c r="I15" s="171"/>
      <c r="J15" s="171"/>
    </row>
    <row r="16" spans="1:10" s="1" customFormat="1" ht="30" x14ac:dyDescent="0.25">
      <c r="A16" s="172" t="s">
        <v>897</v>
      </c>
      <c r="B16" s="92" t="s">
        <v>1338</v>
      </c>
      <c r="C16" s="172">
        <v>5</v>
      </c>
      <c r="D16" s="172"/>
      <c r="E16" s="172"/>
      <c r="F16" s="172"/>
      <c r="G16" s="172"/>
      <c r="H16" s="172"/>
      <c r="I16" s="172"/>
      <c r="J16" s="172"/>
    </row>
    <row r="17" spans="1:10" s="1" customFormat="1" ht="15" x14ac:dyDescent="0.25">
      <c r="A17" s="171"/>
      <c r="B17" s="83" t="s">
        <v>1336</v>
      </c>
      <c r="C17" s="171">
        <v>6</v>
      </c>
      <c r="D17" s="171"/>
      <c r="E17" s="171"/>
      <c r="F17" s="171"/>
      <c r="G17" s="171"/>
      <c r="H17" s="171"/>
      <c r="I17" s="171"/>
      <c r="J17" s="171"/>
    </row>
    <row r="18" spans="1:10" s="1" customFormat="1" ht="15" x14ac:dyDescent="0.25">
      <c r="A18" s="171"/>
      <c r="B18" s="83" t="s">
        <v>1337</v>
      </c>
      <c r="C18" s="171">
        <v>7</v>
      </c>
      <c r="D18" s="171"/>
      <c r="E18" s="171"/>
      <c r="F18" s="171"/>
      <c r="G18" s="171"/>
      <c r="H18" s="171"/>
      <c r="I18" s="171"/>
      <c r="J18" s="171"/>
    </row>
    <row r="19" spans="1:10" s="1" customFormat="1" ht="15" x14ac:dyDescent="0.25">
      <c r="A19" s="170">
        <v>2</v>
      </c>
      <c r="B19" s="90" t="s">
        <v>1339</v>
      </c>
      <c r="C19" s="170">
        <v>8</v>
      </c>
      <c r="D19" s="172"/>
      <c r="E19" s="172"/>
      <c r="F19" s="172"/>
      <c r="G19" s="172"/>
      <c r="H19" s="172"/>
      <c r="I19" s="172"/>
      <c r="J19" s="172"/>
    </row>
    <row r="20" spans="1:10" s="1" customFormat="1" ht="15" x14ac:dyDescent="0.25">
      <c r="A20" s="171"/>
      <c r="B20" s="92" t="s">
        <v>277</v>
      </c>
      <c r="C20" s="171">
        <v>9</v>
      </c>
      <c r="D20" s="171"/>
      <c r="E20" s="171"/>
      <c r="F20" s="171"/>
      <c r="G20" s="171"/>
      <c r="H20" s="171"/>
      <c r="I20" s="171"/>
      <c r="J20" s="171"/>
    </row>
    <row r="21" spans="1:10" s="1" customFormat="1" ht="15" x14ac:dyDescent="0.25">
      <c r="A21" s="171"/>
      <c r="B21" s="92" t="s">
        <v>278</v>
      </c>
      <c r="C21" s="171">
        <v>10</v>
      </c>
      <c r="D21" s="171"/>
      <c r="E21" s="171"/>
      <c r="F21" s="171"/>
      <c r="G21" s="171"/>
      <c r="H21" s="171"/>
      <c r="I21" s="171"/>
      <c r="J21" s="171"/>
    </row>
    <row r="22" spans="1:10" s="1" customFormat="1" ht="15" x14ac:dyDescent="0.25">
      <c r="A22" s="170">
        <v>3</v>
      </c>
      <c r="B22" s="90" t="s">
        <v>1340</v>
      </c>
      <c r="C22" s="171">
        <v>11</v>
      </c>
      <c r="D22" s="170"/>
      <c r="E22" s="170"/>
      <c r="F22" s="170"/>
      <c r="G22" s="170"/>
      <c r="H22" s="170"/>
      <c r="I22" s="170"/>
      <c r="J22" s="170"/>
    </row>
    <row r="23" spans="1:10" s="1" customFormat="1" ht="15" x14ac:dyDescent="0.25">
      <c r="A23" s="171"/>
      <c r="B23" s="92" t="s">
        <v>1341</v>
      </c>
      <c r="C23" s="171" t="s">
        <v>738</v>
      </c>
      <c r="D23" s="171"/>
      <c r="E23" s="171"/>
      <c r="F23" s="171"/>
      <c r="G23" s="171"/>
      <c r="H23" s="171"/>
      <c r="I23" s="171"/>
      <c r="J23" s="171"/>
    </row>
    <row r="24" spans="1:10" s="1" customFormat="1" ht="30" x14ac:dyDescent="0.25">
      <c r="A24" s="171"/>
      <c r="B24" s="92" t="s">
        <v>279</v>
      </c>
      <c r="C24" s="171" t="s">
        <v>1523</v>
      </c>
      <c r="D24" s="171"/>
      <c r="E24" s="171"/>
      <c r="F24" s="171"/>
      <c r="G24" s="171"/>
      <c r="H24" s="171"/>
      <c r="I24" s="171"/>
      <c r="J24" s="171"/>
    </row>
    <row r="25" spans="1:10" s="1" customFormat="1" ht="15" x14ac:dyDescent="0.25">
      <c r="A25" s="170">
        <v>4</v>
      </c>
      <c r="B25" s="90" t="s">
        <v>1342</v>
      </c>
      <c r="C25" s="171">
        <v>14</v>
      </c>
      <c r="D25" s="170"/>
      <c r="E25" s="170"/>
      <c r="F25" s="170"/>
      <c r="G25" s="170"/>
      <c r="H25" s="170"/>
      <c r="I25" s="170"/>
      <c r="J25" s="170"/>
    </row>
    <row r="26" spans="1:10" s="1" customFormat="1" ht="15" x14ac:dyDescent="0.25">
      <c r="A26" s="172"/>
      <c r="B26" s="92" t="s">
        <v>277</v>
      </c>
      <c r="C26" s="171">
        <v>15</v>
      </c>
      <c r="D26" s="171"/>
      <c r="E26" s="171"/>
      <c r="F26" s="171"/>
      <c r="G26" s="171"/>
      <c r="H26" s="171"/>
      <c r="I26" s="171"/>
      <c r="J26" s="171"/>
    </row>
    <row r="27" spans="1:10" s="1" customFormat="1" ht="15" x14ac:dyDescent="0.25">
      <c r="A27" s="172"/>
      <c r="B27" s="92" t="s">
        <v>278</v>
      </c>
      <c r="C27" s="171">
        <v>16</v>
      </c>
      <c r="D27" s="171"/>
      <c r="E27" s="171"/>
      <c r="F27" s="171"/>
      <c r="G27" s="171"/>
      <c r="H27" s="171"/>
      <c r="I27" s="171"/>
      <c r="J27" s="171"/>
    </row>
    <row r="28" spans="1:10" s="1" customFormat="1" ht="15" x14ac:dyDescent="0.25">
      <c r="A28" s="170">
        <v>5</v>
      </c>
      <c r="B28" s="90" t="s">
        <v>1343</v>
      </c>
      <c r="C28" s="171">
        <v>17</v>
      </c>
      <c r="D28" s="171"/>
      <c r="E28" s="171"/>
      <c r="F28" s="171"/>
      <c r="G28" s="171"/>
      <c r="H28" s="171"/>
      <c r="I28" s="171"/>
      <c r="J28" s="171"/>
    </row>
    <row r="29" spans="1:10" s="1" customFormat="1" ht="15" x14ac:dyDescent="0.25">
      <c r="A29" s="172"/>
      <c r="B29" s="92" t="s">
        <v>277</v>
      </c>
      <c r="C29" s="171">
        <v>18</v>
      </c>
      <c r="D29" s="171"/>
      <c r="E29" s="171"/>
      <c r="F29" s="171"/>
      <c r="G29" s="171"/>
      <c r="H29" s="171"/>
      <c r="I29" s="171"/>
      <c r="J29" s="171"/>
    </row>
    <row r="30" spans="1:10" s="1" customFormat="1" ht="15" x14ac:dyDescent="0.25">
      <c r="A30" s="172"/>
      <c r="B30" s="92" t="s">
        <v>278</v>
      </c>
      <c r="C30" s="171">
        <v>19</v>
      </c>
      <c r="D30" s="171"/>
      <c r="E30" s="171"/>
      <c r="F30" s="171"/>
      <c r="G30" s="171"/>
      <c r="H30" s="171"/>
      <c r="I30" s="171"/>
      <c r="J30" s="171"/>
    </row>
    <row r="31" spans="1:10" s="1" customFormat="1" ht="15" x14ac:dyDescent="0.25">
      <c r="A31" s="170">
        <v>6</v>
      </c>
      <c r="B31" s="90" t="s">
        <v>1344</v>
      </c>
      <c r="C31" s="171">
        <v>20</v>
      </c>
      <c r="D31" s="171"/>
      <c r="E31" s="171"/>
      <c r="F31" s="171"/>
      <c r="G31" s="171"/>
      <c r="H31" s="171"/>
      <c r="I31" s="171"/>
      <c r="J31" s="171"/>
    </row>
    <row r="32" spans="1:10" s="1" customFormat="1" ht="15" x14ac:dyDescent="0.25">
      <c r="A32" s="172" t="s">
        <v>1345</v>
      </c>
      <c r="B32" s="92" t="s">
        <v>1561</v>
      </c>
      <c r="C32" s="171">
        <v>21</v>
      </c>
      <c r="D32" s="171"/>
      <c r="E32" s="171"/>
      <c r="F32" s="171"/>
      <c r="G32" s="171"/>
      <c r="H32" s="171"/>
      <c r="I32" s="171"/>
      <c r="J32" s="171"/>
    </row>
    <row r="33" spans="1:10" s="1" customFormat="1" ht="21.75" customHeight="1" x14ac:dyDescent="0.25">
      <c r="A33" s="171"/>
      <c r="B33" s="83" t="s">
        <v>1562</v>
      </c>
      <c r="C33" s="171">
        <v>22</v>
      </c>
      <c r="D33" s="171"/>
      <c r="E33" s="171"/>
      <c r="F33" s="171"/>
      <c r="G33" s="171"/>
      <c r="H33" s="171"/>
      <c r="I33" s="171"/>
      <c r="J33" s="171"/>
    </row>
    <row r="34" spans="1:10" s="1" customFormat="1" ht="15" x14ac:dyDescent="0.25">
      <c r="A34" s="171"/>
      <c r="B34" s="83" t="s">
        <v>1563</v>
      </c>
      <c r="C34" s="171" t="s">
        <v>1564</v>
      </c>
      <c r="D34" s="171"/>
      <c r="E34" s="171"/>
      <c r="F34" s="171"/>
      <c r="G34" s="171"/>
      <c r="H34" s="171"/>
      <c r="I34" s="171"/>
      <c r="J34" s="171"/>
    </row>
    <row r="35" spans="1:10" s="1" customFormat="1" ht="15" x14ac:dyDescent="0.25">
      <c r="A35" s="171"/>
      <c r="B35" s="83" t="s">
        <v>1565</v>
      </c>
      <c r="C35" s="171" t="s">
        <v>1566</v>
      </c>
      <c r="D35" s="171"/>
      <c r="E35" s="171"/>
      <c r="F35" s="171"/>
      <c r="G35" s="171"/>
      <c r="H35" s="171"/>
      <c r="I35" s="171"/>
      <c r="J35" s="171"/>
    </row>
    <row r="36" spans="1:10" s="1" customFormat="1" ht="30" x14ac:dyDescent="0.25">
      <c r="A36" s="172" t="s">
        <v>1567</v>
      </c>
      <c r="B36" s="92" t="s">
        <v>1568</v>
      </c>
      <c r="C36" s="171">
        <v>25</v>
      </c>
      <c r="D36" s="171"/>
      <c r="E36" s="171"/>
      <c r="F36" s="171"/>
      <c r="G36" s="171"/>
      <c r="H36" s="171"/>
      <c r="I36" s="171"/>
      <c r="J36" s="171"/>
    </row>
    <row r="37" spans="1:10" s="1" customFormat="1" ht="15" x14ac:dyDescent="0.25">
      <c r="A37" s="171"/>
      <c r="B37" s="83" t="s">
        <v>1562</v>
      </c>
      <c r="C37" s="171">
        <v>26</v>
      </c>
      <c r="D37" s="171"/>
      <c r="E37" s="171"/>
      <c r="F37" s="171"/>
      <c r="G37" s="171"/>
      <c r="H37" s="171"/>
      <c r="I37" s="171"/>
      <c r="J37" s="171"/>
    </row>
    <row r="38" spans="1:10" s="1" customFormat="1" ht="15" x14ac:dyDescent="0.25">
      <c r="A38" s="171"/>
      <c r="B38" s="83" t="s">
        <v>1569</v>
      </c>
      <c r="C38" s="171" t="s">
        <v>1570</v>
      </c>
      <c r="D38" s="171"/>
      <c r="E38" s="171"/>
      <c r="F38" s="171"/>
      <c r="G38" s="171"/>
      <c r="H38" s="171"/>
      <c r="I38" s="171"/>
      <c r="J38" s="171"/>
    </row>
    <row r="39" spans="1:10" s="1" customFormat="1" ht="15" x14ac:dyDescent="0.25">
      <c r="A39" s="171"/>
      <c r="B39" s="83" t="s">
        <v>1571</v>
      </c>
      <c r="C39" s="171" t="s">
        <v>1572</v>
      </c>
      <c r="D39" s="171"/>
      <c r="E39" s="171"/>
      <c r="F39" s="171"/>
      <c r="G39" s="171"/>
      <c r="H39" s="171"/>
      <c r="I39" s="171"/>
      <c r="J39" s="171"/>
    </row>
    <row r="40" spans="1:10" s="1" customFormat="1" ht="28.5" x14ac:dyDescent="0.25">
      <c r="A40" s="170">
        <v>7</v>
      </c>
      <c r="B40" s="90" t="s">
        <v>1573</v>
      </c>
      <c r="C40" s="171">
        <v>29</v>
      </c>
      <c r="D40" s="171"/>
      <c r="E40" s="171"/>
      <c r="F40" s="171"/>
      <c r="G40" s="171"/>
      <c r="H40" s="171"/>
      <c r="I40" s="171"/>
      <c r="J40" s="171"/>
    </row>
    <row r="41" spans="1:10" s="1" customFormat="1" ht="15" x14ac:dyDescent="0.25">
      <c r="A41" s="172" t="s">
        <v>1574</v>
      </c>
      <c r="B41" s="92" t="s">
        <v>1575</v>
      </c>
      <c r="C41" s="171">
        <v>30</v>
      </c>
      <c r="D41" s="171"/>
      <c r="E41" s="171"/>
      <c r="F41" s="171"/>
      <c r="G41" s="171"/>
      <c r="H41" s="171"/>
      <c r="I41" s="171"/>
      <c r="J41" s="171"/>
    </row>
    <row r="42" spans="1:10" s="1" customFormat="1" ht="18.75" customHeight="1" x14ac:dyDescent="0.25">
      <c r="A42" s="171"/>
      <c r="B42" s="83" t="s">
        <v>1336</v>
      </c>
      <c r="C42" s="171">
        <v>31</v>
      </c>
      <c r="D42" s="171"/>
      <c r="E42" s="171"/>
      <c r="F42" s="171"/>
      <c r="G42" s="171"/>
      <c r="H42" s="171"/>
      <c r="I42" s="171"/>
      <c r="J42" s="171"/>
    </row>
    <row r="43" spans="1:10" s="1" customFormat="1" ht="18.75" customHeight="1" x14ac:dyDescent="0.25">
      <c r="A43" s="171"/>
      <c r="B43" s="83" t="s">
        <v>1337</v>
      </c>
      <c r="C43" s="171">
        <v>32</v>
      </c>
      <c r="D43" s="171"/>
      <c r="E43" s="171"/>
      <c r="F43" s="171"/>
      <c r="G43" s="171"/>
      <c r="H43" s="171"/>
      <c r="I43" s="171"/>
      <c r="J43" s="171"/>
    </row>
    <row r="44" spans="1:10" s="1" customFormat="1" ht="30" x14ac:dyDescent="0.25">
      <c r="A44" s="172" t="s">
        <v>1576</v>
      </c>
      <c r="B44" s="92" t="s">
        <v>1577</v>
      </c>
      <c r="C44" s="171">
        <v>33</v>
      </c>
      <c r="D44" s="171"/>
      <c r="E44" s="171"/>
      <c r="F44" s="171"/>
      <c r="G44" s="171"/>
      <c r="H44" s="171"/>
      <c r="I44" s="171"/>
      <c r="J44" s="171"/>
    </row>
    <row r="45" spans="1:10" s="1" customFormat="1" ht="20.25" customHeight="1" x14ac:dyDescent="0.25">
      <c r="A45" s="171"/>
      <c r="B45" s="83" t="s">
        <v>1336</v>
      </c>
      <c r="C45" s="171">
        <v>34</v>
      </c>
      <c r="D45" s="171"/>
      <c r="E45" s="171"/>
      <c r="F45" s="171"/>
      <c r="G45" s="171"/>
      <c r="H45" s="171"/>
      <c r="I45" s="171"/>
      <c r="J45" s="171"/>
    </row>
    <row r="46" spans="1:10" s="1" customFormat="1" ht="19.5" customHeight="1" x14ac:dyDescent="0.25">
      <c r="A46" s="171"/>
      <c r="B46" s="83" t="s">
        <v>1337</v>
      </c>
      <c r="C46" s="171">
        <v>35</v>
      </c>
      <c r="D46" s="171"/>
      <c r="E46" s="171"/>
      <c r="F46" s="171"/>
      <c r="G46" s="171"/>
      <c r="H46" s="171"/>
      <c r="I46" s="171"/>
      <c r="J46" s="171"/>
    </row>
    <row r="47" spans="1:10" s="1" customFormat="1" ht="21" customHeight="1" x14ac:dyDescent="0.25">
      <c r="A47" s="170" t="s">
        <v>866</v>
      </c>
      <c r="B47" s="90" t="s">
        <v>1578</v>
      </c>
      <c r="C47" s="170"/>
      <c r="D47" s="170"/>
      <c r="E47" s="170"/>
      <c r="F47" s="170"/>
      <c r="G47" s="170"/>
      <c r="H47" s="170"/>
      <c r="I47" s="170"/>
      <c r="J47" s="170"/>
    </row>
    <row r="48" spans="1:10" s="1" customFormat="1" ht="15" x14ac:dyDescent="0.25">
      <c r="A48" s="170">
        <v>1</v>
      </c>
      <c r="B48" s="90" t="s">
        <v>405</v>
      </c>
      <c r="C48" s="171">
        <v>36</v>
      </c>
      <c r="D48" s="170"/>
      <c r="E48" s="170"/>
      <c r="F48" s="170"/>
      <c r="G48" s="170"/>
      <c r="H48" s="170"/>
      <c r="I48" s="170"/>
      <c r="J48" s="170"/>
    </row>
    <row r="49" spans="1:10" s="1" customFormat="1" ht="15" x14ac:dyDescent="0.25">
      <c r="A49" s="170">
        <v>2</v>
      </c>
      <c r="B49" s="90" t="s">
        <v>1090</v>
      </c>
      <c r="C49" s="171">
        <v>37</v>
      </c>
      <c r="D49" s="171"/>
      <c r="E49" s="171"/>
      <c r="F49" s="171"/>
      <c r="G49" s="171"/>
      <c r="H49" s="171"/>
      <c r="I49" s="171"/>
      <c r="J49" s="171"/>
    </row>
    <row r="50" spans="1:10" s="1" customFormat="1" ht="28.5" x14ac:dyDescent="0.25">
      <c r="A50" s="170">
        <v>3</v>
      </c>
      <c r="B50" s="90" t="s">
        <v>1091</v>
      </c>
      <c r="C50" s="171">
        <v>38</v>
      </c>
      <c r="D50" s="171"/>
      <c r="E50" s="171"/>
      <c r="F50" s="171"/>
      <c r="G50" s="171"/>
      <c r="H50" s="171"/>
      <c r="I50" s="171"/>
      <c r="J50" s="171"/>
    </row>
    <row r="51" spans="1:10" s="1" customFormat="1" ht="19.5" customHeight="1" x14ac:dyDescent="0.25">
      <c r="A51" s="171"/>
      <c r="B51" s="83" t="s">
        <v>1092</v>
      </c>
      <c r="C51" s="171">
        <v>39</v>
      </c>
      <c r="D51" s="171"/>
      <c r="E51" s="171"/>
      <c r="F51" s="171"/>
      <c r="G51" s="171"/>
      <c r="H51" s="171"/>
      <c r="I51" s="171"/>
      <c r="J51" s="171"/>
    </row>
    <row r="52" spans="1:10" s="1" customFormat="1" ht="19.5" customHeight="1" x14ac:dyDescent="0.25">
      <c r="A52" s="171"/>
      <c r="B52" s="83" t="s">
        <v>1093</v>
      </c>
      <c r="C52" s="171">
        <v>40</v>
      </c>
      <c r="D52" s="171"/>
      <c r="E52" s="171"/>
      <c r="F52" s="171"/>
      <c r="G52" s="171"/>
      <c r="H52" s="171"/>
      <c r="I52" s="171"/>
      <c r="J52" s="171"/>
    </row>
    <row r="53" spans="1:10" s="1" customFormat="1" ht="15" x14ac:dyDescent="0.25">
      <c r="A53" s="170">
        <v>4</v>
      </c>
      <c r="B53" s="90" t="s">
        <v>1094</v>
      </c>
      <c r="C53" s="171">
        <v>41</v>
      </c>
      <c r="D53" s="171"/>
      <c r="E53" s="171"/>
      <c r="F53" s="171"/>
      <c r="G53" s="171"/>
      <c r="H53" s="171"/>
      <c r="I53" s="171"/>
      <c r="J53" s="171"/>
    </row>
    <row r="54" spans="1:10" s="1" customFormat="1" ht="21.75" customHeight="1" x14ac:dyDescent="0.25">
      <c r="A54" s="170">
        <v>5</v>
      </c>
      <c r="B54" s="90" t="s">
        <v>989</v>
      </c>
      <c r="C54" s="171">
        <v>42</v>
      </c>
      <c r="D54" s="171"/>
      <c r="E54" s="171"/>
      <c r="F54" s="171"/>
      <c r="G54" s="171"/>
      <c r="H54" s="171"/>
      <c r="I54" s="171"/>
      <c r="J54" s="171"/>
    </row>
    <row r="55" spans="1:10" s="1" customFormat="1" ht="28.5" x14ac:dyDescent="0.25">
      <c r="A55" s="170">
        <v>6</v>
      </c>
      <c r="B55" s="90" t="s">
        <v>990</v>
      </c>
      <c r="C55" s="171">
        <v>43</v>
      </c>
      <c r="D55" s="171"/>
      <c r="E55" s="171"/>
      <c r="F55" s="171"/>
      <c r="G55" s="171"/>
      <c r="H55" s="171"/>
      <c r="I55" s="171"/>
      <c r="J55" s="171"/>
    </row>
    <row r="56" spans="1:10" s="1" customFormat="1" ht="15" x14ac:dyDescent="0.25">
      <c r="A56" s="170" t="s">
        <v>872</v>
      </c>
      <c r="B56" s="90" t="s">
        <v>991</v>
      </c>
      <c r="C56" s="171"/>
      <c r="D56" s="171"/>
      <c r="E56" s="171"/>
      <c r="F56" s="171"/>
      <c r="G56" s="171"/>
      <c r="H56" s="171"/>
      <c r="I56" s="171"/>
      <c r="J56" s="171"/>
    </row>
    <row r="57" spans="1:10" s="1" customFormat="1" ht="15" x14ac:dyDescent="0.25">
      <c r="A57" s="170">
        <v>1</v>
      </c>
      <c r="B57" s="90" t="s">
        <v>992</v>
      </c>
      <c r="C57" s="171">
        <v>44</v>
      </c>
      <c r="D57" s="171"/>
      <c r="E57" s="171"/>
      <c r="F57" s="171"/>
      <c r="G57" s="171"/>
      <c r="H57" s="171"/>
      <c r="I57" s="171"/>
      <c r="J57" s="171"/>
    </row>
    <row r="58" spans="1:10" s="1" customFormat="1" ht="21.75" customHeight="1" x14ac:dyDescent="0.25">
      <c r="A58" s="171"/>
      <c r="B58" s="83" t="s">
        <v>280</v>
      </c>
      <c r="C58" s="171">
        <v>45</v>
      </c>
      <c r="D58" s="171"/>
      <c r="E58" s="171"/>
      <c r="F58" s="171"/>
      <c r="G58" s="171"/>
      <c r="H58" s="171"/>
      <c r="I58" s="171"/>
      <c r="J58" s="171"/>
    </row>
    <row r="59" spans="1:10" s="1" customFormat="1" ht="21.75" customHeight="1" x14ac:dyDescent="0.25">
      <c r="A59" s="171"/>
      <c r="B59" s="83" t="s">
        <v>281</v>
      </c>
      <c r="C59" s="171">
        <v>46</v>
      </c>
      <c r="D59" s="171"/>
      <c r="E59" s="171"/>
      <c r="F59" s="171"/>
      <c r="G59" s="171"/>
      <c r="H59" s="171"/>
      <c r="I59" s="171"/>
      <c r="J59" s="171"/>
    </row>
    <row r="60" spans="1:10" s="1" customFormat="1" ht="15" x14ac:dyDescent="0.25">
      <c r="A60" s="170">
        <v>2</v>
      </c>
      <c r="B60" s="90" t="s">
        <v>1090</v>
      </c>
      <c r="C60" s="171">
        <v>47</v>
      </c>
      <c r="D60" s="171"/>
      <c r="E60" s="171"/>
      <c r="F60" s="171"/>
      <c r="G60" s="171"/>
      <c r="H60" s="171"/>
      <c r="I60" s="171"/>
      <c r="J60" s="171"/>
    </row>
    <row r="61" spans="1:10" s="1" customFormat="1" ht="15" x14ac:dyDescent="0.25">
      <c r="A61" s="170">
        <v>3</v>
      </c>
      <c r="B61" s="90" t="s">
        <v>993</v>
      </c>
      <c r="C61" s="171">
        <v>48</v>
      </c>
      <c r="D61" s="171"/>
      <c r="E61" s="171"/>
      <c r="F61" s="171"/>
      <c r="G61" s="171"/>
      <c r="H61" s="171"/>
      <c r="I61" s="171"/>
      <c r="J61" s="171"/>
    </row>
    <row r="62" spans="1:10" s="1" customFormat="1" ht="15" x14ac:dyDescent="0.25">
      <c r="A62" s="170">
        <v>4</v>
      </c>
      <c r="B62" s="90" t="s">
        <v>994</v>
      </c>
      <c r="C62" s="171">
        <v>49</v>
      </c>
      <c r="D62" s="171"/>
      <c r="E62" s="171"/>
      <c r="F62" s="171"/>
      <c r="G62" s="171"/>
      <c r="H62" s="171"/>
      <c r="I62" s="171"/>
      <c r="J62" s="171"/>
    </row>
    <row r="63" spans="1:10" s="1" customFormat="1" ht="15" x14ac:dyDescent="0.25">
      <c r="A63" s="171"/>
      <c r="B63" s="83" t="s">
        <v>282</v>
      </c>
      <c r="C63" s="171">
        <v>50</v>
      </c>
      <c r="D63" s="171"/>
      <c r="E63" s="171"/>
      <c r="F63" s="171"/>
      <c r="G63" s="171"/>
      <c r="H63" s="171"/>
      <c r="I63" s="171"/>
      <c r="J63" s="171"/>
    </row>
    <row r="64" spans="1:10" s="1" customFormat="1" ht="22.5" customHeight="1" x14ac:dyDescent="0.25">
      <c r="A64" s="171"/>
      <c r="B64" s="83" t="s">
        <v>995</v>
      </c>
      <c r="C64" s="171">
        <v>51</v>
      </c>
      <c r="D64" s="171"/>
      <c r="E64" s="171"/>
      <c r="F64" s="171"/>
      <c r="G64" s="171"/>
      <c r="H64" s="171"/>
      <c r="I64" s="171"/>
      <c r="J64" s="171"/>
    </row>
    <row r="65" spans="1:10" s="1" customFormat="1" ht="15" x14ac:dyDescent="0.25">
      <c r="A65" s="170">
        <v>5</v>
      </c>
      <c r="B65" s="90" t="s">
        <v>996</v>
      </c>
      <c r="C65" s="171">
        <v>52</v>
      </c>
      <c r="D65" s="171"/>
      <c r="E65" s="171"/>
      <c r="F65" s="171"/>
      <c r="G65" s="171"/>
      <c r="H65" s="171"/>
      <c r="I65" s="171"/>
      <c r="J65" s="171"/>
    </row>
    <row r="66" spans="1:10" s="1" customFormat="1" ht="15" x14ac:dyDescent="0.25">
      <c r="A66" s="170">
        <v>6</v>
      </c>
      <c r="B66" s="90" t="s">
        <v>997</v>
      </c>
      <c r="C66" s="171">
        <v>53</v>
      </c>
      <c r="D66" s="171"/>
      <c r="E66" s="171"/>
      <c r="F66" s="171"/>
      <c r="G66" s="171"/>
      <c r="H66" s="171"/>
      <c r="I66" s="171"/>
      <c r="J66" s="171"/>
    </row>
    <row r="67" spans="1:10" s="1" customFormat="1" ht="15" x14ac:dyDescent="0.25">
      <c r="A67" s="171"/>
      <c r="B67" s="83" t="s">
        <v>1562</v>
      </c>
      <c r="C67" s="171">
        <v>54</v>
      </c>
      <c r="D67" s="171"/>
      <c r="E67" s="171"/>
      <c r="F67" s="171"/>
      <c r="G67" s="171"/>
      <c r="H67" s="171"/>
      <c r="I67" s="171"/>
      <c r="J67" s="171"/>
    </row>
    <row r="68" spans="1:10" s="1" customFormat="1" ht="15" x14ac:dyDescent="0.25">
      <c r="A68" s="171"/>
      <c r="B68" s="83" t="s">
        <v>998</v>
      </c>
      <c r="C68" s="171" t="s">
        <v>999</v>
      </c>
      <c r="D68" s="171"/>
      <c r="E68" s="171"/>
      <c r="F68" s="171"/>
      <c r="G68" s="171"/>
      <c r="H68" s="171"/>
      <c r="I68" s="171"/>
      <c r="J68" s="171"/>
    </row>
    <row r="69" spans="1:10" s="1" customFormat="1" ht="15" x14ac:dyDescent="0.25">
      <c r="A69" s="171"/>
      <c r="B69" s="83" t="s">
        <v>1000</v>
      </c>
      <c r="C69" s="171" t="s">
        <v>1001</v>
      </c>
      <c r="D69" s="171"/>
      <c r="E69" s="171"/>
      <c r="F69" s="171"/>
      <c r="G69" s="171"/>
      <c r="H69" s="171"/>
      <c r="I69" s="171"/>
      <c r="J69" s="171"/>
    </row>
    <row r="70" spans="1:10" s="1" customFormat="1" ht="28.5" x14ac:dyDescent="0.25">
      <c r="A70" s="170">
        <v>7</v>
      </c>
      <c r="B70" s="90" t="s">
        <v>1002</v>
      </c>
      <c r="C70" s="171">
        <v>57</v>
      </c>
      <c r="D70" s="171"/>
      <c r="E70" s="171"/>
      <c r="F70" s="171"/>
      <c r="G70" s="171"/>
      <c r="H70" s="171"/>
      <c r="I70" s="171"/>
      <c r="J70" s="171"/>
    </row>
    <row r="71" spans="1:10" s="1" customFormat="1" ht="15" x14ac:dyDescent="0.25">
      <c r="A71" s="171"/>
      <c r="B71" s="83" t="s">
        <v>280</v>
      </c>
      <c r="C71" s="171">
        <v>58</v>
      </c>
      <c r="D71" s="171"/>
      <c r="E71" s="171"/>
      <c r="F71" s="171"/>
      <c r="G71" s="171"/>
      <c r="H71" s="171"/>
      <c r="I71" s="171"/>
      <c r="J71" s="171"/>
    </row>
    <row r="72" spans="1:10" s="1" customFormat="1" ht="15" x14ac:dyDescent="0.25">
      <c r="A72" s="171"/>
      <c r="B72" s="83" t="s">
        <v>281</v>
      </c>
      <c r="C72" s="171">
        <v>59</v>
      </c>
      <c r="D72" s="171"/>
      <c r="E72" s="171"/>
      <c r="F72" s="171"/>
      <c r="G72" s="171"/>
      <c r="H72" s="171"/>
      <c r="I72" s="171"/>
      <c r="J72" s="171"/>
    </row>
    <row r="73" spans="1:10" s="1" customFormat="1" ht="15" x14ac:dyDescent="0.25">
      <c r="A73" s="170">
        <v>8</v>
      </c>
      <c r="B73" s="90" t="s">
        <v>1003</v>
      </c>
      <c r="C73" s="171">
        <v>60</v>
      </c>
      <c r="D73" s="171"/>
      <c r="E73" s="171"/>
      <c r="F73" s="171"/>
      <c r="G73" s="171"/>
      <c r="H73" s="171"/>
      <c r="I73" s="171"/>
      <c r="J73" s="171"/>
    </row>
    <row r="74" spans="1:10" s="1" customFormat="1" ht="15" x14ac:dyDescent="0.25">
      <c r="A74" s="170" t="s">
        <v>848</v>
      </c>
      <c r="B74" s="90" t="s">
        <v>1514</v>
      </c>
      <c r="C74" s="171"/>
      <c r="D74" s="171"/>
      <c r="E74" s="171"/>
      <c r="F74" s="171"/>
      <c r="G74" s="171"/>
      <c r="H74" s="171"/>
      <c r="I74" s="171"/>
      <c r="J74" s="171"/>
    </row>
    <row r="75" spans="1:10" s="1" customFormat="1" ht="28.5" x14ac:dyDescent="0.25">
      <c r="A75" s="170">
        <v>1</v>
      </c>
      <c r="B75" s="90" t="s">
        <v>1004</v>
      </c>
      <c r="C75" s="171">
        <v>61</v>
      </c>
      <c r="D75" s="171"/>
      <c r="E75" s="171"/>
      <c r="F75" s="171"/>
      <c r="G75" s="171"/>
      <c r="H75" s="171"/>
      <c r="I75" s="171"/>
      <c r="J75" s="171"/>
    </row>
    <row r="76" spans="1:10" s="1" customFormat="1" ht="15" x14ac:dyDescent="0.25">
      <c r="A76" s="171"/>
      <c r="B76" s="92" t="s">
        <v>277</v>
      </c>
      <c r="C76" s="171">
        <v>62</v>
      </c>
      <c r="D76" s="171"/>
      <c r="E76" s="171"/>
      <c r="F76" s="171"/>
      <c r="G76" s="171"/>
      <c r="H76" s="171"/>
      <c r="I76" s="171"/>
      <c r="J76" s="171"/>
    </row>
    <row r="77" spans="1:10" s="1" customFormat="1" ht="15" x14ac:dyDescent="0.25">
      <c r="A77" s="171"/>
      <c r="B77" s="92" t="s">
        <v>278</v>
      </c>
      <c r="C77" s="171">
        <v>63</v>
      </c>
      <c r="D77" s="171"/>
      <c r="E77" s="171"/>
      <c r="F77" s="171"/>
      <c r="G77" s="171"/>
      <c r="H77" s="171"/>
      <c r="I77" s="171"/>
      <c r="J77" s="171"/>
    </row>
    <row r="78" spans="1:10" s="1" customFormat="1" ht="15" x14ac:dyDescent="0.25">
      <c r="A78" s="170">
        <v>2</v>
      </c>
      <c r="B78" s="90" t="s">
        <v>1005</v>
      </c>
      <c r="C78" s="171">
        <v>64</v>
      </c>
      <c r="D78" s="171"/>
      <c r="E78" s="171"/>
      <c r="F78" s="171"/>
      <c r="G78" s="171"/>
      <c r="H78" s="171"/>
      <c r="I78" s="171"/>
      <c r="J78" s="171"/>
    </row>
    <row r="79" spans="1:10" s="1" customFormat="1" ht="15" x14ac:dyDescent="0.25">
      <c r="A79" s="171"/>
      <c r="B79" s="92" t="s">
        <v>277</v>
      </c>
      <c r="C79" s="171">
        <v>65</v>
      </c>
      <c r="D79" s="171"/>
      <c r="E79" s="171"/>
      <c r="F79" s="171"/>
      <c r="G79" s="171"/>
      <c r="H79" s="171"/>
      <c r="I79" s="171"/>
      <c r="J79" s="171"/>
    </row>
    <row r="80" spans="1:10" s="1" customFormat="1" ht="15" x14ac:dyDescent="0.25">
      <c r="A80" s="171"/>
      <c r="B80" s="92" t="s">
        <v>278</v>
      </c>
      <c r="C80" s="171">
        <v>66</v>
      </c>
      <c r="D80" s="171"/>
      <c r="E80" s="171"/>
      <c r="F80" s="171"/>
      <c r="G80" s="171"/>
      <c r="H80" s="171"/>
      <c r="I80" s="171"/>
      <c r="J80" s="171"/>
    </row>
    <row r="81" spans="1:10" s="1" customFormat="1" ht="15" x14ac:dyDescent="0.25">
      <c r="A81" s="170">
        <v>3</v>
      </c>
      <c r="B81" s="90" t="s">
        <v>1006</v>
      </c>
      <c r="C81" s="171">
        <v>67</v>
      </c>
      <c r="D81" s="171"/>
      <c r="E81" s="171"/>
      <c r="F81" s="171"/>
      <c r="G81" s="171"/>
      <c r="H81" s="171"/>
      <c r="I81" s="171"/>
      <c r="J81" s="171"/>
    </row>
    <row r="82" spans="1:10" s="1" customFormat="1" ht="15" x14ac:dyDescent="0.25">
      <c r="A82" s="171"/>
      <c r="B82" s="92" t="s">
        <v>277</v>
      </c>
      <c r="C82" s="171">
        <v>68</v>
      </c>
      <c r="D82" s="171"/>
      <c r="E82" s="171"/>
      <c r="F82" s="171"/>
      <c r="G82" s="171"/>
      <c r="H82" s="171"/>
      <c r="I82" s="171"/>
      <c r="J82" s="171"/>
    </row>
    <row r="83" spans="1:10" s="1" customFormat="1" ht="15" x14ac:dyDescent="0.25">
      <c r="A83" s="171"/>
      <c r="B83" s="92" t="s">
        <v>278</v>
      </c>
      <c r="C83" s="171">
        <v>69</v>
      </c>
      <c r="D83" s="171"/>
      <c r="E83" s="171"/>
      <c r="F83" s="171"/>
      <c r="G83" s="171"/>
      <c r="H83" s="171"/>
      <c r="I83" s="171"/>
      <c r="J83" s="171"/>
    </row>
    <row r="84" spans="1:10" s="1" customFormat="1" ht="28.5" x14ac:dyDescent="0.25">
      <c r="A84" s="170">
        <v>4</v>
      </c>
      <c r="B84" s="90" t="s">
        <v>1007</v>
      </c>
      <c r="C84" s="171">
        <v>70</v>
      </c>
      <c r="D84" s="171"/>
      <c r="E84" s="171"/>
      <c r="F84" s="171"/>
      <c r="G84" s="171"/>
      <c r="H84" s="171"/>
      <c r="I84" s="171"/>
      <c r="J84" s="171"/>
    </row>
    <row r="85" spans="1:10" s="1" customFormat="1" ht="15" x14ac:dyDescent="0.25">
      <c r="A85" s="171"/>
      <c r="B85" s="92" t="s">
        <v>1008</v>
      </c>
      <c r="C85" s="171" t="s">
        <v>1009</v>
      </c>
      <c r="D85" s="171"/>
      <c r="E85" s="171"/>
      <c r="F85" s="171"/>
      <c r="G85" s="171"/>
      <c r="H85" s="171"/>
      <c r="I85" s="171"/>
      <c r="J85" s="171"/>
    </row>
    <row r="86" spans="1:10" s="1" customFormat="1" ht="30" x14ac:dyDescent="0.25">
      <c r="A86" s="172"/>
      <c r="B86" s="92" t="s">
        <v>1010</v>
      </c>
      <c r="C86" s="171" t="s">
        <v>1011</v>
      </c>
      <c r="D86" s="171"/>
      <c r="E86" s="171"/>
      <c r="F86" s="171"/>
      <c r="G86" s="171"/>
      <c r="H86" s="171"/>
      <c r="I86" s="171"/>
      <c r="J86" s="171"/>
    </row>
    <row r="87" spans="1:10" s="1" customFormat="1" ht="28.5" x14ac:dyDescent="0.25">
      <c r="A87" s="170">
        <v>5</v>
      </c>
      <c r="B87" s="90" t="s">
        <v>1012</v>
      </c>
      <c r="C87" s="171">
        <v>73</v>
      </c>
      <c r="D87" s="171"/>
      <c r="E87" s="171"/>
      <c r="F87" s="171"/>
      <c r="G87" s="171"/>
      <c r="H87" s="171"/>
      <c r="I87" s="171"/>
      <c r="J87" s="171"/>
    </row>
    <row r="88" spans="1:10" s="1" customFormat="1" ht="15" x14ac:dyDescent="0.25">
      <c r="A88" s="171"/>
      <c r="B88" s="92" t="s">
        <v>277</v>
      </c>
      <c r="C88" s="171">
        <v>74</v>
      </c>
      <c r="D88" s="171"/>
      <c r="E88" s="171"/>
      <c r="F88" s="171"/>
      <c r="G88" s="171"/>
      <c r="H88" s="171"/>
      <c r="I88" s="171"/>
      <c r="J88" s="171"/>
    </row>
    <row r="89" spans="1:10" s="1" customFormat="1" ht="15" x14ac:dyDescent="0.25">
      <c r="A89" s="171"/>
      <c r="B89" s="92" t="s">
        <v>278</v>
      </c>
      <c r="C89" s="171">
        <v>75</v>
      </c>
      <c r="D89" s="171"/>
      <c r="E89" s="171"/>
      <c r="F89" s="171"/>
      <c r="G89" s="171"/>
      <c r="H89" s="171"/>
      <c r="I89" s="171"/>
      <c r="J89" s="171"/>
    </row>
    <row r="90" spans="1:10" s="1" customFormat="1" ht="28.5" x14ac:dyDescent="0.25">
      <c r="A90" s="170">
        <v>6</v>
      </c>
      <c r="B90" s="90" t="s">
        <v>1013</v>
      </c>
      <c r="C90" s="171">
        <v>76</v>
      </c>
      <c r="D90" s="171"/>
      <c r="E90" s="171"/>
      <c r="F90" s="171"/>
      <c r="G90" s="171"/>
      <c r="H90" s="171"/>
      <c r="I90" s="171"/>
      <c r="J90" s="171"/>
    </row>
    <row r="91" spans="1:10" s="1" customFormat="1" ht="15" x14ac:dyDescent="0.25">
      <c r="A91" s="171"/>
      <c r="B91" s="92" t="s">
        <v>1346</v>
      </c>
      <c r="C91" s="171" t="s">
        <v>1347</v>
      </c>
      <c r="D91" s="171"/>
      <c r="E91" s="171"/>
      <c r="F91" s="171"/>
      <c r="G91" s="171"/>
      <c r="H91" s="171"/>
      <c r="I91" s="171"/>
      <c r="J91" s="171"/>
    </row>
    <row r="92" spans="1:10" s="1" customFormat="1" ht="30" x14ac:dyDescent="0.25">
      <c r="A92" s="171"/>
      <c r="B92" s="92" t="s">
        <v>1348</v>
      </c>
      <c r="C92" s="171" t="s">
        <v>1349</v>
      </c>
      <c r="D92" s="171"/>
      <c r="E92" s="171"/>
      <c r="F92" s="171"/>
      <c r="G92" s="171"/>
      <c r="H92" s="171"/>
      <c r="I92" s="171"/>
      <c r="J92" s="171"/>
    </row>
    <row r="93" spans="1:10" s="1" customFormat="1" ht="15" x14ac:dyDescent="0.25">
      <c r="A93" s="170" t="s">
        <v>904</v>
      </c>
      <c r="B93" s="90" t="s">
        <v>1350</v>
      </c>
      <c r="C93" s="170"/>
      <c r="D93" s="170"/>
      <c r="E93" s="170"/>
      <c r="F93" s="170"/>
      <c r="G93" s="170"/>
      <c r="H93" s="170"/>
      <c r="I93" s="170"/>
      <c r="J93" s="170"/>
    </row>
    <row r="94" spans="1:10" s="1" customFormat="1" ht="28.5" x14ac:dyDescent="0.25">
      <c r="A94" s="170">
        <v>1</v>
      </c>
      <c r="B94" s="90" t="s">
        <v>1351</v>
      </c>
      <c r="C94" s="171">
        <v>79</v>
      </c>
      <c r="D94" s="171"/>
      <c r="E94" s="171"/>
      <c r="F94" s="171"/>
      <c r="G94" s="171"/>
      <c r="H94" s="171"/>
      <c r="I94" s="171"/>
      <c r="J94" s="171"/>
    </row>
    <row r="95" spans="1:10" s="1" customFormat="1" ht="15" x14ac:dyDescent="0.25">
      <c r="A95" s="172"/>
      <c r="B95" s="92" t="s">
        <v>277</v>
      </c>
      <c r="C95" s="171">
        <v>80</v>
      </c>
      <c r="D95" s="171"/>
      <c r="E95" s="171"/>
      <c r="F95" s="171"/>
      <c r="G95" s="171"/>
      <c r="H95" s="171"/>
      <c r="I95" s="171"/>
      <c r="J95" s="171"/>
    </row>
    <row r="96" spans="1:10" s="1" customFormat="1" ht="15" x14ac:dyDescent="0.25">
      <c r="A96" s="172"/>
      <c r="B96" s="92" t="s">
        <v>278</v>
      </c>
      <c r="C96" s="171">
        <v>81</v>
      </c>
      <c r="D96" s="171"/>
      <c r="E96" s="171"/>
      <c r="F96" s="171"/>
      <c r="G96" s="171"/>
      <c r="H96" s="171"/>
      <c r="I96" s="171"/>
      <c r="J96" s="171"/>
    </row>
    <row r="97" spans="1:10" s="1" customFormat="1" ht="15" x14ac:dyDescent="0.25">
      <c r="A97" s="170">
        <v>2</v>
      </c>
      <c r="B97" s="90" t="s">
        <v>1352</v>
      </c>
      <c r="C97" s="171">
        <v>82</v>
      </c>
      <c r="D97" s="171"/>
      <c r="E97" s="171"/>
      <c r="F97" s="171"/>
      <c r="G97" s="171"/>
      <c r="H97" s="171"/>
      <c r="I97" s="171"/>
      <c r="J97" s="171"/>
    </row>
    <row r="98" spans="1:10" s="1" customFormat="1" ht="15" x14ac:dyDescent="0.25">
      <c r="A98" s="171"/>
      <c r="B98" s="92" t="s">
        <v>277</v>
      </c>
      <c r="C98" s="171">
        <v>83</v>
      </c>
      <c r="D98" s="171"/>
      <c r="E98" s="171"/>
      <c r="F98" s="171"/>
      <c r="G98" s="171"/>
      <c r="H98" s="171"/>
      <c r="I98" s="171"/>
      <c r="J98" s="171"/>
    </row>
    <row r="99" spans="1:10" s="1" customFormat="1" ht="15" x14ac:dyDescent="0.25">
      <c r="A99" s="171"/>
      <c r="B99" s="92" t="s">
        <v>278</v>
      </c>
      <c r="C99" s="171">
        <v>84</v>
      </c>
      <c r="D99" s="171"/>
      <c r="E99" s="171"/>
      <c r="F99" s="171"/>
      <c r="G99" s="171"/>
      <c r="H99" s="171"/>
      <c r="I99" s="171"/>
      <c r="J99" s="171"/>
    </row>
    <row r="100" spans="1:10" s="1" customFormat="1" ht="15" x14ac:dyDescent="0.25">
      <c r="A100" s="170">
        <v>3</v>
      </c>
      <c r="B100" s="90" t="s">
        <v>1353</v>
      </c>
      <c r="C100" s="171">
        <v>85</v>
      </c>
      <c r="D100" s="171"/>
      <c r="E100" s="171"/>
      <c r="F100" s="171"/>
      <c r="G100" s="171"/>
      <c r="H100" s="171"/>
      <c r="I100" s="171"/>
      <c r="J100" s="171"/>
    </row>
    <row r="101" spans="1:10" s="1" customFormat="1" ht="15" x14ac:dyDescent="0.25">
      <c r="A101" s="171"/>
      <c r="B101" s="92" t="s">
        <v>277</v>
      </c>
      <c r="C101" s="171">
        <v>86</v>
      </c>
      <c r="D101" s="171"/>
      <c r="E101" s="171"/>
      <c r="F101" s="171"/>
      <c r="G101" s="171"/>
      <c r="H101" s="171"/>
      <c r="I101" s="171"/>
      <c r="J101" s="171"/>
    </row>
    <row r="102" spans="1:10" s="1" customFormat="1" ht="15" x14ac:dyDescent="0.25">
      <c r="A102" s="171"/>
      <c r="B102" s="92" t="s">
        <v>278</v>
      </c>
      <c r="C102" s="171">
        <v>87</v>
      </c>
      <c r="D102" s="171"/>
      <c r="E102" s="171"/>
      <c r="F102" s="171"/>
      <c r="G102" s="171"/>
      <c r="H102" s="171"/>
      <c r="I102" s="171"/>
      <c r="J102" s="171"/>
    </row>
    <row r="103" spans="1:10" s="1" customFormat="1" ht="28.5" x14ac:dyDescent="0.25">
      <c r="A103" s="170">
        <v>4</v>
      </c>
      <c r="B103" s="90" t="s">
        <v>1354</v>
      </c>
      <c r="C103" s="171">
        <v>88</v>
      </c>
      <c r="D103" s="171"/>
      <c r="E103" s="171"/>
      <c r="F103" s="171"/>
      <c r="G103" s="171"/>
      <c r="H103" s="171"/>
      <c r="I103" s="171"/>
      <c r="J103" s="171"/>
    </row>
    <row r="104" spans="1:10" s="1" customFormat="1" ht="15" x14ac:dyDescent="0.25">
      <c r="A104" s="172"/>
      <c r="B104" s="92" t="s">
        <v>1355</v>
      </c>
      <c r="C104" s="171" t="s">
        <v>1356</v>
      </c>
      <c r="D104" s="171"/>
      <c r="E104" s="171"/>
      <c r="F104" s="171"/>
      <c r="G104" s="171"/>
      <c r="H104" s="171"/>
      <c r="I104" s="171"/>
      <c r="J104" s="171"/>
    </row>
    <row r="105" spans="1:10" s="1" customFormat="1" ht="30" x14ac:dyDescent="0.25">
      <c r="A105" s="172"/>
      <c r="B105" s="92" t="s">
        <v>1357</v>
      </c>
      <c r="C105" s="171" t="s">
        <v>1358</v>
      </c>
      <c r="D105" s="171"/>
      <c r="E105" s="171"/>
      <c r="F105" s="171"/>
      <c r="G105" s="171"/>
      <c r="H105" s="171"/>
      <c r="I105" s="171"/>
      <c r="J105" s="171"/>
    </row>
    <row r="106" spans="1:10" s="1" customFormat="1" ht="28.5" x14ac:dyDescent="0.25">
      <c r="A106" s="170">
        <v>5</v>
      </c>
      <c r="B106" s="90" t="s">
        <v>1359</v>
      </c>
      <c r="C106" s="171">
        <v>91</v>
      </c>
      <c r="D106" s="171"/>
      <c r="E106" s="171"/>
      <c r="F106" s="171"/>
      <c r="G106" s="171"/>
      <c r="H106" s="171"/>
      <c r="I106" s="171"/>
      <c r="J106" s="171"/>
    </row>
    <row r="107" spans="1:10" s="1" customFormat="1" ht="21.75" customHeight="1" x14ac:dyDescent="0.25">
      <c r="A107" s="172"/>
      <c r="B107" s="92" t="s">
        <v>277</v>
      </c>
      <c r="C107" s="171">
        <v>92</v>
      </c>
      <c r="D107" s="171"/>
      <c r="E107" s="171"/>
      <c r="F107" s="171"/>
      <c r="G107" s="171"/>
      <c r="H107" s="171"/>
      <c r="I107" s="171"/>
      <c r="J107" s="171"/>
    </row>
    <row r="108" spans="1:10" s="1" customFormat="1" ht="15" x14ac:dyDescent="0.25">
      <c r="A108" s="172"/>
      <c r="B108" s="92" t="s">
        <v>278</v>
      </c>
      <c r="C108" s="171">
        <v>93</v>
      </c>
      <c r="D108" s="171"/>
      <c r="E108" s="171"/>
      <c r="F108" s="171"/>
      <c r="G108" s="171"/>
      <c r="H108" s="171"/>
      <c r="I108" s="171"/>
      <c r="J108" s="171"/>
    </row>
    <row r="109" spans="1:10" s="1" customFormat="1" ht="28.5" x14ac:dyDescent="0.25">
      <c r="A109" s="170">
        <v>6</v>
      </c>
      <c r="B109" s="90" t="s">
        <v>1360</v>
      </c>
      <c r="C109" s="171">
        <v>94</v>
      </c>
      <c r="D109" s="171"/>
      <c r="E109" s="171"/>
      <c r="F109" s="171"/>
      <c r="G109" s="171"/>
      <c r="H109" s="171"/>
      <c r="I109" s="171"/>
      <c r="J109" s="171"/>
    </row>
    <row r="110" spans="1:10" s="1" customFormat="1" ht="15" x14ac:dyDescent="0.25">
      <c r="A110" s="171"/>
      <c r="B110" s="92" t="s">
        <v>1361</v>
      </c>
      <c r="C110" s="171" t="s">
        <v>1362</v>
      </c>
      <c r="D110" s="171"/>
      <c r="E110" s="171"/>
      <c r="F110" s="171"/>
      <c r="G110" s="171"/>
      <c r="H110" s="171"/>
      <c r="I110" s="171"/>
      <c r="J110" s="171"/>
    </row>
    <row r="111" spans="1:10" s="1" customFormat="1" ht="30" x14ac:dyDescent="0.25">
      <c r="A111" s="173"/>
      <c r="B111" s="174" t="s">
        <v>1363</v>
      </c>
      <c r="C111" s="173" t="s">
        <v>1364</v>
      </c>
      <c r="D111" s="173"/>
      <c r="E111" s="173"/>
      <c r="F111" s="173"/>
      <c r="G111" s="173"/>
      <c r="H111" s="173"/>
      <c r="I111" s="173"/>
      <c r="J111" s="173"/>
    </row>
    <row r="112" spans="1:10" s="1" customFormat="1" ht="21" customHeight="1" x14ac:dyDescent="0.25">
      <c r="A112" s="4685" t="s">
        <v>635</v>
      </c>
      <c r="B112" s="4685"/>
      <c r="C112" s="4685"/>
      <c r="D112" s="4685"/>
      <c r="E112" s="4685"/>
      <c r="F112" s="4685"/>
      <c r="G112" s="4685"/>
      <c r="H112" s="4685"/>
      <c r="I112" s="4685"/>
      <c r="J112" s="4685"/>
    </row>
    <row r="113" spans="1:10" s="1" customFormat="1" ht="18.75" customHeight="1" x14ac:dyDescent="0.25">
      <c r="A113" s="4670" t="s">
        <v>1366</v>
      </c>
      <c r="B113" s="4670"/>
      <c r="C113" s="4670"/>
      <c r="D113" s="4670"/>
      <c r="E113" s="4670"/>
      <c r="F113" s="4670"/>
      <c r="G113" s="4670"/>
      <c r="H113" s="4670"/>
      <c r="I113" s="4670"/>
      <c r="J113" s="4670"/>
    </row>
    <row r="114" spans="1:10" s="1" customFormat="1" ht="19.5" customHeight="1" x14ac:dyDescent="0.25">
      <c r="A114" s="4686" t="s">
        <v>1367</v>
      </c>
      <c r="B114" s="4686"/>
      <c r="C114" s="4686"/>
      <c r="D114" s="4686"/>
      <c r="E114" s="4686"/>
      <c r="F114" s="4686"/>
      <c r="G114" s="4686"/>
      <c r="H114" s="4686"/>
      <c r="I114" s="4686"/>
      <c r="J114" s="4686"/>
    </row>
    <row r="115" spans="1:10" s="1" customFormat="1" ht="19.5" customHeight="1" x14ac:dyDescent="0.25">
      <c r="A115" s="175"/>
      <c r="B115" s="175"/>
      <c r="C115" s="175"/>
      <c r="D115" s="175"/>
      <c r="E115" s="175"/>
      <c r="F115" s="175"/>
      <c r="G115" s="175"/>
      <c r="H115" s="175"/>
      <c r="I115" s="175"/>
      <c r="J115" s="175"/>
    </row>
    <row r="116" spans="1:10" s="1" customFormat="1" ht="19.5" customHeight="1" x14ac:dyDescent="0.25">
      <c r="A116" s="175"/>
      <c r="B116" s="175"/>
      <c r="C116" s="175"/>
      <c r="D116" s="175"/>
      <c r="E116" s="175"/>
      <c r="F116" s="175"/>
      <c r="G116" s="175"/>
      <c r="H116" s="175"/>
      <c r="I116" s="175"/>
      <c r="J116" s="175"/>
    </row>
    <row r="117" spans="1:10" s="1" customFormat="1" ht="15" x14ac:dyDescent="0.25">
      <c r="A117" s="129" t="s">
        <v>905</v>
      </c>
    </row>
    <row r="118" spans="1:10" s="1" customFormat="1" ht="15" x14ac:dyDescent="0.25">
      <c r="A118" s="162" t="s">
        <v>1368</v>
      </c>
    </row>
    <row r="119" spans="1:10" s="1" customFormat="1" ht="41.25" customHeight="1" x14ac:dyDescent="0.25">
      <c r="A119" s="4683" t="s">
        <v>1369</v>
      </c>
      <c r="B119" s="4683"/>
      <c r="C119" s="4683"/>
      <c r="D119" s="4683"/>
      <c r="E119" s="4683"/>
      <c r="F119" s="4683"/>
      <c r="G119" s="4683"/>
      <c r="H119" s="4683"/>
      <c r="I119" s="4683"/>
      <c r="J119" s="4683"/>
    </row>
    <row r="120" spans="1:10" s="1" customFormat="1" ht="46.5" customHeight="1" x14ac:dyDescent="0.25">
      <c r="A120" s="4683" t="s">
        <v>412</v>
      </c>
      <c r="B120" s="4683"/>
      <c r="C120" s="4683"/>
      <c r="D120" s="4683"/>
      <c r="E120" s="4683"/>
      <c r="F120" s="4683"/>
      <c r="G120" s="4683"/>
      <c r="H120" s="4683"/>
      <c r="I120" s="4683"/>
      <c r="J120" s="4683"/>
    </row>
    <row r="121" spans="1:10" x14ac:dyDescent="0.25">
      <c r="A121" s="100"/>
    </row>
  </sheetData>
  <mergeCells count="18">
    <mergeCell ref="A5:J5"/>
    <mergeCell ref="A1:B1"/>
    <mergeCell ref="G1:J3"/>
    <mergeCell ref="A2:B2"/>
    <mergeCell ref="A3:B3"/>
    <mergeCell ref="A4:J4"/>
    <mergeCell ref="A120:J120"/>
    <mergeCell ref="H6:J6"/>
    <mergeCell ref="A7:A8"/>
    <mergeCell ref="B7:B8"/>
    <mergeCell ref="C7:C8"/>
    <mergeCell ref="D7:D8"/>
    <mergeCell ref="A112:J112"/>
    <mergeCell ref="A113:J113"/>
    <mergeCell ref="A114:J114"/>
    <mergeCell ref="A119:J119"/>
    <mergeCell ref="E7:G7"/>
    <mergeCell ref="H7:J7"/>
  </mergeCells>
  <phoneticPr fontId="70" type="noConversion"/>
  <pageMargins left="0.47" right="0.2" top="0.54" bottom="0.41" header="0.3" footer="0.2"/>
  <pageSetup paperSize="9" firstPageNumber="200" orientation="landscape" useFirstPageNumber="1" r:id="rId1"/>
  <headerFooter>
    <oddHeader>&amp;RBiểu số 5.39</oddHead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7030A0"/>
  </sheetPr>
  <dimension ref="A1:K23"/>
  <sheetViews>
    <sheetView zoomScale="90" zoomScaleNormal="90" workbookViewId="0">
      <selection activeCell="L7" sqref="L7"/>
    </sheetView>
  </sheetViews>
  <sheetFormatPr defaultColWidth="9.140625" defaultRowHeight="16.5" x14ac:dyDescent="0.25"/>
  <cols>
    <col min="1" max="1" width="6.28515625" style="98" customWidth="1"/>
    <col min="2" max="2" width="8.5703125" style="98" customWidth="1"/>
    <col min="3" max="3" width="6.140625" style="98" customWidth="1"/>
    <col min="4" max="4" width="6.42578125" style="98" customWidth="1"/>
    <col min="5" max="5" width="16.5703125" style="98" customWidth="1"/>
    <col min="6" max="6" width="6.7109375" style="98" customWidth="1"/>
    <col min="7" max="7" width="9.140625" style="98"/>
    <col min="8" max="8" width="6.5703125" style="98" customWidth="1"/>
    <col min="9" max="9" width="8.140625" style="98" customWidth="1"/>
    <col min="10" max="10" width="10.42578125" style="98" customWidth="1"/>
    <col min="11" max="11" width="11.5703125" style="98" customWidth="1"/>
    <col min="12" max="16384" width="9.140625" style="98"/>
  </cols>
  <sheetData>
    <row r="1" spans="1:11" x14ac:dyDescent="0.25">
      <c r="A1" s="4688" t="s">
        <v>283</v>
      </c>
      <c r="B1" s="4688"/>
      <c r="C1" s="4688"/>
      <c r="D1" s="4688"/>
      <c r="E1" s="4688"/>
      <c r="F1" s="4688"/>
      <c r="G1" s="4689"/>
      <c r="H1" s="4689"/>
      <c r="I1" s="4689"/>
      <c r="J1" s="4689"/>
      <c r="K1" s="4689"/>
    </row>
    <row r="2" spans="1:11" x14ac:dyDescent="0.25">
      <c r="A2" s="4697" t="s">
        <v>284</v>
      </c>
      <c r="B2" s="4697"/>
      <c r="C2" s="4697"/>
      <c r="D2" s="4697"/>
      <c r="E2" s="4697"/>
      <c r="F2" s="4697"/>
      <c r="G2" s="4689"/>
      <c r="H2" s="4689"/>
      <c r="I2" s="4689"/>
      <c r="J2" s="4689"/>
      <c r="K2" s="4689"/>
    </row>
    <row r="3" spans="1:11" x14ac:dyDescent="0.25">
      <c r="A3" s="4697" t="s">
        <v>285</v>
      </c>
      <c r="B3" s="4697"/>
      <c r="C3" s="4697"/>
      <c r="D3" s="4697"/>
      <c r="E3" s="4697"/>
      <c r="F3" s="4697"/>
      <c r="G3" s="4689"/>
      <c r="H3" s="4689"/>
      <c r="I3" s="4689"/>
      <c r="J3" s="4689"/>
      <c r="K3" s="4689"/>
    </row>
    <row r="4" spans="1:11" ht="49.5" customHeight="1" x14ac:dyDescent="0.25">
      <c r="A4" s="4698" t="s">
        <v>1511</v>
      </c>
      <c r="B4" s="4698"/>
      <c r="C4" s="4698"/>
      <c r="D4" s="4698"/>
      <c r="E4" s="4698"/>
      <c r="F4" s="4698"/>
      <c r="G4" s="4698"/>
      <c r="H4" s="4698"/>
      <c r="I4" s="4698"/>
      <c r="J4" s="4698"/>
      <c r="K4" s="4698"/>
    </row>
    <row r="5" spans="1:11" x14ac:dyDescent="0.25">
      <c r="A5" s="4696" t="s">
        <v>413</v>
      </c>
      <c r="B5" s="4696"/>
      <c r="C5" s="4696"/>
      <c r="D5" s="4696"/>
      <c r="E5" s="4696"/>
      <c r="F5" s="4696"/>
      <c r="G5" s="4696"/>
      <c r="H5" s="4696"/>
      <c r="I5" s="4696"/>
      <c r="J5" s="4696"/>
      <c r="K5" s="4696"/>
    </row>
    <row r="6" spans="1:11" x14ac:dyDescent="0.25">
      <c r="I6" s="4684" t="s">
        <v>192</v>
      </c>
      <c r="J6" s="4684"/>
      <c r="K6" s="4684"/>
    </row>
    <row r="7" spans="1:11" x14ac:dyDescent="0.25">
      <c r="A7" s="4672" t="s">
        <v>502</v>
      </c>
      <c r="B7" s="4672" t="s">
        <v>503</v>
      </c>
      <c r="C7" s="4672" t="s">
        <v>495</v>
      </c>
      <c r="D7" s="4672" t="s">
        <v>496</v>
      </c>
      <c r="E7" s="4672" t="s">
        <v>466</v>
      </c>
      <c r="F7" s="4672" t="s">
        <v>868</v>
      </c>
      <c r="G7" s="4672" t="s">
        <v>414</v>
      </c>
      <c r="H7" s="4672"/>
      <c r="I7" s="4672"/>
      <c r="J7" s="4672" t="s">
        <v>415</v>
      </c>
      <c r="K7" s="4672" t="s">
        <v>1350</v>
      </c>
    </row>
    <row r="8" spans="1:11" x14ac:dyDescent="0.25">
      <c r="A8" s="4672"/>
      <c r="B8" s="4672"/>
      <c r="C8" s="4672"/>
      <c r="D8" s="4672"/>
      <c r="E8" s="4672"/>
      <c r="F8" s="4672"/>
      <c r="G8" s="4693" t="s">
        <v>416</v>
      </c>
      <c r="H8" s="4672" t="s">
        <v>1512</v>
      </c>
      <c r="I8" s="4672" t="s">
        <v>1513</v>
      </c>
      <c r="J8" s="4672"/>
      <c r="K8" s="4672"/>
    </row>
    <row r="9" spans="1:11" ht="22.5" customHeight="1" x14ac:dyDescent="0.25">
      <c r="A9" s="4672"/>
      <c r="B9" s="4672"/>
      <c r="C9" s="4672"/>
      <c r="D9" s="4672"/>
      <c r="E9" s="4672"/>
      <c r="F9" s="4672"/>
      <c r="G9" s="4694"/>
      <c r="H9" s="4672"/>
      <c r="I9" s="4672"/>
      <c r="J9" s="4672"/>
      <c r="K9" s="4672"/>
    </row>
    <row r="10" spans="1:11" ht="49.5" customHeight="1" x14ac:dyDescent="0.25">
      <c r="A10" s="4672"/>
      <c r="B10" s="4672"/>
      <c r="C10" s="4672"/>
      <c r="D10" s="4672"/>
      <c r="E10" s="4672"/>
      <c r="F10" s="4672"/>
      <c r="G10" s="4695"/>
      <c r="H10" s="4672"/>
      <c r="I10" s="4672"/>
      <c r="J10" s="4672"/>
      <c r="K10" s="4672"/>
    </row>
    <row r="11" spans="1:11" x14ac:dyDescent="0.25">
      <c r="A11" s="88" t="s">
        <v>847</v>
      </c>
      <c r="B11" s="88" t="s">
        <v>848</v>
      </c>
      <c r="C11" s="88" t="s">
        <v>904</v>
      </c>
      <c r="D11" s="88" t="s">
        <v>927</v>
      </c>
      <c r="E11" s="88" t="s">
        <v>1515</v>
      </c>
      <c r="F11" s="88">
        <v>1</v>
      </c>
      <c r="G11" s="88">
        <v>2</v>
      </c>
      <c r="H11" s="88">
        <v>3</v>
      </c>
      <c r="I11" s="88">
        <v>4</v>
      </c>
      <c r="J11" s="88">
        <v>5</v>
      </c>
      <c r="K11" s="88">
        <v>6</v>
      </c>
    </row>
    <row r="12" spans="1:11" ht="42.75" x14ac:dyDescent="0.25">
      <c r="A12" s="81"/>
      <c r="B12" s="81"/>
      <c r="C12" s="81"/>
      <c r="D12" s="81"/>
      <c r="E12" s="169" t="s">
        <v>417</v>
      </c>
      <c r="F12" s="81"/>
      <c r="G12" s="81"/>
      <c r="H12" s="81"/>
      <c r="I12" s="81"/>
      <c r="J12" s="81"/>
      <c r="K12" s="81"/>
    </row>
    <row r="13" spans="1:11" x14ac:dyDescent="0.25">
      <c r="A13" s="83"/>
      <c r="B13" s="83"/>
      <c r="C13" s="83"/>
      <c r="D13" s="83"/>
      <c r="E13" s="83"/>
      <c r="F13" s="83"/>
      <c r="G13" s="83"/>
      <c r="H13" s="83"/>
      <c r="I13" s="83"/>
      <c r="J13" s="83"/>
      <c r="K13" s="83"/>
    </row>
    <row r="14" spans="1:11" x14ac:dyDescent="0.25">
      <c r="A14" s="83"/>
      <c r="B14" s="83"/>
      <c r="C14" s="83"/>
      <c r="D14" s="83"/>
      <c r="E14" s="83"/>
      <c r="F14" s="83"/>
      <c r="G14" s="83"/>
      <c r="H14" s="83"/>
      <c r="I14" s="83"/>
      <c r="J14" s="83"/>
      <c r="K14" s="83"/>
    </row>
    <row r="15" spans="1:11" ht="57" x14ac:dyDescent="0.25">
      <c r="A15" s="83"/>
      <c r="B15" s="83"/>
      <c r="C15" s="83"/>
      <c r="D15" s="83"/>
      <c r="E15" s="90" t="s">
        <v>418</v>
      </c>
      <c r="F15" s="83"/>
      <c r="G15" s="83"/>
      <c r="H15" s="83"/>
      <c r="I15" s="83"/>
      <c r="J15" s="83"/>
      <c r="K15" s="83"/>
    </row>
    <row r="16" spans="1:11" x14ac:dyDescent="0.25">
      <c r="A16" s="83"/>
      <c r="B16" s="83"/>
      <c r="C16" s="83"/>
      <c r="D16" s="83"/>
      <c r="E16" s="83"/>
      <c r="F16" s="83"/>
      <c r="G16" s="83"/>
      <c r="H16" s="83"/>
      <c r="I16" s="83"/>
      <c r="J16" s="83"/>
      <c r="K16" s="83"/>
    </row>
    <row r="17" spans="1:11" x14ac:dyDescent="0.25">
      <c r="A17" s="83"/>
      <c r="B17" s="83"/>
      <c r="C17" s="83"/>
      <c r="D17" s="83"/>
      <c r="E17" s="83"/>
      <c r="F17" s="83"/>
      <c r="G17" s="83"/>
      <c r="H17" s="83"/>
      <c r="I17" s="83"/>
      <c r="J17" s="83"/>
      <c r="K17" s="83"/>
    </row>
    <row r="18" spans="1:11" x14ac:dyDescent="0.25">
      <c r="A18" s="84"/>
      <c r="B18" s="84"/>
      <c r="C18" s="84"/>
      <c r="D18" s="84"/>
      <c r="E18" s="176" t="s">
        <v>1516</v>
      </c>
      <c r="F18" s="84"/>
      <c r="G18" s="84"/>
      <c r="H18" s="84"/>
      <c r="I18" s="84"/>
      <c r="J18" s="84"/>
      <c r="K18" s="84"/>
    </row>
    <row r="19" spans="1:11" x14ac:dyDescent="0.25">
      <c r="A19" s="100"/>
    </row>
    <row r="20" spans="1:11" x14ac:dyDescent="0.25">
      <c r="A20" s="4692" t="s">
        <v>635</v>
      </c>
      <c r="B20" s="4692"/>
      <c r="C20" s="4692"/>
      <c r="D20" s="4692"/>
      <c r="E20" s="4692"/>
      <c r="F20" s="4692"/>
      <c r="G20" s="4692"/>
      <c r="H20" s="4692"/>
      <c r="I20" s="4692"/>
      <c r="J20" s="4692"/>
      <c r="K20" s="4692"/>
    </row>
    <row r="21" spans="1:11" ht="16.5" customHeight="1" x14ac:dyDescent="0.25">
      <c r="A21" s="4689" t="s">
        <v>419</v>
      </c>
      <c r="B21" s="4689"/>
      <c r="C21" s="4689"/>
      <c r="D21" s="4689"/>
      <c r="E21" s="4689"/>
      <c r="F21" s="4689"/>
      <c r="G21" s="4689"/>
      <c r="H21" s="4689"/>
      <c r="I21" s="4689"/>
      <c r="J21" s="4689"/>
      <c r="K21" s="4689"/>
    </row>
    <row r="22" spans="1:11" x14ac:dyDescent="0.25">
      <c r="A22" s="4691" t="s">
        <v>420</v>
      </c>
      <c r="B22" s="4691"/>
      <c r="C22" s="4691"/>
      <c r="D22" s="4691"/>
      <c r="E22" s="4691"/>
      <c r="F22" s="4691"/>
      <c r="G22" s="4691"/>
      <c r="H22" s="4691"/>
      <c r="I22" s="4691"/>
      <c r="J22" s="4691"/>
      <c r="K22" s="4691"/>
    </row>
    <row r="23" spans="1:11" x14ac:dyDescent="0.25">
      <c r="A23" s="104"/>
    </row>
  </sheetData>
  <mergeCells count="22">
    <mergeCell ref="A5:K5"/>
    <mergeCell ref="A1:F1"/>
    <mergeCell ref="G1:K3"/>
    <mergeCell ref="A2:F2"/>
    <mergeCell ref="A3:F3"/>
    <mergeCell ref="A4:K4"/>
    <mergeCell ref="A22:K22"/>
    <mergeCell ref="I6:K6"/>
    <mergeCell ref="A7:A10"/>
    <mergeCell ref="B7:B10"/>
    <mergeCell ref="C7:C10"/>
    <mergeCell ref="D7:D10"/>
    <mergeCell ref="E7:E10"/>
    <mergeCell ref="F7:F10"/>
    <mergeCell ref="G7:I7"/>
    <mergeCell ref="J7:J10"/>
    <mergeCell ref="A20:K20"/>
    <mergeCell ref="A21:K21"/>
    <mergeCell ref="K7:K10"/>
    <mergeCell ref="G8:G10"/>
    <mergeCell ref="H8:H10"/>
    <mergeCell ref="I8:I10"/>
  </mergeCells>
  <phoneticPr fontId="70" type="noConversion"/>
  <pageMargins left="0.48" right="0.28000000000000003" top="0.75" bottom="0.75" header="0.39" footer="0.3"/>
  <pageSetup paperSize="9" firstPageNumber="205" orientation="portrait" useFirstPageNumber="1" r:id="rId1"/>
  <headerFooter>
    <oddHeader>&amp;RBiểu số 5.40</oddHeader>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7030A0"/>
  </sheetPr>
  <dimension ref="A1:Q75"/>
  <sheetViews>
    <sheetView topLeftCell="A59" workbookViewId="0">
      <selection activeCell="A66" sqref="A66:IV67"/>
    </sheetView>
  </sheetViews>
  <sheetFormatPr defaultColWidth="7.28515625" defaultRowHeight="16.5" x14ac:dyDescent="0.25"/>
  <cols>
    <col min="1" max="1" width="4.42578125" style="98" customWidth="1"/>
    <col min="2" max="2" width="40.5703125" style="98" customWidth="1"/>
    <col min="3" max="4" width="6.140625" style="98" customWidth="1"/>
    <col min="5" max="5" width="6.28515625" style="98" customWidth="1"/>
    <col min="6" max="6" width="7.28515625" style="98"/>
    <col min="7" max="7" width="7.28515625" style="98" customWidth="1"/>
    <col min="8" max="8" width="5.5703125" style="98" customWidth="1"/>
    <col min="9" max="10" width="7.28515625" style="98"/>
    <col min="11" max="11" width="6.7109375" style="98" customWidth="1"/>
    <col min="12" max="12" width="5.7109375" style="98" customWidth="1"/>
    <col min="13" max="14" width="7.28515625" style="98"/>
    <col min="15" max="15" width="6.42578125" style="98" customWidth="1"/>
    <col min="16" max="16" width="7.28515625" style="98"/>
    <col min="17" max="17" width="4.28515625" style="98" customWidth="1"/>
    <col min="18" max="16384" width="7.28515625" style="98"/>
  </cols>
  <sheetData>
    <row r="1" spans="1:17" ht="15.75" customHeight="1" x14ac:dyDescent="0.25">
      <c r="A1" s="4688" t="s">
        <v>421</v>
      </c>
      <c r="B1" s="4688"/>
    </row>
    <row r="2" spans="1:17" ht="15.75" customHeight="1" x14ac:dyDescent="0.25">
      <c r="A2" s="4688" t="s">
        <v>422</v>
      </c>
      <c r="B2" s="4688"/>
    </row>
    <row r="3" spans="1:17" ht="15.75" customHeight="1" x14ac:dyDescent="0.25">
      <c r="A3" s="4688" t="s">
        <v>423</v>
      </c>
      <c r="B3" s="4688"/>
    </row>
    <row r="4" spans="1:17" ht="24.75" customHeight="1" x14ac:dyDescent="0.25">
      <c r="A4" s="4700" t="s">
        <v>1517</v>
      </c>
      <c r="B4" s="4700"/>
      <c r="C4" s="4700"/>
      <c r="D4" s="4700"/>
      <c r="E4" s="4700"/>
      <c r="F4" s="4700"/>
      <c r="G4" s="4700"/>
      <c r="H4" s="4700"/>
      <c r="I4" s="4700"/>
      <c r="J4" s="4700"/>
      <c r="K4" s="4700"/>
      <c r="L4" s="4700"/>
      <c r="M4" s="4700"/>
      <c r="N4" s="4700"/>
      <c r="O4" s="4700"/>
      <c r="P4" s="4700"/>
      <c r="Q4" s="4700"/>
    </row>
    <row r="5" spans="1:17" x14ac:dyDescent="0.25">
      <c r="A5" s="4701" t="s">
        <v>424</v>
      </c>
      <c r="B5" s="4701"/>
      <c r="C5" s="4701"/>
      <c r="D5" s="4701"/>
      <c r="E5" s="4701"/>
      <c r="F5" s="4701"/>
      <c r="G5" s="4701"/>
      <c r="H5" s="4701"/>
      <c r="I5" s="4701"/>
      <c r="J5" s="4701"/>
      <c r="K5" s="4701"/>
      <c r="L5" s="4701"/>
      <c r="M5" s="4701"/>
      <c r="N5" s="4701"/>
      <c r="O5" s="4701"/>
      <c r="P5" s="4701"/>
      <c r="Q5" s="4701"/>
    </row>
    <row r="6" spans="1:17" x14ac:dyDescent="0.25">
      <c r="A6" s="100" t="s">
        <v>632</v>
      </c>
    </row>
    <row r="7" spans="1:17" x14ac:dyDescent="0.25">
      <c r="A7" s="100" t="s">
        <v>633</v>
      </c>
    </row>
    <row r="8" spans="1:17" x14ac:dyDescent="0.25">
      <c r="A8" s="100" t="s">
        <v>794</v>
      </c>
    </row>
    <row r="9" spans="1:17" x14ac:dyDescent="0.25">
      <c r="A9" s="103" t="s">
        <v>425</v>
      </c>
    </row>
    <row r="10" spans="1:17" x14ac:dyDescent="0.25">
      <c r="A10" s="105"/>
      <c r="O10" s="105" t="s">
        <v>192</v>
      </c>
    </row>
    <row r="11" spans="1:17" s="1" customFormat="1" ht="15" x14ac:dyDescent="0.25">
      <c r="A11" s="4702" t="s">
        <v>844</v>
      </c>
      <c r="B11" s="4702" t="s">
        <v>1518</v>
      </c>
      <c r="C11" s="4702" t="s">
        <v>276</v>
      </c>
      <c r="D11" s="4702" t="s">
        <v>1519</v>
      </c>
      <c r="E11" s="4702"/>
      <c r="F11" s="4702"/>
      <c r="G11" s="4702"/>
      <c r="H11" s="4702"/>
      <c r="I11" s="4702"/>
      <c r="J11" s="4702"/>
      <c r="K11" s="4702" t="s">
        <v>1520</v>
      </c>
      <c r="L11" s="4702"/>
      <c r="M11" s="4702"/>
      <c r="N11" s="4702"/>
      <c r="O11" s="4702"/>
      <c r="P11" s="4702"/>
      <c r="Q11" s="4702"/>
    </row>
    <row r="12" spans="1:17" s="1" customFormat="1" ht="20.25" customHeight="1" x14ac:dyDescent="0.25">
      <c r="A12" s="4702"/>
      <c r="B12" s="4702"/>
      <c r="C12" s="4702"/>
      <c r="D12" s="4702" t="s">
        <v>868</v>
      </c>
      <c r="E12" s="4702" t="s">
        <v>502</v>
      </c>
      <c r="F12" s="4702"/>
      <c r="G12" s="4702"/>
      <c r="H12" s="4702" t="s">
        <v>502</v>
      </c>
      <c r="I12" s="4702"/>
      <c r="J12" s="4702"/>
      <c r="K12" s="4702" t="s">
        <v>868</v>
      </c>
      <c r="L12" s="4702" t="s">
        <v>502</v>
      </c>
      <c r="M12" s="4702"/>
      <c r="N12" s="4702"/>
      <c r="O12" s="4702" t="s">
        <v>502</v>
      </c>
      <c r="P12" s="4702"/>
      <c r="Q12" s="4702"/>
    </row>
    <row r="13" spans="1:17" s="1" customFormat="1" ht="39.75" customHeight="1" x14ac:dyDescent="0.25">
      <c r="A13" s="4702"/>
      <c r="B13" s="4702"/>
      <c r="C13" s="4702"/>
      <c r="D13" s="4702"/>
      <c r="E13" s="106" t="s">
        <v>868</v>
      </c>
      <c r="F13" s="106" t="s">
        <v>426</v>
      </c>
      <c r="G13" s="106" t="s">
        <v>426</v>
      </c>
      <c r="H13" s="106" t="s">
        <v>868</v>
      </c>
      <c r="I13" s="106" t="s">
        <v>426</v>
      </c>
      <c r="J13" s="106" t="s">
        <v>426</v>
      </c>
      <c r="K13" s="4702"/>
      <c r="L13" s="106" t="s">
        <v>868</v>
      </c>
      <c r="M13" s="106" t="s">
        <v>426</v>
      </c>
      <c r="N13" s="106" t="s">
        <v>426</v>
      </c>
      <c r="O13" s="106" t="s">
        <v>868</v>
      </c>
      <c r="P13" s="106" t="s">
        <v>426</v>
      </c>
      <c r="Q13" s="106" t="s">
        <v>890</v>
      </c>
    </row>
    <row r="14" spans="1:17" s="1" customFormat="1" ht="21.75" customHeight="1" x14ac:dyDescent="0.25">
      <c r="A14" s="107" t="s">
        <v>847</v>
      </c>
      <c r="B14" s="107" t="s">
        <v>848</v>
      </c>
      <c r="C14" s="107" t="s">
        <v>904</v>
      </c>
      <c r="D14" s="107">
        <v>1</v>
      </c>
      <c r="E14" s="107">
        <v>2</v>
      </c>
      <c r="F14" s="107">
        <v>3</v>
      </c>
      <c r="G14" s="107">
        <v>4</v>
      </c>
      <c r="H14" s="107">
        <v>5</v>
      </c>
      <c r="I14" s="107">
        <v>6</v>
      </c>
      <c r="J14" s="107">
        <v>7</v>
      </c>
      <c r="K14" s="107">
        <v>8</v>
      </c>
      <c r="L14" s="107">
        <v>9</v>
      </c>
      <c r="M14" s="107">
        <v>10</v>
      </c>
      <c r="N14" s="107">
        <v>11</v>
      </c>
      <c r="O14" s="107">
        <v>12</v>
      </c>
      <c r="P14" s="107">
        <v>13</v>
      </c>
      <c r="Q14" s="107">
        <v>14</v>
      </c>
    </row>
    <row r="15" spans="1:17" s="1" customFormat="1" ht="36.75" customHeight="1" x14ac:dyDescent="0.25">
      <c r="A15" s="130" t="s">
        <v>849</v>
      </c>
      <c r="B15" s="131" t="s">
        <v>1333</v>
      </c>
      <c r="C15" s="132"/>
      <c r="D15" s="132"/>
      <c r="E15" s="132"/>
      <c r="F15" s="132"/>
      <c r="G15" s="132"/>
      <c r="H15" s="132"/>
      <c r="I15" s="132"/>
      <c r="J15" s="132"/>
      <c r="K15" s="132"/>
      <c r="L15" s="132"/>
      <c r="M15" s="132"/>
      <c r="N15" s="132"/>
      <c r="O15" s="132"/>
      <c r="P15" s="132"/>
      <c r="Q15" s="132"/>
    </row>
    <row r="16" spans="1:17" s="1" customFormat="1" ht="36" customHeight="1" x14ac:dyDescent="0.25">
      <c r="A16" s="133">
        <v>1</v>
      </c>
      <c r="B16" s="134" t="s">
        <v>427</v>
      </c>
      <c r="C16" s="135">
        <v>1</v>
      </c>
      <c r="D16" s="135"/>
      <c r="E16" s="135"/>
      <c r="F16" s="135"/>
      <c r="G16" s="135"/>
      <c r="H16" s="135"/>
      <c r="I16" s="135"/>
      <c r="J16" s="135"/>
      <c r="K16" s="135"/>
      <c r="L16" s="135"/>
      <c r="M16" s="135"/>
      <c r="N16" s="135"/>
      <c r="O16" s="135"/>
      <c r="P16" s="135"/>
      <c r="Q16" s="135"/>
    </row>
    <row r="17" spans="1:17" s="1" customFormat="1" ht="24.75" customHeight="1" x14ac:dyDescent="0.25">
      <c r="A17" s="135"/>
      <c r="B17" s="136" t="s">
        <v>1336</v>
      </c>
      <c r="C17" s="135">
        <v>2</v>
      </c>
      <c r="D17" s="135"/>
      <c r="E17" s="135"/>
      <c r="F17" s="135"/>
      <c r="G17" s="135"/>
      <c r="H17" s="135"/>
      <c r="I17" s="135"/>
      <c r="J17" s="135"/>
      <c r="K17" s="135"/>
      <c r="L17" s="135"/>
      <c r="M17" s="135"/>
      <c r="N17" s="135"/>
      <c r="O17" s="135"/>
      <c r="P17" s="135"/>
      <c r="Q17" s="135"/>
    </row>
    <row r="18" spans="1:17" s="1" customFormat="1" ht="24.75" customHeight="1" x14ac:dyDescent="0.25">
      <c r="A18" s="135"/>
      <c r="B18" s="136" t="s">
        <v>1337</v>
      </c>
      <c r="C18" s="135">
        <v>3</v>
      </c>
      <c r="D18" s="135"/>
      <c r="E18" s="135"/>
      <c r="F18" s="135"/>
      <c r="G18" s="135"/>
      <c r="H18" s="135"/>
      <c r="I18" s="135"/>
      <c r="J18" s="135"/>
      <c r="K18" s="135"/>
      <c r="L18" s="135"/>
      <c r="M18" s="135"/>
      <c r="N18" s="135"/>
      <c r="O18" s="135"/>
      <c r="P18" s="135"/>
      <c r="Q18" s="135"/>
    </row>
    <row r="19" spans="1:17" s="1" customFormat="1" ht="24.75" customHeight="1" x14ac:dyDescent="0.25">
      <c r="A19" s="133">
        <v>2</v>
      </c>
      <c r="B19" s="134" t="s">
        <v>1090</v>
      </c>
      <c r="C19" s="135">
        <v>4</v>
      </c>
      <c r="D19" s="135"/>
      <c r="E19" s="135"/>
      <c r="F19" s="135"/>
      <c r="G19" s="135"/>
      <c r="H19" s="135"/>
      <c r="I19" s="135"/>
      <c r="J19" s="135"/>
      <c r="K19" s="135"/>
      <c r="L19" s="135"/>
      <c r="M19" s="135"/>
      <c r="N19" s="135"/>
      <c r="O19" s="135"/>
      <c r="P19" s="135"/>
      <c r="Q19" s="135"/>
    </row>
    <row r="20" spans="1:17" s="1" customFormat="1" ht="41.25" customHeight="1" x14ac:dyDescent="0.25">
      <c r="A20" s="133">
        <v>3</v>
      </c>
      <c r="B20" s="134" t="s">
        <v>37</v>
      </c>
      <c r="C20" s="135">
        <v>5</v>
      </c>
      <c r="D20" s="135"/>
      <c r="E20" s="135"/>
      <c r="F20" s="135"/>
      <c r="G20" s="135"/>
      <c r="H20" s="135"/>
      <c r="I20" s="135"/>
      <c r="J20" s="135"/>
      <c r="K20" s="135"/>
      <c r="L20" s="135"/>
      <c r="M20" s="135"/>
      <c r="N20" s="135"/>
      <c r="O20" s="135"/>
      <c r="P20" s="135"/>
      <c r="Q20" s="135"/>
    </row>
    <row r="21" spans="1:17" s="1" customFormat="1" ht="24.75" customHeight="1" x14ac:dyDescent="0.25">
      <c r="A21" s="133">
        <v>4</v>
      </c>
      <c r="B21" s="134" t="s">
        <v>38</v>
      </c>
      <c r="C21" s="135">
        <v>6</v>
      </c>
      <c r="D21" s="135"/>
      <c r="E21" s="135"/>
      <c r="F21" s="135"/>
      <c r="G21" s="135"/>
      <c r="H21" s="135"/>
      <c r="I21" s="135"/>
      <c r="J21" s="135"/>
      <c r="K21" s="135"/>
      <c r="L21" s="135"/>
      <c r="M21" s="135"/>
      <c r="N21" s="135"/>
      <c r="O21" s="135"/>
      <c r="P21" s="135"/>
      <c r="Q21" s="135"/>
    </row>
    <row r="22" spans="1:17" s="1" customFormat="1" ht="24.75" customHeight="1" x14ac:dyDescent="0.25">
      <c r="A22" s="133">
        <v>5</v>
      </c>
      <c r="B22" s="134" t="s">
        <v>989</v>
      </c>
      <c r="C22" s="135">
        <v>7</v>
      </c>
      <c r="D22" s="135"/>
      <c r="E22" s="135"/>
      <c r="F22" s="135"/>
      <c r="G22" s="135"/>
      <c r="H22" s="135"/>
      <c r="I22" s="135"/>
      <c r="J22" s="135"/>
      <c r="K22" s="135"/>
      <c r="L22" s="135"/>
      <c r="M22" s="135"/>
      <c r="N22" s="135"/>
      <c r="O22" s="135"/>
      <c r="P22" s="135"/>
      <c r="Q22" s="135"/>
    </row>
    <row r="23" spans="1:17" s="1" customFormat="1" ht="36" customHeight="1" x14ac:dyDescent="0.25">
      <c r="A23" s="133">
        <v>6</v>
      </c>
      <c r="B23" s="134" t="s">
        <v>39</v>
      </c>
      <c r="C23" s="135">
        <v>8</v>
      </c>
      <c r="D23" s="135"/>
      <c r="E23" s="135"/>
      <c r="F23" s="135"/>
      <c r="G23" s="135"/>
      <c r="H23" s="135"/>
      <c r="I23" s="135"/>
      <c r="J23" s="135"/>
      <c r="K23" s="135"/>
      <c r="L23" s="135"/>
      <c r="M23" s="135"/>
      <c r="N23" s="135"/>
      <c r="O23" s="135"/>
      <c r="P23" s="135"/>
      <c r="Q23" s="135"/>
    </row>
    <row r="24" spans="1:17" s="1" customFormat="1" ht="29.25" customHeight="1" x14ac:dyDescent="0.25">
      <c r="A24" s="135"/>
      <c r="B24" s="136" t="s">
        <v>1562</v>
      </c>
      <c r="C24" s="135">
        <v>9</v>
      </c>
      <c r="D24" s="135"/>
      <c r="E24" s="135"/>
      <c r="F24" s="135"/>
      <c r="G24" s="135"/>
      <c r="H24" s="135"/>
      <c r="I24" s="135"/>
      <c r="J24" s="135"/>
      <c r="K24" s="135"/>
      <c r="L24" s="135"/>
      <c r="M24" s="135"/>
      <c r="N24" s="135"/>
      <c r="O24" s="135"/>
      <c r="P24" s="135"/>
      <c r="Q24" s="135"/>
    </row>
    <row r="25" spans="1:17" s="1" customFormat="1" ht="34.5" customHeight="1" x14ac:dyDescent="0.25">
      <c r="A25" s="135"/>
      <c r="B25" s="136" t="s">
        <v>40</v>
      </c>
      <c r="C25" s="135" t="s">
        <v>1521</v>
      </c>
      <c r="D25" s="135"/>
      <c r="E25" s="135"/>
      <c r="F25" s="135"/>
      <c r="G25" s="135"/>
      <c r="H25" s="135"/>
      <c r="I25" s="135"/>
      <c r="J25" s="135"/>
      <c r="K25" s="135"/>
      <c r="L25" s="135"/>
      <c r="M25" s="135"/>
      <c r="N25" s="135"/>
      <c r="O25" s="135"/>
      <c r="P25" s="135"/>
      <c r="Q25" s="135"/>
    </row>
    <row r="26" spans="1:17" s="1" customFormat="1" ht="33.75" customHeight="1" x14ac:dyDescent="0.25">
      <c r="A26" s="135"/>
      <c r="B26" s="136" t="s">
        <v>41</v>
      </c>
      <c r="C26" s="135" t="s">
        <v>1522</v>
      </c>
      <c r="D26" s="135"/>
      <c r="E26" s="135"/>
      <c r="F26" s="135"/>
      <c r="G26" s="135"/>
      <c r="H26" s="135"/>
      <c r="I26" s="135"/>
      <c r="J26" s="135"/>
      <c r="K26" s="135"/>
      <c r="L26" s="135"/>
      <c r="M26" s="135"/>
      <c r="N26" s="135"/>
      <c r="O26" s="135"/>
      <c r="P26" s="135"/>
      <c r="Q26" s="135"/>
    </row>
    <row r="27" spans="1:17" s="1" customFormat="1" ht="49.5" customHeight="1" x14ac:dyDescent="0.25">
      <c r="A27" s="133">
        <v>7</v>
      </c>
      <c r="B27" s="134" t="s">
        <v>1375</v>
      </c>
      <c r="C27" s="135">
        <v>12</v>
      </c>
      <c r="D27" s="135"/>
      <c r="E27" s="135"/>
      <c r="F27" s="135"/>
      <c r="G27" s="135"/>
      <c r="H27" s="135"/>
      <c r="I27" s="135"/>
      <c r="J27" s="135"/>
      <c r="K27" s="135"/>
      <c r="L27" s="135"/>
      <c r="M27" s="135"/>
      <c r="N27" s="135"/>
      <c r="O27" s="135"/>
      <c r="P27" s="135"/>
      <c r="Q27" s="135"/>
    </row>
    <row r="28" spans="1:17" s="1" customFormat="1" ht="23.25" customHeight="1" x14ac:dyDescent="0.25">
      <c r="A28" s="135"/>
      <c r="B28" s="136" t="s">
        <v>1336</v>
      </c>
      <c r="C28" s="135">
        <v>13</v>
      </c>
      <c r="D28" s="135"/>
      <c r="E28" s="135"/>
      <c r="F28" s="135"/>
      <c r="G28" s="135"/>
      <c r="H28" s="135"/>
      <c r="I28" s="135"/>
      <c r="J28" s="135"/>
      <c r="K28" s="135"/>
      <c r="L28" s="135"/>
      <c r="M28" s="135"/>
      <c r="N28" s="135"/>
      <c r="O28" s="135"/>
      <c r="P28" s="135"/>
      <c r="Q28" s="135"/>
    </row>
    <row r="29" spans="1:17" s="1" customFormat="1" ht="23.25" customHeight="1" x14ac:dyDescent="0.25">
      <c r="A29" s="135"/>
      <c r="B29" s="136" t="s">
        <v>1337</v>
      </c>
      <c r="C29" s="135">
        <v>14</v>
      </c>
      <c r="D29" s="135"/>
      <c r="E29" s="135"/>
      <c r="F29" s="135"/>
      <c r="G29" s="135"/>
      <c r="H29" s="135"/>
      <c r="I29" s="135"/>
      <c r="J29" s="135"/>
      <c r="K29" s="135"/>
      <c r="L29" s="135"/>
      <c r="M29" s="135"/>
      <c r="N29" s="135"/>
      <c r="O29" s="135"/>
      <c r="P29" s="135"/>
      <c r="Q29" s="135"/>
    </row>
    <row r="30" spans="1:17" s="1" customFormat="1" ht="24.75" customHeight="1" x14ac:dyDescent="0.25">
      <c r="A30" s="133" t="s">
        <v>866</v>
      </c>
      <c r="B30" s="134" t="s">
        <v>1578</v>
      </c>
      <c r="C30" s="135"/>
      <c r="D30" s="135"/>
      <c r="E30" s="135"/>
      <c r="F30" s="135"/>
      <c r="G30" s="135"/>
      <c r="H30" s="135"/>
      <c r="I30" s="135"/>
      <c r="J30" s="135"/>
      <c r="K30" s="135"/>
      <c r="L30" s="135"/>
      <c r="M30" s="135"/>
      <c r="N30" s="135"/>
      <c r="O30" s="135"/>
      <c r="P30" s="135"/>
      <c r="Q30" s="135"/>
    </row>
    <row r="31" spans="1:17" s="1" customFormat="1" ht="36" customHeight="1" x14ac:dyDescent="0.25">
      <c r="A31" s="133">
        <v>1</v>
      </c>
      <c r="B31" s="134" t="s">
        <v>405</v>
      </c>
      <c r="C31" s="135">
        <v>15</v>
      </c>
      <c r="D31" s="135"/>
      <c r="E31" s="135"/>
      <c r="F31" s="135"/>
      <c r="G31" s="135"/>
      <c r="H31" s="135"/>
      <c r="I31" s="135"/>
      <c r="J31" s="135"/>
      <c r="K31" s="135"/>
      <c r="L31" s="135"/>
      <c r="M31" s="135"/>
      <c r="N31" s="135"/>
      <c r="O31" s="135"/>
      <c r="P31" s="135"/>
      <c r="Q31" s="135"/>
    </row>
    <row r="32" spans="1:17" s="1" customFormat="1" ht="24" customHeight="1" x14ac:dyDescent="0.25">
      <c r="A32" s="133">
        <v>2</v>
      </c>
      <c r="B32" s="134" t="s">
        <v>1090</v>
      </c>
      <c r="C32" s="135">
        <v>16</v>
      </c>
      <c r="D32" s="135"/>
      <c r="E32" s="135"/>
      <c r="F32" s="135"/>
      <c r="G32" s="135"/>
      <c r="H32" s="135"/>
      <c r="I32" s="135"/>
      <c r="J32" s="135"/>
      <c r="K32" s="135"/>
      <c r="L32" s="135"/>
      <c r="M32" s="135"/>
      <c r="N32" s="135"/>
      <c r="O32" s="135"/>
      <c r="P32" s="135"/>
      <c r="Q32" s="135"/>
    </row>
    <row r="33" spans="1:17" s="1" customFormat="1" ht="36" customHeight="1" x14ac:dyDescent="0.25">
      <c r="A33" s="133">
        <v>3</v>
      </c>
      <c r="B33" s="134" t="s">
        <v>1376</v>
      </c>
      <c r="C33" s="135">
        <v>17</v>
      </c>
      <c r="D33" s="135"/>
      <c r="E33" s="135"/>
      <c r="F33" s="135"/>
      <c r="G33" s="135"/>
      <c r="H33" s="135"/>
      <c r="I33" s="135"/>
      <c r="J33" s="135"/>
      <c r="K33" s="135"/>
      <c r="L33" s="135"/>
      <c r="M33" s="135"/>
      <c r="N33" s="135"/>
      <c r="O33" s="135"/>
      <c r="P33" s="135"/>
      <c r="Q33" s="135"/>
    </row>
    <row r="34" spans="1:17" s="1" customFormat="1" ht="24.75" customHeight="1" x14ac:dyDescent="0.25">
      <c r="A34" s="135"/>
      <c r="B34" s="136" t="s">
        <v>1092</v>
      </c>
      <c r="C34" s="135">
        <v>18</v>
      </c>
      <c r="D34" s="135"/>
      <c r="E34" s="135"/>
      <c r="F34" s="135"/>
      <c r="G34" s="135"/>
      <c r="H34" s="135"/>
      <c r="I34" s="135"/>
      <c r="J34" s="135"/>
      <c r="K34" s="135"/>
      <c r="L34" s="135"/>
      <c r="M34" s="135"/>
      <c r="N34" s="135"/>
      <c r="O34" s="135"/>
      <c r="P34" s="135"/>
      <c r="Q34" s="135"/>
    </row>
    <row r="35" spans="1:17" s="1" customFormat="1" ht="20.25" customHeight="1" x14ac:dyDescent="0.25">
      <c r="A35" s="135"/>
      <c r="B35" s="136" t="s">
        <v>1093</v>
      </c>
      <c r="C35" s="135">
        <v>19</v>
      </c>
      <c r="D35" s="135"/>
      <c r="E35" s="135"/>
      <c r="F35" s="135"/>
      <c r="G35" s="135"/>
      <c r="H35" s="135"/>
      <c r="I35" s="135"/>
      <c r="J35" s="135"/>
      <c r="K35" s="135"/>
      <c r="L35" s="135"/>
      <c r="M35" s="135"/>
      <c r="N35" s="135"/>
      <c r="O35" s="135"/>
      <c r="P35" s="135"/>
      <c r="Q35" s="135"/>
    </row>
    <row r="36" spans="1:17" s="1" customFormat="1" ht="36" customHeight="1" x14ac:dyDescent="0.25">
      <c r="A36" s="133">
        <v>4</v>
      </c>
      <c r="B36" s="134" t="s">
        <v>1377</v>
      </c>
      <c r="C36" s="135">
        <v>20</v>
      </c>
      <c r="D36" s="135"/>
      <c r="E36" s="135"/>
      <c r="F36" s="135"/>
      <c r="G36" s="135"/>
      <c r="H36" s="135"/>
      <c r="I36" s="135"/>
      <c r="J36" s="135"/>
      <c r="K36" s="135"/>
      <c r="L36" s="135"/>
      <c r="M36" s="135"/>
      <c r="N36" s="135"/>
      <c r="O36" s="135"/>
      <c r="P36" s="135"/>
      <c r="Q36" s="135"/>
    </row>
    <row r="37" spans="1:17" s="1" customFormat="1" ht="28.5" customHeight="1" x14ac:dyDescent="0.25">
      <c r="A37" s="133">
        <v>5</v>
      </c>
      <c r="B37" s="134" t="s">
        <v>989</v>
      </c>
      <c r="C37" s="135">
        <v>21</v>
      </c>
      <c r="D37" s="135"/>
      <c r="E37" s="135"/>
      <c r="F37" s="135"/>
      <c r="G37" s="135"/>
      <c r="H37" s="135"/>
      <c r="I37" s="135"/>
      <c r="J37" s="135"/>
      <c r="K37" s="135"/>
      <c r="L37" s="135"/>
      <c r="M37" s="135"/>
      <c r="N37" s="135"/>
      <c r="O37" s="135"/>
      <c r="P37" s="135"/>
      <c r="Q37" s="135"/>
    </row>
    <row r="38" spans="1:17" s="1" customFormat="1" ht="52.5" customHeight="1" x14ac:dyDescent="0.25">
      <c r="A38" s="133">
        <v>6</v>
      </c>
      <c r="B38" s="134" t="s">
        <v>1378</v>
      </c>
      <c r="C38" s="135">
        <v>22</v>
      </c>
      <c r="D38" s="135"/>
      <c r="E38" s="135"/>
      <c r="F38" s="135"/>
      <c r="G38" s="135"/>
      <c r="H38" s="135"/>
      <c r="I38" s="135"/>
      <c r="J38" s="135"/>
      <c r="K38" s="135"/>
      <c r="L38" s="135"/>
      <c r="M38" s="135"/>
      <c r="N38" s="135"/>
      <c r="O38" s="135"/>
      <c r="P38" s="135"/>
      <c r="Q38" s="135"/>
    </row>
    <row r="39" spans="1:17" s="1" customFormat="1" ht="27" customHeight="1" x14ac:dyDescent="0.25">
      <c r="A39" s="133" t="s">
        <v>872</v>
      </c>
      <c r="B39" s="134" t="s">
        <v>991</v>
      </c>
      <c r="C39" s="135"/>
      <c r="D39" s="135"/>
      <c r="E39" s="135"/>
      <c r="F39" s="135"/>
      <c r="G39" s="135"/>
      <c r="H39" s="135"/>
      <c r="I39" s="135"/>
      <c r="J39" s="135"/>
      <c r="K39" s="135"/>
      <c r="L39" s="135"/>
      <c r="M39" s="135"/>
      <c r="N39" s="135"/>
      <c r="O39" s="135"/>
      <c r="P39" s="135"/>
      <c r="Q39" s="135"/>
    </row>
    <row r="40" spans="1:17" s="1" customFormat="1" ht="36" customHeight="1" x14ac:dyDescent="0.25">
      <c r="A40" s="133">
        <v>1</v>
      </c>
      <c r="B40" s="134" t="s">
        <v>1379</v>
      </c>
      <c r="C40" s="135">
        <v>23</v>
      </c>
      <c r="D40" s="135"/>
      <c r="E40" s="135"/>
      <c r="F40" s="135"/>
      <c r="G40" s="135"/>
      <c r="H40" s="135"/>
      <c r="I40" s="135"/>
      <c r="J40" s="135"/>
      <c r="K40" s="135"/>
      <c r="L40" s="135"/>
      <c r="M40" s="135"/>
      <c r="N40" s="135"/>
      <c r="O40" s="135"/>
      <c r="P40" s="135"/>
      <c r="Q40" s="135"/>
    </row>
    <row r="41" spans="1:17" s="1" customFormat="1" ht="20.25" customHeight="1" x14ac:dyDescent="0.25">
      <c r="A41" s="135"/>
      <c r="B41" s="136" t="s">
        <v>280</v>
      </c>
      <c r="C41" s="135">
        <v>24</v>
      </c>
      <c r="D41" s="135"/>
      <c r="E41" s="135"/>
      <c r="F41" s="135"/>
      <c r="G41" s="135"/>
      <c r="H41" s="135"/>
      <c r="I41" s="135"/>
      <c r="J41" s="135"/>
      <c r="K41" s="135"/>
      <c r="L41" s="135"/>
      <c r="M41" s="135"/>
      <c r="N41" s="135"/>
      <c r="O41" s="135"/>
      <c r="P41" s="135"/>
      <c r="Q41" s="135"/>
    </row>
    <row r="42" spans="1:17" s="1" customFormat="1" ht="20.25" customHeight="1" x14ac:dyDescent="0.25">
      <c r="A42" s="135"/>
      <c r="B42" s="136" t="s">
        <v>281</v>
      </c>
      <c r="C42" s="135">
        <v>25</v>
      </c>
      <c r="D42" s="135"/>
      <c r="E42" s="135"/>
      <c r="F42" s="135"/>
      <c r="G42" s="135"/>
      <c r="H42" s="135"/>
      <c r="I42" s="135"/>
      <c r="J42" s="135"/>
      <c r="K42" s="135"/>
      <c r="L42" s="135"/>
      <c r="M42" s="135"/>
      <c r="N42" s="135"/>
      <c r="O42" s="135"/>
      <c r="P42" s="135"/>
      <c r="Q42" s="135"/>
    </row>
    <row r="43" spans="1:17" s="1" customFormat="1" ht="24" customHeight="1" x14ac:dyDescent="0.25">
      <c r="A43" s="133">
        <v>2</v>
      </c>
      <c r="B43" s="134" t="s">
        <v>1090</v>
      </c>
      <c r="C43" s="135">
        <v>26</v>
      </c>
      <c r="D43" s="135"/>
      <c r="E43" s="135"/>
      <c r="F43" s="135"/>
      <c r="G43" s="135"/>
      <c r="H43" s="135"/>
      <c r="I43" s="135"/>
      <c r="J43" s="135"/>
      <c r="K43" s="135"/>
      <c r="L43" s="135"/>
      <c r="M43" s="135"/>
      <c r="N43" s="135"/>
      <c r="O43" s="135"/>
      <c r="P43" s="135"/>
      <c r="Q43" s="135"/>
    </row>
    <row r="44" spans="1:17" s="1" customFormat="1" ht="36" customHeight="1" x14ac:dyDescent="0.25">
      <c r="A44" s="133">
        <v>3</v>
      </c>
      <c r="B44" s="134" t="s">
        <v>1380</v>
      </c>
      <c r="C44" s="135">
        <v>27</v>
      </c>
      <c r="D44" s="135"/>
      <c r="E44" s="135"/>
      <c r="F44" s="135"/>
      <c r="G44" s="135"/>
      <c r="H44" s="135"/>
      <c r="I44" s="135"/>
      <c r="J44" s="135"/>
      <c r="K44" s="135"/>
      <c r="L44" s="135"/>
      <c r="M44" s="135"/>
      <c r="N44" s="135"/>
      <c r="O44" s="135"/>
      <c r="P44" s="135"/>
      <c r="Q44" s="135"/>
    </row>
    <row r="45" spans="1:17" s="1" customFormat="1" ht="36" customHeight="1" x14ac:dyDescent="0.25">
      <c r="A45" s="133">
        <v>4</v>
      </c>
      <c r="B45" s="134" t="s">
        <v>1381</v>
      </c>
      <c r="C45" s="135">
        <v>28</v>
      </c>
      <c r="D45" s="135"/>
      <c r="E45" s="135"/>
      <c r="F45" s="135"/>
      <c r="G45" s="135"/>
      <c r="H45" s="135"/>
      <c r="I45" s="135"/>
      <c r="J45" s="135"/>
      <c r="K45" s="135"/>
      <c r="L45" s="135"/>
      <c r="M45" s="135"/>
      <c r="N45" s="135"/>
      <c r="O45" s="135"/>
      <c r="P45" s="135"/>
      <c r="Q45" s="135"/>
    </row>
    <row r="46" spans="1:17" s="1" customFormat="1" ht="36" customHeight="1" x14ac:dyDescent="0.25">
      <c r="A46" s="135"/>
      <c r="B46" s="136" t="s">
        <v>282</v>
      </c>
      <c r="C46" s="135">
        <v>29</v>
      </c>
      <c r="D46" s="135"/>
      <c r="E46" s="135"/>
      <c r="F46" s="135"/>
      <c r="G46" s="135"/>
      <c r="H46" s="135"/>
      <c r="I46" s="135"/>
      <c r="J46" s="135"/>
      <c r="K46" s="135"/>
      <c r="L46" s="135"/>
      <c r="M46" s="135"/>
      <c r="N46" s="135"/>
      <c r="O46" s="135"/>
      <c r="P46" s="135"/>
      <c r="Q46" s="135"/>
    </row>
    <row r="47" spans="1:17" s="1" customFormat="1" ht="24.75" customHeight="1" x14ac:dyDescent="0.25">
      <c r="A47" s="135"/>
      <c r="B47" s="136" t="s">
        <v>995</v>
      </c>
      <c r="C47" s="135">
        <v>30</v>
      </c>
      <c r="D47" s="135"/>
      <c r="E47" s="135"/>
      <c r="F47" s="135"/>
      <c r="G47" s="135"/>
      <c r="H47" s="135"/>
      <c r="I47" s="135"/>
      <c r="J47" s="135"/>
      <c r="K47" s="135"/>
      <c r="L47" s="135"/>
      <c r="M47" s="135"/>
      <c r="N47" s="135"/>
      <c r="O47" s="135"/>
      <c r="P47" s="135"/>
      <c r="Q47" s="135"/>
    </row>
    <row r="48" spans="1:17" s="1" customFormat="1" ht="36" customHeight="1" x14ac:dyDescent="0.25">
      <c r="A48" s="133">
        <v>5</v>
      </c>
      <c r="B48" s="134" t="s">
        <v>1382</v>
      </c>
      <c r="C48" s="135">
        <v>31</v>
      </c>
      <c r="D48" s="135"/>
      <c r="E48" s="135"/>
      <c r="F48" s="135"/>
      <c r="G48" s="135"/>
      <c r="H48" s="135"/>
      <c r="I48" s="135"/>
      <c r="J48" s="135"/>
      <c r="K48" s="135"/>
      <c r="L48" s="135"/>
      <c r="M48" s="135"/>
      <c r="N48" s="135"/>
      <c r="O48" s="135"/>
      <c r="P48" s="135"/>
      <c r="Q48" s="135"/>
    </row>
    <row r="49" spans="1:17" s="1" customFormat="1" ht="35.25" customHeight="1" x14ac:dyDescent="0.25">
      <c r="A49" s="133">
        <v>6</v>
      </c>
      <c r="B49" s="134" t="s">
        <v>1383</v>
      </c>
      <c r="C49" s="135">
        <v>32</v>
      </c>
      <c r="D49" s="135"/>
      <c r="E49" s="135"/>
      <c r="F49" s="135"/>
      <c r="G49" s="135"/>
      <c r="H49" s="135"/>
      <c r="I49" s="135"/>
      <c r="J49" s="135"/>
      <c r="K49" s="135"/>
      <c r="L49" s="135"/>
      <c r="M49" s="135"/>
      <c r="N49" s="135"/>
      <c r="O49" s="135"/>
      <c r="P49" s="135"/>
      <c r="Q49" s="135"/>
    </row>
    <row r="50" spans="1:17" s="1" customFormat="1" ht="20.25" customHeight="1" x14ac:dyDescent="0.25">
      <c r="A50" s="135"/>
      <c r="B50" s="136" t="s">
        <v>1562</v>
      </c>
      <c r="C50" s="135">
        <v>33</v>
      </c>
      <c r="D50" s="135"/>
      <c r="E50" s="135"/>
      <c r="F50" s="135"/>
      <c r="G50" s="135"/>
      <c r="H50" s="135"/>
      <c r="I50" s="135"/>
      <c r="J50" s="135"/>
      <c r="K50" s="135"/>
      <c r="L50" s="135"/>
      <c r="M50" s="135"/>
      <c r="N50" s="135"/>
      <c r="O50" s="135"/>
      <c r="P50" s="135"/>
      <c r="Q50" s="135"/>
    </row>
    <row r="51" spans="1:17" s="1" customFormat="1" ht="35.25" customHeight="1" x14ac:dyDescent="0.25">
      <c r="A51" s="135"/>
      <c r="B51" s="136" t="s">
        <v>1384</v>
      </c>
      <c r="C51" s="135" t="s">
        <v>1385</v>
      </c>
      <c r="D51" s="135"/>
      <c r="E51" s="135"/>
      <c r="F51" s="135"/>
      <c r="G51" s="135"/>
      <c r="H51" s="135"/>
      <c r="I51" s="135"/>
      <c r="J51" s="135"/>
      <c r="K51" s="135"/>
      <c r="L51" s="135"/>
      <c r="M51" s="135"/>
      <c r="N51" s="135"/>
      <c r="O51" s="135"/>
      <c r="P51" s="135"/>
      <c r="Q51" s="135"/>
    </row>
    <row r="52" spans="1:17" s="1" customFormat="1" ht="35.25" customHeight="1" x14ac:dyDescent="0.25">
      <c r="A52" s="135"/>
      <c r="B52" s="136" t="s">
        <v>1386</v>
      </c>
      <c r="C52" s="135" t="s">
        <v>1387</v>
      </c>
      <c r="D52" s="135"/>
      <c r="E52" s="135"/>
      <c r="F52" s="135"/>
      <c r="G52" s="135"/>
      <c r="H52" s="135"/>
      <c r="I52" s="135"/>
      <c r="J52" s="135"/>
      <c r="K52" s="135"/>
      <c r="L52" s="135"/>
      <c r="M52" s="135"/>
      <c r="N52" s="135"/>
      <c r="O52" s="135"/>
      <c r="P52" s="135"/>
      <c r="Q52" s="135"/>
    </row>
    <row r="53" spans="1:17" s="1" customFormat="1" ht="51" customHeight="1" x14ac:dyDescent="0.25">
      <c r="A53" s="133">
        <v>7</v>
      </c>
      <c r="B53" s="134" t="s">
        <v>1388</v>
      </c>
      <c r="C53" s="135">
        <v>36</v>
      </c>
      <c r="D53" s="135"/>
      <c r="E53" s="135"/>
      <c r="F53" s="135"/>
      <c r="G53" s="135"/>
      <c r="H53" s="135"/>
      <c r="I53" s="135"/>
      <c r="J53" s="135"/>
      <c r="K53" s="135"/>
      <c r="L53" s="135"/>
      <c r="M53" s="135"/>
      <c r="N53" s="135"/>
      <c r="O53" s="135"/>
      <c r="P53" s="135"/>
      <c r="Q53" s="135"/>
    </row>
    <row r="54" spans="1:17" s="1" customFormat="1" ht="29.25" customHeight="1" x14ac:dyDescent="0.25">
      <c r="A54" s="135"/>
      <c r="B54" s="136" t="s">
        <v>280</v>
      </c>
      <c r="C54" s="135">
        <v>37</v>
      </c>
      <c r="D54" s="135"/>
      <c r="E54" s="135"/>
      <c r="F54" s="135"/>
      <c r="G54" s="135"/>
      <c r="H54" s="135"/>
      <c r="I54" s="135"/>
      <c r="J54" s="135"/>
      <c r="K54" s="135"/>
      <c r="L54" s="135"/>
      <c r="M54" s="135"/>
      <c r="N54" s="135"/>
      <c r="O54" s="135"/>
      <c r="P54" s="135"/>
      <c r="Q54" s="135"/>
    </row>
    <row r="55" spans="1:17" s="1" customFormat="1" ht="29.25" customHeight="1" x14ac:dyDescent="0.25">
      <c r="A55" s="135"/>
      <c r="B55" s="136" t="s">
        <v>281</v>
      </c>
      <c r="C55" s="135">
        <v>38</v>
      </c>
      <c r="D55" s="135"/>
      <c r="E55" s="135"/>
      <c r="F55" s="135"/>
      <c r="G55" s="135"/>
      <c r="H55" s="135"/>
      <c r="I55" s="135"/>
      <c r="J55" s="135"/>
      <c r="K55" s="135"/>
      <c r="L55" s="135"/>
      <c r="M55" s="135"/>
      <c r="N55" s="135"/>
      <c r="O55" s="135"/>
      <c r="P55" s="135"/>
      <c r="Q55" s="135"/>
    </row>
    <row r="56" spans="1:17" s="1" customFormat="1" ht="35.25" customHeight="1" x14ac:dyDescent="0.25">
      <c r="A56" s="137">
        <v>8</v>
      </c>
      <c r="B56" s="138" t="s">
        <v>1003</v>
      </c>
      <c r="C56" s="139">
        <v>39</v>
      </c>
      <c r="D56" s="139"/>
      <c r="E56" s="139"/>
      <c r="F56" s="139"/>
      <c r="G56" s="139"/>
      <c r="H56" s="139"/>
      <c r="I56" s="139"/>
      <c r="J56" s="139"/>
      <c r="K56" s="139"/>
      <c r="L56" s="139"/>
      <c r="M56" s="139"/>
      <c r="N56" s="139"/>
      <c r="O56" s="139"/>
      <c r="P56" s="139"/>
      <c r="Q56" s="139"/>
    </row>
    <row r="57" spans="1:17" s="1" customFormat="1" ht="24.75" customHeight="1" x14ac:dyDescent="0.25">
      <c r="A57" s="129" t="s">
        <v>1389</v>
      </c>
    </row>
    <row r="58" spans="1:17" s="1" customFormat="1" ht="16.5" customHeight="1" x14ac:dyDescent="0.25">
      <c r="A58" s="4702" t="s">
        <v>502</v>
      </c>
      <c r="B58" s="4702" t="s">
        <v>503</v>
      </c>
      <c r="C58" s="4702" t="s">
        <v>495</v>
      </c>
      <c r="D58" s="4703" t="s">
        <v>496</v>
      </c>
      <c r="E58" s="4703" t="s">
        <v>466</v>
      </c>
      <c r="F58" s="4705" t="s">
        <v>1519</v>
      </c>
      <c r="G58" s="4706"/>
      <c r="H58" s="4702"/>
      <c r="I58" s="4702"/>
      <c r="J58" s="4705" t="s">
        <v>1520</v>
      </c>
      <c r="K58" s="4706"/>
      <c r="L58" s="4706"/>
      <c r="M58" s="4707"/>
    </row>
    <row r="59" spans="1:17" s="1" customFormat="1" ht="57" customHeight="1" x14ac:dyDescent="0.25">
      <c r="A59" s="4702"/>
      <c r="B59" s="4702"/>
      <c r="C59" s="4702"/>
      <c r="D59" s="4704"/>
      <c r="E59" s="4704"/>
      <c r="F59" s="106" t="s">
        <v>868</v>
      </c>
      <c r="G59" s="106" t="s">
        <v>1524</v>
      </c>
      <c r="H59" s="106" t="s">
        <v>1512</v>
      </c>
      <c r="I59" s="106" t="s">
        <v>1513</v>
      </c>
      <c r="J59" s="106" t="s">
        <v>868</v>
      </c>
      <c r="K59" s="106" t="s">
        <v>1524</v>
      </c>
      <c r="L59" s="106" t="s">
        <v>1512</v>
      </c>
      <c r="M59" s="106" t="s">
        <v>1513</v>
      </c>
    </row>
    <row r="60" spans="1:17" s="1" customFormat="1" ht="28.5" customHeight="1" x14ac:dyDescent="0.25">
      <c r="A60" s="106" t="s">
        <v>847</v>
      </c>
      <c r="B60" s="106" t="s">
        <v>848</v>
      </c>
      <c r="C60" s="106" t="s">
        <v>904</v>
      </c>
      <c r="D60" s="106" t="s">
        <v>927</v>
      </c>
      <c r="E60" s="106" t="s">
        <v>1515</v>
      </c>
      <c r="F60" s="106">
        <v>1</v>
      </c>
      <c r="G60" s="106">
        <v>2</v>
      </c>
      <c r="H60" s="106">
        <v>3</v>
      </c>
      <c r="I60" s="106">
        <v>4</v>
      </c>
      <c r="J60" s="106">
        <v>5</v>
      </c>
      <c r="K60" s="106">
        <v>6</v>
      </c>
      <c r="L60" s="106">
        <v>7</v>
      </c>
      <c r="M60" s="106">
        <v>8</v>
      </c>
    </row>
    <row r="61" spans="1:17" s="1" customFormat="1" ht="15" x14ac:dyDescent="0.25">
      <c r="A61" s="130"/>
      <c r="B61" s="130"/>
      <c r="C61" s="130"/>
      <c r="D61" s="130"/>
      <c r="E61" s="130"/>
      <c r="F61" s="130"/>
      <c r="G61" s="130"/>
      <c r="H61" s="130"/>
      <c r="I61" s="130"/>
      <c r="J61" s="130"/>
      <c r="K61" s="130"/>
      <c r="L61" s="130"/>
      <c r="M61" s="130"/>
    </row>
    <row r="62" spans="1:17" s="1" customFormat="1" ht="15" x14ac:dyDescent="0.25">
      <c r="A62" s="133"/>
      <c r="B62" s="133"/>
      <c r="C62" s="133"/>
      <c r="D62" s="133"/>
      <c r="E62" s="133"/>
      <c r="F62" s="133"/>
      <c r="G62" s="133"/>
      <c r="H62" s="133"/>
      <c r="I62" s="133"/>
      <c r="J62" s="133"/>
      <c r="K62" s="133"/>
      <c r="L62" s="133"/>
      <c r="M62" s="133"/>
    </row>
    <row r="63" spans="1:17" s="1" customFormat="1" ht="15" x14ac:dyDescent="0.25">
      <c r="A63" s="133"/>
      <c r="B63" s="133"/>
      <c r="C63" s="133"/>
      <c r="D63" s="133"/>
      <c r="E63" s="133"/>
      <c r="F63" s="133"/>
      <c r="G63" s="133"/>
      <c r="H63" s="133"/>
      <c r="I63" s="133"/>
      <c r="J63" s="133"/>
      <c r="K63" s="133"/>
      <c r="L63" s="133"/>
      <c r="M63" s="133"/>
    </row>
    <row r="64" spans="1:17" s="1" customFormat="1" ht="15" x14ac:dyDescent="0.25">
      <c r="A64" s="133"/>
      <c r="B64" s="133"/>
      <c r="C64" s="133"/>
      <c r="D64" s="133"/>
      <c r="E64" s="133"/>
      <c r="F64" s="133"/>
      <c r="G64" s="133"/>
      <c r="H64" s="133"/>
      <c r="I64" s="133"/>
      <c r="J64" s="133"/>
      <c r="K64" s="133"/>
      <c r="L64" s="133"/>
      <c r="M64" s="133"/>
    </row>
    <row r="65" spans="1:17" s="1" customFormat="1" ht="15" x14ac:dyDescent="0.25">
      <c r="A65" s="133"/>
      <c r="B65" s="133"/>
      <c r="C65" s="133"/>
      <c r="D65" s="133"/>
      <c r="E65" s="133"/>
      <c r="F65" s="133"/>
      <c r="G65" s="133"/>
      <c r="H65" s="133"/>
      <c r="I65" s="133"/>
      <c r="J65" s="133"/>
      <c r="K65" s="133"/>
      <c r="L65" s="133"/>
      <c r="M65" s="133"/>
    </row>
    <row r="66" spans="1:17" s="1" customFormat="1" ht="15" x14ac:dyDescent="0.25">
      <c r="A66" s="133"/>
      <c r="B66" s="133"/>
      <c r="C66" s="133"/>
      <c r="D66" s="133"/>
      <c r="E66" s="133"/>
      <c r="F66" s="133"/>
      <c r="G66" s="133"/>
      <c r="H66" s="133"/>
      <c r="I66" s="133"/>
      <c r="J66" s="133"/>
      <c r="K66" s="133"/>
      <c r="L66" s="133"/>
      <c r="M66" s="133"/>
    </row>
    <row r="67" spans="1:17" s="1" customFormat="1" ht="15" x14ac:dyDescent="0.25">
      <c r="A67" s="137"/>
      <c r="B67" s="137"/>
      <c r="C67" s="137"/>
      <c r="D67" s="137"/>
      <c r="E67" s="137"/>
      <c r="F67" s="137"/>
      <c r="G67" s="137"/>
      <c r="H67" s="137"/>
      <c r="I67" s="137"/>
      <c r="J67" s="137"/>
      <c r="K67" s="137"/>
      <c r="L67" s="137"/>
      <c r="M67" s="137"/>
    </row>
    <row r="68" spans="1:17" x14ac:dyDescent="0.25">
      <c r="A68" s="103" t="s">
        <v>1525</v>
      </c>
    </row>
    <row r="69" spans="1:17" x14ac:dyDescent="0.25">
      <c r="A69" s="4699" t="s">
        <v>1390</v>
      </c>
      <c r="B69" s="4699"/>
      <c r="C69" s="4699"/>
      <c r="D69" s="4699"/>
      <c r="E69" s="4699"/>
      <c r="F69" s="4699"/>
      <c r="G69" s="4699"/>
      <c r="H69" s="4699"/>
      <c r="I69" s="4699"/>
      <c r="J69" s="4699"/>
      <c r="K69" s="4699"/>
      <c r="L69" s="4699"/>
      <c r="M69" s="4699"/>
      <c r="N69" s="4699"/>
      <c r="O69" s="4699"/>
      <c r="P69" s="4699"/>
      <c r="Q69" s="4699"/>
    </row>
    <row r="70" spans="1:17" x14ac:dyDescent="0.25">
      <c r="A70" s="4699" t="s">
        <v>1391</v>
      </c>
      <c r="B70" s="4699"/>
      <c r="C70" s="4699"/>
      <c r="D70" s="4699"/>
      <c r="E70" s="4699"/>
      <c r="F70" s="4699"/>
      <c r="G70" s="4699"/>
      <c r="H70" s="4699"/>
      <c r="I70" s="4699"/>
      <c r="J70" s="4699"/>
      <c r="K70" s="4699"/>
      <c r="L70" s="4699"/>
      <c r="M70" s="4699"/>
      <c r="N70" s="4699"/>
      <c r="O70" s="4699"/>
      <c r="P70" s="4699"/>
      <c r="Q70" s="4699"/>
    </row>
    <row r="71" spans="1:17" ht="27" customHeight="1" x14ac:dyDescent="0.25">
      <c r="A71" s="4699" t="s">
        <v>1392</v>
      </c>
      <c r="B71" s="4699"/>
      <c r="C71" s="4699"/>
      <c r="D71" s="4699"/>
      <c r="E71" s="4699"/>
      <c r="F71" s="4699"/>
      <c r="G71" s="4699"/>
      <c r="H71" s="4699"/>
      <c r="I71" s="4699"/>
      <c r="J71" s="4699"/>
      <c r="K71" s="4699"/>
      <c r="L71" s="4699"/>
      <c r="M71" s="4699"/>
      <c r="N71" s="4699"/>
      <c r="O71" s="4699"/>
      <c r="P71" s="4699"/>
      <c r="Q71" s="4699"/>
    </row>
    <row r="72" spans="1:17" x14ac:dyDescent="0.25">
      <c r="A72" s="4692" t="s">
        <v>1365</v>
      </c>
      <c r="B72" s="4692"/>
      <c r="C72" s="4692"/>
      <c r="D72" s="4692"/>
      <c r="E72" s="4692"/>
      <c r="F72" s="4692"/>
      <c r="G72" s="4692"/>
      <c r="H72" s="4692"/>
      <c r="I72" s="4692"/>
      <c r="J72" s="4692"/>
      <c r="K72" s="4692"/>
      <c r="L72" s="4692"/>
      <c r="M72" s="4692"/>
      <c r="N72" s="4692"/>
      <c r="O72" s="4692"/>
      <c r="P72" s="4692"/>
      <c r="Q72" s="4692"/>
    </row>
    <row r="73" spans="1:17" ht="16.5" customHeight="1" x14ac:dyDescent="0.25">
      <c r="A73" s="4689" t="s">
        <v>1393</v>
      </c>
      <c r="B73" s="4689"/>
      <c r="C73" s="4689"/>
      <c r="D73" s="4689"/>
      <c r="E73" s="4689"/>
      <c r="F73" s="4689"/>
      <c r="G73" s="4689"/>
      <c r="H73" s="4689"/>
      <c r="I73" s="4689"/>
      <c r="J73" s="4689"/>
      <c r="K73" s="4689"/>
      <c r="L73" s="4689"/>
      <c r="M73" s="4689"/>
      <c r="N73" s="4689"/>
      <c r="O73" s="4689"/>
      <c r="P73" s="4689"/>
      <c r="Q73" s="4689"/>
    </row>
    <row r="74" spans="1:17" x14ac:dyDescent="0.25">
      <c r="A74" s="4691" t="s">
        <v>428</v>
      </c>
      <c r="B74" s="4691"/>
      <c r="C74" s="4691"/>
      <c r="D74" s="4691"/>
      <c r="E74" s="4691"/>
      <c r="F74" s="4691"/>
      <c r="G74" s="4691"/>
      <c r="H74" s="4691"/>
      <c r="I74" s="4691"/>
      <c r="J74" s="4691"/>
      <c r="K74" s="4691"/>
      <c r="L74" s="4691"/>
      <c r="M74" s="4691"/>
      <c r="N74" s="4691"/>
      <c r="O74" s="4691"/>
      <c r="P74" s="4691"/>
      <c r="Q74" s="4691"/>
    </row>
    <row r="75" spans="1:17" x14ac:dyDescent="0.25">
      <c r="A75" s="104"/>
    </row>
  </sheetData>
  <mergeCells count="29">
    <mergeCell ref="A74:Q74"/>
    <mergeCell ref="O12:Q12"/>
    <mergeCell ref="A58:A59"/>
    <mergeCell ref="B58:B59"/>
    <mergeCell ref="C58:C59"/>
    <mergeCell ref="D58:D59"/>
    <mergeCell ref="E58:E59"/>
    <mergeCell ref="K12:K13"/>
    <mergeCell ref="A73:Q73"/>
    <mergeCell ref="L12:N12"/>
    <mergeCell ref="A70:Q70"/>
    <mergeCell ref="H12:J12"/>
    <mergeCell ref="F58:I58"/>
    <mergeCell ref="J58:M58"/>
    <mergeCell ref="A11:A13"/>
    <mergeCell ref="C11:C13"/>
    <mergeCell ref="A72:Q72"/>
    <mergeCell ref="A1:B1"/>
    <mergeCell ref="A2:B2"/>
    <mergeCell ref="A3:B3"/>
    <mergeCell ref="A71:Q71"/>
    <mergeCell ref="A4:Q4"/>
    <mergeCell ref="A5:Q5"/>
    <mergeCell ref="K11:Q11"/>
    <mergeCell ref="E12:G12"/>
    <mergeCell ref="A69:Q69"/>
    <mergeCell ref="D11:J11"/>
    <mergeCell ref="D12:D13"/>
    <mergeCell ref="B11:B13"/>
  </mergeCells>
  <phoneticPr fontId="70" type="noConversion"/>
  <pageMargins left="0.39" right="0.2" top="0.75" bottom="0.75" header="0.3" footer="0.3"/>
  <pageSetup paperSize="9" firstPageNumber="206" orientation="landscape" useFirstPageNumber="1" r:id="rId1"/>
  <headerFooter>
    <oddHeader>&amp;RBiểu số 5.41</oddHead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7030A0"/>
  </sheetPr>
  <dimension ref="A1:Q51"/>
  <sheetViews>
    <sheetView workbookViewId="0">
      <selection activeCell="P8" sqref="P8"/>
    </sheetView>
  </sheetViews>
  <sheetFormatPr defaultColWidth="9.140625" defaultRowHeight="16.5" x14ac:dyDescent="0.25"/>
  <cols>
    <col min="1" max="1" width="5.42578125" style="98" customWidth="1"/>
    <col min="2" max="2" width="30.140625" style="98" customWidth="1"/>
    <col min="3" max="3" width="5.7109375" style="98" customWidth="1"/>
    <col min="4" max="4" width="6.5703125" style="98" customWidth="1"/>
    <col min="5" max="5" width="7.7109375" style="98" customWidth="1"/>
    <col min="6" max="6" width="8.42578125" style="98" customWidth="1"/>
    <col min="7" max="7" width="5.42578125" style="98" customWidth="1"/>
    <col min="8" max="8" width="6.85546875" style="98" customWidth="1"/>
    <col min="9" max="9" width="8.28515625" style="98" customWidth="1"/>
    <col min="10" max="10" width="7.28515625" style="98" customWidth="1"/>
    <col min="11" max="11" width="6.7109375" style="98" customWidth="1"/>
    <col min="12" max="12" width="7.42578125" style="98" customWidth="1"/>
    <col min="13" max="13" width="9.28515625" style="98" customWidth="1"/>
    <col min="14" max="14" width="9.140625" style="98"/>
    <col min="15" max="15" width="6.5703125" style="98" customWidth="1"/>
    <col min="16" max="16384" width="9.140625" style="98"/>
  </cols>
  <sheetData>
    <row r="1" spans="1:15" x14ac:dyDescent="0.25">
      <c r="A1" s="4688" t="s">
        <v>283</v>
      </c>
      <c r="B1" s="4688"/>
      <c r="C1" s="4688"/>
      <c r="D1" s="4688"/>
      <c r="I1" s="99"/>
      <c r="J1" s="4689"/>
      <c r="K1" s="4689"/>
      <c r="L1" s="4689"/>
      <c r="M1" s="4689"/>
      <c r="N1" s="4689"/>
      <c r="O1" s="4689"/>
    </row>
    <row r="2" spans="1:15" x14ac:dyDescent="0.25">
      <c r="A2" s="4697" t="s">
        <v>284</v>
      </c>
      <c r="B2" s="4697"/>
      <c r="C2" s="4697"/>
      <c r="D2" s="4697"/>
      <c r="H2" s="99"/>
      <c r="I2" s="99"/>
      <c r="J2" s="4689"/>
      <c r="K2" s="4689"/>
      <c r="L2" s="4689"/>
      <c r="M2" s="4689"/>
      <c r="N2" s="4689"/>
      <c r="O2" s="4689"/>
    </row>
    <row r="3" spans="1:15" x14ac:dyDescent="0.25">
      <c r="A3" s="4697" t="s">
        <v>285</v>
      </c>
      <c r="B3" s="4697"/>
      <c r="C3" s="4697"/>
      <c r="D3" s="4697"/>
      <c r="H3" s="99"/>
      <c r="I3" s="99"/>
      <c r="J3" s="4689"/>
      <c r="K3" s="4689"/>
      <c r="L3" s="4689"/>
      <c r="M3" s="4689"/>
      <c r="N3" s="4689"/>
      <c r="O3" s="4689"/>
    </row>
    <row r="4" spans="1:15" ht="18.75" x14ac:dyDescent="0.25">
      <c r="A4" s="4700" t="s">
        <v>429</v>
      </c>
      <c r="B4" s="4700"/>
      <c r="C4" s="4700"/>
      <c r="D4" s="4700"/>
      <c r="E4" s="4700"/>
      <c r="F4" s="4700"/>
      <c r="G4" s="4700"/>
      <c r="H4" s="4700"/>
      <c r="I4" s="4700"/>
      <c r="J4" s="4700"/>
      <c r="K4" s="4700"/>
      <c r="L4" s="4700"/>
      <c r="M4" s="4700"/>
      <c r="N4" s="4700"/>
      <c r="O4" s="4700"/>
    </row>
    <row r="5" spans="1:15" ht="18.75" x14ac:dyDescent="0.25">
      <c r="A5" s="4700" t="s">
        <v>1526</v>
      </c>
      <c r="B5" s="4700"/>
      <c r="C5" s="4700"/>
      <c r="D5" s="4700"/>
      <c r="E5" s="4700"/>
      <c r="F5" s="4700"/>
      <c r="G5" s="4700"/>
      <c r="H5" s="4700"/>
      <c r="I5" s="4700"/>
      <c r="J5" s="4700"/>
      <c r="K5" s="4700"/>
      <c r="L5" s="4700"/>
      <c r="M5" s="4700"/>
      <c r="N5" s="4700"/>
      <c r="O5" s="4700"/>
    </row>
    <row r="6" spans="1:15" x14ac:dyDescent="0.25">
      <c r="A6" s="4701" t="s">
        <v>430</v>
      </c>
      <c r="B6" s="4701"/>
      <c r="C6" s="4701"/>
      <c r="D6" s="4701"/>
      <c r="E6" s="4701"/>
      <c r="F6" s="4701"/>
      <c r="G6" s="4701"/>
      <c r="H6" s="4701"/>
      <c r="I6" s="4701"/>
      <c r="J6" s="4701"/>
      <c r="K6" s="4701"/>
      <c r="L6" s="4701"/>
      <c r="M6" s="4701"/>
      <c r="N6" s="4701"/>
      <c r="O6" s="4701"/>
    </row>
    <row r="7" spans="1:15" x14ac:dyDescent="0.25">
      <c r="M7" s="4684" t="s">
        <v>192</v>
      </c>
      <c r="N7" s="4684"/>
      <c r="O7" s="4684"/>
    </row>
    <row r="8" spans="1:15" x14ac:dyDescent="0.25">
      <c r="A8" s="4709" t="s">
        <v>844</v>
      </c>
      <c r="B8" s="4710" t="s">
        <v>431</v>
      </c>
      <c r="C8" s="4709" t="s">
        <v>276</v>
      </c>
      <c r="D8" s="4709" t="s">
        <v>106</v>
      </c>
      <c r="E8" s="4709"/>
      <c r="F8" s="4709"/>
      <c r="G8" s="4709"/>
      <c r="H8" s="4709" t="s">
        <v>432</v>
      </c>
      <c r="I8" s="4709"/>
      <c r="J8" s="4709"/>
      <c r="K8" s="4709"/>
      <c r="L8" s="4709" t="s">
        <v>1527</v>
      </c>
      <c r="M8" s="4709"/>
      <c r="N8" s="4709"/>
      <c r="O8" s="4709"/>
    </row>
    <row r="9" spans="1:15" ht="33" x14ac:dyDescent="0.25">
      <c r="A9" s="4709"/>
      <c r="B9" s="4711"/>
      <c r="C9" s="4709"/>
      <c r="D9" s="101" t="s">
        <v>868</v>
      </c>
      <c r="E9" s="101" t="s">
        <v>377</v>
      </c>
      <c r="F9" s="101" t="s">
        <v>378</v>
      </c>
      <c r="G9" s="101" t="s">
        <v>1453</v>
      </c>
      <c r="H9" s="101" t="s">
        <v>868</v>
      </c>
      <c r="I9" s="101" t="s">
        <v>377</v>
      </c>
      <c r="J9" s="101" t="s">
        <v>378</v>
      </c>
      <c r="K9" s="101" t="s">
        <v>1453</v>
      </c>
      <c r="L9" s="101" t="s">
        <v>868</v>
      </c>
      <c r="M9" s="101" t="s">
        <v>377</v>
      </c>
      <c r="N9" s="101" t="s">
        <v>378</v>
      </c>
      <c r="O9" s="101" t="s">
        <v>1453</v>
      </c>
    </row>
    <row r="10" spans="1:15" x14ac:dyDescent="0.25">
      <c r="A10" s="102" t="s">
        <v>847</v>
      </c>
      <c r="B10" s="102" t="s">
        <v>848</v>
      </c>
      <c r="C10" s="102" t="s">
        <v>904</v>
      </c>
      <c r="D10" s="102">
        <v>1</v>
      </c>
      <c r="E10" s="102">
        <v>2</v>
      </c>
      <c r="F10" s="102">
        <v>3</v>
      </c>
      <c r="G10" s="102">
        <v>4</v>
      </c>
      <c r="H10" s="102">
        <v>5</v>
      </c>
      <c r="I10" s="102">
        <v>6</v>
      </c>
      <c r="J10" s="102">
        <v>7</v>
      </c>
      <c r="K10" s="102">
        <v>8</v>
      </c>
      <c r="L10" s="102">
        <v>9</v>
      </c>
      <c r="M10" s="102" t="s">
        <v>433</v>
      </c>
      <c r="N10" s="102" t="s">
        <v>434</v>
      </c>
      <c r="O10" s="102"/>
    </row>
    <row r="11" spans="1:15" ht="66" x14ac:dyDescent="0.25">
      <c r="A11" s="140" t="s">
        <v>849</v>
      </c>
      <c r="B11" s="141" t="s">
        <v>245</v>
      </c>
      <c r="C11" s="142"/>
      <c r="D11" s="142"/>
      <c r="E11" s="142"/>
      <c r="F11" s="142"/>
      <c r="G11" s="142"/>
      <c r="H11" s="142"/>
      <c r="I11" s="142"/>
      <c r="J11" s="142"/>
      <c r="K11" s="142"/>
      <c r="L11" s="142"/>
      <c r="M11" s="142"/>
      <c r="N11" s="142"/>
      <c r="O11" s="142"/>
    </row>
    <row r="12" spans="1:15" ht="33" x14ac:dyDescent="0.25">
      <c r="A12" s="143">
        <v>1</v>
      </c>
      <c r="B12" s="144" t="s">
        <v>435</v>
      </c>
      <c r="C12" s="143">
        <v>1</v>
      </c>
      <c r="D12" s="143"/>
      <c r="E12" s="143"/>
      <c r="F12" s="143"/>
      <c r="G12" s="143"/>
      <c r="H12" s="143"/>
      <c r="I12" s="143"/>
      <c r="J12" s="143"/>
      <c r="K12" s="143"/>
      <c r="L12" s="143"/>
      <c r="M12" s="143"/>
      <c r="N12" s="143"/>
      <c r="O12" s="143"/>
    </row>
    <row r="13" spans="1:15" x14ac:dyDescent="0.25">
      <c r="A13" s="143"/>
      <c r="B13" s="144" t="s">
        <v>436</v>
      </c>
      <c r="C13" s="143"/>
      <c r="D13" s="143"/>
      <c r="E13" s="143"/>
      <c r="F13" s="143"/>
      <c r="G13" s="143"/>
      <c r="H13" s="143"/>
      <c r="I13" s="143"/>
      <c r="J13" s="143"/>
      <c r="K13" s="143"/>
      <c r="L13" s="143"/>
      <c r="M13" s="143"/>
      <c r="N13" s="143"/>
      <c r="O13" s="143"/>
    </row>
    <row r="14" spans="1:15" x14ac:dyDescent="0.25">
      <c r="A14" s="143"/>
      <c r="B14" s="144" t="s">
        <v>896</v>
      </c>
      <c r="C14" s="143"/>
      <c r="D14" s="143"/>
      <c r="E14" s="143"/>
      <c r="F14" s="143"/>
      <c r="G14" s="143"/>
      <c r="H14" s="143"/>
      <c r="I14" s="143"/>
      <c r="J14" s="143"/>
      <c r="K14" s="143"/>
      <c r="L14" s="143"/>
      <c r="M14" s="143"/>
      <c r="N14" s="143"/>
      <c r="O14" s="143"/>
    </row>
    <row r="15" spans="1:15" ht="33" x14ac:dyDescent="0.25">
      <c r="A15" s="143">
        <v>2</v>
      </c>
      <c r="B15" s="144" t="s">
        <v>437</v>
      </c>
      <c r="C15" s="143">
        <v>2</v>
      </c>
      <c r="D15" s="143"/>
      <c r="E15" s="143"/>
      <c r="F15" s="143"/>
      <c r="G15" s="143"/>
      <c r="H15" s="143"/>
      <c r="I15" s="143"/>
      <c r="J15" s="143"/>
      <c r="K15" s="143"/>
      <c r="L15" s="143"/>
      <c r="M15" s="143"/>
      <c r="N15" s="143"/>
      <c r="O15" s="143"/>
    </row>
    <row r="16" spans="1:15" x14ac:dyDescent="0.25">
      <c r="A16" s="143"/>
      <c r="B16" s="144" t="s">
        <v>436</v>
      </c>
      <c r="C16" s="143"/>
      <c r="D16" s="143"/>
      <c r="E16" s="143"/>
      <c r="F16" s="143"/>
      <c r="G16" s="143"/>
      <c r="H16" s="143"/>
      <c r="I16" s="143"/>
      <c r="J16" s="143"/>
      <c r="K16" s="143"/>
      <c r="L16" s="143"/>
      <c r="M16" s="143"/>
      <c r="N16" s="143"/>
      <c r="O16" s="143"/>
    </row>
    <row r="17" spans="1:15" x14ac:dyDescent="0.25">
      <c r="A17" s="143"/>
      <c r="B17" s="144" t="s">
        <v>890</v>
      </c>
      <c r="C17" s="143"/>
      <c r="D17" s="143"/>
      <c r="E17" s="143"/>
      <c r="F17" s="143"/>
      <c r="G17" s="143"/>
      <c r="H17" s="143"/>
      <c r="I17" s="143"/>
      <c r="J17" s="143"/>
      <c r="K17" s="143"/>
      <c r="L17" s="143"/>
      <c r="M17" s="143"/>
      <c r="N17" s="143"/>
      <c r="O17" s="143"/>
    </row>
    <row r="18" spans="1:15" ht="33" x14ac:dyDescent="0.25">
      <c r="A18" s="143">
        <v>3</v>
      </c>
      <c r="B18" s="144" t="s">
        <v>380</v>
      </c>
      <c r="C18" s="143">
        <v>3</v>
      </c>
      <c r="D18" s="143"/>
      <c r="E18" s="143"/>
      <c r="F18" s="143"/>
      <c r="G18" s="143"/>
      <c r="H18" s="143"/>
      <c r="I18" s="143"/>
      <c r="J18" s="143"/>
      <c r="K18" s="143"/>
      <c r="L18" s="143"/>
      <c r="M18" s="143"/>
      <c r="N18" s="143"/>
      <c r="O18" s="143"/>
    </row>
    <row r="19" spans="1:15" ht="33" x14ac:dyDescent="0.25">
      <c r="A19" s="143"/>
      <c r="B19" s="144" t="s">
        <v>246</v>
      </c>
      <c r="C19" s="143">
        <v>4</v>
      </c>
      <c r="D19" s="143"/>
      <c r="E19" s="143"/>
      <c r="F19" s="143"/>
      <c r="G19" s="143"/>
      <c r="H19" s="143"/>
      <c r="I19" s="143"/>
      <c r="J19" s="143"/>
      <c r="K19" s="143"/>
      <c r="L19" s="143"/>
      <c r="M19" s="143"/>
      <c r="N19" s="143"/>
      <c r="O19" s="143"/>
    </row>
    <row r="20" spans="1:15" x14ac:dyDescent="0.25">
      <c r="A20" s="143"/>
      <c r="B20" s="144" t="s">
        <v>247</v>
      </c>
      <c r="C20" s="143">
        <v>5</v>
      </c>
      <c r="D20" s="143"/>
      <c r="E20" s="143"/>
      <c r="F20" s="143"/>
      <c r="G20" s="143"/>
      <c r="H20" s="143"/>
      <c r="I20" s="143"/>
      <c r="J20" s="143"/>
      <c r="K20" s="143"/>
      <c r="L20" s="143"/>
      <c r="M20" s="143"/>
      <c r="N20" s="143"/>
      <c r="O20" s="143"/>
    </row>
    <row r="21" spans="1:15" x14ac:dyDescent="0.25">
      <c r="A21" s="143"/>
      <c r="B21" s="144" t="s">
        <v>438</v>
      </c>
      <c r="C21" s="143">
        <v>6</v>
      </c>
      <c r="D21" s="143"/>
      <c r="E21" s="143"/>
      <c r="F21" s="143"/>
      <c r="G21" s="143"/>
      <c r="H21" s="143"/>
      <c r="I21" s="143"/>
      <c r="J21" s="143"/>
      <c r="K21" s="143"/>
      <c r="L21" s="143"/>
      <c r="M21" s="143"/>
      <c r="N21" s="143"/>
      <c r="O21" s="143"/>
    </row>
    <row r="22" spans="1:15" ht="33" x14ac:dyDescent="0.25">
      <c r="A22" s="143"/>
      <c r="B22" s="144" t="s">
        <v>248</v>
      </c>
      <c r="C22" s="143">
        <v>7</v>
      </c>
      <c r="D22" s="143"/>
      <c r="E22" s="143"/>
      <c r="F22" s="143"/>
      <c r="G22" s="143"/>
      <c r="H22" s="143"/>
      <c r="I22" s="143"/>
      <c r="J22" s="143"/>
      <c r="K22" s="143"/>
      <c r="L22" s="143"/>
      <c r="M22" s="143"/>
      <c r="N22" s="143"/>
      <c r="O22" s="143"/>
    </row>
    <row r="23" spans="1:15" x14ac:dyDescent="0.25">
      <c r="A23" s="143"/>
      <c r="B23" s="144" t="s">
        <v>247</v>
      </c>
      <c r="C23" s="143">
        <v>8</v>
      </c>
      <c r="D23" s="143"/>
      <c r="E23" s="143"/>
      <c r="F23" s="143"/>
      <c r="G23" s="143"/>
      <c r="H23" s="143"/>
      <c r="I23" s="143"/>
      <c r="J23" s="143"/>
      <c r="K23" s="143"/>
      <c r="L23" s="143"/>
      <c r="M23" s="143"/>
      <c r="N23" s="143"/>
      <c r="O23" s="143"/>
    </row>
    <row r="24" spans="1:15" x14ac:dyDescent="0.25">
      <c r="A24" s="143"/>
      <c r="B24" s="144" t="s">
        <v>438</v>
      </c>
      <c r="C24" s="143">
        <v>9</v>
      </c>
      <c r="D24" s="143"/>
      <c r="E24" s="143"/>
      <c r="F24" s="143"/>
      <c r="G24" s="143"/>
      <c r="H24" s="143"/>
      <c r="I24" s="143"/>
      <c r="J24" s="143"/>
      <c r="K24" s="143"/>
      <c r="L24" s="143"/>
      <c r="M24" s="143"/>
      <c r="N24" s="143"/>
      <c r="O24" s="143"/>
    </row>
    <row r="25" spans="1:15" ht="33" x14ac:dyDescent="0.25">
      <c r="A25" s="143">
        <v>4</v>
      </c>
      <c r="B25" s="144" t="s">
        <v>379</v>
      </c>
      <c r="C25" s="143">
        <v>10</v>
      </c>
      <c r="D25" s="143"/>
      <c r="E25" s="143"/>
      <c r="F25" s="143"/>
      <c r="G25" s="143"/>
      <c r="H25" s="143"/>
      <c r="I25" s="143"/>
      <c r="J25" s="143"/>
      <c r="K25" s="143"/>
      <c r="L25" s="143"/>
      <c r="M25" s="143"/>
      <c r="N25" s="143"/>
      <c r="O25" s="143"/>
    </row>
    <row r="26" spans="1:15" x14ac:dyDescent="0.25">
      <c r="A26" s="143"/>
      <c r="B26" s="144" t="s">
        <v>247</v>
      </c>
      <c r="C26" s="143">
        <v>11</v>
      </c>
      <c r="D26" s="143"/>
      <c r="E26" s="143"/>
      <c r="F26" s="143"/>
      <c r="G26" s="143"/>
      <c r="H26" s="143"/>
      <c r="I26" s="143"/>
      <c r="J26" s="143"/>
      <c r="K26" s="143"/>
      <c r="L26" s="143"/>
      <c r="M26" s="143"/>
      <c r="N26" s="143"/>
      <c r="O26" s="143"/>
    </row>
    <row r="27" spans="1:15" x14ac:dyDescent="0.25">
      <c r="A27" s="143"/>
      <c r="B27" s="144" t="s">
        <v>438</v>
      </c>
      <c r="C27" s="143">
        <v>12</v>
      </c>
      <c r="D27" s="143"/>
      <c r="E27" s="143"/>
      <c r="F27" s="143"/>
      <c r="G27" s="143"/>
      <c r="H27" s="143"/>
      <c r="I27" s="143"/>
      <c r="J27" s="143"/>
      <c r="K27" s="143"/>
      <c r="L27" s="143"/>
      <c r="M27" s="143"/>
      <c r="N27" s="143"/>
      <c r="O27" s="143"/>
    </row>
    <row r="28" spans="1:15" ht="49.5" x14ac:dyDescent="0.25">
      <c r="A28" s="145" t="s">
        <v>866</v>
      </c>
      <c r="B28" s="146" t="s">
        <v>439</v>
      </c>
      <c r="C28" s="143"/>
      <c r="D28" s="143"/>
      <c r="E28" s="143"/>
      <c r="F28" s="143"/>
      <c r="G28" s="143"/>
      <c r="H28" s="143"/>
      <c r="I28" s="143"/>
      <c r="J28" s="143"/>
      <c r="K28" s="143"/>
      <c r="L28" s="143"/>
      <c r="M28" s="143"/>
      <c r="N28" s="143"/>
      <c r="O28" s="143"/>
    </row>
    <row r="29" spans="1:15" ht="33" x14ac:dyDescent="0.25">
      <c r="A29" s="143">
        <v>1</v>
      </c>
      <c r="B29" s="144" t="s">
        <v>435</v>
      </c>
      <c r="C29" s="143">
        <v>13</v>
      </c>
      <c r="D29" s="143"/>
      <c r="E29" s="143"/>
      <c r="F29" s="143"/>
      <c r="G29" s="143"/>
      <c r="H29" s="143"/>
      <c r="I29" s="143"/>
      <c r="J29" s="143"/>
      <c r="K29" s="143"/>
      <c r="L29" s="143"/>
      <c r="M29" s="143"/>
      <c r="N29" s="143"/>
      <c r="O29" s="143"/>
    </row>
    <row r="30" spans="1:15" x14ac:dyDescent="0.25">
      <c r="A30" s="143"/>
      <c r="B30" s="144" t="s">
        <v>436</v>
      </c>
      <c r="C30" s="143"/>
      <c r="D30" s="143"/>
      <c r="E30" s="143"/>
      <c r="F30" s="143"/>
      <c r="G30" s="143"/>
      <c r="H30" s="143"/>
      <c r="I30" s="143"/>
      <c r="J30" s="143"/>
      <c r="K30" s="143"/>
      <c r="L30" s="143"/>
      <c r="M30" s="143"/>
      <c r="N30" s="143"/>
      <c r="O30" s="143"/>
    </row>
    <row r="31" spans="1:15" x14ac:dyDescent="0.25">
      <c r="A31" s="143"/>
      <c r="B31" s="144" t="s">
        <v>895</v>
      </c>
      <c r="C31" s="143"/>
      <c r="D31" s="143"/>
      <c r="E31" s="143"/>
      <c r="F31" s="143"/>
      <c r="G31" s="143"/>
      <c r="H31" s="143"/>
      <c r="I31" s="143"/>
      <c r="J31" s="143"/>
      <c r="K31" s="143"/>
      <c r="L31" s="143"/>
      <c r="M31" s="143"/>
      <c r="N31" s="143"/>
      <c r="O31" s="143"/>
    </row>
    <row r="32" spans="1:15" ht="33" x14ac:dyDescent="0.25">
      <c r="A32" s="143">
        <v>2</v>
      </c>
      <c r="B32" s="144" t="s">
        <v>437</v>
      </c>
      <c r="C32" s="143">
        <v>14</v>
      </c>
      <c r="D32" s="143"/>
      <c r="E32" s="143"/>
      <c r="F32" s="143"/>
      <c r="G32" s="143"/>
      <c r="H32" s="143"/>
      <c r="I32" s="143"/>
      <c r="J32" s="143"/>
      <c r="K32" s="143"/>
      <c r="L32" s="143"/>
      <c r="M32" s="143"/>
      <c r="N32" s="143"/>
      <c r="O32" s="143"/>
    </row>
    <row r="33" spans="1:17" ht="22.5" customHeight="1" x14ac:dyDescent="0.25">
      <c r="A33" s="143"/>
      <c r="B33" s="144" t="s">
        <v>436</v>
      </c>
      <c r="C33" s="143"/>
      <c r="D33" s="143"/>
      <c r="E33" s="143"/>
      <c r="F33" s="143"/>
      <c r="G33" s="143"/>
      <c r="H33" s="143"/>
      <c r="I33" s="143"/>
      <c r="J33" s="143"/>
      <c r="K33" s="143"/>
      <c r="L33" s="143"/>
      <c r="M33" s="143"/>
      <c r="N33" s="143"/>
      <c r="O33" s="143"/>
    </row>
    <row r="34" spans="1:17" ht="22.5" customHeight="1" x14ac:dyDescent="0.25">
      <c r="A34" s="143"/>
      <c r="B34" s="147" t="s">
        <v>890</v>
      </c>
      <c r="C34" s="143"/>
      <c r="D34" s="143"/>
      <c r="E34" s="143"/>
      <c r="F34" s="143"/>
      <c r="G34" s="143"/>
      <c r="H34" s="143"/>
      <c r="I34" s="143"/>
      <c r="J34" s="143"/>
      <c r="K34" s="143"/>
      <c r="L34" s="143"/>
      <c r="M34" s="143"/>
      <c r="N34" s="143"/>
      <c r="O34" s="143"/>
    </row>
    <row r="35" spans="1:17" ht="32.25" customHeight="1" x14ac:dyDescent="0.25">
      <c r="A35" s="143">
        <v>3</v>
      </c>
      <c r="B35" s="144" t="s">
        <v>380</v>
      </c>
      <c r="C35" s="143">
        <v>15</v>
      </c>
      <c r="D35" s="143"/>
      <c r="E35" s="143"/>
      <c r="F35" s="143"/>
      <c r="G35" s="143"/>
      <c r="H35" s="143"/>
      <c r="I35" s="143"/>
      <c r="J35" s="143"/>
      <c r="K35" s="143"/>
      <c r="L35" s="143"/>
      <c r="M35" s="143"/>
      <c r="N35" s="143"/>
      <c r="O35" s="143"/>
    </row>
    <row r="36" spans="1:17" ht="32.25" customHeight="1" x14ac:dyDescent="0.25">
      <c r="A36" s="143"/>
      <c r="B36" s="144" t="s">
        <v>246</v>
      </c>
      <c r="C36" s="143">
        <v>16</v>
      </c>
      <c r="D36" s="143"/>
      <c r="E36" s="143"/>
      <c r="F36" s="143"/>
      <c r="G36" s="143"/>
      <c r="H36" s="143"/>
      <c r="I36" s="143"/>
      <c r="J36" s="143"/>
      <c r="K36" s="143"/>
      <c r="L36" s="143"/>
      <c r="M36" s="143"/>
      <c r="N36" s="143"/>
      <c r="O36" s="143"/>
    </row>
    <row r="37" spans="1:17" ht="21.75" customHeight="1" x14ac:dyDescent="0.25">
      <c r="A37" s="143"/>
      <c r="B37" s="144" t="s">
        <v>247</v>
      </c>
      <c r="C37" s="143">
        <v>17</v>
      </c>
      <c r="D37" s="143"/>
      <c r="E37" s="143"/>
      <c r="F37" s="143"/>
      <c r="G37" s="143"/>
      <c r="H37" s="143"/>
      <c r="I37" s="143"/>
      <c r="J37" s="143"/>
      <c r="K37" s="143"/>
      <c r="L37" s="143"/>
      <c r="M37" s="143"/>
      <c r="N37" s="143"/>
      <c r="O37" s="143"/>
    </row>
    <row r="38" spans="1:17" ht="21.75" customHeight="1" x14ac:dyDescent="0.25">
      <c r="A38" s="143"/>
      <c r="B38" s="144" t="s">
        <v>438</v>
      </c>
      <c r="C38" s="143">
        <v>18</v>
      </c>
      <c r="D38" s="143"/>
      <c r="E38" s="143"/>
      <c r="F38" s="143"/>
      <c r="G38" s="143"/>
      <c r="H38" s="143"/>
      <c r="I38" s="143"/>
      <c r="J38" s="143"/>
      <c r="K38" s="143"/>
      <c r="L38" s="143"/>
      <c r="M38" s="143"/>
      <c r="N38" s="143"/>
      <c r="O38" s="143"/>
    </row>
    <row r="39" spans="1:17" ht="42.75" customHeight="1" x14ac:dyDescent="0.25">
      <c r="A39" s="143"/>
      <c r="B39" s="144" t="s">
        <v>248</v>
      </c>
      <c r="C39" s="143">
        <v>19</v>
      </c>
      <c r="D39" s="143"/>
      <c r="E39" s="143"/>
      <c r="F39" s="143"/>
      <c r="G39" s="143"/>
      <c r="H39" s="143"/>
      <c r="I39" s="143"/>
      <c r="J39" s="143"/>
      <c r="K39" s="143"/>
      <c r="L39" s="143"/>
      <c r="M39" s="143"/>
      <c r="N39" s="143"/>
      <c r="O39" s="143"/>
    </row>
    <row r="40" spans="1:17" ht="26.25" customHeight="1" x14ac:dyDescent="0.25">
      <c r="A40" s="143"/>
      <c r="B40" s="144" t="s">
        <v>247</v>
      </c>
      <c r="C40" s="143">
        <v>20</v>
      </c>
      <c r="D40" s="143"/>
      <c r="E40" s="143"/>
      <c r="F40" s="143"/>
      <c r="G40" s="143"/>
      <c r="H40" s="143"/>
      <c r="I40" s="143"/>
      <c r="J40" s="143"/>
      <c r="K40" s="143"/>
      <c r="L40" s="143"/>
      <c r="M40" s="143"/>
      <c r="N40" s="143"/>
      <c r="O40" s="143"/>
    </row>
    <row r="41" spans="1:17" ht="26.25" customHeight="1" x14ac:dyDescent="0.25">
      <c r="A41" s="143"/>
      <c r="B41" s="144" t="s">
        <v>438</v>
      </c>
      <c r="C41" s="143">
        <v>21</v>
      </c>
      <c r="D41" s="143"/>
      <c r="E41" s="143"/>
      <c r="F41" s="143"/>
      <c r="G41" s="143"/>
      <c r="H41" s="143"/>
      <c r="I41" s="143"/>
      <c r="J41" s="143"/>
      <c r="K41" s="143"/>
      <c r="L41" s="143"/>
      <c r="M41" s="143"/>
      <c r="N41" s="143"/>
      <c r="O41" s="143"/>
    </row>
    <row r="42" spans="1:17" ht="30.75" customHeight="1" x14ac:dyDescent="0.25">
      <c r="A42" s="143">
        <v>4</v>
      </c>
      <c r="B42" s="144" t="s">
        <v>381</v>
      </c>
      <c r="C42" s="143">
        <v>22</v>
      </c>
      <c r="D42" s="143"/>
      <c r="E42" s="143"/>
      <c r="F42" s="143"/>
      <c r="G42" s="143"/>
      <c r="H42" s="143"/>
      <c r="I42" s="143"/>
      <c r="J42" s="143"/>
      <c r="K42" s="143"/>
      <c r="L42" s="143"/>
      <c r="M42" s="143"/>
      <c r="N42" s="143"/>
      <c r="O42" s="143"/>
    </row>
    <row r="43" spans="1:17" ht="23.25" customHeight="1" x14ac:dyDescent="0.25">
      <c r="A43" s="143"/>
      <c r="B43" s="144" t="s">
        <v>247</v>
      </c>
      <c r="C43" s="143">
        <v>23</v>
      </c>
      <c r="D43" s="143"/>
      <c r="E43" s="143"/>
      <c r="F43" s="143"/>
      <c r="G43" s="143"/>
      <c r="H43" s="143"/>
      <c r="I43" s="143"/>
      <c r="J43" s="143"/>
      <c r="K43" s="143"/>
      <c r="L43" s="143"/>
      <c r="M43" s="143"/>
      <c r="N43" s="143"/>
      <c r="O43" s="143"/>
    </row>
    <row r="44" spans="1:17" ht="23.25" customHeight="1" x14ac:dyDescent="0.25">
      <c r="A44" s="143"/>
      <c r="B44" s="144" t="s">
        <v>438</v>
      </c>
      <c r="C44" s="143">
        <v>24</v>
      </c>
      <c r="D44" s="143"/>
      <c r="E44" s="143"/>
      <c r="F44" s="143"/>
      <c r="G44" s="143"/>
      <c r="H44" s="143"/>
      <c r="I44" s="143"/>
      <c r="J44" s="143"/>
      <c r="K44" s="143"/>
      <c r="L44" s="143"/>
      <c r="M44" s="143"/>
      <c r="N44" s="143"/>
      <c r="O44" s="143"/>
    </row>
    <row r="45" spans="1:17" ht="41.25" customHeight="1" x14ac:dyDescent="0.25">
      <c r="A45" s="148" t="s">
        <v>872</v>
      </c>
      <c r="B45" s="149" t="s">
        <v>146</v>
      </c>
      <c r="C45" s="150"/>
      <c r="D45" s="150"/>
      <c r="E45" s="150"/>
      <c r="F45" s="150"/>
      <c r="G45" s="150"/>
      <c r="H45" s="150"/>
      <c r="I45" s="150"/>
      <c r="J45" s="150"/>
      <c r="K45" s="150"/>
      <c r="L45" s="150"/>
      <c r="M45" s="150"/>
      <c r="N45" s="150"/>
      <c r="O45" s="150"/>
    </row>
    <row r="46" spans="1:17" x14ac:dyDescent="0.25">
      <c r="A46" s="100"/>
    </row>
    <row r="47" spans="1:17" x14ac:dyDescent="0.25">
      <c r="A47" s="4708" t="s">
        <v>635</v>
      </c>
      <c r="B47" s="4708"/>
      <c r="C47" s="4708"/>
      <c r="D47" s="4708"/>
      <c r="E47" s="4708"/>
      <c r="F47" s="4708"/>
      <c r="G47" s="4708"/>
      <c r="H47" s="4708"/>
      <c r="I47" s="4708"/>
      <c r="J47" s="4708"/>
      <c r="K47" s="4708"/>
      <c r="L47" s="4708"/>
      <c r="M47" s="4708"/>
      <c r="N47" s="4708"/>
      <c r="O47" s="4708"/>
    </row>
    <row r="48" spans="1:17" ht="16.5" customHeight="1" x14ac:dyDescent="0.25">
      <c r="A48" s="4689" t="s">
        <v>1393</v>
      </c>
      <c r="B48" s="4689"/>
      <c r="C48" s="4689"/>
      <c r="D48" s="4689"/>
      <c r="E48" s="4689"/>
      <c r="F48" s="4689"/>
      <c r="G48" s="4689"/>
      <c r="H48" s="4689"/>
      <c r="I48" s="4689"/>
      <c r="J48" s="4689"/>
      <c r="K48" s="4689"/>
      <c r="L48" s="4689"/>
      <c r="M48" s="4689"/>
      <c r="N48" s="4689"/>
      <c r="O48" s="4689"/>
      <c r="P48" s="99"/>
      <c r="Q48" s="99"/>
    </row>
    <row r="49" spans="1:17" x14ac:dyDescent="0.25">
      <c r="A49" s="108" t="s">
        <v>428</v>
      </c>
      <c r="B49" s="108"/>
      <c r="C49" s="108"/>
      <c r="D49" s="108"/>
      <c r="E49" s="108"/>
      <c r="F49" s="108"/>
      <c r="G49" s="108"/>
      <c r="H49" s="108"/>
      <c r="I49" s="108"/>
      <c r="J49" s="108"/>
      <c r="K49" s="108"/>
      <c r="L49" s="108"/>
      <c r="M49" s="108"/>
      <c r="N49" s="108"/>
      <c r="O49" s="108"/>
      <c r="P49" s="108"/>
      <c r="Q49" s="108"/>
    </row>
    <row r="51" spans="1:17" x14ac:dyDescent="0.25">
      <c r="A51" s="104"/>
    </row>
  </sheetData>
  <mergeCells count="16">
    <mergeCell ref="A5:O5"/>
    <mergeCell ref="A1:D1"/>
    <mergeCell ref="J1:O3"/>
    <mergeCell ref="A2:D2"/>
    <mergeCell ref="A3:D3"/>
    <mergeCell ref="A4:O4"/>
    <mergeCell ref="A47:O47"/>
    <mergeCell ref="A48:O48"/>
    <mergeCell ref="A6:O6"/>
    <mergeCell ref="M7:O7"/>
    <mergeCell ref="A8:A9"/>
    <mergeCell ref="B8:B9"/>
    <mergeCell ref="C8:C9"/>
    <mergeCell ref="D8:G8"/>
    <mergeCell ref="H8:K8"/>
    <mergeCell ref="L8:O8"/>
  </mergeCells>
  <phoneticPr fontId="70" type="noConversion"/>
  <pageMargins left="1.0236220472440944" right="0.27559055118110237" top="0.59055118110236227" bottom="0.74803149606299213" header="0.31496062992125984" footer="0.31496062992125984"/>
  <pageSetup paperSize="9" firstPageNumber="211" orientation="landscape" useFirstPageNumber="1" r:id="rId1"/>
  <headerFooter>
    <oddHeader>&amp;RBiểu số 5.42</oddHeader>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7030A0"/>
  </sheetPr>
  <dimension ref="A1:G217"/>
  <sheetViews>
    <sheetView workbookViewId="0">
      <selection sqref="A1:A3"/>
    </sheetView>
  </sheetViews>
  <sheetFormatPr defaultColWidth="9.140625" defaultRowHeight="16.5" x14ac:dyDescent="0.25"/>
  <cols>
    <col min="1" max="1" width="6.140625" style="104" customWidth="1"/>
    <col min="2" max="2" width="16.7109375" style="104" customWidth="1"/>
    <col min="3" max="3" width="11.85546875" style="104" customWidth="1"/>
    <col min="4" max="4" width="16.28515625" style="104" customWidth="1"/>
    <col min="5" max="5" width="17.5703125" style="104" customWidth="1"/>
    <col min="6" max="6" width="22.5703125" style="104" customWidth="1"/>
    <col min="7" max="7" width="8.5703125" style="104" customWidth="1"/>
    <col min="8" max="16384" width="9.140625" style="104"/>
  </cols>
  <sheetData>
    <row r="1" spans="1:6" x14ac:dyDescent="0.25">
      <c r="A1" s="109" t="s">
        <v>249</v>
      </c>
      <c r="D1" s="110"/>
      <c r="E1" s="4729"/>
      <c r="F1" s="4729"/>
    </row>
    <row r="2" spans="1:6" x14ac:dyDescent="0.25">
      <c r="A2" s="109" t="s">
        <v>250</v>
      </c>
      <c r="C2" s="110"/>
      <c r="D2" s="110"/>
      <c r="E2" s="4729"/>
      <c r="F2" s="4729"/>
    </row>
    <row r="3" spans="1:6" x14ac:dyDescent="0.25">
      <c r="A3" s="109" t="s">
        <v>251</v>
      </c>
      <c r="C3" s="110"/>
      <c r="D3" s="110"/>
      <c r="E3" s="4729"/>
      <c r="F3" s="4729"/>
    </row>
    <row r="4" spans="1:6" x14ac:dyDescent="0.25">
      <c r="C4" s="110"/>
      <c r="D4" s="110"/>
      <c r="E4" s="4729"/>
      <c r="F4" s="4729"/>
    </row>
    <row r="5" spans="1:6" x14ac:dyDescent="0.25">
      <c r="A5" s="4730" t="s">
        <v>252</v>
      </c>
      <c r="B5" s="4730"/>
      <c r="C5" s="4730"/>
      <c r="D5" s="4730"/>
      <c r="E5" s="4730"/>
      <c r="F5" s="4730"/>
    </row>
    <row r="6" spans="1:6" x14ac:dyDescent="0.25">
      <c r="A6" s="4715" t="s">
        <v>253</v>
      </c>
      <c r="B6" s="4715"/>
      <c r="C6" s="4715"/>
      <c r="D6" s="4715"/>
      <c r="E6" s="4715"/>
      <c r="F6" s="4715"/>
    </row>
    <row r="7" spans="1:6" x14ac:dyDescent="0.25">
      <c r="A7" s="4714" t="s">
        <v>254</v>
      </c>
      <c r="B7" s="4714"/>
      <c r="C7" s="4714"/>
      <c r="D7" s="4714"/>
      <c r="E7" s="4714"/>
      <c r="F7" s="4714"/>
    </row>
    <row r="8" spans="1:6" x14ac:dyDescent="0.25">
      <c r="A8" s="4714" t="s">
        <v>1407</v>
      </c>
      <c r="B8" s="4714"/>
      <c r="C8" s="4714"/>
      <c r="D8" s="4714"/>
      <c r="E8" s="4714"/>
      <c r="F8" s="4714"/>
    </row>
    <row r="9" spans="1:6" x14ac:dyDescent="0.25">
      <c r="A9" s="4712" t="s">
        <v>1408</v>
      </c>
      <c r="B9" s="4713"/>
      <c r="C9" s="4713"/>
      <c r="D9" s="4713"/>
      <c r="E9" s="4713"/>
      <c r="F9" s="4713"/>
    </row>
    <row r="10" spans="1:6" x14ac:dyDescent="0.25">
      <c r="A10" s="4713" t="s">
        <v>908</v>
      </c>
      <c r="B10" s="4713"/>
      <c r="C10" s="4713"/>
      <c r="D10" s="4713"/>
      <c r="E10" s="4713"/>
      <c r="F10" s="4713"/>
    </row>
    <row r="11" spans="1:6" x14ac:dyDescent="0.25">
      <c r="A11" s="4712" t="s">
        <v>1409</v>
      </c>
      <c r="B11" s="4713"/>
      <c r="C11" s="4713"/>
      <c r="D11" s="4713"/>
      <c r="E11" s="4713"/>
      <c r="F11" s="4713"/>
    </row>
    <row r="12" spans="1:6" x14ac:dyDescent="0.25">
      <c r="A12" s="4712" t="s">
        <v>1410</v>
      </c>
      <c r="B12" s="4713"/>
      <c r="C12" s="4713"/>
      <c r="D12" s="4713"/>
      <c r="E12" s="4713"/>
      <c r="F12" s="4713"/>
    </row>
    <row r="13" spans="1:6" x14ac:dyDescent="0.25">
      <c r="A13" s="4712" t="s">
        <v>1411</v>
      </c>
      <c r="B13" s="4713"/>
      <c r="C13" s="4713"/>
      <c r="D13" s="4713"/>
      <c r="E13" s="4713"/>
      <c r="F13" s="4713"/>
    </row>
    <row r="14" spans="1:6" x14ac:dyDescent="0.25">
      <c r="A14" s="4713" t="s">
        <v>908</v>
      </c>
      <c r="B14" s="4713"/>
      <c r="C14" s="4713"/>
      <c r="D14" s="4713"/>
      <c r="E14" s="4713"/>
      <c r="F14" s="4713"/>
    </row>
    <row r="15" spans="1:6" x14ac:dyDescent="0.25">
      <c r="A15" s="4712" t="s">
        <v>1409</v>
      </c>
      <c r="B15" s="4713"/>
      <c r="C15" s="4713"/>
      <c r="D15" s="4713"/>
      <c r="E15" s="4713"/>
      <c r="F15" s="4713"/>
    </row>
    <row r="16" spans="1:6" x14ac:dyDescent="0.25">
      <c r="A16" s="4712" t="s">
        <v>1410</v>
      </c>
      <c r="B16" s="4713"/>
      <c r="C16" s="4713"/>
      <c r="D16" s="4713"/>
      <c r="E16" s="4713"/>
      <c r="F16" s="4713"/>
    </row>
    <row r="17" spans="1:6" x14ac:dyDescent="0.25">
      <c r="A17" s="4712" t="s">
        <v>1412</v>
      </c>
      <c r="B17" s="4713"/>
      <c r="C17" s="4713"/>
      <c r="D17" s="4713"/>
      <c r="E17" s="4713"/>
      <c r="F17" s="4713"/>
    </row>
    <row r="18" spans="1:6" x14ac:dyDescent="0.25">
      <c r="A18" s="4713" t="s">
        <v>908</v>
      </c>
      <c r="B18" s="4713"/>
      <c r="C18" s="4713"/>
      <c r="D18" s="4713"/>
      <c r="E18" s="4713"/>
      <c r="F18" s="4713"/>
    </row>
    <row r="19" spans="1:6" x14ac:dyDescent="0.25">
      <c r="A19" s="4712" t="s">
        <v>1409</v>
      </c>
      <c r="B19" s="4713"/>
      <c r="C19" s="4713"/>
      <c r="D19" s="4713"/>
      <c r="E19" s="4713"/>
      <c r="F19" s="4713"/>
    </row>
    <row r="20" spans="1:6" x14ac:dyDescent="0.25">
      <c r="A20" s="4712" t="s">
        <v>1410</v>
      </c>
      <c r="B20" s="4713"/>
      <c r="C20" s="4713"/>
      <c r="D20" s="4713"/>
      <c r="E20" s="4713"/>
      <c r="F20" s="4713"/>
    </row>
    <row r="21" spans="1:6" x14ac:dyDescent="0.25">
      <c r="A21" s="4728" t="s">
        <v>255</v>
      </c>
      <c r="B21" s="4728"/>
      <c r="C21" s="4728"/>
      <c r="D21" s="4728"/>
      <c r="E21" s="4728"/>
      <c r="F21" s="4728"/>
    </row>
    <row r="22" spans="1:6" x14ac:dyDescent="0.25">
      <c r="A22" s="4713" t="s">
        <v>908</v>
      </c>
      <c r="B22" s="4713"/>
      <c r="C22" s="4713"/>
      <c r="D22" s="4713"/>
      <c r="E22" s="4713"/>
      <c r="F22" s="4713"/>
    </row>
    <row r="23" spans="1:6" ht="17.25" x14ac:dyDescent="0.25">
      <c r="A23" s="4725" t="s">
        <v>256</v>
      </c>
      <c r="B23" s="4725"/>
      <c r="C23" s="4725"/>
      <c r="D23" s="4725"/>
      <c r="E23" s="4725"/>
      <c r="F23" s="4725"/>
    </row>
    <row r="24" spans="1:6" x14ac:dyDescent="0.25">
      <c r="A24" s="4713" t="s">
        <v>1413</v>
      </c>
      <c r="B24" s="4713"/>
      <c r="C24" s="4713"/>
      <c r="D24" s="4713"/>
      <c r="E24" s="4713"/>
      <c r="F24" s="4713"/>
    </row>
    <row r="25" spans="1:6" x14ac:dyDescent="0.25">
      <c r="A25" s="4717" t="s">
        <v>1414</v>
      </c>
      <c r="B25" s="4717"/>
      <c r="C25" s="4717"/>
      <c r="D25" s="4717"/>
      <c r="E25" s="4717"/>
      <c r="F25" s="4717"/>
    </row>
    <row r="26" spans="1:6" x14ac:dyDescent="0.25">
      <c r="A26" s="4717"/>
      <c r="B26" s="4717"/>
      <c r="C26" s="4717"/>
      <c r="D26" s="4717"/>
      <c r="E26" s="4717"/>
      <c r="F26" s="4717"/>
    </row>
    <row r="27" spans="1:6" ht="17.25" x14ac:dyDescent="0.25">
      <c r="A27" s="4725" t="s">
        <v>1415</v>
      </c>
      <c r="B27" s="4725"/>
      <c r="C27" s="4725"/>
      <c r="D27" s="4725"/>
      <c r="E27" s="4725"/>
      <c r="F27" s="4725"/>
    </row>
    <row r="28" spans="1:6" x14ac:dyDescent="0.25">
      <c r="A28" s="4717" t="s">
        <v>1416</v>
      </c>
      <c r="B28" s="4717"/>
      <c r="C28" s="4717"/>
      <c r="D28" s="4717"/>
      <c r="E28" s="4717"/>
      <c r="F28" s="4717"/>
    </row>
    <row r="29" spans="1:6" x14ac:dyDescent="0.25">
      <c r="A29" s="4717"/>
      <c r="B29" s="4717"/>
      <c r="C29" s="4717"/>
      <c r="D29" s="4717"/>
      <c r="E29" s="4717"/>
      <c r="F29" s="4717"/>
    </row>
    <row r="30" spans="1:6" x14ac:dyDescent="0.25">
      <c r="A30" s="111" t="s">
        <v>257</v>
      </c>
      <c r="B30" s="111"/>
      <c r="C30" s="111"/>
      <c r="D30" s="111"/>
      <c r="E30" s="111"/>
      <c r="F30" s="111"/>
    </row>
    <row r="31" spans="1:6" x14ac:dyDescent="0.25">
      <c r="A31" s="4715" t="s">
        <v>1417</v>
      </c>
      <c r="B31" s="4715"/>
      <c r="C31" s="4715"/>
      <c r="D31" s="4715"/>
      <c r="E31" s="4715"/>
      <c r="F31" s="4715"/>
    </row>
    <row r="32" spans="1:6" x14ac:dyDescent="0.25">
      <c r="A32" s="4714" t="s">
        <v>1418</v>
      </c>
      <c r="B32" s="4714"/>
      <c r="C32" s="4714"/>
      <c r="D32" s="4714"/>
      <c r="E32" s="4714"/>
      <c r="F32" s="4714"/>
    </row>
    <row r="33" spans="1:6" x14ac:dyDescent="0.25">
      <c r="A33" s="4714" t="s">
        <v>1419</v>
      </c>
      <c r="B33" s="4714"/>
      <c r="C33" s="4714"/>
      <c r="D33" s="4714"/>
      <c r="E33" s="4714"/>
      <c r="F33" s="4714"/>
    </row>
    <row r="34" spans="1:6" ht="17.25" x14ac:dyDescent="0.25">
      <c r="A34" s="4727" t="s">
        <v>1420</v>
      </c>
      <c r="B34" s="4727"/>
      <c r="C34" s="4727"/>
      <c r="D34" s="4727"/>
      <c r="E34" s="4727"/>
      <c r="F34" s="4727"/>
    </row>
    <row r="35" spans="1:6" s="112" customFormat="1" x14ac:dyDescent="0.25">
      <c r="A35" s="4726" t="s">
        <v>258</v>
      </c>
      <c r="B35" s="4726"/>
      <c r="C35" s="4726"/>
      <c r="D35" s="4726"/>
      <c r="E35" s="4726"/>
      <c r="F35" s="4726"/>
    </row>
    <row r="36" spans="1:6" s="112" customFormat="1" x14ac:dyDescent="0.25">
      <c r="A36" s="4726" t="s">
        <v>258</v>
      </c>
      <c r="B36" s="4726"/>
      <c r="C36" s="4726"/>
      <c r="D36" s="4726"/>
      <c r="E36" s="4726"/>
      <c r="F36" s="4726"/>
    </row>
    <row r="37" spans="1:6" s="112" customFormat="1" x14ac:dyDescent="0.25">
      <c r="A37" s="4726" t="s">
        <v>258</v>
      </c>
      <c r="B37" s="4726"/>
      <c r="C37" s="4726"/>
      <c r="D37" s="4726"/>
      <c r="E37" s="4726"/>
      <c r="F37" s="4726"/>
    </row>
    <row r="38" spans="1:6" s="112" customFormat="1" x14ac:dyDescent="0.25">
      <c r="A38" s="4726" t="s">
        <v>258</v>
      </c>
      <c r="B38" s="4726"/>
      <c r="C38" s="4726"/>
      <c r="D38" s="4726"/>
      <c r="E38" s="4726"/>
      <c r="F38" s="4726"/>
    </row>
    <row r="39" spans="1:6" s="112" customFormat="1" x14ac:dyDescent="0.25">
      <c r="A39" s="4726" t="s">
        <v>258</v>
      </c>
      <c r="B39" s="4726"/>
      <c r="C39" s="4726"/>
      <c r="D39" s="4726"/>
      <c r="E39" s="4726"/>
      <c r="F39" s="4726"/>
    </row>
    <row r="40" spans="1:6" ht="17.25" x14ac:dyDescent="0.25">
      <c r="A40" s="113" t="s">
        <v>259</v>
      </c>
    </row>
    <row r="41" spans="1:6" s="108" customFormat="1" x14ac:dyDescent="0.25">
      <c r="A41" s="4721" t="s">
        <v>1421</v>
      </c>
      <c r="B41" s="4721"/>
      <c r="C41" s="4721"/>
      <c r="D41" s="4721"/>
      <c r="E41" s="4721"/>
      <c r="F41" s="4721"/>
    </row>
    <row r="42" spans="1:6" x14ac:dyDescent="0.25">
      <c r="A42" s="4713" t="s">
        <v>1422</v>
      </c>
      <c r="B42" s="4713"/>
      <c r="C42" s="4713"/>
      <c r="D42" s="4713"/>
      <c r="E42" s="4713"/>
      <c r="F42" s="4713"/>
    </row>
    <row r="43" spans="1:6" x14ac:dyDescent="0.25">
      <c r="A43" s="4712" t="s">
        <v>1423</v>
      </c>
      <c r="B43" s="4712"/>
      <c r="C43" s="4712"/>
      <c r="D43" s="4712"/>
      <c r="E43" s="4712"/>
      <c r="F43" s="4712"/>
    </row>
    <row r="44" spans="1:6" x14ac:dyDescent="0.25">
      <c r="A44" s="4712" t="s">
        <v>1424</v>
      </c>
      <c r="B44" s="4712"/>
      <c r="C44" s="4712"/>
      <c r="D44" s="4712"/>
      <c r="E44" s="4712"/>
      <c r="F44" s="4712"/>
    </row>
    <row r="45" spans="1:6" x14ac:dyDescent="0.25">
      <c r="A45" s="4712" t="s">
        <v>1425</v>
      </c>
      <c r="B45" s="4713"/>
      <c r="C45" s="4713"/>
      <c r="D45" s="4713"/>
      <c r="E45" s="4713"/>
      <c r="F45" s="4713"/>
    </row>
    <row r="46" spans="1:6" x14ac:dyDescent="0.25">
      <c r="A46" s="4713" t="s">
        <v>908</v>
      </c>
      <c r="B46" s="4713"/>
      <c r="C46" s="4713"/>
      <c r="D46" s="4713"/>
      <c r="E46" s="4713"/>
      <c r="F46" s="4713"/>
    </row>
    <row r="47" spans="1:6" x14ac:dyDescent="0.25">
      <c r="A47" s="4713" t="s">
        <v>1426</v>
      </c>
      <c r="B47" s="4713"/>
      <c r="C47" s="4713"/>
      <c r="D47" s="4713"/>
      <c r="E47" s="4713"/>
      <c r="F47" s="4713"/>
    </row>
    <row r="48" spans="1:6" x14ac:dyDescent="0.25">
      <c r="A48" s="4713" t="s">
        <v>1427</v>
      </c>
      <c r="B48" s="4713"/>
      <c r="C48" s="4713"/>
      <c r="D48" s="4713"/>
      <c r="E48" s="4713"/>
      <c r="F48" s="4713"/>
    </row>
    <row r="49" spans="1:6" x14ac:dyDescent="0.25">
      <c r="A49" s="4712" t="s">
        <v>1423</v>
      </c>
      <c r="B49" s="4712"/>
      <c r="C49" s="4712"/>
      <c r="D49" s="4712"/>
      <c r="E49" s="4712"/>
      <c r="F49" s="4712"/>
    </row>
    <row r="50" spans="1:6" x14ac:dyDescent="0.25">
      <c r="A50" s="4712" t="s">
        <v>1424</v>
      </c>
      <c r="B50" s="4712"/>
      <c r="C50" s="4712"/>
      <c r="D50" s="4712"/>
      <c r="E50" s="4712"/>
      <c r="F50" s="4712"/>
    </row>
    <row r="51" spans="1:6" x14ac:dyDescent="0.25">
      <c r="A51" s="4712" t="s">
        <v>1425</v>
      </c>
      <c r="B51" s="4713"/>
      <c r="C51" s="4713"/>
      <c r="D51" s="4713"/>
      <c r="E51" s="4713"/>
      <c r="F51" s="4713"/>
    </row>
    <row r="52" spans="1:6" x14ac:dyDescent="0.25">
      <c r="A52" s="4713" t="s">
        <v>1428</v>
      </c>
      <c r="B52" s="4713"/>
      <c r="C52" s="4713"/>
      <c r="D52" s="4713"/>
      <c r="E52" s="4713"/>
      <c r="F52" s="4713"/>
    </row>
    <row r="53" spans="1:6" x14ac:dyDescent="0.25">
      <c r="A53" s="4717" t="s">
        <v>1429</v>
      </c>
      <c r="B53" s="4717"/>
      <c r="C53" s="4717"/>
      <c r="D53" s="4717"/>
      <c r="E53" s="4717"/>
      <c r="F53" s="4717"/>
    </row>
    <row r="54" spans="1:6" x14ac:dyDescent="0.25">
      <c r="A54" s="4717"/>
      <c r="B54" s="4717"/>
      <c r="C54" s="4717"/>
      <c r="D54" s="4717"/>
      <c r="E54" s="4717"/>
      <c r="F54" s="4717"/>
    </row>
    <row r="55" spans="1:6" x14ac:dyDescent="0.25">
      <c r="A55" s="4713" t="s">
        <v>1426</v>
      </c>
      <c r="B55" s="4713"/>
      <c r="C55" s="4713"/>
      <c r="D55" s="4713"/>
      <c r="E55" s="4713"/>
      <c r="F55" s="4713"/>
    </row>
    <row r="56" spans="1:6" x14ac:dyDescent="0.25">
      <c r="A56" s="4721" t="s">
        <v>261</v>
      </c>
      <c r="B56" s="4721"/>
      <c r="C56" s="4721"/>
      <c r="D56" s="4721"/>
      <c r="E56" s="4721"/>
      <c r="F56" s="4721"/>
    </row>
    <row r="57" spans="1:6" x14ac:dyDescent="0.25">
      <c r="A57" s="4713" t="s">
        <v>262</v>
      </c>
      <c r="B57" s="4713"/>
      <c r="C57" s="4713"/>
      <c r="D57" s="4713"/>
      <c r="E57" s="4713"/>
      <c r="F57" s="4713"/>
    </row>
    <row r="58" spans="1:6" x14ac:dyDescent="0.25">
      <c r="A58" s="4712" t="s">
        <v>1430</v>
      </c>
      <c r="B58" s="4712"/>
      <c r="C58" s="4712"/>
      <c r="D58" s="4712"/>
      <c r="E58" s="4712"/>
      <c r="F58" s="4712"/>
    </row>
    <row r="59" spans="1:6" x14ac:dyDescent="0.25">
      <c r="A59" s="4712" t="s">
        <v>1431</v>
      </c>
      <c r="B59" s="4712"/>
      <c r="C59" s="4712"/>
      <c r="D59" s="4712"/>
      <c r="E59" s="4712"/>
      <c r="F59" s="4712"/>
    </row>
    <row r="60" spans="1:6" x14ac:dyDescent="0.25">
      <c r="A60" s="4712" t="s">
        <v>1432</v>
      </c>
      <c r="B60" s="4712"/>
      <c r="C60" s="4712"/>
      <c r="D60" s="4712"/>
      <c r="E60" s="4712"/>
      <c r="F60" s="4712"/>
    </row>
    <row r="61" spans="1:6" x14ac:dyDescent="0.25">
      <c r="A61" s="4712" t="s">
        <v>1433</v>
      </c>
      <c r="B61" s="4712"/>
      <c r="C61" s="4712"/>
      <c r="D61" s="4712"/>
      <c r="E61" s="4712"/>
      <c r="F61" s="4712"/>
    </row>
    <row r="62" spans="1:6" x14ac:dyDescent="0.25">
      <c r="A62" s="4713" t="s">
        <v>263</v>
      </c>
      <c r="B62" s="4713"/>
      <c r="C62" s="4713"/>
      <c r="D62" s="4713"/>
      <c r="E62" s="4713"/>
      <c r="F62" s="4713"/>
    </row>
    <row r="63" spans="1:6" x14ac:dyDescent="0.25">
      <c r="A63" s="4712" t="s">
        <v>1430</v>
      </c>
      <c r="B63" s="4712"/>
      <c r="C63" s="4712"/>
      <c r="D63" s="4712"/>
      <c r="E63" s="4712"/>
      <c r="F63" s="4712"/>
    </row>
    <row r="64" spans="1:6" x14ac:dyDescent="0.25">
      <c r="A64" s="4712" t="s">
        <v>1431</v>
      </c>
      <c r="B64" s="4712"/>
      <c r="C64" s="4712"/>
      <c r="D64" s="4712"/>
      <c r="E64" s="4712"/>
      <c r="F64" s="4712"/>
    </row>
    <row r="65" spans="1:6" x14ac:dyDescent="0.25">
      <c r="A65" s="4712" t="s">
        <v>1432</v>
      </c>
      <c r="B65" s="4712"/>
      <c r="C65" s="4712"/>
      <c r="D65" s="4712"/>
      <c r="E65" s="4712"/>
      <c r="F65" s="4712"/>
    </row>
    <row r="66" spans="1:6" x14ac:dyDescent="0.25">
      <c r="A66" s="4712" t="s">
        <v>1433</v>
      </c>
      <c r="B66" s="4712"/>
      <c r="C66" s="4712"/>
      <c r="D66" s="4712"/>
      <c r="E66" s="4712"/>
      <c r="F66" s="4712"/>
    </row>
    <row r="67" spans="1:6" x14ac:dyDescent="0.25">
      <c r="A67" s="4720" t="s">
        <v>1434</v>
      </c>
      <c r="B67" s="4717"/>
      <c r="C67" s="4717"/>
      <c r="D67" s="4717"/>
      <c r="E67" s="4717"/>
      <c r="F67" s="4717"/>
    </row>
    <row r="68" spans="1:6" x14ac:dyDescent="0.25">
      <c r="A68" s="4721" t="s">
        <v>264</v>
      </c>
      <c r="B68" s="4721"/>
      <c r="C68" s="4721"/>
      <c r="D68" s="4721"/>
      <c r="E68" s="4721"/>
      <c r="F68" s="4721"/>
    </row>
    <row r="69" spans="1:6" x14ac:dyDescent="0.25">
      <c r="A69" s="4713" t="s">
        <v>1435</v>
      </c>
      <c r="B69" s="4713"/>
      <c r="C69" s="4713"/>
      <c r="D69" s="4713"/>
      <c r="E69" s="4713"/>
      <c r="F69" s="4713"/>
    </row>
    <row r="70" spans="1:6" x14ac:dyDescent="0.25">
      <c r="A70" s="4713" t="s">
        <v>1428</v>
      </c>
      <c r="B70" s="4713"/>
      <c r="C70" s="4713"/>
      <c r="D70" s="4713"/>
      <c r="E70" s="4713"/>
      <c r="F70" s="4713"/>
    </row>
    <row r="71" spans="1:6" x14ac:dyDescent="0.25">
      <c r="A71" s="4712" t="s">
        <v>265</v>
      </c>
      <c r="B71" s="4712"/>
      <c r="C71" s="4712"/>
      <c r="D71" s="4712"/>
      <c r="E71" s="4712"/>
      <c r="F71" s="4712"/>
    </row>
    <row r="72" spans="1:6" x14ac:dyDescent="0.25">
      <c r="A72" s="4712" t="s">
        <v>266</v>
      </c>
      <c r="B72" s="4712"/>
      <c r="C72" s="4712"/>
      <c r="D72" s="4712"/>
      <c r="E72" s="4712"/>
      <c r="F72" s="4712"/>
    </row>
    <row r="73" spans="1:6" x14ac:dyDescent="0.25">
      <c r="A73" s="4713" t="s">
        <v>294</v>
      </c>
      <c r="B73" s="4713"/>
      <c r="C73" s="4713"/>
      <c r="D73" s="4713"/>
      <c r="E73" s="4713"/>
      <c r="F73" s="4713"/>
    </row>
    <row r="74" spans="1:6" x14ac:dyDescent="0.25">
      <c r="A74" s="4712" t="s">
        <v>265</v>
      </c>
      <c r="B74" s="4712"/>
      <c r="C74" s="4712"/>
      <c r="D74" s="4712"/>
      <c r="E74" s="4712"/>
      <c r="F74" s="4712"/>
    </row>
    <row r="75" spans="1:6" x14ac:dyDescent="0.25">
      <c r="A75" s="4712" t="s">
        <v>266</v>
      </c>
      <c r="B75" s="4712"/>
      <c r="C75" s="4712"/>
      <c r="D75" s="4712"/>
      <c r="E75" s="4712"/>
      <c r="F75" s="4712"/>
    </row>
    <row r="76" spans="1:6" x14ac:dyDescent="0.25">
      <c r="A76" s="4720" t="s">
        <v>1434</v>
      </c>
      <c r="B76" s="4717"/>
      <c r="C76" s="4717"/>
      <c r="D76" s="4717"/>
      <c r="E76" s="4717"/>
      <c r="F76" s="4717"/>
    </row>
    <row r="77" spans="1:6" x14ac:dyDescent="0.25">
      <c r="A77" s="4721" t="s">
        <v>295</v>
      </c>
      <c r="B77" s="4721"/>
      <c r="C77" s="4721"/>
      <c r="D77" s="4721"/>
      <c r="E77" s="4721"/>
      <c r="F77" s="4721"/>
    </row>
    <row r="78" spans="1:6" x14ac:dyDescent="0.25">
      <c r="A78" s="4720" t="s">
        <v>296</v>
      </c>
      <c r="B78" s="4717"/>
      <c r="C78" s="4717"/>
      <c r="D78" s="4717"/>
      <c r="E78" s="4717"/>
      <c r="F78" s="4717"/>
    </row>
    <row r="79" spans="1:6" x14ac:dyDescent="0.25">
      <c r="A79" s="4717" t="s">
        <v>510</v>
      </c>
      <c r="B79" s="4717"/>
      <c r="C79" s="4717"/>
      <c r="D79" s="4717"/>
      <c r="E79" s="4717"/>
      <c r="F79" s="4717"/>
    </row>
    <row r="80" spans="1:6" x14ac:dyDescent="0.25">
      <c r="A80" s="4721" t="s">
        <v>511</v>
      </c>
      <c r="B80" s="4721"/>
      <c r="C80" s="4721"/>
      <c r="D80" s="4721"/>
      <c r="E80" s="4721"/>
      <c r="F80" s="4721"/>
    </row>
    <row r="81" spans="1:6" x14ac:dyDescent="0.25">
      <c r="A81" s="4713" t="s">
        <v>262</v>
      </c>
      <c r="B81" s="4713"/>
      <c r="C81" s="4713"/>
      <c r="D81" s="4713"/>
      <c r="E81" s="4713"/>
      <c r="F81" s="4713"/>
    </row>
    <row r="82" spans="1:6" x14ac:dyDescent="0.25">
      <c r="A82" s="4712" t="s">
        <v>512</v>
      </c>
      <c r="B82" s="4712"/>
      <c r="C82" s="4712"/>
      <c r="D82" s="4712"/>
      <c r="E82" s="4712"/>
      <c r="F82" s="4712"/>
    </row>
    <row r="83" spans="1:6" x14ac:dyDescent="0.25">
      <c r="A83" s="4712" t="s">
        <v>513</v>
      </c>
      <c r="B83" s="4712"/>
      <c r="C83" s="4712"/>
      <c r="D83" s="4712"/>
      <c r="E83" s="4712"/>
      <c r="F83" s="4712"/>
    </row>
    <row r="84" spans="1:6" x14ac:dyDescent="0.25">
      <c r="A84" s="4712" t="s">
        <v>268</v>
      </c>
      <c r="B84" s="4713"/>
      <c r="C84" s="4713"/>
      <c r="D84" s="4713"/>
      <c r="E84" s="4713"/>
      <c r="F84" s="4713"/>
    </row>
    <row r="85" spans="1:6" x14ac:dyDescent="0.25">
      <c r="A85" s="4713" t="s">
        <v>267</v>
      </c>
      <c r="B85" s="4713"/>
      <c r="C85" s="4713"/>
      <c r="D85" s="4713"/>
      <c r="E85" s="4713"/>
      <c r="F85" s="4713"/>
    </row>
    <row r="86" spans="1:6" x14ac:dyDescent="0.25">
      <c r="A86" s="4713" t="s">
        <v>1426</v>
      </c>
      <c r="B86" s="4713"/>
      <c r="C86" s="4713"/>
      <c r="D86" s="4713"/>
      <c r="E86" s="4713"/>
      <c r="F86" s="4713"/>
    </row>
    <row r="87" spans="1:6" x14ac:dyDescent="0.25">
      <c r="A87" s="4713" t="s">
        <v>263</v>
      </c>
      <c r="B87" s="4713"/>
      <c r="C87" s="4713"/>
      <c r="D87" s="4713"/>
      <c r="E87" s="4713"/>
      <c r="F87" s="4713"/>
    </row>
    <row r="88" spans="1:6" x14ac:dyDescent="0.25">
      <c r="A88" s="4712" t="s">
        <v>512</v>
      </c>
      <c r="B88" s="4712"/>
      <c r="C88" s="4712"/>
      <c r="D88" s="4712"/>
      <c r="E88" s="4712"/>
      <c r="F88" s="4712"/>
    </row>
    <row r="89" spans="1:6" x14ac:dyDescent="0.25">
      <c r="A89" s="4712" t="s">
        <v>513</v>
      </c>
      <c r="B89" s="4712"/>
      <c r="C89" s="4712"/>
      <c r="D89" s="4712"/>
      <c r="E89" s="4712"/>
      <c r="F89" s="4712"/>
    </row>
    <row r="90" spans="1:6" x14ac:dyDescent="0.25">
      <c r="A90" s="4712" t="s">
        <v>268</v>
      </c>
      <c r="B90" s="4713"/>
      <c r="C90" s="4713"/>
      <c r="D90" s="4713"/>
      <c r="E90" s="4713"/>
      <c r="F90" s="4713"/>
    </row>
    <row r="91" spans="1:6" x14ac:dyDescent="0.25">
      <c r="A91" s="4713" t="s">
        <v>260</v>
      </c>
      <c r="B91" s="4713"/>
      <c r="C91" s="4713"/>
      <c r="D91" s="4713"/>
      <c r="E91" s="4713"/>
      <c r="F91" s="4713"/>
    </row>
    <row r="92" spans="1:6" x14ac:dyDescent="0.25">
      <c r="A92" s="4720" t="s">
        <v>1434</v>
      </c>
      <c r="B92" s="4717"/>
      <c r="C92" s="4717"/>
      <c r="D92" s="4717"/>
      <c r="E92" s="4717"/>
      <c r="F92" s="4717"/>
    </row>
    <row r="93" spans="1:6" x14ac:dyDescent="0.25">
      <c r="A93" s="4713" t="s">
        <v>1426</v>
      </c>
      <c r="B93" s="4713"/>
      <c r="C93" s="4713"/>
      <c r="D93" s="4713"/>
      <c r="E93" s="4713"/>
      <c r="F93" s="4713"/>
    </row>
    <row r="94" spans="1:6" ht="17.25" x14ac:dyDescent="0.25">
      <c r="A94" s="4725" t="s">
        <v>269</v>
      </c>
      <c r="B94" s="4725"/>
      <c r="C94" s="4725"/>
      <c r="D94" s="4725"/>
      <c r="E94" s="4725"/>
      <c r="F94" s="4725"/>
    </row>
    <row r="95" spans="1:6" x14ac:dyDescent="0.25">
      <c r="A95" s="4721" t="s">
        <v>270</v>
      </c>
      <c r="B95" s="4721"/>
      <c r="C95" s="4721"/>
      <c r="D95" s="4721"/>
      <c r="E95" s="4721"/>
      <c r="F95" s="4721"/>
    </row>
    <row r="96" spans="1:6" x14ac:dyDescent="0.25">
      <c r="A96" s="4712" t="s">
        <v>514</v>
      </c>
      <c r="B96" s="4712"/>
      <c r="C96" s="4712"/>
      <c r="D96" s="4712"/>
      <c r="E96" s="4712"/>
      <c r="F96" s="4712"/>
    </row>
    <row r="97" spans="1:6" x14ac:dyDescent="0.25">
      <c r="A97" s="4712" t="s">
        <v>515</v>
      </c>
      <c r="B97" s="4712"/>
      <c r="C97" s="4712"/>
      <c r="D97" s="4712"/>
      <c r="E97" s="4712"/>
      <c r="F97" s="4712"/>
    </row>
    <row r="98" spans="1:6" x14ac:dyDescent="0.25">
      <c r="A98" s="4712" t="s">
        <v>1432</v>
      </c>
      <c r="B98" s="4712"/>
      <c r="C98" s="4712"/>
      <c r="D98" s="4712"/>
      <c r="E98" s="4712"/>
      <c r="F98" s="4712"/>
    </row>
    <row r="99" spans="1:6" x14ac:dyDescent="0.25">
      <c r="A99" s="4712" t="s">
        <v>1433</v>
      </c>
      <c r="B99" s="4712"/>
      <c r="C99" s="4712"/>
      <c r="D99" s="4712"/>
      <c r="E99" s="4712"/>
      <c r="F99" s="4712"/>
    </row>
    <row r="100" spans="1:6" x14ac:dyDescent="0.25">
      <c r="A100" s="4721" t="s">
        <v>271</v>
      </c>
      <c r="B100" s="4721"/>
      <c r="C100" s="4721"/>
      <c r="D100" s="4721"/>
      <c r="E100" s="4721"/>
      <c r="F100" s="4721"/>
    </row>
    <row r="101" spans="1:6" x14ac:dyDescent="0.25">
      <c r="A101" s="4712" t="s">
        <v>272</v>
      </c>
      <c r="B101" s="4713"/>
      <c r="C101" s="4713"/>
      <c r="D101" s="4713"/>
      <c r="E101" s="4713"/>
      <c r="F101" s="4713"/>
    </row>
    <row r="102" spans="1:6" x14ac:dyDescent="0.25">
      <c r="A102" s="4712" t="s">
        <v>273</v>
      </c>
      <c r="B102" s="4713"/>
      <c r="C102" s="4713"/>
      <c r="D102" s="4713"/>
      <c r="E102" s="4713"/>
      <c r="F102" s="4713"/>
    </row>
    <row r="103" spans="1:6" x14ac:dyDescent="0.25">
      <c r="A103" s="4712" t="s">
        <v>516</v>
      </c>
      <c r="B103" s="4713"/>
      <c r="C103" s="4713"/>
      <c r="D103" s="4713"/>
      <c r="E103" s="4713"/>
      <c r="F103" s="4713"/>
    </row>
    <row r="104" spans="1:6" x14ac:dyDescent="0.25">
      <c r="A104" s="4712" t="s">
        <v>517</v>
      </c>
      <c r="B104" s="4713"/>
      <c r="C104" s="4713"/>
      <c r="D104" s="4713"/>
      <c r="E104" s="4713"/>
      <c r="F104" s="4713"/>
    </row>
    <row r="105" spans="1:6" ht="17.25" x14ac:dyDescent="0.25">
      <c r="A105" s="4725" t="s">
        <v>274</v>
      </c>
      <c r="B105" s="4725"/>
      <c r="C105" s="4725"/>
      <c r="D105" s="4725"/>
      <c r="E105" s="4725"/>
      <c r="F105" s="4725"/>
    </row>
    <row r="106" spans="1:6" x14ac:dyDescent="0.25">
      <c r="A106" s="4721" t="s">
        <v>518</v>
      </c>
      <c r="B106" s="4721"/>
      <c r="C106" s="4721"/>
      <c r="D106" s="4721"/>
      <c r="E106" s="4721"/>
      <c r="F106" s="4721"/>
    </row>
    <row r="107" spans="1:6" x14ac:dyDescent="0.25">
      <c r="A107" s="4712" t="s">
        <v>514</v>
      </c>
      <c r="B107" s="4712"/>
      <c r="C107" s="4712"/>
      <c r="D107" s="4712"/>
      <c r="E107" s="4712"/>
      <c r="F107" s="4712"/>
    </row>
    <row r="108" spans="1:6" x14ac:dyDescent="0.25">
      <c r="A108" s="4712" t="s">
        <v>515</v>
      </c>
      <c r="B108" s="4712"/>
      <c r="C108" s="4712"/>
      <c r="D108" s="4712"/>
      <c r="E108" s="4712"/>
      <c r="F108" s="4712"/>
    </row>
    <row r="109" spans="1:6" x14ac:dyDescent="0.25">
      <c r="A109" s="4712" t="s">
        <v>1432</v>
      </c>
      <c r="B109" s="4712"/>
      <c r="C109" s="4712"/>
      <c r="D109" s="4712"/>
      <c r="E109" s="4712"/>
      <c r="F109" s="4712"/>
    </row>
    <row r="110" spans="1:6" x14ac:dyDescent="0.25">
      <c r="A110" s="4712" t="s">
        <v>1433</v>
      </c>
      <c r="B110" s="4712"/>
      <c r="C110" s="4712"/>
      <c r="D110" s="4712"/>
      <c r="E110" s="4712"/>
      <c r="F110" s="4712"/>
    </row>
    <row r="111" spans="1:6" x14ac:dyDescent="0.25">
      <c r="A111" s="4721" t="s">
        <v>519</v>
      </c>
      <c r="B111" s="4721"/>
      <c r="C111" s="4721"/>
      <c r="D111" s="4721"/>
      <c r="E111" s="4721"/>
      <c r="F111" s="4721"/>
    </row>
    <row r="112" spans="1:6" x14ac:dyDescent="0.25">
      <c r="A112" s="4714" t="s">
        <v>520</v>
      </c>
      <c r="B112" s="4714"/>
      <c r="C112" s="4714"/>
      <c r="D112" s="4714"/>
      <c r="E112" s="4714"/>
      <c r="F112" s="4714"/>
    </row>
    <row r="113" spans="1:6" x14ac:dyDescent="0.25">
      <c r="A113" s="4721" t="s">
        <v>521</v>
      </c>
      <c r="B113" s="4721"/>
      <c r="C113" s="4721"/>
      <c r="D113" s="4721"/>
      <c r="E113" s="4721"/>
      <c r="F113" s="4721"/>
    </row>
    <row r="114" spans="1:6" ht="33" x14ac:dyDescent="0.25">
      <c r="A114" s="114" t="s">
        <v>844</v>
      </c>
      <c r="B114" s="114" t="s">
        <v>845</v>
      </c>
      <c r="C114" s="114" t="s">
        <v>1485</v>
      </c>
      <c r="D114" s="114" t="s">
        <v>522</v>
      </c>
      <c r="E114" s="114" t="s">
        <v>523</v>
      </c>
      <c r="F114" s="114" t="s">
        <v>915</v>
      </c>
    </row>
    <row r="115" spans="1:6" x14ac:dyDescent="0.25">
      <c r="A115" s="115" t="s">
        <v>849</v>
      </c>
      <c r="B115" s="116" t="s">
        <v>524</v>
      </c>
      <c r="C115" s="117"/>
      <c r="D115" s="117"/>
      <c r="E115" s="117"/>
      <c r="F115" s="117"/>
    </row>
    <row r="116" spans="1:6" x14ac:dyDescent="0.25">
      <c r="A116" s="117">
        <v>1</v>
      </c>
      <c r="B116" s="117" t="s">
        <v>525</v>
      </c>
      <c r="C116" s="117"/>
      <c r="D116" s="117"/>
      <c r="E116" s="117"/>
      <c r="F116" s="117"/>
    </row>
    <row r="117" spans="1:6" x14ac:dyDescent="0.25">
      <c r="A117" s="117">
        <v>2</v>
      </c>
      <c r="B117" s="117" t="s">
        <v>525</v>
      </c>
      <c r="C117" s="117"/>
      <c r="D117" s="117"/>
      <c r="E117" s="117"/>
      <c r="F117" s="117"/>
    </row>
    <row r="118" spans="1:6" x14ac:dyDescent="0.25">
      <c r="A118" s="117">
        <v>3</v>
      </c>
      <c r="B118" s="117" t="s">
        <v>890</v>
      </c>
      <c r="C118" s="117"/>
      <c r="D118" s="117"/>
      <c r="E118" s="117"/>
      <c r="F118" s="117"/>
    </row>
    <row r="119" spans="1:6" ht="33" x14ac:dyDescent="0.25">
      <c r="A119" s="115" t="s">
        <v>866</v>
      </c>
      <c r="B119" s="116" t="s">
        <v>526</v>
      </c>
      <c r="C119" s="117"/>
      <c r="D119" s="117"/>
      <c r="E119" s="118" t="s">
        <v>1396</v>
      </c>
      <c r="F119" s="117"/>
    </row>
    <row r="120" spans="1:6" x14ac:dyDescent="0.25">
      <c r="A120" s="117"/>
      <c r="B120" s="117" t="s">
        <v>890</v>
      </c>
      <c r="C120" s="117"/>
      <c r="D120" s="117"/>
      <c r="E120" s="118" t="s">
        <v>1396</v>
      </c>
      <c r="F120" s="117"/>
    </row>
    <row r="121" spans="1:6" x14ac:dyDescent="0.25">
      <c r="A121" s="4713" t="s">
        <v>908</v>
      </c>
      <c r="B121" s="4713"/>
      <c r="C121" s="4713"/>
      <c r="D121" s="4713"/>
      <c r="E121" s="4713"/>
      <c r="F121" s="4713"/>
    </row>
    <row r="122" spans="1:6" x14ac:dyDescent="0.25">
      <c r="A122" s="4712" t="s">
        <v>527</v>
      </c>
      <c r="B122" s="4713"/>
      <c r="C122" s="4713"/>
      <c r="D122" s="4713"/>
      <c r="E122" s="4713"/>
      <c r="F122" s="4713"/>
    </row>
    <row r="123" spans="1:6" x14ac:dyDescent="0.25">
      <c r="A123" s="4712" t="s">
        <v>528</v>
      </c>
      <c r="B123" s="4713"/>
      <c r="C123" s="4713"/>
      <c r="D123" s="4713"/>
      <c r="E123" s="4713"/>
      <c r="F123" s="4713"/>
    </row>
    <row r="124" spans="1:6" ht="17.25" x14ac:dyDescent="0.25">
      <c r="A124" s="4725" t="s">
        <v>529</v>
      </c>
      <c r="B124" s="4725"/>
      <c r="C124" s="4725"/>
      <c r="D124" s="4725"/>
      <c r="E124" s="4725"/>
      <c r="F124" s="4725"/>
    </row>
    <row r="125" spans="1:6" x14ac:dyDescent="0.25">
      <c r="A125" s="4721" t="s">
        <v>530</v>
      </c>
      <c r="B125" s="4721"/>
      <c r="C125" s="4721"/>
      <c r="D125" s="4721"/>
      <c r="E125" s="4721"/>
      <c r="F125" s="4721"/>
    </row>
    <row r="126" spans="1:6" x14ac:dyDescent="0.25">
      <c r="A126" s="4712" t="s">
        <v>531</v>
      </c>
      <c r="B126" s="4713"/>
      <c r="C126" s="4713"/>
      <c r="D126" s="4713"/>
      <c r="E126" s="4713"/>
      <c r="F126" s="4713"/>
    </row>
    <row r="127" spans="1:6" x14ac:dyDescent="0.25">
      <c r="A127" s="4712" t="s">
        <v>532</v>
      </c>
      <c r="B127" s="4713"/>
      <c r="C127" s="4713"/>
      <c r="D127" s="4713"/>
      <c r="E127" s="4713"/>
      <c r="F127" s="4713"/>
    </row>
    <row r="128" spans="1:6" x14ac:dyDescent="0.25">
      <c r="A128" s="4713" t="s">
        <v>533</v>
      </c>
      <c r="B128" s="4713"/>
      <c r="C128" s="4713"/>
      <c r="D128" s="4713"/>
      <c r="E128" s="4713"/>
      <c r="F128" s="4713"/>
    </row>
    <row r="129" spans="1:6" x14ac:dyDescent="0.25">
      <c r="A129" s="4721" t="s">
        <v>534</v>
      </c>
      <c r="B129" s="4721"/>
      <c r="C129" s="4721"/>
      <c r="D129" s="4721"/>
      <c r="E129" s="4721"/>
      <c r="F129" s="4721"/>
    </row>
    <row r="130" spans="1:6" x14ac:dyDescent="0.25">
      <c r="A130" s="4713" t="s">
        <v>262</v>
      </c>
      <c r="B130" s="4713"/>
      <c r="C130" s="4713"/>
      <c r="D130" s="4713"/>
      <c r="E130" s="4713"/>
      <c r="F130" s="4713"/>
    </row>
    <row r="131" spans="1:6" x14ac:dyDescent="0.25">
      <c r="A131" s="4712" t="s">
        <v>535</v>
      </c>
      <c r="B131" s="4712"/>
      <c r="C131" s="4712"/>
      <c r="D131" s="4712"/>
      <c r="E131" s="4712"/>
      <c r="F131" s="4712"/>
    </row>
    <row r="132" spans="1:6" x14ac:dyDescent="0.25">
      <c r="A132" s="4712" t="s">
        <v>536</v>
      </c>
      <c r="B132" s="4712"/>
      <c r="C132" s="4712"/>
      <c r="D132" s="4712"/>
      <c r="E132" s="4712"/>
      <c r="F132" s="4712"/>
    </row>
    <row r="133" spans="1:6" x14ac:dyDescent="0.25">
      <c r="A133" s="4712" t="s">
        <v>1432</v>
      </c>
      <c r="B133" s="4712"/>
      <c r="C133" s="4712"/>
      <c r="D133" s="4712"/>
      <c r="E133" s="4712"/>
      <c r="F133" s="4712"/>
    </row>
    <row r="134" spans="1:6" x14ac:dyDescent="0.25">
      <c r="A134" s="4712" t="s">
        <v>1433</v>
      </c>
      <c r="B134" s="4712"/>
      <c r="C134" s="4712"/>
      <c r="D134" s="4712"/>
      <c r="E134" s="4712"/>
      <c r="F134" s="4712"/>
    </row>
    <row r="135" spans="1:6" x14ac:dyDescent="0.25">
      <c r="A135" s="4713" t="s">
        <v>263</v>
      </c>
      <c r="B135" s="4713"/>
      <c r="C135" s="4713"/>
      <c r="D135" s="4713"/>
      <c r="E135" s="4713"/>
      <c r="F135" s="4713"/>
    </row>
    <row r="136" spans="1:6" x14ac:dyDescent="0.25">
      <c r="A136" s="4712" t="s">
        <v>537</v>
      </c>
      <c r="B136" s="4712"/>
      <c r="C136" s="4712"/>
      <c r="D136" s="4712"/>
      <c r="E136" s="4712"/>
      <c r="F136" s="4712"/>
    </row>
    <row r="137" spans="1:6" x14ac:dyDescent="0.25">
      <c r="A137" s="4712" t="s">
        <v>536</v>
      </c>
      <c r="B137" s="4712"/>
      <c r="C137" s="4712"/>
      <c r="D137" s="4712"/>
      <c r="E137" s="4712"/>
      <c r="F137" s="4712"/>
    </row>
    <row r="138" spans="1:6" x14ac:dyDescent="0.25">
      <c r="A138" s="4712" t="s">
        <v>1432</v>
      </c>
      <c r="B138" s="4712"/>
      <c r="C138" s="4712"/>
      <c r="D138" s="4712"/>
      <c r="E138" s="4712"/>
      <c r="F138" s="4712"/>
    </row>
    <row r="139" spans="1:6" x14ac:dyDescent="0.25">
      <c r="A139" s="4712" t="s">
        <v>1433</v>
      </c>
      <c r="B139" s="4712"/>
      <c r="C139" s="4712"/>
      <c r="D139" s="4712"/>
      <c r="E139" s="4712"/>
      <c r="F139" s="4712"/>
    </row>
    <row r="140" spans="1:6" x14ac:dyDescent="0.25">
      <c r="A140" s="4721" t="s">
        <v>538</v>
      </c>
      <c r="B140" s="4721"/>
      <c r="C140" s="4721"/>
      <c r="D140" s="4721"/>
      <c r="E140" s="4721"/>
      <c r="F140" s="4721"/>
    </row>
    <row r="141" spans="1:6" x14ac:dyDescent="0.25">
      <c r="A141" s="4712" t="s">
        <v>539</v>
      </c>
      <c r="B141" s="4713"/>
      <c r="C141" s="4713"/>
      <c r="D141" s="4713"/>
      <c r="E141" s="4713"/>
      <c r="F141" s="4713"/>
    </row>
    <row r="142" spans="1:6" x14ac:dyDescent="0.25">
      <c r="A142" s="4712" t="s">
        <v>540</v>
      </c>
      <c r="B142" s="4713"/>
      <c r="C142" s="4713"/>
      <c r="D142" s="4713"/>
      <c r="E142" s="4713"/>
      <c r="F142" s="4713"/>
    </row>
    <row r="143" spans="1:6" x14ac:dyDescent="0.25">
      <c r="A143" s="4712" t="s">
        <v>541</v>
      </c>
      <c r="B143" s="4713"/>
      <c r="C143" s="4713"/>
      <c r="D143" s="4713"/>
      <c r="E143" s="4713"/>
      <c r="F143" s="4713"/>
    </row>
    <row r="144" spans="1:6" x14ac:dyDescent="0.25">
      <c r="A144" s="4712" t="s">
        <v>542</v>
      </c>
      <c r="B144" s="4713"/>
      <c r="C144" s="4713"/>
      <c r="D144" s="4713"/>
      <c r="E144" s="4713"/>
      <c r="F144" s="4713"/>
    </row>
    <row r="145" spans="1:6" x14ac:dyDescent="0.25">
      <c r="A145" s="4712" t="s">
        <v>540</v>
      </c>
      <c r="B145" s="4713"/>
      <c r="C145" s="4713"/>
      <c r="D145" s="4713"/>
      <c r="E145" s="4713"/>
      <c r="F145" s="4713"/>
    </row>
    <row r="146" spans="1:6" x14ac:dyDescent="0.25">
      <c r="A146" s="4712" t="s">
        <v>541</v>
      </c>
      <c r="B146" s="4713"/>
      <c r="C146" s="4713"/>
      <c r="D146" s="4713"/>
      <c r="E146" s="4713"/>
      <c r="F146" s="4713"/>
    </row>
    <row r="147" spans="1:6" x14ac:dyDescent="0.25">
      <c r="A147" s="4721" t="s">
        <v>107</v>
      </c>
      <c r="B147" s="4721"/>
      <c r="C147" s="4721"/>
      <c r="D147" s="4721"/>
      <c r="E147" s="4721"/>
      <c r="F147" s="4721"/>
    </row>
    <row r="148" spans="1:6" x14ac:dyDescent="0.25">
      <c r="A148" s="4712" t="s">
        <v>539</v>
      </c>
      <c r="B148" s="4713"/>
      <c r="C148" s="4713"/>
      <c r="D148" s="4713"/>
      <c r="E148" s="4713"/>
      <c r="F148" s="4713"/>
    </row>
    <row r="149" spans="1:6" x14ac:dyDescent="0.25">
      <c r="A149" s="4712" t="s">
        <v>542</v>
      </c>
      <c r="B149" s="4713"/>
      <c r="C149" s="4713"/>
      <c r="D149" s="4713"/>
      <c r="E149" s="4713"/>
      <c r="F149" s="4713"/>
    </row>
    <row r="150" spans="1:6" x14ac:dyDescent="0.25">
      <c r="A150" s="4713" t="s">
        <v>533</v>
      </c>
      <c r="B150" s="4713"/>
      <c r="C150" s="4713"/>
      <c r="D150" s="4713"/>
      <c r="E150" s="4713"/>
      <c r="F150" s="4713"/>
    </row>
    <row r="151" spans="1:6" x14ac:dyDescent="0.25">
      <c r="A151" s="4713" t="s">
        <v>108</v>
      </c>
      <c r="B151" s="4713"/>
      <c r="C151" s="4713"/>
      <c r="D151" s="4713"/>
      <c r="E151" s="4713"/>
      <c r="F151" s="4713"/>
    </row>
    <row r="152" spans="1:6" ht="17.25" x14ac:dyDescent="0.25">
      <c r="A152" s="4725" t="s">
        <v>109</v>
      </c>
      <c r="B152" s="4725"/>
      <c r="C152" s="4725"/>
      <c r="D152" s="4725"/>
      <c r="E152" s="4725"/>
      <c r="F152" s="4725"/>
    </row>
    <row r="153" spans="1:6" x14ac:dyDescent="0.25">
      <c r="A153" s="4713" t="s">
        <v>110</v>
      </c>
      <c r="B153" s="4713"/>
      <c r="C153" s="4713"/>
      <c r="D153" s="4713"/>
      <c r="E153" s="4713"/>
      <c r="F153" s="4713"/>
    </row>
    <row r="154" spans="1:6" ht="17.25" x14ac:dyDescent="0.25">
      <c r="A154" s="4725" t="s">
        <v>111</v>
      </c>
      <c r="B154" s="4725"/>
      <c r="C154" s="4725"/>
      <c r="D154" s="4725"/>
      <c r="E154" s="4725"/>
      <c r="F154" s="4725"/>
    </row>
    <row r="155" spans="1:6" x14ac:dyDescent="0.25">
      <c r="A155" s="4713" t="s">
        <v>908</v>
      </c>
      <c r="B155" s="4713"/>
      <c r="C155" s="4713"/>
      <c r="D155" s="4713"/>
      <c r="E155" s="4713"/>
      <c r="F155" s="4713"/>
    </row>
    <row r="156" spans="1:6" x14ac:dyDescent="0.25">
      <c r="A156" s="4712" t="s">
        <v>112</v>
      </c>
      <c r="B156" s="4713"/>
      <c r="C156" s="4713"/>
      <c r="D156" s="4713"/>
      <c r="E156" s="4713"/>
      <c r="F156" s="4713"/>
    </row>
    <row r="157" spans="1:6" x14ac:dyDescent="0.25">
      <c r="A157" s="4712" t="s">
        <v>113</v>
      </c>
      <c r="B157" s="4713"/>
      <c r="C157" s="4713"/>
      <c r="D157" s="4713"/>
      <c r="E157" s="4713"/>
      <c r="F157" s="4713"/>
    </row>
    <row r="158" spans="1:6" x14ac:dyDescent="0.25">
      <c r="A158" s="4712" t="s">
        <v>114</v>
      </c>
      <c r="B158" s="4713"/>
      <c r="C158" s="4713"/>
      <c r="D158" s="4713"/>
      <c r="E158" s="4713"/>
      <c r="F158" s="4713"/>
    </row>
    <row r="159" spans="1:6" x14ac:dyDescent="0.25">
      <c r="A159" s="4713" t="s">
        <v>115</v>
      </c>
      <c r="B159" s="4713"/>
      <c r="C159" s="4713"/>
      <c r="D159" s="4713"/>
      <c r="E159" s="4713"/>
      <c r="F159" s="4713"/>
    </row>
    <row r="160" spans="1:6" x14ac:dyDescent="0.25">
      <c r="A160" s="4713" t="s">
        <v>262</v>
      </c>
      <c r="B160" s="4713"/>
      <c r="C160" s="4713"/>
      <c r="D160" s="4713"/>
      <c r="E160" s="4713"/>
      <c r="F160" s="4713"/>
    </row>
    <row r="161" spans="1:6" x14ac:dyDescent="0.25">
      <c r="A161" s="4712" t="s">
        <v>535</v>
      </c>
      <c r="B161" s="4712"/>
      <c r="C161" s="4712"/>
      <c r="D161" s="4712"/>
      <c r="E161" s="4712"/>
      <c r="F161" s="4712"/>
    </row>
    <row r="162" spans="1:6" x14ac:dyDescent="0.25">
      <c r="A162" s="4712" t="s">
        <v>536</v>
      </c>
      <c r="B162" s="4712"/>
      <c r="C162" s="4712"/>
      <c r="D162" s="4712"/>
      <c r="E162" s="4712"/>
      <c r="F162" s="4712"/>
    </row>
    <row r="163" spans="1:6" x14ac:dyDescent="0.25">
      <c r="A163" s="4712" t="s">
        <v>1432</v>
      </c>
      <c r="B163" s="4712"/>
      <c r="C163" s="4712"/>
      <c r="D163" s="4712"/>
      <c r="E163" s="4712"/>
      <c r="F163" s="4712"/>
    </row>
    <row r="164" spans="1:6" x14ac:dyDescent="0.25">
      <c r="A164" s="4712" t="s">
        <v>1433</v>
      </c>
      <c r="B164" s="4712"/>
      <c r="C164" s="4712"/>
      <c r="D164" s="4712"/>
      <c r="E164" s="4712"/>
      <c r="F164" s="4712"/>
    </row>
    <row r="165" spans="1:6" x14ac:dyDescent="0.25">
      <c r="A165" s="4713" t="s">
        <v>263</v>
      </c>
      <c r="B165" s="4713"/>
      <c r="C165" s="4713"/>
      <c r="D165" s="4713"/>
      <c r="E165" s="4713"/>
      <c r="F165" s="4713"/>
    </row>
    <row r="166" spans="1:6" x14ac:dyDescent="0.25">
      <c r="A166" s="4712" t="s">
        <v>537</v>
      </c>
      <c r="B166" s="4712"/>
      <c r="C166" s="4712"/>
      <c r="D166" s="4712"/>
      <c r="E166" s="4712"/>
      <c r="F166" s="4712"/>
    </row>
    <row r="167" spans="1:6" x14ac:dyDescent="0.25">
      <c r="A167" s="4712" t="s">
        <v>536</v>
      </c>
      <c r="B167" s="4712"/>
      <c r="C167" s="4712"/>
      <c r="D167" s="4712"/>
      <c r="E167" s="4712"/>
      <c r="F167" s="4712"/>
    </row>
    <row r="168" spans="1:6" x14ac:dyDescent="0.25">
      <c r="A168" s="4712" t="s">
        <v>1432</v>
      </c>
      <c r="B168" s="4712"/>
      <c r="C168" s="4712"/>
      <c r="D168" s="4712"/>
      <c r="E168" s="4712"/>
      <c r="F168" s="4712"/>
    </row>
    <row r="169" spans="1:6" x14ac:dyDescent="0.25">
      <c r="A169" s="4712" t="s">
        <v>1433</v>
      </c>
      <c r="B169" s="4712"/>
      <c r="C169" s="4712"/>
      <c r="D169" s="4712"/>
      <c r="E169" s="4712"/>
      <c r="F169" s="4712"/>
    </row>
    <row r="170" spans="1:6" x14ac:dyDescent="0.25">
      <c r="A170" s="4713" t="s">
        <v>116</v>
      </c>
      <c r="B170" s="4713"/>
      <c r="C170" s="4713"/>
      <c r="D170" s="4713"/>
      <c r="E170" s="4713"/>
      <c r="F170" s="4713"/>
    </row>
    <row r="171" spans="1:6" s="108" customFormat="1" ht="17.25" x14ac:dyDescent="0.25">
      <c r="A171" s="119" t="s">
        <v>117</v>
      </c>
      <c r="B171" s="120"/>
      <c r="C171" s="120"/>
      <c r="D171" s="120"/>
      <c r="E171" s="120"/>
      <c r="F171" s="120"/>
    </row>
    <row r="172" spans="1:6" s="108" customFormat="1" x14ac:dyDescent="0.25">
      <c r="A172" s="4721" t="s">
        <v>118</v>
      </c>
      <c r="B172" s="4721"/>
      <c r="C172" s="4721"/>
      <c r="D172" s="4721"/>
      <c r="E172" s="4721"/>
      <c r="F172" s="4721"/>
    </row>
    <row r="173" spans="1:6" x14ac:dyDescent="0.25">
      <c r="A173" s="4713" t="s">
        <v>908</v>
      </c>
      <c r="B173" s="4713"/>
      <c r="C173" s="4713"/>
      <c r="D173" s="4713"/>
      <c r="E173" s="4713"/>
      <c r="F173" s="4713"/>
    </row>
    <row r="174" spans="1:6" x14ac:dyDescent="0.25">
      <c r="A174" s="4712" t="s">
        <v>119</v>
      </c>
      <c r="B174" s="4713"/>
      <c r="C174" s="4713"/>
      <c r="D174" s="4713"/>
      <c r="E174" s="4713"/>
      <c r="F174" s="4713"/>
    </row>
    <row r="175" spans="1:6" x14ac:dyDescent="0.25">
      <c r="A175" s="4712" t="s">
        <v>120</v>
      </c>
      <c r="B175" s="4713"/>
      <c r="C175" s="4713"/>
      <c r="D175" s="4713"/>
      <c r="E175" s="4713"/>
      <c r="F175" s="4713"/>
    </row>
    <row r="176" spans="1:6" x14ac:dyDescent="0.25">
      <c r="A176" s="4721" t="s">
        <v>121</v>
      </c>
      <c r="B176" s="4721"/>
      <c r="C176" s="4721"/>
      <c r="D176" s="4721"/>
      <c r="E176" s="4721"/>
      <c r="F176" s="4721"/>
    </row>
    <row r="177" spans="1:6" x14ac:dyDescent="0.25">
      <c r="A177" s="4713" t="s">
        <v>908</v>
      </c>
      <c r="B177" s="4713"/>
      <c r="C177" s="4713"/>
      <c r="D177" s="4713"/>
      <c r="E177" s="4713"/>
      <c r="F177" s="4713"/>
    </row>
    <row r="178" spans="1:6" x14ac:dyDescent="0.25">
      <c r="A178" s="4712" t="s">
        <v>119</v>
      </c>
      <c r="B178" s="4713"/>
      <c r="C178" s="4713"/>
      <c r="D178" s="4713"/>
      <c r="E178" s="4713"/>
      <c r="F178" s="4713"/>
    </row>
    <row r="179" spans="1:6" x14ac:dyDescent="0.25">
      <c r="A179" s="4712" t="s">
        <v>120</v>
      </c>
      <c r="B179" s="4713"/>
      <c r="C179" s="4713"/>
      <c r="D179" s="4713"/>
      <c r="E179" s="4713"/>
      <c r="F179" s="4713"/>
    </row>
    <row r="180" spans="1:6" x14ac:dyDescent="0.25">
      <c r="A180" s="4721" t="s">
        <v>122</v>
      </c>
      <c r="B180" s="4721"/>
      <c r="C180" s="4721"/>
      <c r="D180" s="4721"/>
      <c r="E180" s="4721"/>
      <c r="F180" s="4721"/>
    </row>
    <row r="181" spans="1:6" x14ac:dyDescent="0.25">
      <c r="A181" s="4713" t="s">
        <v>908</v>
      </c>
      <c r="B181" s="4713"/>
      <c r="C181" s="4713"/>
      <c r="D181" s="4713"/>
      <c r="E181" s="4713"/>
      <c r="F181" s="4713"/>
    </row>
    <row r="182" spans="1:6" x14ac:dyDescent="0.25">
      <c r="A182" s="4712" t="s">
        <v>119</v>
      </c>
      <c r="B182" s="4713"/>
      <c r="C182" s="4713"/>
      <c r="D182" s="4713"/>
      <c r="E182" s="4713"/>
      <c r="F182" s="4713"/>
    </row>
    <row r="183" spans="1:6" x14ac:dyDescent="0.25">
      <c r="A183" s="4712" t="s">
        <v>120</v>
      </c>
      <c r="B183" s="4713"/>
      <c r="C183" s="4713"/>
      <c r="D183" s="4713"/>
      <c r="E183" s="4713"/>
      <c r="F183" s="4713"/>
    </row>
    <row r="184" spans="1:6" x14ac:dyDescent="0.25">
      <c r="A184" s="4721" t="s">
        <v>123</v>
      </c>
      <c r="B184" s="4721"/>
      <c r="C184" s="4721"/>
      <c r="D184" s="4721"/>
      <c r="E184" s="4721"/>
      <c r="F184" s="4721"/>
    </row>
    <row r="185" spans="1:6" x14ac:dyDescent="0.25">
      <c r="A185" s="4713" t="s">
        <v>908</v>
      </c>
      <c r="B185" s="4713"/>
      <c r="C185" s="4713"/>
      <c r="D185" s="4713"/>
      <c r="E185" s="4713"/>
      <c r="F185" s="4713"/>
    </row>
    <row r="186" spans="1:6" x14ac:dyDescent="0.25">
      <c r="A186" s="4712" t="s">
        <v>119</v>
      </c>
      <c r="B186" s="4713"/>
      <c r="C186" s="4713"/>
      <c r="D186" s="4713"/>
      <c r="E186" s="4713"/>
      <c r="F186" s="4713"/>
    </row>
    <row r="187" spans="1:6" x14ac:dyDescent="0.25">
      <c r="A187" s="4712" t="s">
        <v>120</v>
      </c>
      <c r="B187" s="4713"/>
      <c r="C187" s="4713"/>
      <c r="D187" s="4713"/>
      <c r="E187" s="4713"/>
      <c r="F187" s="4713"/>
    </row>
    <row r="188" spans="1:6" x14ac:dyDescent="0.25">
      <c r="A188" s="4721" t="s">
        <v>124</v>
      </c>
      <c r="B188" s="4721"/>
      <c r="C188" s="4721"/>
      <c r="D188" s="4721"/>
      <c r="E188" s="4721"/>
      <c r="F188" s="4721"/>
    </row>
    <row r="189" spans="1:6" x14ac:dyDescent="0.25">
      <c r="A189" s="4713" t="s">
        <v>908</v>
      </c>
      <c r="B189" s="4713"/>
      <c r="C189" s="4713"/>
      <c r="D189" s="4713"/>
      <c r="E189" s="4713"/>
      <c r="F189" s="4713"/>
    </row>
    <row r="190" spans="1:6" x14ac:dyDescent="0.25">
      <c r="A190" s="4712" t="s">
        <v>119</v>
      </c>
      <c r="B190" s="4713"/>
      <c r="C190" s="4713"/>
      <c r="D190" s="4713"/>
      <c r="E190" s="4713"/>
      <c r="F190" s="4713"/>
    </row>
    <row r="191" spans="1:6" x14ac:dyDescent="0.25">
      <c r="A191" s="4712" t="s">
        <v>120</v>
      </c>
      <c r="B191" s="4713"/>
      <c r="C191" s="4713"/>
      <c r="D191" s="4713"/>
      <c r="E191" s="4713"/>
      <c r="F191" s="4713"/>
    </row>
    <row r="192" spans="1:6" x14ac:dyDescent="0.25">
      <c r="A192" s="4713" t="s">
        <v>125</v>
      </c>
      <c r="B192" s="4713"/>
      <c r="C192" s="4713"/>
      <c r="D192" s="4713"/>
      <c r="E192" s="4713"/>
      <c r="F192" s="4713"/>
    </row>
    <row r="193" spans="1:7" x14ac:dyDescent="0.25">
      <c r="A193" s="4718" t="s">
        <v>844</v>
      </c>
      <c r="B193" s="4718" t="s">
        <v>845</v>
      </c>
      <c r="C193" s="4718" t="s">
        <v>868</v>
      </c>
      <c r="D193" s="4724" t="s">
        <v>907</v>
      </c>
      <c r="E193" s="4724"/>
      <c r="F193" s="4724"/>
      <c r="G193" s="4724"/>
    </row>
    <row r="194" spans="1:7" ht="49.5" x14ac:dyDescent="0.25">
      <c r="A194" s="4719"/>
      <c r="B194" s="4719"/>
      <c r="C194" s="4719"/>
      <c r="D194" s="116" t="s">
        <v>126</v>
      </c>
      <c r="E194" s="116" t="s">
        <v>127</v>
      </c>
      <c r="F194" s="116" t="s">
        <v>128</v>
      </c>
      <c r="G194" s="121" t="s">
        <v>129</v>
      </c>
    </row>
    <row r="195" spans="1:7" x14ac:dyDescent="0.25">
      <c r="A195" s="117"/>
      <c r="B195" s="117"/>
      <c r="C195" s="117"/>
      <c r="D195" s="117"/>
      <c r="E195" s="117"/>
      <c r="F195" s="117"/>
      <c r="G195" s="122"/>
    </row>
    <row r="196" spans="1:7" x14ac:dyDescent="0.25">
      <c r="A196" s="117"/>
      <c r="B196" s="117"/>
      <c r="C196" s="117"/>
      <c r="D196" s="117"/>
      <c r="E196" s="117"/>
      <c r="F196" s="117"/>
      <c r="G196" s="122"/>
    </row>
    <row r="197" spans="1:7" x14ac:dyDescent="0.25">
      <c r="A197" s="117"/>
      <c r="B197" s="117"/>
      <c r="C197" s="117"/>
      <c r="D197" s="117"/>
      <c r="E197" s="117"/>
      <c r="F197" s="117"/>
      <c r="G197" s="122"/>
    </row>
    <row r="198" spans="1:7" x14ac:dyDescent="0.25">
      <c r="A198" s="122"/>
      <c r="B198" s="122"/>
      <c r="C198" s="122"/>
      <c r="D198" s="122"/>
      <c r="E198" s="122"/>
      <c r="F198" s="122"/>
      <c r="G198" s="122"/>
    </row>
    <row r="199" spans="1:7" x14ac:dyDescent="0.25">
      <c r="A199" s="122"/>
      <c r="B199" s="122"/>
      <c r="C199" s="122"/>
      <c r="D199" s="122"/>
      <c r="E199" s="122"/>
      <c r="F199" s="122"/>
      <c r="G199" s="122"/>
    </row>
    <row r="200" spans="1:7" x14ac:dyDescent="0.25">
      <c r="A200" s="4713" t="s">
        <v>130</v>
      </c>
      <c r="B200" s="4713"/>
      <c r="C200" s="4713"/>
      <c r="D200" s="4713"/>
      <c r="E200" s="4713"/>
      <c r="F200" s="4713"/>
    </row>
    <row r="201" spans="1:7" ht="56.25" customHeight="1" x14ac:dyDescent="0.25">
      <c r="A201" s="4720" t="s">
        <v>748</v>
      </c>
      <c r="B201" s="4717"/>
      <c r="C201" s="4717"/>
      <c r="D201" s="4717"/>
      <c r="E201" s="4717"/>
      <c r="F201" s="4717"/>
    </row>
    <row r="202" spans="1:7" ht="41.25" customHeight="1" x14ac:dyDescent="0.25">
      <c r="A202" s="4716" t="s">
        <v>749</v>
      </c>
      <c r="B202" s="4716"/>
      <c r="C202" s="4716"/>
      <c r="D202" s="4716"/>
      <c r="E202" s="4716"/>
      <c r="F202" s="4716"/>
    </row>
    <row r="203" spans="1:7" ht="52.5" customHeight="1" x14ac:dyDescent="0.25">
      <c r="A203" s="4717" t="s">
        <v>750</v>
      </c>
      <c r="B203" s="4717"/>
      <c r="C203" s="4717"/>
      <c r="D203" s="4717"/>
      <c r="E203" s="4717"/>
      <c r="F203" s="4717"/>
    </row>
    <row r="204" spans="1:7" x14ac:dyDescent="0.25">
      <c r="A204" s="4714" t="s">
        <v>275</v>
      </c>
      <c r="B204" s="4714"/>
      <c r="C204" s="4714"/>
      <c r="D204" s="4714"/>
      <c r="E204" s="4714"/>
      <c r="F204" s="4714"/>
    </row>
    <row r="205" spans="1:7" x14ac:dyDescent="0.25">
      <c r="A205" s="4715" t="s">
        <v>258</v>
      </c>
      <c r="B205" s="4715"/>
      <c r="C205" s="4715"/>
      <c r="D205" s="4715"/>
      <c r="E205" s="4715"/>
      <c r="F205" s="4715"/>
    </row>
    <row r="206" spans="1:7" x14ac:dyDescent="0.25">
      <c r="A206" s="4715" t="s">
        <v>258</v>
      </c>
      <c r="B206" s="4715"/>
      <c r="C206" s="4715"/>
      <c r="D206" s="4715"/>
      <c r="E206" s="4715"/>
      <c r="F206" s="4715"/>
    </row>
    <row r="207" spans="1:7" x14ac:dyDescent="0.25">
      <c r="A207" s="4715" t="s">
        <v>258</v>
      </c>
      <c r="B207" s="4715"/>
      <c r="C207" s="4715"/>
      <c r="D207" s="4715"/>
      <c r="E207" s="4715"/>
      <c r="F207" s="4715"/>
    </row>
    <row r="208" spans="1:7" x14ac:dyDescent="0.25">
      <c r="A208" s="4715" t="s">
        <v>258</v>
      </c>
      <c r="B208" s="4715"/>
      <c r="C208" s="4715"/>
      <c r="D208" s="4715"/>
      <c r="E208" s="4715"/>
      <c r="F208" s="4715"/>
    </row>
    <row r="209" spans="1:6" x14ac:dyDescent="0.25">
      <c r="A209" s="4715" t="s">
        <v>258</v>
      </c>
      <c r="B209" s="4715"/>
      <c r="C209" s="4715"/>
      <c r="D209" s="4715"/>
      <c r="E209" s="4715"/>
      <c r="F209" s="4715"/>
    </row>
    <row r="210" spans="1:6" x14ac:dyDescent="0.25">
      <c r="A210" s="4715" t="s">
        <v>258</v>
      </c>
      <c r="B210" s="4715"/>
      <c r="C210" s="4715"/>
      <c r="D210" s="4715"/>
      <c r="E210" s="4715"/>
      <c r="F210" s="4715"/>
    </row>
    <row r="211" spans="1:6" x14ac:dyDescent="0.25">
      <c r="A211" s="4715"/>
      <c r="B211" s="4715"/>
      <c r="C211" s="4715"/>
      <c r="D211" s="4715"/>
      <c r="E211" s="4715"/>
      <c r="F211" s="4715"/>
    </row>
    <row r="212" spans="1:6" x14ac:dyDescent="0.25">
      <c r="A212" s="4723" t="s">
        <v>636</v>
      </c>
      <c r="B212" s="4723"/>
      <c r="C212" s="4723"/>
      <c r="D212" s="4723"/>
      <c r="E212" s="4723"/>
      <c r="F212" s="4723"/>
    </row>
    <row r="213" spans="1:6" x14ac:dyDescent="0.25">
      <c r="A213" s="4689" t="s">
        <v>751</v>
      </c>
      <c r="B213" s="4689"/>
      <c r="C213" s="4689"/>
      <c r="D213" s="4689"/>
      <c r="E213" s="4689"/>
      <c r="F213" s="4689"/>
    </row>
    <row r="214" spans="1:6" x14ac:dyDescent="0.25">
      <c r="A214" s="4721" t="s">
        <v>752</v>
      </c>
      <c r="B214" s="4721"/>
      <c r="C214" s="4721"/>
      <c r="D214" s="4721"/>
      <c r="E214" s="4721"/>
      <c r="F214" s="4721"/>
    </row>
    <row r="215" spans="1:6" x14ac:dyDescent="0.25">
      <c r="A215" s="4722" t="s">
        <v>753</v>
      </c>
      <c r="B215" s="4722"/>
      <c r="C215" s="4722"/>
      <c r="D215" s="4722"/>
      <c r="E215" s="4722"/>
      <c r="F215" s="4722"/>
    </row>
    <row r="216" spans="1:6" x14ac:dyDescent="0.25">
      <c r="A216" s="4720"/>
      <c r="B216" s="4717"/>
      <c r="C216" s="4717"/>
      <c r="D216" s="4717"/>
      <c r="E216" s="4717"/>
      <c r="F216" s="4717"/>
    </row>
    <row r="217" spans="1:6" x14ac:dyDescent="0.25">
      <c r="A217" s="4720"/>
      <c r="B217" s="4717"/>
      <c r="C217" s="4717"/>
      <c r="D217" s="4717"/>
      <c r="E217" s="4717"/>
      <c r="F217" s="4717"/>
    </row>
  </sheetData>
  <mergeCells count="198">
    <mergeCell ref="E1:F4"/>
    <mergeCell ref="A5:F5"/>
    <mergeCell ref="A6:F6"/>
    <mergeCell ref="A7:F7"/>
    <mergeCell ref="A8:F8"/>
    <mergeCell ref="A9:F9"/>
    <mergeCell ref="A10:F10"/>
    <mergeCell ref="A11:F11"/>
    <mergeCell ref="A31:F31"/>
    <mergeCell ref="A16:F16"/>
    <mergeCell ref="A17:F17"/>
    <mergeCell ref="A24:F24"/>
    <mergeCell ref="A25:F26"/>
    <mergeCell ref="A22:F22"/>
    <mergeCell ref="A23:F23"/>
    <mergeCell ref="A12:F12"/>
    <mergeCell ref="A13:F13"/>
    <mergeCell ref="A33:F33"/>
    <mergeCell ref="A34:F34"/>
    <mergeCell ref="A18:F18"/>
    <mergeCell ref="A19:F19"/>
    <mergeCell ref="A20:F20"/>
    <mergeCell ref="A21:F21"/>
    <mergeCell ref="A27:F27"/>
    <mergeCell ref="A28:F29"/>
    <mergeCell ref="A14:F14"/>
    <mergeCell ref="A15:F15"/>
    <mergeCell ref="A32:F32"/>
    <mergeCell ref="A35:F35"/>
    <mergeCell ref="A36:F36"/>
    <mergeCell ref="A42:F42"/>
    <mergeCell ref="A43:F43"/>
    <mergeCell ref="A39:F39"/>
    <mergeCell ref="A41:F41"/>
    <mergeCell ref="A44:F44"/>
    <mergeCell ref="A45:F45"/>
    <mergeCell ref="A37:F37"/>
    <mergeCell ref="A38:F38"/>
    <mergeCell ref="A46:F46"/>
    <mergeCell ref="A47:F47"/>
    <mergeCell ref="A65:F65"/>
    <mergeCell ref="A66:F66"/>
    <mergeCell ref="A59:F59"/>
    <mergeCell ref="A60:F60"/>
    <mergeCell ref="A48:F48"/>
    <mergeCell ref="A49:F49"/>
    <mergeCell ref="A55:F55"/>
    <mergeCell ref="A56:F56"/>
    <mergeCell ref="A57:F57"/>
    <mergeCell ref="A58:F58"/>
    <mergeCell ref="A50:F50"/>
    <mergeCell ref="A51:F51"/>
    <mergeCell ref="A52:F52"/>
    <mergeCell ref="A53:F54"/>
    <mergeCell ref="A80:F80"/>
    <mergeCell ref="A83:F83"/>
    <mergeCell ref="A84:F84"/>
    <mergeCell ref="A82:F82"/>
    <mergeCell ref="A95:F95"/>
    <mergeCell ref="A85:F85"/>
    <mergeCell ref="A61:F61"/>
    <mergeCell ref="A62:F62"/>
    <mergeCell ref="A67:F67"/>
    <mergeCell ref="A68:F68"/>
    <mergeCell ref="A69:F69"/>
    <mergeCell ref="A70:F70"/>
    <mergeCell ref="A63:F63"/>
    <mergeCell ref="A81:F81"/>
    <mergeCell ref="A64:F64"/>
    <mergeCell ref="A73:F73"/>
    <mergeCell ref="A74:F74"/>
    <mergeCell ref="A79:F79"/>
    <mergeCell ref="A71:F71"/>
    <mergeCell ref="A72:F72"/>
    <mergeCell ref="A75:F75"/>
    <mergeCell ref="A76:F76"/>
    <mergeCell ref="A77:F77"/>
    <mergeCell ref="A78:F78"/>
    <mergeCell ref="A86:F86"/>
    <mergeCell ref="A91:F91"/>
    <mergeCell ref="A92:F92"/>
    <mergeCell ref="A93:F93"/>
    <mergeCell ref="A94:F94"/>
    <mergeCell ref="A96:F96"/>
    <mergeCell ref="A87:F87"/>
    <mergeCell ref="A88:F88"/>
    <mergeCell ref="A89:F89"/>
    <mergeCell ref="A90:F90"/>
    <mergeCell ref="A112:F112"/>
    <mergeCell ref="A97:F97"/>
    <mergeCell ref="A98:F98"/>
    <mergeCell ref="A103:F103"/>
    <mergeCell ref="A104:F104"/>
    <mergeCell ref="A99:F99"/>
    <mergeCell ref="A100:F100"/>
    <mergeCell ref="A101:F101"/>
    <mergeCell ref="A102:F102"/>
    <mergeCell ref="A105:F105"/>
    <mergeCell ref="A106:F106"/>
    <mergeCell ref="A107:F107"/>
    <mergeCell ref="A108:F108"/>
    <mergeCell ref="A109:F109"/>
    <mergeCell ref="A110:F110"/>
    <mergeCell ref="A111:F111"/>
    <mergeCell ref="A113:F113"/>
    <mergeCell ref="A121:F121"/>
    <mergeCell ref="A139:F139"/>
    <mergeCell ref="A128:F128"/>
    <mergeCell ref="A129:F129"/>
    <mergeCell ref="A134:F134"/>
    <mergeCell ref="A135:F135"/>
    <mergeCell ref="A136:F136"/>
    <mergeCell ref="A137:F137"/>
    <mergeCell ref="A130:F130"/>
    <mergeCell ref="A131:F131"/>
    <mergeCell ref="A132:F132"/>
    <mergeCell ref="A138:F138"/>
    <mergeCell ref="A124:F124"/>
    <mergeCell ref="A125:F125"/>
    <mergeCell ref="A126:F126"/>
    <mergeCell ref="A127:F127"/>
    <mergeCell ref="A133:F133"/>
    <mergeCell ref="A122:F122"/>
    <mergeCell ref="A123:F123"/>
    <mergeCell ref="A150:F150"/>
    <mergeCell ref="A151:F151"/>
    <mergeCell ref="A154:F154"/>
    <mergeCell ref="A155:F155"/>
    <mergeCell ref="A152:F152"/>
    <mergeCell ref="A153:F153"/>
    <mergeCell ref="A140:F140"/>
    <mergeCell ref="A141:F141"/>
    <mergeCell ref="A146:F146"/>
    <mergeCell ref="A147:F147"/>
    <mergeCell ref="A148:F148"/>
    <mergeCell ref="A149:F149"/>
    <mergeCell ref="A142:F142"/>
    <mergeCell ref="A143:F143"/>
    <mergeCell ref="A144:F144"/>
    <mergeCell ref="A145:F145"/>
    <mergeCell ref="A159:F159"/>
    <mergeCell ref="A156:F156"/>
    <mergeCell ref="A157:F157"/>
    <mergeCell ref="A160:F160"/>
    <mergeCell ref="A161:F161"/>
    <mergeCell ref="A158:F158"/>
    <mergeCell ref="A166:F166"/>
    <mergeCell ref="A167:F167"/>
    <mergeCell ref="A168:F168"/>
    <mergeCell ref="A162:F162"/>
    <mergeCell ref="A163:F163"/>
    <mergeCell ref="A164:F164"/>
    <mergeCell ref="A165:F165"/>
    <mergeCell ref="A170:F170"/>
    <mergeCell ref="A172:F172"/>
    <mergeCell ref="A169:F169"/>
    <mergeCell ref="A175:F175"/>
    <mergeCell ref="A176:F176"/>
    <mergeCell ref="A173:F173"/>
    <mergeCell ref="A174:F174"/>
    <mergeCell ref="C193:C194"/>
    <mergeCell ref="D193:G193"/>
    <mergeCell ref="A191:F191"/>
    <mergeCell ref="A192:F192"/>
    <mergeCell ref="A183:F183"/>
    <mergeCell ref="A184:F184"/>
    <mergeCell ref="A177:F177"/>
    <mergeCell ref="A178:F178"/>
    <mergeCell ref="A179:F179"/>
    <mergeCell ref="A180:F180"/>
    <mergeCell ref="A181:F181"/>
    <mergeCell ref="A182:F182"/>
    <mergeCell ref="A185:F185"/>
    <mergeCell ref="A186:F186"/>
    <mergeCell ref="A187:F187"/>
    <mergeCell ref="A188:F188"/>
    <mergeCell ref="A189:F189"/>
    <mergeCell ref="A190:F190"/>
    <mergeCell ref="A204:F204"/>
    <mergeCell ref="A205:F205"/>
    <mergeCell ref="A202:F202"/>
    <mergeCell ref="A203:F203"/>
    <mergeCell ref="A193:A194"/>
    <mergeCell ref="B193:B194"/>
    <mergeCell ref="A216:F216"/>
    <mergeCell ref="A217:F217"/>
    <mergeCell ref="A206:F206"/>
    <mergeCell ref="A207:F207"/>
    <mergeCell ref="A208:F208"/>
    <mergeCell ref="A209:F209"/>
    <mergeCell ref="A213:F213"/>
    <mergeCell ref="A214:F214"/>
    <mergeCell ref="A215:F215"/>
    <mergeCell ref="A210:F210"/>
    <mergeCell ref="A211:F211"/>
    <mergeCell ref="A212:F212"/>
    <mergeCell ref="A200:F200"/>
    <mergeCell ref="A201:F201"/>
  </mergeCells>
  <phoneticPr fontId="70" type="noConversion"/>
  <pageMargins left="0.35433070866141736" right="0.23622047244094491" top="0.74803149606299213" bottom="0.74803149606299213" header="0.31496062992125984" footer="0.31496062992125984"/>
  <pageSetup paperSize="9" firstPageNumber="214" orientation="portrait" useFirstPageNumber="1" r:id="rId1"/>
  <headerFooter>
    <oddHeader>&amp;RBiểu số 5.43</oddHeader>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C120"/>
  <sheetViews>
    <sheetView zoomScale="87" zoomScaleNormal="87" workbookViewId="0">
      <pane xSplit="2" ySplit="10" topLeftCell="C98" activePane="bottomRight" state="frozen"/>
      <selection pane="topRight" activeCell="C1" sqref="C1"/>
      <selection pane="bottomLeft" activeCell="A11" sqref="A11"/>
      <selection pane="bottomRight" activeCell="V99" sqref="V99"/>
    </sheetView>
  </sheetViews>
  <sheetFormatPr defaultColWidth="9.140625" defaultRowHeight="15.75" x14ac:dyDescent="0.25"/>
  <cols>
    <col min="1" max="1" width="6.85546875" style="591" customWidth="1"/>
    <col min="2" max="2" width="36.28515625" style="591" customWidth="1"/>
    <col min="3" max="3" width="8.7109375" style="626" customWidth="1"/>
    <col min="4" max="4" width="9.140625" style="626" customWidth="1"/>
    <col min="5" max="5" width="7.42578125" style="626" customWidth="1"/>
    <col min="6" max="6" width="10.5703125" style="626" customWidth="1"/>
    <col min="7" max="7" width="10.28515625" style="626" customWidth="1"/>
    <col min="8" max="8" width="8.85546875" style="626" customWidth="1"/>
    <col min="9" max="9" width="9.140625" style="626" hidden="1" customWidth="1"/>
    <col min="10" max="10" width="9.7109375" style="626" customWidth="1"/>
    <col min="11" max="11" width="12" style="626" customWidth="1"/>
    <col min="12" max="12" width="11.140625" style="626" customWidth="1"/>
    <col min="13" max="13" width="9.7109375" style="626" customWidth="1"/>
    <col min="14" max="14" width="8" style="626" customWidth="1"/>
    <col min="15" max="16" width="9.28515625" style="626" hidden="1" customWidth="1"/>
    <col min="17" max="17" width="12.42578125" style="635" customWidth="1"/>
    <col min="18" max="18" width="8" style="626" customWidth="1"/>
    <col min="19" max="19" width="8.7109375" style="626" customWidth="1"/>
    <col min="20" max="20" width="19.28515625" style="626" customWidth="1"/>
    <col min="21" max="21" width="6.7109375" style="626" customWidth="1"/>
    <col min="22" max="22" width="8.28515625" style="626" customWidth="1"/>
    <col min="23" max="23" width="8.42578125" style="626" customWidth="1"/>
    <col min="24" max="24" width="8.7109375" style="626" customWidth="1"/>
    <col min="25" max="25" width="8.140625" style="626" customWidth="1"/>
    <col min="26" max="26" width="7.7109375" style="626" customWidth="1"/>
    <col min="27" max="27" width="15.5703125" style="591" customWidth="1"/>
    <col min="28" max="28" width="14.85546875" style="591" customWidth="1"/>
    <col min="29" max="29" width="15.85546875" style="591" customWidth="1"/>
    <col min="30" max="16384" width="9.140625" style="591"/>
  </cols>
  <sheetData>
    <row r="1" spans="1:27" x14ac:dyDescent="0.25">
      <c r="A1" s="545" t="s">
        <v>1205</v>
      </c>
      <c r="W1" s="4020" t="s">
        <v>1729</v>
      </c>
      <c r="X1" s="4020"/>
      <c r="Y1" s="4020"/>
      <c r="Z1" s="4020"/>
    </row>
    <row r="2" spans="1:27" x14ac:dyDescent="0.25">
      <c r="A2" s="3998" t="s">
        <v>2631</v>
      </c>
      <c r="B2" s="3998"/>
      <c r="C2" s="3998"/>
      <c r="D2" s="3998"/>
      <c r="E2" s="3998"/>
      <c r="F2" s="3998"/>
      <c r="G2" s="3998"/>
      <c r="H2" s="3998"/>
      <c r="I2" s="3998"/>
      <c r="J2" s="3998"/>
      <c r="K2" s="3998"/>
      <c r="L2" s="3998"/>
      <c r="M2" s="3998"/>
      <c r="N2" s="3998"/>
      <c r="O2" s="3998"/>
      <c r="P2" s="3998"/>
      <c r="Q2" s="3998"/>
      <c r="R2" s="3998"/>
      <c r="S2" s="3998"/>
      <c r="T2" s="3998"/>
      <c r="U2" s="3998"/>
      <c r="V2" s="3998"/>
      <c r="W2" s="3998"/>
      <c r="X2" s="3998"/>
      <c r="Y2" s="3998"/>
      <c r="Z2" s="3998"/>
    </row>
    <row r="3" spans="1:27" ht="33" customHeight="1" x14ac:dyDescent="0.25">
      <c r="A3" s="3997" t="str">
        <f>'B49'!A4:E4</f>
        <v>(Kèm theo Quyết định số         /QĐ-UBND ngày      tháng 4 năm 2026 của UBND xã Phong Quang)</v>
      </c>
      <c r="B3" s="3997"/>
      <c r="C3" s="3997"/>
      <c r="D3" s="3997"/>
      <c r="E3" s="3997"/>
      <c r="F3" s="3997"/>
      <c r="G3" s="3997"/>
      <c r="H3" s="3997"/>
      <c r="I3" s="3997"/>
      <c r="J3" s="3997"/>
      <c r="K3" s="3997"/>
      <c r="L3" s="3997"/>
      <c r="M3" s="3997"/>
      <c r="N3" s="3997"/>
      <c r="O3" s="3997"/>
      <c r="P3" s="3997"/>
      <c r="Q3" s="3997"/>
      <c r="R3" s="3997"/>
      <c r="S3" s="3997"/>
      <c r="T3" s="3997"/>
      <c r="U3" s="3997"/>
      <c r="V3" s="3997"/>
      <c r="W3" s="3997"/>
      <c r="X3" s="3997"/>
      <c r="Y3" s="3997"/>
      <c r="Z3" s="3997"/>
    </row>
    <row r="4" spans="1:27" x14ac:dyDescent="0.25">
      <c r="Q4" s="4021" t="s">
        <v>1461</v>
      </c>
      <c r="R4" s="4021"/>
      <c r="S4" s="4021"/>
      <c r="T4" s="4021"/>
      <c r="U4" s="4021"/>
      <c r="V4" s="4021"/>
      <c r="W4" s="4021"/>
      <c r="X4" s="4021"/>
      <c r="Y4" s="4021"/>
      <c r="Z4" s="4021"/>
    </row>
    <row r="5" spans="1:27" ht="33.6" customHeight="1" x14ac:dyDescent="0.25">
      <c r="A5" s="4001" t="s">
        <v>844</v>
      </c>
      <c r="B5" s="4001" t="s">
        <v>12</v>
      </c>
      <c r="C5" s="4002" t="s">
        <v>1206</v>
      </c>
      <c r="D5" s="4002"/>
      <c r="E5" s="4002"/>
      <c r="F5" s="4002" t="s">
        <v>1207</v>
      </c>
      <c r="G5" s="4002"/>
      <c r="H5" s="4002"/>
      <c r="I5" s="4002"/>
      <c r="J5" s="4022" t="s">
        <v>13</v>
      </c>
      <c r="K5" s="4023"/>
      <c r="L5" s="4023"/>
      <c r="M5" s="4023"/>
      <c r="N5" s="4024"/>
      <c r="O5" s="4025" t="s">
        <v>1208</v>
      </c>
      <c r="P5" s="4025" t="s">
        <v>1725</v>
      </c>
      <c r="Q5" s="4028" t="s">
        <v>1209</v>
      </c>
      <c r="R5" s="4029"/>
      <c r="S5" s="4029"/>
      <c r="T5" s="4029"/>
      <c r="U5" s="4029"/>
      <c r="V5" s="4029"/>
      <c r="W5" s="4029"/>
      <c r="X5" s="4029"/>
      <c r="Y5" s="4029"/>
      <c r="Z5" s="4030"/>
    </row>
    <row r="6" spans="1:27" x14ac:dyDescent="0.25">
      <c r="A6" s="4001"/>
      <c r="B6" s="4001"/>
      <c r="C6" s="4002" t="s">
        <v>868</v>
      </c>
      <c r="D6" s="4002" t="s">
        <v>907</v>
      </c>
      <c r="E6" s="4002"/>
      <c r="F6" s="4002" t="s">
        <v>868</v>
      </c>
      <c r="G6" s="4002" t="s">
        <v>907</v>
      </c>
      <c r="H6" s="4002"/>
      <c r="I6" s="4002" t="s">
        <v>890</v>
      </c>
      <c r="J6" s="4027" t="s">
        <v>868</v>
      </c>
      <c r="K6" s="4027" t="s">
        <v>907</v>
      </c>
      <c r="L6" s="4027"/>
      <c r="M6" s="627"/>
      <c r="N6" s="627"/>
      <c r="O6" s="4026"/>
      <c r="P6" s="4026"/>
      <c r="Q6" s="4031" t="s">
        <v>868</v>
      </c>
      <c r="R6" s="4002" t="s">
        <v>756</v>
      </c>
      <c r="S6" s="4002"/>
      <c r="T6" s="4002"/>
      <c r="U6" s="4002"/>
      <c r="V6" s="4002"/>
      <c r="W6" s="4022" t="s">
        <v>757</v>
      </c>
      <c r="X6" s="4023"/>
      <c r="Y6" s="4023"/>
      <c r="Z6" s="4024"/>
    </row>
    <row r="7" spans="1:27" ht="38.25" customHeight="1" x14ac:dyDescent="0.25">
      <c r="A7" s="4001"/>
      <c r="B7" s="4001"/>
      <c r="C7" s="4002"/>
      <c r="D7" s="4002" t="s">
        <v>756</v>
      </c>
      <c r="E7" s="4002" t="s">
        <v>757</v>
      </c>
      <c r="F7" s="4002"/>
      <c r="G7" s="4002" t="s">
        <v>756</v>
      </c>
      <c r="H7" s="4002" t="s">
        <v>757</v>
      </c>
      <c r="I7" s="4002"/>
      <c r="J7" s="4002"/>
      <c r="K7" s="4002" t="s">
        <v>756</v>
      </c>
      <c r="L7" s="4002" t="s">
        <v>757</v>
      </c>
      <c r="M7" s="4025" t="s">
        <v>341</v>
      </c>
      <c r="N7" s="4025" t="s">
        <v>1313</v>
      </c>
      <c r="O7" s="4026"/>
      <c r="P7" s="4026"/>
      <c r="Q7" s="4032"/>
      <c r="R7" s="4026" t="s">
        <v>1592</v>
      </c>
      <c r="S7" s="4026" t="s">
        <v>1593</v>
      </c>
      <c r="T7" s="4026" t="s">
        <v>1594</v>
      </c>
      <c r="U7" s="4034" t="s">
        <v>577</v>
      </c>
      <c r="V7" s="4035"/>
      <c r="W7" s="4025" t="s">
        <v>1210</v>
      </c>
      <c r="X7" s="4002" t="s">
        <v>577</v>
      </c>
      <c r="Y7" s="4002"/>
      <c r="Z7" s="4002"/>
    </row>
    <row r="8" spans="1:27" x14ac:dyDescent="0.25">
      <c r="A8" s="4001"/>
      <c r="B8" s="4001"/>
      <c r="C8" s="4002"/>
      <c r="D8" s="4002"/>
      <c r="E8" s="4002"/>
      <c r="F8" s="4002"/>
      <c r="G8" s="4002"/>
      <c r="H8" s="4002"/>
      <c r="I8" s="4002"/>
      <c r="J8" s="4002"/>
      <c r="K8" s="4002"/>
      <c r="L8" s="4002"/>
      <c r="M8" s="4026"/>
      <c r="N8" s="4026"/>
      <c r="O8" s="4026"/>
      <c r="P8" s="4026"/>
      <c r="Q8" s="4032"/>
      <c r="R8" s="4026"/>
      <c r="S8" s="4026"/>
      <c r="T8" s="4026"/>
      <c r="U8" s="4002" t="s">
        <v>1590</v>
      </c>
      <c r="V8" s="4025" t="s">
        <v>1591</v>
      </c>
      <c r="W8" s="4026"/>
      <c r="X8" s="4025" t="s">
        <v>868</v>
      </c>
      <c r="Y8" s="4025" t="s">
        <v>1590</v>
      </c>
      <c r="Z8" s="4025" t="s">
        <v>1591</v>
      </c>
    </row>
    <row r="9" spans="1:27" ht="102.6" customHeight="1" x14ac:dyDescent="0.25">
      <c r="A9" s="4001"/>
      <c r="B9" s="4001"/>
      <c r="C9" s="4002"/>
      <c r="D9" s="4002"/>
      <c r="E9" s="4002"/>
      <c r="F9" s="4002"/>
      <c r="G9" s="4002"/>
      <c r="H9" s="4002"/>
      <c r="I9" s="4002"/>
      <c r="J9" s="4002"/>
      <c r="K9" s="4002"/>
      <c r="L9" s="4002"/>
      <c r="M9" s="4027"/>
      <c r="N9" s="4027"/>
      <c r="O9" s="4027"/>
      <c r="P9" s="4027"/>
      <c r="Q9" s="4033"/>
      <c r="R9" s="4027"/>
      <c r="S9" s="4027"/>
      <c r="T9" s="4027"/>
      <c r="U9" s="4002"/>
      <c r="V9" s="4027"/>
      <c r="W9" s="4027"/>
      <c r="X9" s="4027"/>
      <c r="Y9" s="4027"/>
      <c r="Z9" s="4027"/>
    </row>
    <row r="10" spans="1:27" s="626" customFormat="1" x14ac:dyDescent="0.25">
      <c r="A10" s="698" t="s">
        <v>847</v>
      </c>
      <c r="B10" s="698" t="s">
        <v>848</v>
      </c>
      <c r="C10" s="698">
        <v>1</v>
      </c>
      <c r="D10" s="698">
        <v>2</v>
      </c>
      <c r="E10" s="698">
        <v>3</v>
      </c>
      <c r="F10" s="698">
        <v>4</v>
      </c>
      <c r="G10" s="698">
        <v>5</v>
      </c>
      <c r="H10" s="698">
        <v>6</v>
      </c>
      <c r="I10" s="698">
        <v>7</v>
      </c>
      <c r="J10" s="698">
        <v>8</v>
      </c>
      <c r="K10" s="698">
        <v>9</v>
      </c>
      <c r="L10" s="698">
        <v>10</v>
      </c>
      <c r="M10" s="698">
        <v>11</v>
      </c>
      <c r="N10" s="698">
        <v>12</v>
      </c>
      <c r="O10" s="698">
        <v>13</v>
      </c>
      <c r="P10" s="698"/>
      <c r="Q10" s="698">
        <v>14</v>
      </c>
      <c r="R10" s="698">
        <v>15</v>
      </c>
      <c r="S10" s="698">
        <v>16</v>
      </c>
      <c r="T10" s="698">
        <v>17</v>
      </c>
      <c r="U10" s="698">
        <v>18</v>
      </c>
      <c r="V10" s="698">
        <v>19</v>
      </c>
      <c r="W10" s="698">
        <v>20</v>
      </c>
      <c r="X10" s="698">
        <v>21</v>
      </c>
      <c r="Y10" s="698">
        <v>22</v>
      </c>
      <c r="Z10" s="698">
        <v>23</v>
      </c>
    </row>
    <row r="11" spans="1:27" x14ac:dyDescent="0.25">
      <c r="A11" s="628"/>
      <c r="B11" s="628" t="s">
        <v>886</v>
      </c>
      <c r="C11" s="629">
        <f t="shared" ref="C11:Z11" si="0">C12+C61</f>
        <v>7018.7448000000004</v>
      </c>
      <c r="D11" s="629">
        <f t="shared" si="0"/>
        <v>6520.8447999999999</v>
      </c>
      <c r="E11" s="629">
        <f t="shared" si="0"/>
        <v>497.9</v>
      </c>
      <c r="F11" s="629">
        <f t="shared" si="0"/>
        <v>76576.677035000001</v>
      </c>
      <c r="G11" s="629">
        <f t="shared" si="0"/>
        <v>35417.360000000001</v>
      </c>
      <c r="H11" s="629">
        <f t="shared" si="0"/>
        <v>42494.797034999996</v>
      </c>
      <c r="I11" s="629" t="e">
        <f t="shared" si="0"/>
        <v>#REF!</v>
      </c>
      <c r="J11" s="629" t="e">
        <f t="shared" si="0"/>
        <v>#REF!</v>
      </c>
      <c r="K11" s="629" t="e">
        <f t="shared" si="0"/>
        <v>#REF!</v>
      </c>
      <c r="L11" s="629">
        <f t="shared" si="0"/>
        <v>38207.878591000001</v>
      </c>
      <c r="M11" s="629">
        <f t="shared" si="0"/>
        <v>2323</v>
      </c>
      <c r="N11" s="629">
        <f t="shared" si="0"/>
        <v>248.0412</v>
      </c>
      <c r="O11" s="629">
        <f t="shared" si="0"/>
        <v>0</v>
      </c>
      <c r="P11" s="629"/>
      <c r="Q11" s="670" t="e">
        <f t="shared" si="0"/>
        <v>#REF!</v>
      </c>
      <c r="R11" s="629">
        <f t="shared" si="0"/>
        <v>859.03990499999998</v>
      </c>
      <c r="S11" s="629">
        <f t="shared" si="0"/>
        <v>1630</v>
      </c>
      <c r="T11" s="629">
        <f t="shared" si="0"/>
        <v>1698.486533</v>
      </c>
      <c r="U11" s="629" t="e">
        <f t="shared" si="0"/>
        <v>#REF!</v>
      </c>
      <c r="V11" s="629">
        <f t="shared" si="0"/>
        <v>1266.2805179999989</v>
      </c>
      <c r="W11" s="629">
        <f t="shared" si="0"/>
        <v>0</v>
      </c>
      <c r="X11" s="629">
        <f t="shared" si="0"/>
        <v>2910.8923139999997</v>
      </c>
      <c r="Y11" s="629">
        <f t="shared" si="0"/>
        <v>2343.3112139999998</v>
      </c>
      <c r="Z11" s="629">
        <f t="shared" si="0"/>
        <v>567.58109999999988</v>
      </c>
      <c r="AA11" s="631">
        <f>C12+F12-J12</f>
        <v>2688.0507789999974</v>
      </c>
    </row>
    <row r="12" spans="1:27" x14ac:dyDescent="0.25">
      <c r="A12" s="555">
        <v>1</v>
      </c>
      <c r="B12" s="639" t="s">
        <v>1211</v>
      </c>
      <c r="C12" s="632">
        <f t="shared" ref="C12:Z12" si="1">C13+C39+C58</f>
        <v>5069.4078</v>
      </c>
      <c r="D12" s="632">
        <f t="shared" si="1"/>
        <v>5069.4078</v>
      </c>
      <c r="E12" s="632">
        <f t="shared" si="1"/>
        <v>0</v>
      </c>
      <c r="F12" s="632">
        <f t="shared" si="1"/>
        <v>39400.36</v>
      </c>
      <c r="G12" s="632">
        <f t="shared" si="1"/>
        <v>31210.36</v>
      </c>
      <c r="H12" s="632">
        <f t="shared" si="1"/>
        <v>8190</v>
      </c>
      <c r="I12" s="632" t="e">
        <f t="shared" si="1"/>
        <v>#REF!</v>
      </c>
      <c r="J12" s="632">
        <f t="shared" si="1"/>
        <v>41781.717021000004</v>
      </c>
      <c r="K12" s="632">
        <f t="shared" si="1"/>
        <v>33939.242470999998</v>
      </c>
      <c r="L12" s="632">
        <f t="shared" si="1"/>
        <v>7842.474549999999</v>
      </c>
      <c r="M12" s="632">
        <f t="shared" si="1"/>
        <v>0</v>
      </c>
      <c r="N12" s="632">
        <f t="shared" si="1"/>
        <v>0</v>
      </c>
      <c r="O12" s="632">
        <f t="shared" si="1"/>
        <v>0</v>
      </c>
      <c r="P12" s="632"/>
      <c r="Q12" s="671">
        <f t="shared" si="1"/>
        <v>2877.0369819999987</v>
      </c>
      <c r="R12" s="632">
        <f t="shared" si="1"/>
        <v>859.03990499999998</v>
      </c>
      <c r="S12" s="632">
        <f t="shared" si="1"/>
        <v>0</v>
      </c>
      <c r="T12" s="632">
        <f t="shared" si="1"/>
        <v>1158.486533</v>
      </c>
      <c r="U12" s="632">
        <f t="shared" si="1"/>
        <v>102.00423000000023</v>
      </c>
      <c r="V12" s="632">
        <f t="shared" si="1"/>
        <v>1266.2805179999989</v>
      </c>
      <c r="W12" s="632">
        <f t="shared" si="1"/>
        <v>0</v>
      </c>
      <c r="X12" s="632">
        <f t="shared" si="1"/>
        <v>296.71244999999999</v>
      </c>
      <c r="Y12" s="632">
        <f t="shared" si="1"/>
        <v>0.8813500000000003</v>
      </c>
      <c r="Z12" s="632">
        <f t="shared" si="1"/>
        <v>295.83109999999999</v>
      </c>
      <c r="AA12" s="631">
        <f>O12+Q12</f>
        <v>2877.0369819999987</v>
      </c>
    </row>
    <row r="13" spans="1:27" ht="31.5" x14ac:dyDescent="0.25">
      <c r="A13" s="555" t="s">
        <v>851</v>
      </c>
      <c r="B13" s="639" t="s">
        <v>1212</v>
      </c>
      <c r="C13" s="632">
        <f t="shared" ref="C13:Z13" si="2">C14+C31+C33+C36</f>
        <v>1026.3999999999996</v>
      </c>
      <c r="D13" s="632">
        <f t="shared" si="2"/>
        <v>1026.3999999999996</v>
      </c>
      <c r="E13" s="632">
        <f t="shared" si="2"/>
        <v>0</v>
      </c>
      <c r="F13" s="632">
        <f t="shared" si="2"/>
        <v>18541.36</v>
      </c>
      <c r="G13" s="632">
        <f t="shared" si="2"/>
        <v>14513.36</v>
      </c>
      <c r="H13" s="632">
        <f t="shared" si="2"/>
        <v>4028</v>
      </c>
      <c r="I13" s="632">
        <f t="shared" si="2"/>
        <v>0</v>
      </c>
      <c r="J13" s="632">
        <f t="shared" si="2"/>
        <v>18831.731447000002</v>
      </c>
      <c r="K13" s="632">
        <f t="shared" si="2"/>
        <v>15037.915502</v>
      </c>
      <c r="L13" s="632">
        <f t="shared" si="2"/>
        <v>3793.8159449999998</v>
      </c>
      <c r="M13" s="632">
        <f t="shared" si="2"/>
        <v>0</v>
      </c>
      <c r="N13" s="632">
        <f t="shared" si="2"/>
        <v>0</v>
      </c>
      <c r="O13" s="632">
        <f t="shared" si="2"/>
        <v>0</v>
      </c>
      <c r="P13" s="632"/>
      <c r="Q13" s="671">
        <f t="shared" si="2"/>
        <v>925.01475599999935</v>
      </c>
      <c r="R13" s="632">
        <f t="shared" si="2"/>
        <v>0</v>
      </c>
      <c r="S13" s="632">
        <f t="shared" si="2"/>
        <v>0</v>
      </c>
      <c r="T13" s="632">
        <f t="shared" si="2"/>
        <v>299.44662799999998</v>
      </c>
      <c r="U13" s="632">
        <f t="shared" si="2"/>
        <v>0</v>
      </c>
      <c r="V13" s="632">
        <f t="shared" si="2"/>
        <v>388.64382199999972</v>
      </c>
      <c r="W13" s="632">
        <f t="shared" si="2"/>
        <v>0</v>
      </c>
      <c r="X13" s="632">
        <f t="shared" si="2"/>
        <v>183.37105499999998</v>
      </c>
      <c r="Y13" s="632">
        <f t="shared" si="2"/>
        <v>0</v>
      </c>
      <c r="Z13" s="632">
        <f t="shared" si="2"/>
        <v>183.37105499999998</v>
      </c>
      <c r="AA13" s="633">
        <f>AA11-AA12</f>
        <v>-188.9862030000013</v>
      </c>
    </row>
    <row r="14" spans="1:27" s="545" customFormat="1" x14ac:dyDescent="0.25">
      <c r="A14" s="555" t="s">
        <v>175</v>
      </c>
      <c r="B14" s="639" t="s">
        <v>170</v>
      </c>
      <c r="C14" s="558">
        <f t="shared" ref="C14:Z14" si="3">C15+C21+C23+C25+C27</f>
        <v>1026.3999999999996</v>
      </c>
      <c r="D14" s="558">
        <f t="shared" si="3"/>
        <v>1026.3999999999996</v>
      </c>
      <c r="E14" s="558">
        <f t="shared" si="3"/>
        <v>0</v>
      </c>
      <c r="F14" s="558">
        <f t="shared" si="3"/>
        <v>18231.36</v>
      </c>
      <c r="G14" s="558">
        <f t="shared" si="3"/>
        <v>14513.36</v>
      </c>
      <c r="H14" s="558">
        <f t="shared" si="3"/>
        <v>3718</v>
      </c>
      <c r="I14" s="558">
        <f t="shared" si="3"/>
        <v>0</v>
      </c>
      <c r="J14" s="558">
        <f t="shared" si="3"/>
        <v>18573.544457</v>
      </c>
      <c r="K14" s="558">
        <f t="shared" si="3"/>
        <v>15037.915502</v>
      </c>
      <c r="L14" s="558">
        <f t="shared" si="3"/>
        <v>3535.6289550000001</v>
      </c>
      <c r="M14" s="558">
        <f t="shared" si="3"/>
        <v>0</v>
      </c>
      <c r="N14" s="558">
        <f t="shared" si="3"/>
        <v>0</v>
      </c>
      <c r="O14" s="558">
        <f t="shared" si="3"/>
        <v>0</v>
      </c>
      <c r="P14" s="558"/>
      <c r="Q14" s="537">
        <f t="shared" si="3"/>
        <v>873.20174599999939</v>
      </c>
      <c r="R14" s="558">
        <f t="shared" si="3"/>
        <v>0</v>
      </c>
      <c r="S14" s="558">
        <f t="shared" si="3"/>
        <v>0</v>
      </c>
      <c r="T14" s="558">
        <f t="shared" si="3"/>
        <v>299.44662799999998</v>
      </c>
      <c r="U14" s="558">
        <f t="shared" si="3"/>
        <v>0</v>
      </c>
      <c r="V14" s="558">
        <f t="shared" si="3"/>
        <v>388.64382199999972</v>
      </c>
      <c r="W14" s="558">
        <f t="shared" si="3"/>
        <v>0</v>
      </c>
      <c r="X14" s="558">
        <f t="shared" si="3"/>
        <v>182.37104499999998</v>
      </c>
      <c r="Y14" s="558">
        <f t="shared" si="3"/>
        <v>0</v>
      </c>
      <c r="Z14" s="558">
        <f t="shared" si="3"/>
        <v>182.37104499999998</v>
      </c>
    </row>
    <row r="15" spans="1:27" x14ac:dyDescent="0.25">
      <c r="A15" s="559" t="s">
        <v>882</v>
      </c>
      <c r="B15" s="639" t="s">
        <v>1213</v>
      </c>
      <c r="C15" s="558">
        <f t="shared" ref="C15:I15" si="4">C16+C17</f>
        <v>1026.3999999999996</v>
      </c>
      <c r="D15" s="558">
        <f t="shared" si="4"/>
        <v>1026.3999999999996</v>
      </c>
      <c r="E15" s="558">
        <f t="shared" si="4"/>
        <v>0</v>
      </c>
      <c r="F15" s="558">
        <f t="shared" si="4"/>
        <v>14513.36</v>
      </c>
      <c r="G15" s="558">
        <f t="shared" si="4"/>
        <v>14513.36</v>
      </c>
      <c r="H15" s="558">
        <f t="shared" si="4"/>
        <v>0</v>
      </c>
      <c r="I15" s="558">
        <f t="shared" si="4"/>
        <v>0</v>
      </c>
      <c r="J15" s="558">
        <f>J16+J17+J18+J20</f>
        <v>15037.915502</v>
      </c>
      <c r="K15" s="558">
        <f>K16+K17+K18+K20</f>
        <v>15037.915502</v>
      </c>
      <c r="L15" s="558">
        <f t="shared" ref="L15:Z15" si="5">L16+L17</f>
        <v>0</v>
      </c>
      <c r="M15" s="558">
        <f t="shared" si="5"/>
        <v>0</v>
      </c>
      <c r="N15" s="558"/>
      <c r="O15" s="558">
        <f t="shared" si="5"/>
        <v>0</v>
      </c>
      <c r="P15" s="558"/>
      <c r="Q15" s="537">
        <f t="shared" si="5"/>
        <v>690.83070099999941</v>
      </c>
      <c r="R15" s="558"/>
      <c r="S15" s="558"/>
      <c r="T15" s="558">
        <f t="shared" si="5"/>
        <v>299.44662799999998</v>
      </c>
      <c r="U15" s="558"/>
      <c r="V15" s="558">
        <f t="shared" si="5"/>
        <v>388.64382199999972</v>
      </c>
      <c r="W15" s="558">
        <f t="shared" si="5"/>
        <v>0</v>
      </c>
      <c r="X15" s="630">
        <f t="shared" ref="X15:X73" si="6">Y15+Z15</f>
        <v>0</v>
      </c>
      <c r="Y15" s="558"/>
      <c r="Z15" s="558">
        <f t="shared" si="5"/>
        <v>0</v>
      </c>
    </row>
    <row r="16" spans="1:27" x14ac:dyDescent="0.25">
      <c r="A16" s="559"/>
      <c r="B16" s="639" t="s">
        <v>1589</v>
      </c>
      <c r="C16" s="634">
        <f>D16</f>
        <v>0</v>
      </c>
      <c r="D16" s="634"/>
      <c r="E16" s="634"/>
      <c r="F16" s="558">
        <f t="shared" ref="F16:F60" si="7">G16+H16</f>
        <v>14513.36</v>
      </c>
      <c r="G16" s="558">
        <f>13664+315+534.36</f>
        <v>14513.36</v>
      </c>
      <c r="H16" s="558"/>
      <c r="I16" s="558"/>
      <c r="J16" s="558">
        <f t="shared" ref="J16:J60" si="8">K16+L16</f>
        <v>13825.269550000001</v>
      </c>
      <c r="K16" s="558">
        <v>13825.269550000001</v>
      </c>
      <c r="L16" s="558"/>
      <c r="M16" s="558"/>
      <c r="N16" s="558"/>
      <c r="O16" s="558"/>
      <c r="P16" s="558"/>
      <c r="Q16" s="537">
        <f>F16-J16</f>
        <v>688.09044999999969</v>
      </c>
      <c r="R16" s="558"/>
      <c r="S16" s="558"/>
      <c r="T16" s="700">
        <v>299.44662799999998</v>
      </c>
      <c r="U16" s="558"/>
      <c r="V16" s="558">
        <f>Q16-T16</f>
        <v>388.64382199999972</v>
      </c>
      <c r="W16" s="630"/>
      <c r="X16" s="630">
        <f t="shared" si="6"/>
        <v>0</v>
      </c>
      <c r="Y16" s="630"/>
      <c r="Z16" s="630"/>
    </row>
    <row r="17" spans="1:26" x14ac:dyDescent="0.25">
      <c r="A17" s="559"/>
      <c r="B17" s="639" t="s">
        <v>1214</v>
      </c>
      <c r="C17" s="634">
        <f>D17</f>
        <v>1026.3999999999996</v>
      </c>
      <c r="D17" s="634">
        <v>1026.3999999999996</v>
      </c>
      <c r="E17" s="634"/>
      <c r="F17" s="558">
        <f t="shared" si="7"/>
        <v>0</v>
      </c>
      <c r="G17" s="558"/>
      <c r="H17" s="558"/>
      <c r="I17" s="558"/>
      <c r="J17" s="558">
        <f>K17+L17</f>
        <v>1023.6597489999999</v>
      </c>
      <c r="K17" s="558">
        <f>711.476926+327.282-5.516521-9.582656</f>
        <v>1023.6597489999999</v>
      </c>
      <c r="L17" s="558"/>
      <c r="M17" s="558"/>
      <c r="N17" s="558"/>
      <c r="O17" s="558"/>
      <c r="P17" s="558"/>
      <c r="Q17" s="537">
        <f>C17-J17</f>
        <v>2.7402509999997164</v>
      </c>
      <c r="R17" s="558"/>
      <c r="S17" s="558"/>
      <c r="T17" s="558"/>
      <c r="U17" s="558">
        <f>Q17</f>
        <v>2.7402509999997164</v>
      </c>
      <c r="V17" s="558"/>
      <c r="W17" s="630"/>
      <c r="X17" s="630">
        <f t="shared" si="6"/>
        <v>0</v>
      </c>
      <c r="Y17" s="630"/>
      <c r="Z17" s="630"/>
    </row>
    <row r="18" spans="1:26" x14ac:dyDescent="0.25">
      <c r="A18" s="559"/>
      <c r="B18" s="639" t="s">
        <v>1589</v>
      </c>
      <c r="C18" s="634">
        <f>D18</f>
        <v>0</v>
      </c>
      <c r="D18" s="634"/>
      <c r="E18" s="634"/>
      <c r="F18" s="558"/>
      <c r="G18" s="558">
        <v>108.320176</v>
      </c>
      <c r="H18" s="558"/>
      <c r="I18" s="558"/>
      <c r="J18" s="558">
        <f>K18</f>
        <v>108.320176</v>
      </c>
      <c r="K18" s="558">
        <v>108.320176</v>
      </c>
      <c r="L18" s="558"/>
      <c r="M18" s="558"/>
      <c r="N18" s="558"/>
      <c r="O18" s="558"/>
      <c r="P18" s="558"/>
      <c r="Q18" s="537"/>
      <c r="R18" s="558"/>
      <c r="S18" s="558"/>
      <c r="T18" s="558"/>
      <c r="U18" s="558"/>
      <c r="V18" s="558"/>
      <c r="W18" s="630"/>
      <c r="X18" s="630">
        <f t="shared" si="6"/>
        <v>0</v>
      </c>
      <c r="Y18" s="630"/>
      <c r="Z18" s="630"/>
    </row>
    <row r="19" spans="1:26" s="707" customFormat="1" x14ac:dyDescent="0.25">
      <c r="A19" s="701"/>
      <c r="B19" s="702" t="s">
        <v>1589</v>
      </c>
      <c r="C19" s="703">
        <f>D19+E19</f>
        <v>299.44662799999998</v>
      </c>
      <c r="D19" s="703">
        <v>299.44662799999998</v>
      </c>
      <c r="E19" s="703"/>
      <c r="F19" s="704"/>
      <c r="G19" s="704"/>
      <c r="H19" s="704"/>
      <c r="I19" s="704"/>
      <c r="J19" s="704"/>
      <c r="K19" s="704"/>
      <c r="L19" s="704"/>
      <c r="M19" s="704"/>
      <c r="N19" s="704"/>
      <c r="O19" s="704"/>
      <c r="P19" s="704"/>
      <c r="Q19" s="705"/>
      <c r="R19" s="704"/>
      <c r="S19" s="704"/>
      <c r="T19" s="704"/>
      <c r="U19" s="704"/>
      <c r="V19" s="704"/>
      <c r="W19" s="706"/>
      <c r="X19" s="706"/>
      <c r="Y19" s="706"/>
      <c r="Z19" s="706"/>
    </row>
    <row r="20" spans="1:26" x14ac:dyDescent="0.25">
      <c r="A20" s="559"/>
      <c r="B20" s="639" t="s">
        <v>1597</v>
      </c>
      <c r="C20" s="634"/>
      <c r="D20" s="634"/>
      <c r="E20" s="634"/>
      <c r="F20" s="558"/>
      <c r="G20" s="558"/>
      <c r="H20" s="558"/>
      <c r="I20" s="558"/>
      <c r="J20" s="558">
        <f>K20</f>
        <v>80.666027</v>
      </c>
      <c r="K20" s="558">
        <f>44.17881+33.4948+2.992417</f>
        <v>80.666027</v>
      </c>
      <c r="L20" s="558"/>
      <c r="M20" s="558"/>
      <c r="N20" s="558"/>
      <c r="O20" s="558"/>
      <c r="P20" s="558"/>
      <c r="Q20" s="537"/>
      <c r="R20" s="558"/>
      <c r="S20" s="558"/>
      <c r="T20" s="558"/>
      <c r="U20" s="558"/>
      <c r="V20" s="558"/>
      <c r="W20" s="630"/>
      <c r="X20" s="630">
        <f t="shared" si="6"/>
        <v>0</v>
      </c>
      <c r="Y20" s="630"/>
      <c r="Z20" s="630"/>
    </row>
    <row r="21" spans="1:26" x14ac:dyDescent="0.25">
      <c r="A21" s="559" t="s">
        <v>882</v>
      </c>
      <c r="B21" s="639" t="s">
        <v>804</v>
      </c>
      <c r="C21" s="558">
        <f>C22</f>
        <v>0</v>
      </c>
      <c r="D21" s="558">
        <f t="shared" ref="D21:Z21" si="9">D22</f>
        <v>0</v>
      </c>
      <c r="E21" s="558">
        <f t="shared" si="9"/>
        <v>0</v>
      </c>
      <c r="F21" s="558">
        <f t="shared" si="9"/>
        <v>805</v>
      </c>
      <c r="G21" s="558">
        <f t="shared" si="9"/>
        <v>0</v>
      </c>
      <c r="H21" s="558">
        <f t="shared" si="9"/>
        <v>805</v>
      </c>
      <c r="I21" s="558">
        <f t="shared" si="9"/>
        <v>0</v>
      </c>
      <c r="J21" s="558">
        <f t="shared" si="9"/>
        <v>796.68857500000001</v>
      </c>
      <c r="K21" s="558">
        <f t="shared" si="9"/>
        <v>0</v>
      </c>
      <c r="L21" s="558">
        <f t="shared" si="9"/>
        <v>796.68857500000001</v>
      </c>
      <c r="M21" s="558">
        <f t="shared" si="9"/>
        <v>0</v>
      </c>
      <c r="N21" s="558"/>
      <c r="O21" s="558">
        <f t="shared" si="9"/>
        <v>0</v>
      </c>
      <c r="P21" s="558"/>
      <c r="Q21" s="537">
        <f t="shared" si="9"/>
        <v>8.3114249999999856</v>
      </c>
      <c r="R21" s="558">
        <f t="shared" si="9"/>
        <v>0</v>
      </c>
      <c r="S21" s="558">
        <f t="shared" si="9"/>
        <v>0</v>
      </c>
      <c r="T21" s="558">
        <f t="shared" si="9"/>
        <v>0</v>
      </c>
      <c r="U21" s="558">
        <f t="shared" si="9"/>
        <v>0</v>
      </c>
      <c r="V21" s="558">
        <f t="shared" si="9"/>
        <v>0</v>
      </c>
      <c r="W21" s="558">
        <f t="shared" si="9"/>
        <v>0</v>
      </c>
      <c r="X21" s="630">
        <f t="shared" si="6"/>
        <v>8.3114249999999856</v>
      </c>
      <c r="Y21" s="558">
        <f t="shared" si="9"/>
        <v>0</v>
      </c>
      <c r="Z21" s="558">
        <f t="shared" si="9"/>
        <v>8.3114249999999856</v>
      </c>
    </row>
    <row r="22" spans="1:26" x14ac:dyDescent="0.25">
      <c r="A22" s="559"/>
      <c r="B22" s="639" t="s">
        <v>1589</v>
      </c>
      <c r="C22" s="634">
        <f t="shared" ref="C22:C85" si="10">D22+E22</f>
        <v>0</v>
      </c>
      <c r="D22" s="634"/>
      <c r="E22" s="634"/>
      <c r="F22" s="558">
        <f t="shared" si="7"/>
        <v>805</v>
      </c>
      <c r="G22" s="558"/>
      <c r="H22" s="558">
        <v>805</v>
      </c>
      <c r="I22" s="558"/>
      <c r="J22" s="558">
        <f t="shared" si="8"/>
        <v>796.68857500000001</v>
      </c>
      <c r="K22" s="558"/>
      <c r="L22" s="558">
        <v>796.68857500000001</v>
      </c>
      <c r="M22" s="558"/>
      <c r="N22" s="558"/>
      <c r="O22" s="558"/>
      <c r="P22" s="558"/>
      <c r="Q22" s="537">
        <f>H22-L22</f>
        <v>8.3114249999999856</v>
      </c>
      <c r="R22" s="558"/>
      <c r="S22" s="558"/>
      <c r="T22" s="558"/>
      <c r="U22" s="558"/>
      <c r="V22" s="558"/>
      <c r="W22" s="630"/>
      <c r="X22" s="630">
        <f t="shared" si="6"/>
        <v>8.3114249999999856</v>
      </c>
      <c r="Y22" s="630"/>
      <c r="Z22" s="630">
        <f>Q22</f>
        <v>8.3114249999999856</v>
      </c>
    </row>
    <row r="23" spans="1:26" x14ac:dyDescent="0.25">
      <c r="A23" s="559" t="s">
        <v>882</v>
      </c>
      <c r="B23" s="639" t="s">
        <v>1215</v>
      </c>
      <c r="C23" s="558">
        <f t="shared" ref="C23:Q23" si="11">SUM(C24:C24)</f>
        <v>0</v>
      </c>
      <c r="D23" s="558">
        <f t="shared" si="11"/>
        <v>0</v>
      </c>
      <c r="E23" s="558">
        <f t="shared" si="11"/>
        <v>0</v>
      </c>
      <c r="F23" s="558">
        <f t="shared" si="11"/>
        <v>2913</v>
      </c>
      <c r="G23" s="558">
        <f t="shared" si="11"/>
        <v>0</v>
      </c>
      <c r="H23" s="558">
        <f t="shared" si="11"/>
        <v>2913</v>
      </c>
      <c r="I23" s="558">
        <f t="shared" si="11"/>
        <v>0</v>
      </c>
      <c r="J23" s="558">
        <f t="shared" si="11"/>
        <v>2738.94038</v>
      </c>
      <c r="K23" s="558">
        <f t="shared" si="11"/>
        <v>0</v>
      </c>
      <c r="L23" s="558">
        <f t="shared" si="11"/>
        <v>2738.94038</v>
      </c>
      <c r="M23" s="558">
        <f t="shared" si="11"/>
        <v>0</v>
      </c>
      <c r="N23" s="558"/>
      <c r="O23" s="558">
        <f t="shared" si="11"/>
        <v>0</v>
      </c>
      <c r="P23" s="558"/>
      <c r="Q23" s="537">
        <f t="shared" si="11"/>
        <v>174.05962</v>
      </c>
      <c r="R23" s="558"/>
      <c r="S23" s="558"/>
      <c r="T23" s="558">
        <f>SUM(T24:T24)</f>
        <v>0</v>
      </c>
      <c r="U23" s="558"/>
      <c r="V23" s="558">
        <f>SUM(V24:V24)</f>
        <v>0</v>
      </c>
      <c r="W23" s="558">
        <f>SUM(W24:W24)</f>
        <v>0</v>
      </c>
      <c r="X23" s="630">
        <f t="shared" si="6"/>
        <v>174.05962</v>
      </c>
      <c r="Y23" s="558"/>
      <c r="Z23" s="558">
        <f>SUM(Z24:Z24)</f>
        <v>174.05962</v>
      </c>
    </row>
    <row r="24" spans="1:26" x14ac:dyDescent="0.25">
      <c r="A24" s="559"/>
      <c r="B24" s="639" t="s">
        <v>1589</v>
      </c>
      <c r="C24" s="634">
        <f t="shared" si="10"/>
        <v>0</v>
      </c>
      <c r="D24" s="634"/>
      <c r="E24" s="634"/>
      <c r="F24" s="558">
        <f t="shared" si="7"/>
        <v>2913</v>
      </c>
      <c r="G24" s="558"/>
      <c r="H24" s="558">
        <v>2913</v>
      </c>
      <c r="I24" s="558"/>
      <c r="J24" s="558">
        <f t="shared" si="8"/>
        <v>2738.94038</v>
      </c>
      <c r="K24" s="558"/>
      <c r="L24" s="558">
        <v>2738.94038</v>
      </c>
      <c r="M24" s="558"/>
      <c r="N24" s="558"/>
      <c r="O24" s="558"/>
      <c r="P24" s="558"/>
      <c r="Q24" s="537">
        <f>H24-L24</f>
        <v>174.05962</v>
      </c>
      <c r="R24" s="558"/>
      <c r="S24" s="558"/>
      <c r="T24" s="558"/>
      <c r="U24" s="558"/>
      <c r="V24" s="558"/>
      <c r="W24" s="630"/>
      <c r="X24" s="630">
        <f t="shared" si="6"/>
        <v>174.05962</v>
      </c>
      <c r="Y24" s="630"/>
      <c r="Z24" s="630">
        <f>Q24</f>
        <v>174.05962</v>
      </c>
    </row>
    <row r="25" spans="1:26" x14ac:dyDescent="0.25">
      <c r="A25" s="559" t="s">
        <v>882</v>
      </c>
      <c r="B25" s="639" t="s">
        <v>178</v>
      </c>
      <c r="C25" s="634">
        <f t="shared" si="10"/>
        <v>0</v>
      </c>
      <c r="D25" s="634"/>
      <c r="E25" s="634"/>
      <c r="F25" s="558">
        <f t="shared" si="7"/>
        <v>0</v>
      </c>
      <c r="G25" s="558"/>
      <c r="H25" s="558"/>
      <c r="I25" s="558"/>
      <c r="J25" s="558">
        <f t="shared" si="8"/>
        <v>0</v>
      </c>
      <c r="K25" s="558"/>
      <c r="L25" s="558"/>
      <c r="M25" s="558"/>
      <c r="N25" s="558"/>
      <c r="O25" s="558"/>
      <c r="P25" s="558"/>
      <c r="Q25" s="537">
        <f>H25</f>
        <v>0</v>
      </c>
      <c r="R25" s="558"/>
      <c r="S25" s="558"/>
      <c r="T25" s="558"/>
      <c r="U25" s="558"/>
      <c r="V25" s="558"/>
      <c r="W25" s="630"/>
      <c r="X25" s="630">
        <f t="shared" si="6"/>
        <v>0</v>
      </c>
      <c r="Y25" s="630"/>
      <c r="Z25" s="630"/>
    </row>
    <row r="26" spans="1:26" x14ac:dyDescent="0.25">
      <c r="A26" s="559"/>
      <c r="B26" s="639" t="s">
        <v>1589</v>
      </c>
      <c r="C26" s="634">
        <f t="shared" si="10"/>
        <v>0</v>
      </c>
      <c r="D26" s="634"/>
      <c r="E26" s="634"/>
      <c r="F26" s="558">
        <f t="shared" si="7"/>
        <v>751</v>
      </c>
      <c r="G26" s="558"/>
      <c r="H26" s="558">
        <v>751</v>
      </c>
      <c r="I26" s="558"/>
      <c r="J26" s="558">
        <f t="shared" si="8"/>
        <v>743.86446999999998</v>
      </c>
      <c r="K26" s="558"/>
      <c r="L26" s="558">
        <v>743.86446999999998</v>
      </c>
      <c r="M26" s="558"/>
      <c r="N26" s="558"/>
      <c r="O26" s="558"/>
      <c r="P26" s="558"/>
      <c r="Q26" s="537">
        <f>F26-J26</f>
        <v>7.135530000000017</v>
      </c>
      <c r="R26" s="558"/>
      <c r="S26" s="558"/>
      <c r="T26" s="558"/>
      <c r="U26" s="558"/>
      <c r="V26" s="558"/>
      <c r="W26" s="630"/>
      <c r="X26" s="630">
        <f t="shared" si="6"/>
        <v>7.135530000000017</v>
      </c>
      <c r="Y26" s="630"/>
      <c r="Z26" s="630">
        <f>Q26</f>
        <v>7.135530000000017</v>
      </c>
    </row>
    <row r="27" spans="1:26" x14ac:dyDescent="0.25">
      <c r="A27" s="559" t="s">
        <v>882</v>
      </c>
      <c r="B27" s="639" t="s">
        <v>1544</v>
      </c>
      <c r="C27" s="634">
        <f t="shared" ref="C27:K27" si="12">C28+C29+C30</f>
        <v>0</v>
      </c>
      <c r="D27" s="634">
        <f t="shared" si="12"/>
        <v>0</v>
      </c>
      <c r="E27" s="634">
        <f t="shared" si="12"/>
        <v>0</v>
      </c>
      <c r="F27" s="634">
        <f t="shared" si="12"/>
        <v>0</v>
      </c>
      <c r="G27" s="634">
        <f t="shared" si="12"/>
        <v>0</v>
      </c>
      <c r="H27" s="634">
        <f t="shared" si="12"/>
        <v>0</v>
      </c>
      <c r="I27" s="634">
        <f t="shared" si="12"/>
        <v>0</v>
      </c>
      <c r="J27" s="634">
        <f t="shared" si="12"/>
        <v>0</v>
      </c>
      <c r="K27" s="634">
        <f t="shared" si="12"/>
        <v>0</v>
      </c>
      <c r="L27" s="634">
        <f>L28+L29+L30</f>
        <v>0</v>
      </c>
      <c r="M27" s="634">
        <f t="shared" ref="M27:Z27" si="13">M28+M29+M30</f>
        <v>0</v>
      </c>
      <c r="N27" s="634"/>
      <c r="O27" s="634">
        <f t="shared" si="13"/>
        <v>0</v>
      </c>
      <c r="P27" s="634"/>
      <c r="Q27" s="672">
        <f t="shared" si="13"/>
        <v>0</v>
      </c>
      <c r="R27" s="634"/>
      <c r="S27" s="634"/>
      <c r="T27" s="634">
        <f t="shared" si="13"/>
        <v>0</v>
      </c>
      <c r="U27" s="634"/>
      <c r="V27" s="634">
        <f t="shared" si="13"/>
        <v>0</v>
      </c>
      <c r="W27" s="634">
        <f t="shared" si="13"/>
        <v>0</v>
      </c>
      <c r="X27" s="630">
        <f t="shared" si="6"/>
        <v>0</v>
      </c>
      <c r="Y27" s="634"/>
      <c r="Z27" s="634">
        <f t="shared" si="13"/>
        <v>0</v>
      </c>
    </row>
    <row r="28" spans="1:26" x14ac:dyDescent="0.25">
      <c r="A28" s="559"/>
      <c r="B28" s="639" t="s">
        <v>1216</v>
      </c>
      <c r="C28" s="634">
        <f t="shared" si="10"/>
        <v>0</v>
      </c>
      <c r="D28" s="634"/>
      <c r="E28" s="634"/>
      <c r="F28" s="558">
        <f t="shared" si="7"/>
        <v>0</v>
      </c>
      <c r="G28" s="558"/>
      <c r="H28" s="558"/>
      <c r="I28" s="558"/>
      <c r="J28" s="558">
        <f t="shared" si="8"/>
        <v>0</v>
      </c>
      <c r="K28" s="558"/>
      <c r="L28" s="558"/>
      <c r="M28" s="558"/>
      <c r="N28" s="558"/>
      <c r="O28" s="558">
        <f>E28</f>
        <v>0</v>
      </c>
      <c r="P28" s="558"/>
      <c r="Q28" s="537"/>
      <c r="R28" s="558"/>
      <c r="S28" s="558"/>
      <c r="T28" s="558"/>
      <c r="U28" s="558"/>
      <c r="V28" s="558"/>
      <c r="W28" s="630"/>
      <c r="X28" s="630">
        <f t="shared" si="6"/>
        <v>0</v>
      </c>
      <c r="Y28" s="630"/>
      <c r="Z28" s="630"/>
    </row>
    <row r="29" spans="1:26" x14ac:dyDescent="0.25">
      <c r="A29" s="559"/>
      <c r="B29" s="639" t="s">
        <v>1542</v>
      </c>
      <c r="C29" s="634">
        <f t="shared" si="10"/>
        <v>0</v>
      </c>
      <c r="D29" s="634"/>
      <c r="E29" s="630"/>
      <c r="F29" s="558">
        <f t="shared" si="7"/>
        <v>0</v>
      </c>
      <c r="G29" s="558"/>
      <c r="H29" s="558"/>
      <c r="I29" s="558"/>
      <c r="J29" s="558">
        <f t="shared" si="8"/>
        <v>0</v>
      </c>
      <c r="K29" s="558"/>
      <c r="L29" s="558">
        <f>E29</f>
        <v>0</v>
      </c>
      <c r="M29" s="558"/>
      <c r="N29" s="558"/>
      <c r="O29" s="558"/>
      <c r="P29" s="558"/>
      <c r="Q29" s="537"/>
      <c r="R29" s="558"/>
      <c r="S29" s="558"/>
      <c r="T29" s="558"/>
      <c r="U29" s="558"/>
      <c r="V29" s="558"/>
      <c r="W29" s="630"/>
      <c r="X29" s="630">
        <f t="shared" si="6"/>
        <v>0</v>
      </c>
      <c r="Y29" s="630"/>
      <c r="Z29" s="630"/>
    </row>
    <row r="30" spans="1:26" x14ac:dyDescent="0.25">
      <c r="A30" s="559"/>
      <c r="B30" s="639" t="s">
        <v>1217</v>
      </c>
      <c r="C30" s="634">
        <f t="shared" si="10"/>
        <v>0</v>
      </c>
      <c r="D30" s="634"/>
      <c r="E30" s="630"/>
      <c r="F30" s="558">
        <f t="shared" si="7"/>
        <v>0</v>
      </c>
      <c r="G30" s="558"/>
      <c r="H30" s="558"/>
      <c r="I30" s="558"/>
      <c r="J30" s="558">
        <f t="shared" si="8"/>
        <v>0</v>
      </c>
      <c r="K30" s="558"/>
      <c r="L30" s="558"/>
      <c r="M30" s="558"/>
      <c r="N30" s="558"/>
      <c r="O30" s="558">
        <f>H30-L30</f>
        <v>0</v>
      </c>
      <c r="P30" s="558"/>
      <c r="Q30" s="537"/>
      <c r="R30" s="558"/>
      <c r="S30" s="558"/>
      <c r="T30" s="558"/>
      <c r="U30" s="558"/>
      <c r="V30" s="558"/>
      <c r="W30" s="630"/>
      <c r="X30" s="630">
        <f t="shared" si="6"/>
        <v>0</v>
      </c>
      <c r="Y30" s="630"/>
      <c r="Z30" s="630">
        <f>O30</f>
        <v>0</v>
      </c>
    </row>
    <row r="31" spans="1:26" s="545" customFormat="1" x14ac:dyDescent="0.25">
      <c r="A31" s="555" t="s">
        <v>177</v>
      </c>
      <c r="B31" s="639" t="s">
        <v>1598</v>
      </c>
      <c r="C31" s="565">
        <f>C32</f>
        <v>0</v>
      </c>
      <c r="D31" s="565">
        <f t="shared" ref="D31:Z31" si="14">D32</f>
        <v>0</v>
      </c>
      <c r="E31" s="565">
        <f t="shared" si="14"/>
        <v>0</v>
      </c>
      <c r="F31" s="565">
        <f t="shared" si="14"/>
        <v>210</v>
      </c>
      <c r="G31" s="565">
        <f t="shared" si="14"/>
        <v>0</v>
      </c>
      <c r="H31" s="565">
        <f t="shared" si="14"/>
        <v>210</v>
      </c>
      <c r="I31" s="565">
        <f t="shared" si="14"/>
        <v>0</v>
      </c>
      <c r="J31" s="565">
        <f t="shared" si="14"/>
        <v>208.99999</v>
      </c>
      <c r="K31" s="565">
        <f t="shared" si="14"/>
        <v>0</v>
      </c>
      <c r="L31" s="565">
        <f t="shared" si="14"/>
        <v>208.99999</v>
      </c>
      <c r="M31" s="565">
        <f t="shared" si="14"/>
        <v>0</v>
      </c>
      <c r="N31" s="565"/>
      <c r="O31" s="565">
        <f t="shared" si="14"/>
        <v>0</v>
      </c>
      <c r="P31" s="565"/>
      <c r="Q31" s="561">
        <f t="shared" si="14"/>
        <v>1.0000100000000032</v>
      </c>
      <c r="R31" s="565">
        <f t="shared" si="14"/>
        <v>0</v>
      </c>
      <c r="S31" s="565">
        <f t="shared" si="14"/>
        <v>0</v>
      </c>
      <c r="T31" s="565">
        <f t="shared" si="14"/>
        <v>0</v>
      </c>
      <c r="U31" s="565">
        <f t="shared" si="14"/>
        <v>0</v>
      </c>
      <c r="V31" s="565">
        <f t="shared" si="14"/>
        <v>0</v>
      </c>
      <c r="W31" s="565">
        <f t="shared" si="14"/>
        <v>0</v>
      </c>
      <c r="X31" s="630">
        <f t="shared" si="6"/>
        <v>1.0000100000000032</v>
      </c>
      <c r="Y31" s="565">
        <f t="shared" si="14"/>
        <v>0</v>
      </c>
      <c r="Z31" s="565">
        <f t="shared" si="14"/>
        <v>1.0000100000000032</v>
      </c>
    </row>
    <row r="32" spans="1:26" ht="31.5" x14ac:dyDescent="0.25">
      <c r="A32" s="559"/>
      <c r="B32" s="639" t="s">
        <v>1218</v>
      </c>
      <c r="C32" s="634">
        <f t="shared" si="10"/>
        <v>0</v>
      </c>
      <c r="D32" s="634"/>
      <c r="E32" s="634"/>
      <c r="F32" s="558">
        <f t="shared" si="7"/>
        <v>210</v>
      </c>
      <c r="G32" s="558"/>
      <c r="H32" s="558">
        <v>210</v>
      </c>
      <c r="I32" s="558"/>
      <c r="J32" s="558">
        <f t="shared" si="8"/>
        <v>208.99999</v>
      </c>
      <c r="K32" s="558"/>
      <c r="L32" s="558">
        <v>208.99999</v>
      </c>
      <c r="M32" s="558"/>
      <c r="N32" s="558"/>
      <c r="O32" s="558"/>
      <c r="P32" s="558"/>
      <c r="Q32" s="537">
        <f>F32-J32</f>
        <v>1.0000100000000032</v>
      </c>
      <c r="R32" s="558"/>
      <c r="S32" s="558"/>
      <c r="T32" s="558"/>
      <c r="U32" s="558"/>
      <c r="V32" s="558"/>
      <c r="W32" s="630"/>
      <c r="X32" s="630">
        <f t="shared" si="6"/>
        <v>1.0000100000000032</v>
      </c>
      <c r="Y32" s="630"/>
      <c r="Z32" s="630">
        <f>Q32</f>
        <v>1.0000100000000032</v>
      </c>
    </row>
    <row r="33" spans="1:29" s="683" customFormat="1" x14ac:dyDescent="0.25">
      <c r="A33" s="555" t="s">
        <v>165</v>
      </c>
      <c r="B33" s="639" t="s">
        <v>1219</v>
      </c>
      <c r="C33" s="558">
        <f t="shared" ref="C33:L34" si="15">C34</f>
        <v>0</v>
      </c>
      <c r="D33" s="558">
        <f t="shared" si="15"/>
        <v>0</v>
      </c>
      <c r="E33" s="558">
        <f t="shared" si="15"/>
        <v>0</v>
      </c>
      <c r="F33" s="558">
        <f t="shared" si="15"/>
        <v>40</v>
      </c>
      <c r="G33" s="558">
        <f t="shared" si="15"/>
        <v>0</v>
      </c>
      <c r="H33" s="558">
        <f t="shared" si="15"/>
        <v>40</v>
      </c>
      <c r="I33" s="558">
        <f t="shared" si="15"/>
        <v>0</v>
      </c>
      <c r="J33" s="558">
        <f t="shared" si="15"/>
        <v>0</v>
      </c>
      <c r="K33" s="558">
        <f t="shared" si="15"/>
        <v>0</v>
      </c>
      <c r="L33" s="558">
        <f>L34</f>
        <v>0</v>
      </c>
      <c r="M33" s="558">
        <f t="shared" ref="M33:Z34" si="16">M34</f>
        <v>0</v>
      </c>
      <c r="N33" s="558"/>
      <c r="O33" s="558">
        <f t="shared" si="16"/>
        <v>0</v>
      </c>
      <c r="P33" s="558"/>
      <c r="Q33" s="537">
        <f t="shared" si="16"/>
        <v>40</v>
      </c>
      <c r="R33" s="558"/>
      <c r="S33" s="558"/>
      <c r="T33" s="558">
        <f t="shared" si="16"/>
        <v>0</v>
      </c>
      <c r="U33" s="558"/>
      <c r="V33" s="558">
        <f t="shared" si="16"/>
        <v>0</v>
      </c>
      <c r="W33" s="558">
        <f t="shared" si="16"/>
        <v>0</v>
      </c>
      <c r="X33" s="630">
        <f t="shared" si="6"/>
        <v>0</v>
      </c>
      <c r="Y33" s="558"/>
      <c r="Z33" s="558">
        <f t="shared" si="16"/>
        <v>0</v>
      </c>
    </row>
    <row r="34" spans="1:29" s="683" customFormat="1" ht="31.5" x14ac:dyDescent="0.25">
      <c r="A34" s="559" t="s">
        <v>882</v>
      </c>
      <c r="B34" s="639" t="s">
        <v>1599</v>
      </c>
      <c r="C34" s="634">
        <f>C35</f>
        <v>0</v>
      </c>
      <c r="D34" s="634">
        <f t="shared" si="15"/>
        <v>0</v>
      </c>
      <c r="E34" s="634">
        <f t="shared" si="15"/>
        <v>0</v>
      </c>
      <c r="F34" s="634">
        <f t="shared" si="15"/>
        <v>40</v>
      </c>
      <c r="G34" s="634">
        <f t="shared" si="15"/>
        <v>0</v>
      </c>
      <c r="H34" s="634">
        <f t="shared" si="15"/>
        <v>40</v>
      </c>
      <c r="I34" s="634">
        <f t="shared" si="15"/>
        <v>0</v>
      </c>
      <c r="J34" s="634">
        <f t="shared" si="15"/>
        <v>0</v>
      </c>
      <c r="K34" s="634">
        <f t="shared" si="15"/>
        <v>0</v>
      </c>
      <c r="L34" s="634">
        <f t="shared" si="15"/>
        <v>0</v>
      </c>
      <c r="M34" s="634">
        <f t="shared" si="16"/>
        <v>0</v>
      </c>
      <c r="N34" s="634"/>
      <c r="O34" s="634">
        <f t="shared" si="16"/>
        <v>0</v>
      </c>
      <c r="P34" s="634"/>
      <c r="Q34" s="672">
        <f t="shared" si="16"/>
        <v>40</v>
      </c>
      <c r="R34" s="634">
        <f t="shared" si="16"/>
        <v>0</v>
      </c>
      <c r="S34" s="634">
        <f t="shared" si="16"/>
        <v>0</v>
      </c>
      <c r="T34" s="634">
        <f t="shared" si="16"/>
        <v>0</v>
      </c>
      <c r="U34" s="634">
        <f t="shared" si="16"/>
        <v>0</v>
      </c>
      <c r="V34" s="634">
        <f t="shared" si="16"/>
        <v>0</v>
      </c>
      <c r="W34" s="634">
        <f t="shared" si="16"/>
        <v>0</v>
      </c>
      <c r="X34" s="630">
        <f t="shared" si="6"/>
        <v>40</v>
      </c>
      <c r="Y34" s="634">
        <f t="shared" si="16"/>
        <v>40</v>
      </c>
      <c r="Z34" s="634">
        <f t="shared" si="16"/>
        <v>0</v>
      </c>
    </row>
    <row r="35" spans="1:29" s="683" customFormat="1" x14ac:dyDescent="0.25">
      <c r="A35" s="559"/>
      <c r="B35" s="639" t="s">
        <v>1589</v>
      </c>
      <c r="C35" s="634">
        <f t="shared" si="10"/>
        <v>0</v>
      </c>
      <c r="D35" s="634"/>
      <c r="E35" s="634"/>
      <c r="F35" s="558">
        <f t="shared" si="7"/>
        <v>40</v>
      </c>
      <c r="G35" s="558"/>
      <c r="H35" s="558">
        <v>40</v>
      </c>
      <c r="I35" s="558"/>
      <c r="J35" s="558">
        <f t="shared" si="8"/>
        <v>0</v>
      </c>
      <c r="K35" s="558"/>
      <c r="L35" s="558"/>
      <c r="M35" s="558"/>
      <c r="N35" s="558"/>
      <c r="O35" s="558"/>
      <c r="P35" s="558"/>
      <c r="Q35" s="537">
        <f>C35+F35-J35</f>
        <v>40</v>
      </c>
      <c r="R35" s="558"/>
      <c r="S35" s="558"/>
      <c r="T35" s="558"/>
      <c r="U35" s="558"/>
      <c r="V35" s="558"/>
      <c r="W35" s="630"/>
      <c r="X35" s="630">
        <f t="shared" si="6"/>
        <v>40</v>
      </c>
      <c r="Y35" s="630">
        <f>Q35</f>
        <v>40</v>
      </c>
      <c r="Z35" s="630"/>
    </row>
    <row r="36" spans="1:29" s="685" customFormat="1" x14ac:dyDescent="0.25">
      <c r="A36" s="555" t="s">
        <v>166</v>
      </c>
      <c r="B36" s="639" t="s">
        <v>1220</v>
      </c>
      <c r="C36" s="565">
        <f t="shared" ref="C36:R37" si="17">C37</f>
        <v>0</v>
      </c>
      <c r="D36" s="565">
        <f t="shared" si="17"/>
        <v>0</v>
      </c>
      <c r="E36" s="565">
        <f t="shared" si="17"/>
        <v>0</v>
      </c>
      <c r="F36" s="565">
        <f t="shared" si="17"/>
        <v>60</v>
      </c>
      <c r="G36" s="565">
        <f t="shared" si="17"/>
        <v>0</v>
      </c>
      <c r="H36" s="565">
        <f t="shared" si="17"/>
        <v>60</v>
      </c>
      <c r="I36" s="565">
        <f t="shared" si="17"/>
        <v>0</v>
      </c>
      <c r="J36" s="565">
        <f t="shared" si="17"/>
        <v>49.186999999999998</v>
      </c>
      <c r="K36" s="565">
        <f t="shared" si="17"/>
        <v>0</v>
      </c>
      <c r="L36" s="565">
        <f t="shared" si="17"/>
        <v>49.186999999999998</v>
      </c>
      <c r="M36" s="565">
        <f t="shared" si="17"/>
        <v>0</v>
      </c>
      <c r="N36" s="565"/>
      <c r="O36" s="565">
        <f t="shared" si="17"/>
        <v>0</v>
      </c>
      <c r="P36" s="565"/>
      <c r="Q36" s="561">
        <f t="shared" si="17"/>
        <v>10.813000000000002</v>
      </c>
      <c r="R36" s="565"/>
      <c r="S36" s="565"/>
      <c r="T36" s="565">
        <f t="shared" ref="T36:Z36" si="18">T37</f>
        <v>0</v>
      </c>
      <c r="U36" s="565"/>
      <c r="V36" s="565">
        <f t="shared" si="18"/>
        <v>0</v>
      </c>
      <c r="W36" s="565">
        <f t="shared" si="18"/>
        <v>0</v>
      </c>
      <c r="X36" s="630">
        <f t="shared" si="6"/>
        <v>0</v>
      </c>
      <c r="Y36" s="565"/>
      <c r="Z36" s="565">
        <f t="shared" si="18"/>
        <v>0</v>
      </c>
    </row>
    <row r="37" spans="1:29" s="683" customFormat="1" ht="31.5" x14ac:dyDescent="0.25">
      <c r="A37" s="559" t="s">
        <v>882</v>
      </c>
      <c r="B37" s="639" t="s">
        <v>1221</v>
      </c>
      <c r="C37" s="634">
        <f>C38</f>
        <v>0</v>
      </c>
      <c r="D37" s="634">
        <f t="shared" si="17"/>
        <v>0</v>
      </c>
      <c r="E37" s="634">
        <f t="shared" si="17"/>
        <v>0</v>
      </c>
      <c r="F37" s="634">
        <f t="shared" si="17"/>
        <v>60</v>
      </c>
      <c r="G37" s="634">
        <f t="shared" si="17"/>
        <v>0</v>
      </c>
      <c r="H37" s="634">
        <f t="shared" si="17"/>
        <v>60</v>
      </c>
      <c r="I37" s="634">
        <f t="shared" si="17"/>
        <v>0</v>
      </c>
      <c r="J37" s="634">
        <f t="shared" si="17"/>
        <v>49.186999999999998</v>
      </c>
      <c r="K37" s="634">
        <f t="shared" si="17"/>
        <v>0</v>
      </c>
      <c r="L37" s="634">
        <f t="shared" si="17"/>
        <v>49.186999999999998</v>
      </c>
      <c r="M37" s="634">
        <f t="shared" si="17"/>
        <v>0</v>
      </c>
      <c r="N37" s="634"/>
      <c r="O37" s="634">
        <f t="shared" si="17"/>
        <v>0</v>
      </c>
      <c r="P37" s="634"/>
      <c r="Q37" s="672">
        <f t="shared" si="17"/>
        <v>10.813000000000002</v>
      </c>
      <c r="R37" s="634">
        <f t="shared" si="17"/>
        <v>0</v>
      </c>
      <c r="S37" s="634">
        <f t="shared" ref="S37:Z37" si="19">S38</f>
        <v>0</v>
      </c>
      <c r="T37" s="634">
        <f t="shared" si="19"/>
        <v>0</v>
      </c>
      <c r="U37" s="634">
        <f t="shared" si="19"/>
        <v>0</v>
      </c>
      <c r="V37" s="634">
        <f t="shared" si="19"/>
        <v>0</v>
      </c>
      <c r="W37" s="634">
        <f t="shared" si="19"/>
        <v>0</v>
      </c>
      <c r="X37" s="630">
        <f t="shared" si="6"/>
        <v>10.813000000000002</v>
      </c>
      <c r="Y37" s="634">
        <f t="shared" si="19"/>
        <v>10.813000000000002</v>
      </c>
      <c r="Z37" s="634">
        <f t="shared" si="19"/>
        <v>0</v>
      </c>
    </row>
    <row r="38" spans="1:29" s="683" customFormat="1" x14ac:dyDescent="0.25">
      <c r="A38" s="559"/>
      <c r="B38" s="639" t="s">
        <v>1589</v>
      </c>
      <c r="C38" s="634">
        <f t="shared" si="10"/>
        <v>0</v>
      </c>
      <c r="D38" s="634"/>
      <c r="E38" s="634"/>
      <c r="F38" s="558">
        <f t="shared" si="7"/>
        <v>60</v>
      </c>
      <c r="G38" s="558"/>
      <c r="H38" s="558">
        <v>60</v>
      </c>
      <c r="I38" s="558"/>
      <c r="J38" s="558">
        <f t="shared" si="8"/>
        <v>49.186999999999998</v>
      </c>
      <c r="K38" s="558"/>
      <c r="L38" s="558">
        <v>49.186999999999998</v>
      </c>
      <c r="M38" s="558"/>
      <c r="N38" s="558"/>
      <c r="O38" s="558"/>
      <c r="P38" s="558"/>
      <c r="Q38" s="537">
        <f>H38-L38+C38</f>
        <v>10.813000000000002</v>
      </c>
      <c r="R38" s="558"/>
      <c r="S38" s="558"/>
      <c r="T38" s="558"/>
      <c r="U38" s="558"/>
      <c r="V38" s="558"/>
      <c r="W38" s="630"/>
      <c r="X38" s="630">
        <f t="shared" si="6"/>
        <v>10.813000000000002</v>
      </c>
      <c r="Y38" s="630">
        <f>Q38</f>
        <v>10.813000000000002</v>
      </c>
      <c r="Z38" s="630"/>
    </row>
    <row r="39" spans="1:29" s="545" customFormat="1" ht="31.5" x14ac:dyDescent="0.25">
      <c r="A39" s="555" t="s">
        <v>897</v>
      </c>
      <c r="B39" s="639" t="s">
        <v>1222</v>
      </c>
      <c r="C39" s="634">
        <f t="shared" ref="C39:Z39" si="20">C40+C44+C46+C50+C51+C52+C53+C54+C56+C57</f>
        <v>3500.34</v>
      </c>
      <c r="D39" s="634">
        <f t="shared" si="20"/>
        <v>3500.34</v>
      </c>
      <c r="E39" s="634">
        <f t="shared" si="20"/>
        <v>0</v>
      </c>
      <c r="F39" s="634">
        <f t="shared" si="20"/>
        <v>20859</v>
      </c>
      <c r="G39" s="634">
        <f t="shared" si="20"/>
        <v>16697</v>
      </c>
      <c r="H39" s="634">
        <f t="shared" si="20"/>
        <v>4162</v>
      </c>
      <c r="I39" s="634" t="e">
        <f t="shared" si="20"/>
        <v>#REF!</v>
      </c>
      <c r="J39" s="634">
        <f t="shared" si="20"/>
        <v>22499.812855</v>
      </c>
      <c r="K39" s="634">
        <f t="shared" si="20"/>
        <v>18451.15425</v>
      </c>
      <c r="L39" s="634">
        <f t="shared" si="20"/>
        <v>4048.6586049999996</v>
      </c>
      <c r="M39" s="634">
        <f t="shared" si="20"/>
        <v>0</v>
      </c>
      <c r="N39" s="634">
        <f t="shared" si="20"/>
        <v>0</v>
      </c>
      <c r="O39" s="634">
        <f t="shared" si="20"/>
        <v>0</v>
      </c>
      <c r="P39" s="634"/>
      <c r="Q39" s="672">
        <f t="shared" si="20"/>
        <v>1859.5271449999996</v>
      </c>
      <c r="R39" s="634">
        <f t="shared" si="20"/>
        <v>859.03990499999998</v>
      </c>
      <c r="S39" s="634">
        <f t="shared" si="20"/>
        <v>0</v>
      </c>
      <c r="T39" s="634">
        <f t="shared" si="20"/>
        <v>859.03990499999998</v>
      </c>
      <c r="U39" s="634">
        <f t="shared" si="20"/>
        <v>9.5091490000000363</v>
      </c>
      <c r="V39" s="634">
        <f t="shared" si="20"/>
        <v>877.63669599999912</v>
      </c>
      <c r="W39" s="634">
        <f t="shared" si="20"/>
        <v>0</v>
      </c>
      <c r="X39" s="634">
        <f t="shared" si="20"/>
        <v>113.34139500000002</v>
      </c>
      <c r="Y39" s="634">
        <f t="shared" si="20"/>
        <v>0.8813500000000003</v>
      </c>
      <c r="Z39" s="634">
        <f t="shared" si="20"/>
        <v>112.46004500000002</v>
      </c>
    </row>
    <row r="40" spans="1:29" x14ac:dyDescent="0.25">
      <c r="A40" s="559" t="s">
        <v>882</v>
      </c>
      <c r="B40" s="639" t="s">
        <v>1213</v>
      </c>
      <c r="C40" s="558">
        <f>C41+C42</f>
        <v>3500.34</v>
      </c>
      <c r="D40" s="558">
        <f t="shared" ref="D40:I40" si="21">D41+D42+D43</f>
        <v>3500.34</v>
      </c>
      <c r="E40" s="558">
        <f t="shared" si="21"/>
        <v>0</v>
      </c>
      <c r="F40" s="558">
        <f t="shared" si="21"/>
        <v>16697</v>
      </c>
      <c r="G40" s="558">
        <f t="shared" si="21"/>
        <v>16697</v>
      </c>
      <c r="H40" s="558">
        <f t="shared" si="21"/>
        <v>0</v>
      </c>
      <c r="I40" s="558">
        <f t="shared" si="21"/>
        <v>0</v>
      </c>
      <c r="J40" s="558">
        <f>J41+J42+J43</f>
        <v>18451.15425</v>
      </c>
      <c r="K40" s="558">
        <f t="shared" ref="K40:Z40" si="22">K41+K42+K43</f>
        <v>18451.15425</v>
      </c>
      <c r="L40" s="558">
        <f t="shared" si="22"/>
        <v>0</v>
      </c>
      <c r="M40" s="558">
        <f t="shared" si="22"/>
        <v>0</v>
      </c>
      <c r="N40" s="558"/>
      <c r="O40" s="558">
        <f t="shared" si="22"/>
        <v>0</v>
      </c>
      <c r="P40" s="558"/>
      <c r="Q40" s="537">
        <f t="shared" si="22"/>
        <v>1746.1857499999992</v>
      </c>
      <c r="R40" s="558">
        <f t="shared" si="22"/>
        <v>859.03990499999998</v>
      </c>
      <c r="S40" s="558">
        <f t="shared" si="22"/>
        <v>0</v>
      </c>
      <c r="T40" s="558">
        <f t="shared" si="22"/>
        <v>859.03990499999998</v>
      </c>
      <c r="U40" s="558">
        <f t="shared" si="22"/>
        <v>9.5091490000000363</v>
      </c>
      <c r="V40" s="558">
        <f t="shared" si="22"/>
        <v>877.63669599999912</v>
      </c>
      <c r="W40" s="558">
        <f t="shared" si="22"/>
        <v>0</v>
      </c>
      <c r="X40" s="630">
        <f t="shared" si="6"/>
        <v>0</v>
      </c>
      <c r="Y40" s="558"/>
      <c r="Z40" s="558">
        <f t="shared" si="22"/>
        <v>0</v>
      </c>
    </row>
    <row r="41" spans="1:29" x14ac:dyDescent="0.25">
      <c r="A41" s="559"/>
      <c r="B41" s="639" t="s">
        <v>1542</v>
      </c>
      <c r="C41" s="634">
        <f t="shared" si="10"/>
        <v>0</v>
      </c>
      <c r="D41" s="630"/>
      <c r="E41" s="634"/>
      <c r="F41" s="558">
        <f t="shared" si="7"/>
        <v>0</v>
      </c>
      <c r="G41" s="558"/>
      <c r="H41" s="558"/>
      <c r="I41" s="558"/>
      <c r="J41" s="558">
        <f t="shared" si="8"/>
        <v>0</v>
      </c>
      <c r="K41" s="558"/>
      <c r="L41" s="558"/>
      <c r="M41" s="558"/>
      <c r="N41" s="558"/>
      <c r="O41" s="558"/>
      <c r="P41" s="558"/>
      <c r="Q41" s="537">
        <f>D41-K41</f>
        <v>0</v>
      </c>
      <c r="R41" s="558"/>
      <c r="S41" s="558"/>
      <c r="T41" s="558"/>
      <c r="U41" s="558"/>
      <c r="V41" s="558">
        <f>Q41</f>
        <v>0</v>
      </c>
      <c r="W41" s="630"/>
      <c r="X41" s="630">
        <f t="shared" si="6"/>
        <v>0</v>
      </c>
      <c r="Y41" s="630"/>
      <c r="Z41" s="630"/>
    </row>
    <row r="42" spans="1:29" x14ac:dyDescent="0.25">
      <c r="A42" s="559"/>
      <c r="B42" s="639" t="s">
        <v>1214</v>
      </c>
      <c r="C42" s="634">
        <f t="shared" si="10"/>
        <v>3500.34</v>
      </c>
      <c r="D42" s="634">
        <v>3500.34</v>
      </c>
      <c r="E42" s="634"/>
      <c r="F42" s="558">
        <f>G42+H42</f>
        <v>0</v>
      </c>
      <c r="G42" s="558"/>
      <c r="H42" s="558"/>
      <c r="I42" s="558"/>
      <c r="J42" s="558">
        <f t="shared" si="8"/>
        <v>3168.2426620000001</v>
      </c>
      <c r="K42" s="558">
        <f>3168.242662</f>
        <v>3168.2426620000001</v>
      </c>
      <c r="L42" s="558"/>
      <c r="M42" s="558"/>
      <c r="N42" s="558"/>
      <c r="O42" s="558"/>
      <c r="P42" s="558"/>
      <c r="Q42" s="537">
        <f>G42+C42-K42</f>
        <v>332.09733800000004</v>
      </c>
      <c r="R42" s="558"/>
      <c r="S42" s="558"/>
      <c r="T42" s="558"/>
      <c r="U42" s="558">
        <f>Q42-V42</f>
        <v>9.5091490000000363</v>
      </c>
      <c r="V42" s="558">
        <v>322.588189</v>
      </c>
      <c r="W42" s="630"/>
      <c r="X42" s="630">
        <f t="shared" si="6"/>
        <v>0</v>
      </c>
      <c r="Y42" s="630"/>
      <c r="Z42" s="630"/>
      <c r="AA42" s="626">
        <v>3168244475</v>
      </c>
      <c r="AB42" s="591">
        <v>3168242662</v>
      </c>
      <c r="AC42" s="677">
        <f>AA42-AB42</f>
        <v>1813</v>
      </c>
    </row>
    <row r="43" spans="1:29" x14ac:dyDescent="0.25">
      <c r="A43" s="559"/>
      <c r="B43" s="639" t="s">
        <v>1589</v>
      </c>
      <c r="C43" s="634">
        <f>D43+E43</f>
        <v>0</v>
      </c>
      <c r="D43" s="634"/>
      <c r="E43" s="634"/>
      <c r="F43" s="558">
        <f>G43+H43</f>
        <v>16697</v>
      </c>
      <c r="G43" s="558">
        <v>16697</v>
      </c>
      <c r="H43" s="558"/>
      <c r="I43" s="558"/>
      <c r="J43" s="558">
        <f t="shared" si="8"/>
        <v>15282.911588000001</v>
      </c>
      <c r="K43" s="558">
        <v>15282.911588000001</v>
      </c>
      <c r="L43" s="558"/>
      <c r="M43" s="558"/>
      <c r="N43" s="558"/>
      <c r="O43" s="558"/>
      <c r="P43" s="558"/>
      <c r="Q43" s="537">
        <f>G43+C43-K43</f>
        <v>1414.0884119999992</v>
      </c>
      <c r="R43" s="558">
        <f>S43+T43</f>
        <v>859.03990499999998</v>
      </c>
      <c r="S43" s="558"/>
      <c r="T43" s="557">
        <f>789.039905+70</f>
        <v>859.03990499999998</v>
      </c>
      <c r="U43" s="558"/>
      <c r="V43" s="558">
        <f>Q43-R43</f>
        <v>555.04850699999918</v>
      </c>
      <c r="W43" s="630"/>
      <c r="X43" s="630">
        <f t="shared" si="6"/>
        <v>0</v>
      </c>
      <c r="Y43" s="630"/>
      <c r="Z43" s="630"/>
    </row>
    <row r="44" spans="1:29" s="683" customFormat="1" ht="31.5" x14ac:dyDescent="0.25">
      <c r="A44" s="559" t="s">
        <v>882</v>
      </c>
      <c r="B44" s="639" t="s">
        <v>1606</v>
      </c>
      <c r="C44" s="558">
        <f>C45</f>
        <v>0</v>
      </c>
      <c r="D44" s="558">
        <f t="shared" ref="D44:Z44" si="23">D45</f>
        <v>0</v>
      </c>
      <c r="E44" s="558">
        <f t="shared" si="23"/>
        <v>0</v>
      </c>
      <c r="F44" s="558">
        <f t="shared" si="23"/>
        <v>7</v>
      </c>
      <c r="G44" s="558">
        <f t="shared" si="23"/>
        <v>0</v>
      </c>
      <c r="H44" s="558">
        <f t="shared" si="23"/>
        <v>7</v>
      </c>
      <c r="I44" s="558">
        <f t="shared" si="23"/>
        <v>0</v>
      </c>
      <c r="J44" s="558">
        <f t="shared" si="23"/>
        <v>6.1186499999999997</v>
      </c>
      <c r="K44" s="558">
        <f t="shared" si="23"/>
        <v>0</v>
      </c>
      <c r="L44" s="558">
        <f t="shared" si="23"/>
        <v>6.1186499999999997</v>
      </c>
      <c r="M44" s="558">
        <f t="shared" si="23"/>
        <v>0</v>
      </c>
      <c r="N44" s="558"/>
      <c r="O44" s="558">
        <f t="shared" si="23"/>
        <v>0</v>
      </c>
      <c r="P44" s="558"/>
      <c r="Q44" s="537">
        <f t="shared" si="23"/>
        <v>0.8813500000000003</v>
      </c>
      <c r="R44" s="558">
        <f t="shared" si="23"/>
        <v>0</v>
      </c>
      <c r="S44" s="558">
        <f t="shared" si="23"/>
        <v>0</v>
      </c>
      <c r="T44" s="558">
        <f t="shared" si="23"/>
        <v>0</v>
      </c>
      <c r="U44" s="558">
        <f t="shared" si="23"/>
        <v>0</v>
      </c>
      <c r="V44" s="558">
        <f t="shared" si="23"/>
        <v>0</v>
      </c>
      <c r="W44" s="558">
        <f t="shared" si="23"/>
        <v>0</v>
      </c>
      <c r="X44" s="630">
        <f t="shared" si="6"/>
        <v>0.8813500000000003</v>
      </c>
      <c r="Y44" s="558">
        <f t="shared" si="23"/>
        <v>0.8813500000000003</v>
      </c>
      <c r="Z44" s="558">
        <f t="shared" si="23"/>
        <v>0</v>
      </c>
    </row>
    <row r="45" spans="1:29" s="683" customFormat="1" x14ac:dyDescent="0.25">
      <c r="A45" s="559"/>
      <c r="B45" s="639" t="s">
        <v>1589</v>
      </c>
      <c r="C45" s="634">
        <f t="shared" si="10"/>
        <v>0</v>
      </c>
      <c r="D45" s="634"/>
      <c r="E45" s="630"/>
      <c r="F45" s="558">
        <f t="shared" si="7"/>
        <v>7</v>
      </c>
      <c r="G45" s="558"/>
      <c r="H45" s="558">
        <v>7</v>
      </c>
      <c r="I45" s="558"/>
      <c r="J45" s="558">
        <f t="shared" si="8"/>
        <v>6.1186499999999997</v>
      </c>
      <c r="K45" s="558"/>
      <c r="L45" s="558">
        <v>6.1186499999999997</v>
      </c>
      <c r="M45" s="558"/>
      <c r="N45" s="558"/>
      <c r="O45" s="558"/>
      <c r="P45" s="558"/>
      <c r="Q45" s="537">
        <f>F45-L45</f>
        <v>0.8813500000000003</v>
      </c>
      <c r="R45" s="558"/>
      <c r="S45" s="558"/>
      <c r="T45" s="558"/>
      <c r="U45" s="558"/>
      <c r="V45" s="558"/>
      <c r="W45" s="630"/>
      <c r="X45" s="630">
        <f t="shared" si="6"/>
        <v>0.8813500000000003</v>
      </c>
      <c r="Y45" s="630">
        <f>F45-J45</f>
        <v>0.8813500000000003</v>
      </c>
      <c r="Z45" s="630"/>
    </row>
    <row r="46" spans="1:29" x14ac:dyDescent="0.25">
      <c r="A46" s="559" t="s">
        <v>882</v>
      </c>
      <c r="B46" s="639" t="s">
        <v>1543</v>
      </c>
      <c r="C46" s="558">
        <f t="shared" ref="C46:M46" si="24">C47+C48+C49</f>
        <v>0</v>
      </c>
      <c r="D46" s="558">
        <f t="shared" si="24"/>
        <v>0</v>
      </c>
      <c r="E46" s="558">
        <f t="shared" si="24"/>
        <v>0</v>
      </c>
      <c r="F46" s="558">
        <f t="shared" si="24"/>
        <v>2400</v>
      </c>
      <c r="G46" s="558">
        <f t="shared" si="24"/>
        <v>0</v>
      </c>
      <c r="H46" s="558">
        <f t="shared" si="24"/>
        <v>2400</v>
      </c>
      <c r="I46" s="558">
        <f t="shared" si="24"/>
        <v>0</v>
      </c>
      <c r="J46" s="558">
        <f t="shared" si="24"/>
        <v>2364.251722</v>
      </c>
      <c r="K46" s="558">
        <f t="shared" si="24"/>
        <v>0</v>
      </c>
      <c r="L46" s="558">
        <f t="shared" si="24"/>
        <v>2364.251722</v>
      </c>
      <c r="M46" s="558">
        <f t="shared" si="24"/>
        <v>0</v>
      </c>
      <c r="N46" s="558"/>
      <c r="O46" s="558">
        <f>O47+O48+O49</f>
        <v>0</v>
      </c>
      <c r="P46" s="558"/>
      <c r="Q46" s="537">
        <f>Q47+Q48+Q49</f>
        <v>35.748278000000028</v>
      </c>
      <c r="R46" s="558"/>
      <c r="S46" s="558"/>
      <c r="T46" s="558">
        <f>T47+T48+T49</f>
        <v>0</v>
      </c>
      <c r="U46" s="558"/>
      <c r="V46" s="558">
        <f>V47+V48+V49</f>
        <v>0</v>
      </c>
      <c r="W46" s="558">
        <f>W47+W48+W49</f>
        <v>0</v>
      </c>
      <c r="X46" s="630">
        <f t="shared" si="6"/>
        <v>35.748278000000028</v>
      </c>
      <c r="Y46" s="558"/>
      <c r="Z46" s="558">
        <f>Z47+Z48+Z49</f>
        <v>35.748278000000028</v>
      </c>
    </row>
    <row r="47" spans="1:29" x14ac:dyDescent="0.25">
      <c r="A47" s="559"/>
      <c r="B47" s="639" t="s">
        <v>1540</v>
      </c>
      <c r="C47" s="634">
        <f t="shared" si="10"/>
        <v>0</v>
      </c>
      <c r="D47" s="634"/>
      <c r="E47" s="630"/>
      <c r="F47" s="558">
        <f t="shared" si="7"/>
        <v>0</v>
      </c>
      <c r="G47" s="558"/>
      <c r="H47" s="558"/>
      <c r="I47" s="558"/>
      <c r="J47" s="558">
        <f t="shared" si="8"/>
        <v>0</v>
      </c>
      <c r="K47" s="558"/>
      <c r="L47" s="558"/>
      <c r="M47" s="558"/>
      <c r="N47" s="558"/>
      <c r="O47" s="558"/>
      <c r="P47" s="558"/>
      <c r="Q47" s="537">
        <f>E47</f>
        <v>0</v>
      </c>
      <c r="R47" s="558"/>
      <c r="S47" s="558"/>
      <c r="T47" s="558"/>
      <c r="U47" s="558"/>
      <c r="V47" s="558"/>
      <c r="W47" s="630"/>
      <c r="X47" s="630">
        <f t="shared" si="6"/>
        <v>0</v>
      </c>
      <c r="Y47" s="630"/>
      <c r="Z47" s="630">
        <f t="shared" ref="Z47:Z52" si="25">Q47</f>
        <v>0</v>
      </c>
    </row>
    <row r="48" spans="1:29" x14ac:dyDescent="0.25">
      <c r="A48" s="559"/>
      <c r="B48" s="639" t="s">
        <v>1542</v>
      </c>
      <c r="C48" s="634">
        <f t="shared" si="10"/>
        <v>0</v>
      </c>
      <c r="D48" s="634"/>
      <c r="E48" s="630"/>
      <c r="F48" s="558">
        <f t="shared" si="7"/>
        <v>0</v>
      </c>
      <c r="G48" s="558"/>
      <c r="H48" s="558"/>
      <c r="I48" s="558"/>
      <c r="J48" s="558">
        <f t="shared" si="8"/>
        <v>0</v>
      </c>
      <c r="K48" s="558"/>
      <c r="L48" s="558"/>
      <c r="M48" s="558"/>
      <c r="N48" s="558"/>
      <c r="O48" s="558"/>
      <c r="P48" s="558"/>
      <c r="Q48" s="537">
        <f>E48</f>
        <v>0</v>
      </c>
      <c r="R48" s="558"/>
      <c r="S48" s="558"/>
      <c r="T48" s="558"/>
      <c r="U48" s="558"/>
      <c r="V48" s="558"/>
      <c r="W48" s="630"/>
      <c r="X48" s="630">
        <f t="shared" si="6"/>
        <v>0</v>
      </c>
      <c r="Y48" s="630"/>
      <c r="Z48" s="630">
        <f t="shared" si="25"/>
        <v>0</v>
      </c>
    </row>
    <row r="49" spans="1:29" x14ac:dyDescent="0.25">
      <c r="A49" s="559"/>
      <c r="B49" s="639" t="s">
        <v>1589</v>
      </c>
      <c r="C49" s="634">
        <f t="shared" si="10"/>
        <v>0</v>
      </c>
      <c r="D49" s="634"/>
      <c r="E49" s="634"/>
      <c r="F49" s="558">
        <f t="shared" si="7"/>
        <v>2400</v>
      </c>
      <c r="G49" s="558"/>
      <c r="H49" s="558">
        <v>2400</v>
      </c>
      <c r="I49" s="558"/>
      <c r="J49" s="558">
        <f t="shared" si="8"/>
        <v>2364.251722</v>
      </c>
      <c r="K49" s="558"/>
      <c r="L49" s="558">
        <v>2364.251722</v>
      </c>
      <c r="M49" s="558"/>
      <c r="N49" s="558"/>
      <c r="O49" s="558"/>
      <c r="P49" s="558"/>
      <c r="Q49" s="537">
        <f>H49-L49</f>
        <v>35.748278000000028</v>
      </c>
      <c r="R49" s="558"/>
      <c r="S49" s="558"/>
      <c r="T49" s="558"/>
      <c r="U49" s="558"/>
      <c r="V49" s="558"/>
      <c r="W49" s="630"/>
      <c r="X49" s="630">
        <f t="shared" si="6"/>
        <v>35.748278000000028</v>
      </c>
      <c r="Y49" s="630"/>
      <c r="Z49" s="630">
        <f t="shared" si="25"/>
        <v>35.748278000000028</v>
      </c>
    </row>
    <row r="50" spans="1:29" ht="31.5" x14ac:dyDescent="0.25">
      <c r="A50" s="559" t="s">
        <v>882</v>
      </c>
      <c r="B50" s="639" t="s">
        <v>1596</v>
      </c>
      <c r="C50" s="634">
        <f t="shared" si="10"/>
        <v>0</v>
      </c>
      <c r="D50" s="634"/>
      <c r="E50" s="634"/>
      <c r="F50" s="558">
        <f>G50+H50</f>
        <v>200</v>
      </c>
      <c r="G50" s="558"/>
      <c r="H50" s="558">
        <v>200</v>
      </c>
      <c r="I50" s="558"/>
      <c r="J50" s="558">
        <f t="shared" si="8"/>
        <v>175.41073399999999</v>
      </c>
      <c r="K50" s="558"/>
      <c r="L50" s="558">
        <v>175.41073399999999</v>
      </c>
      <c r="M50" s="558"/>
      <c r="N50" s="558"/>
      <c r="O50" s="558"/>
      <c r="P50" s="558"/>
      <c r="Q50" s="537">
        <f>H50-L50</f>
        <v>24.589266000000009</v>
      </c>
      <c r="R50" s="558"/>
      <c r="S50" s="558"/>
      <c r="T50" s="558"/>
      <c r="U50" s="558"/>
      <c r="V50" s="558"/>
      <c r="W50" s="630"/>
      <c r="X50" s="630">
        <f t="shared" si="6"/>
        <v>24.589266000000009</v>
      </c>
      <c r="Y50" s="630"/>
      <c r="Z50" s="630">
        <f t="shared" si="25"/>
        <v>24.589266000000009</v>
      </c>
    </row>
    <row r="51" spans="1:29" x14ac:dyDescent="0.25">
      <c r="A51" s="559" t="s">
        <v>882</v>
      </c>
      <c r="B51" s="639" t="s">
        <v>1595</v>
      </c>
      <c r="C51" s="634">
        <f t="shared" si="10"/>
        <v>0</v>
      </c>
      <c r="D51" s="634"/>
      <c r="E51" s="634"/>
      <c r="F51" s="558">
        <f>G51+H51</f>
        <v>105</v>
      </c>
      <c r="G51" s="558"/>
      <c r="H51" s="558">
        <v>105</v>
      </c>
      <c r="I51" s="558"/>
      <c r="J51" s="558">
        <f t="shared" si="8"/>
        <v>101</v>
      </c>
      <c r="K51" s="558"/>
      <c r="L51" s="558">
        <v>101</v>
      </c>
      <c r="M51" s="558"/>
      <c r="N51" s="558"/>
      <c r="O51" s="558"/>
      <c r="P51" s="558"/>
      <c r="Q51" s="537">
        <f>H51-L51</f>
        <v>4</v>
      </c>
      <c r="R51" s="558"/>
      <c r="S51" s="558"/>
      <c r="T51" s="558"/>
      <c r="U51" s="558"/>
      <c r="V51" s="558"/>
      <c r="W51" s="630"/>
      <c r="X51" s="630">
        <f t="shared" si="6"/>
        <v>4</v>
      </c>
      <c r="Y51" s="630"/>
      <c r="Z51" s="630">
        <f t="shared" si="25"/>
        <v>4</v>
      </c>
    </row>
    <row r="52" spans="1:29" ht="31.5" x14ac:dyDescent="0.25">
      <c r="A52" s="559" t="s">
        <v>882</v>
      </c>
      <c r="B52" s="639" t="s">
        <v>1223</v>
      </c>
      <c r="C52" s="634">
        <f t="shared" si="10"/>
        <v>0</v>
      </c>
      <c r="D52" s="634"/>
      <c r="E52" s="634"/>
      <c r="F52" s="558">
        <f t="shared" si="7"/>
        <v>0</v>
      </c>
      <c r="G52" s="558"/>
      <c r="H52" s="558"/>
      <c r="I52" s="558"/>
      <c r="J52" s="558">
        <f t="shared" si="8"/>
        <v>0</v>
      </c>
      <c r="K52" s="914"/>
      <c r="L52" s="558"/>
      <c r="M52" s="558"/>
      <c r="N52" s="558"/>
      <c r="O52" s="558"/>
      <c r="P52" s="558"/>
      <c r="Q52" s="537">
        <f>H52-L52</f>
        <v>0</v>
      </c>
      <c r="R52" s="558"/>
      <c r="S52" s="558"/>
      <c r="T52" s="558"/>
      <c r="U52" s="558"/>
      <c r="V52" s="558"/>
      <c r="W52" s="630"/>
      <c r="X52" s="630">
        <f t="shared" si="6"/>
        <v>0</v>
      </c>
      <c r="Y52" s="630"/>
      <c r="Z52" s="630">
        <f t="shared" si="25"/>
        <v>0</v>
      </c>
    </row>
    <row r="53" spans="1:29" x14ac:dyDescent="0.25">
      <c r="A53" s="559" t="s">
        <v>882</v>
      </c>
      <c r="B53" s="639" t="s">
        <v>1224</v>
      </c>
      <c r="C53" s="634"/>
      <c r="D53" s="634"/>
      <c r="E53" s="634"/>
      <c r="F53" s="558">
        <f t="shared" si="7"/>
        <v>80</v>
      </c>
      <c r="G53" s="558"/>
      <c r="H53" s="558">
        <v>80</v>
      </c>
      <c r="I53" s="558"/>
      <c r="J53" s="558">
        <f t="shared" si="8"/>
        <v>80</v>
      </c>
      <c r="K53" s="558"/>
      <c r="L53" s="693">
        <v>80</v>
      </c>
      <c r="M53" s="558"/>
      <c r="N53" s="558"/>
      <c r="O53" s="558"/>
      <c r="P53" s="558"/>
      <c r="Q53" s="537"/>
      <c r="R53" s="558"/>
      <c r="S53" s="558"/>
      <c r="T53" s="558"/>
      <c r="U53" s="558"/>
      <c r="V53" s="558"/>
      <c r="W53" s="630"/>
      <c r="X53" s="630">
        <f t="shared" si="6"/>
        <v>0</v>
      </c>
      <c r="Y53" s="630"/>
      <c r="Z53" s="630"/>
    </row>
    <row r="54" spans="1:29" x14ac:dyDescent="0.25">
      <c r="A54" s="559" t="s">
        <v>882</v>
      </c>
      <c r="B54" s="639" t="s">
        <v>1225</v>
      </c>
      <c r="C54" s="634"/>
      <c r="D54" s="634"/>
      <c r="E54" s="634"/>
      <c r="F54" s="558">
        <f t="shared" si="7"/>
        <v>120</v>
      </c>
      <c r="G54" s="634"/>
      <c r="H54" s="634">
        <v>120</v>
      </c>
      <c r="I54" s="634" t="e">
        <f>#REF!+#REF!+#REF!+#REF!</f>
        <v>#REF!</v>
      </c>
      <c r="J54" s="558">
        <f t="shared" si="8"/>
        <v>116.27200000000001</v>
      </c>
      <c r="K54" s="634"/>
      <c r="L54" s="694">
        <v>116.27200000000001</v>
      </c>
      <c r="M54" s="634"/>
      <c r="N54" s="634"/>
      <c r="O54" s="634"/>
      <c r="P54" s="634"/>
      <c r="Q54" s="672">
        <f>H54-J54</f>
        <v>3.7279999999999944</v>
      </c>
      <c r="R54" s="634"/>
      <c r="S54" s="634"/>
      <c r="T54" s="634"/>
      <c r="U54" s="634"/>
      <c r="V54" s="634"/>
      <c r="W54" s="634"/>
      <c r="X54" s="630">
        <f>Q54</f>
        <v>3.7279999999999944</v>
      </c>
      <c r="Y54" s="634"/>
      <c r="Z54" s="634">
        <f>X54</f>
        <v>3.7279999999999944</v>
      </c>
    </row>
    <row r="55" spans="1:29" x14ac:dyDescent="0.25">
      <c r="A55" s="559"/>
      <c r="B55" s="639" t="s">
        <v>1217</v>
      </c>
      <c r="C55" s="634"/>
      <c r="D55" s="634"/>
      <c r="E55" s="634"/>
      <c r="F55" s="558">
        <f t="shared" si="7"/>
        <v>0</v>
      </c>
      <c r="G55" s="634"/>
      <c r="H55" s="634"/>
      <c r="I55" s="634"/>
      <c r="J55" s="558">
        <f t="shared" si="8"/>
        <v>0</v>
      </c>
      <c r="K55" s="634"/>
      <c r="L55" s="634"/>
      <c r="M55" s="634"/>
      <c r="N55" s="634"/>
      <c r="O55" s="634"/>
      <c r="P55" s="634"/>
      <c r="Q55" s="672">
        <f>H55-J55</f>
        <v>0</v>
      </c>
      <c r="R55" s="634"/>
      <c r="S55" s="634"/>
      <c r="T55" s="634"/>
      <c r="U55" s="634"/>
      <c r="V55" s="634"/>
      <c r="W55" s="634"/>
      <c r="X55" s="630"/>
      <c r="Y55" s="634"/>
      <c r="Z55" s="634"/>
    </row>
    <row r="56" spans="1:29" x14ac:dyDescent="0.25">
      <c r="A56" s="559"/>
      <c r="B56" s="639" t="s">
        <v>1709</v>
      </c>
      <c r="C56" s="634"/>
      <c r="D56" s="634"/>
      <c r="E56" s="634"/>
      <c r="F56" s="558">
        <f t="shared" si="7"/>
        <v>400</v>
      </c>
      <c r="G56" s="634"/>
      <c r="H56" s="634">
        <v>400</v>
      </c>
      <c r="I56" s="634"/>
      <c r="J56" s="558">
        <f t="shared" si="8"/>
        <v>383.66052400000001</v>
      </c>
      <c r="K56" s="634"/>
      <c r="L56" s="634">
        <v>383.66052400000001</v>
      </c>
      <c r="M56" s="634"/>
      <c r="N56" s="634"/>
      <c r="O56" s="634"/>
      <c r="P56" s="634"/>
      <c r="Q56" s="672">
        <f>H56-J56</f>
        <v>16.339475999999991</v>
      </c>
      <c r="R56" s="634"/>
      <c r="S56" s="634"/>
      <c r="T56" s="634"/>
      <c r="U56" s="634"/>
      <c r="V56" s="634"/>
      <c r="W56" s="634"/>
      <c r="X56" s="630">
        <f>Y56+Z56</f>
        <v>16.339475999999991</v>
      </c>
      <c r="Y56" s="634"/>
      <c r="Z56" s="634">
        <f>Q56</f>
        <v>16.339475999999991</v>
      </c>
      <c r="AA56" s="591" t="s">
        <v>1724</v>
      </c>
    </row>
    <row r="57" spans="1:29" x14ac:dyDescent="0.25">
      <c r="A57" s="559"/>
      <c r="B57" s="639" t="s">
        <v>1710</v>
      </c>
      <c r="C57" s="634"/>
      <c r="D57" s="634"/>
      <c r="E57" s="634"/>
      <c r="F57" s="558">
        <f t="shared" si="7"/>
        <v>850</v>
      </c>
      <c r="G57" s="634"/>
      <c r="H57" s="634">
        <v>850</v>
      </c>
      <c r="I57" s="634"/>
      <c r="J57" s="558">
        <f t="shared" si="8"/>
        <v>821.944975</v>
      </c>
      <c r="K57" s="634"/>
      <c r="L57" s="634">
        <f>771.944975+50</f>
        <v>821.944975</v>
      </c>
      <c r="M57" s="634"/>
      <c r="N57" s="634"/>
      <c r="O57" s="634"/>
      <c r="P57" s="634"/>
      <c r="Q57" s="672">
        <f>H57-J57</f>
        <v>28.055025000000001</v>
      </c>
      <c r="R57" s="634"/>
      <c r="S57" s="634"/>
      <c r="T57" s="634"/>
      <c r="U57" s="634"/>
      <c r="V57" s="634"/>
      <c r="W57" s="634"/>
      <c r="X57" s="630">
        <f>Y57+Z57</f>
        <v>28.055025000000001</v>
      </c>
      <c r="Y57" s="634"/>
      <c r="Z57" s="634">
        <f>Q57</f>
        <v>28.055025000000001</v>
      </c>
    </row>
    <row r="58" spans="1:29" s="545" customFormat="1" ht="31.5" x14ac:dyDescent="0.25">
      <c r="A58" s="555" t="s">
        <v>898</v>
      </c>
      <c r="B58" s="639" t="s">
        <v>1227</v>
      </c>
      <c r="C58" s="634">
        <f>C59</f>
        <v>542.66780000000017</v>
      </c>
      <c r="D58" s="634">
        <f t="shared" ref="D58:Z59" si="26">D59</f>
        <v>542.66780000000017</v>
      </c>
      <c r="E58" s="634">
        <f t="shared" si="26"/>
        <v>0</v>
      </c>
      <c r="F58" s="634">
        <f t="shared" si="26"/>
        <v>0</v>
      </c>
      <c r="G58" s="634">
        <f t="shared" si="26"/>
        <v>0</v>
      </c>
      <c r="H58" s="634">
        <f t="shared" si="26"/>
        <v>0</v>
      </c>
      <c r="I58" s="634">
        <f t="shared" si="26"/>
        <v>0</v>
      </c>
      <c r="J58" s="634">
        <f t="shared" si="26"/>
        <v>450.17271899999997</v>
      </c>
      <c r="K58" s="634">
        <f t="shared" si="26"/>
        <v>450.17271899999997</v>
      </c>
      <c r="L58" s="634">
        <f t="shared" si="26"/>
        <v>0</v>
      </c>
      <c r="M58" s="634">
        <f t="shared" si="26"/>
        <v>0</v>
      </c>
      <c r="N58" s="634"/>
      <c r="O58" s="634">
        <f t="shared" si="26"/>
        <v>0</v>
      </c>
      <c r="P58" s="634"/>
      <c r="Q58" s="672">
        <f t="shared" si="26"/>
        <v>92.495081000000198</v>
      </c>
      <c r="R58" s="634">
        <f t="shared" si="26"/>
        <v>0</v>
      </c>
      <c r="S58" s="634">
        <f t="shared" si="26"/>
        <v>0</v>
      </c>
      <c r="T58" s="634">
        <f t="shared" si="26"/>
        <v>0</v>
      </c>
      <c r="U58" s="634">
        <f t="shared" si="26"/>
        <v>92.495081000000198</v>
      </c>
      <c r="V58" s="634">
        <f t="shared" si="26"/>
        <v>0</v>
      </c>
      <c r="W58" s="634">
        <f t="shared" si="26"/>
        <v>0</v>
      </c>
      <c r="X58" s="630">
        <f t="shared" si="6"/>
        <v>0</v>
      </c>
      <c r="Y58" s="634">
        <f t="shared" si="26"/>
        <v>0</v>
      </c>
      <c r="Z58" s="634">
        <f t="shared" si="26"/>
        <v>0</v>
      </c>
    </row>
    <row r="59" spans="1:29" x14ac:dyDescent="0.25">
      <c r="A59" s="559" t="s">
        <v>1228</v>
      </c>
      <c r="B59" s="639" t="s">
        <v>1229</v>
      </c>
      <c r="C59" s="558">
        <f>C60</f>
        <v>542.66780000000017</v>
      </c>
      <c r="D59" s="558">
        <f t="shared" si="26"/>
        <v>542.66780000000017</v>
      </c>
      <c r="E59" s="558">
        <f t="shared" si="26"/>
        <v>0</v>
      </c>
      <c r="F59" s="558">
        <f t="shared" si="26"/>
        <v>0</v>
      </c>
      <c r="G59" s="558">
        <f t="shared" si="26"/>
        <v>0</v>
      </c>
      <c r="H59" s="558">
        <f t="shared" si="26"/>
        <v>0</v>
      </c>
      <c r="I59" s="558">
        <f t="shared" si="26"/>
        <v>0</v>
      </c>
      <c r="J59" s="558">
        <f t="shared" si="26"/>
        <v>450.17271899999997</v>
      </c>
      <c r="K59" s="558">
        <f t="shared" si="26"/>
        <v>450.17271899999997</v>
      </c>
      <c r="L59" s="558">
        <f t="shared" si="26"/>
        <v>0</v>
      </c>
      <c r="M59" s="558">
        <f t="shared" si="26"/>
        <v>0</v>
      </c>
      <c r="N59" s="558"/>
      <c r="O59" s="558">
        <f t="shared" si="26"/>
        <v>0</v>
      </c>
      <c r="P59" s="558"/>
      <c r="Q59" s="537">
        <f t="shared" si="26"/>
        <v>92.495081000000198</v>
      </c>
      <c r="R59" s="558">
        <f t="shared" si="26"/>
        <v>0</v>
      </c>
      <c r="S59" s="558">
        <f t="shared" si="26"/>
        <v>0</v>
      </c>
      <c r="T59" s="558">
        <f t="shared" si="26"/>
        <v>0</v>
      </c>
      <c r="U59" s="558">
        <f t="shared" si="26"/>
        <v>92.495081000000198</v>
      </c>
      <c r="V59" s="558">
        <f t="shared" si="26"/>
        <v>0</v>
      </c>
      <c r="W59" s="558">
        <f t="shared" si="26"/>
        <v>0</v>
      </c>
      <c r="X59" s="630">
        <f t="shared" si="6"/>
        <v>0</v>
      </c>
      <c r="Y59" s="558">
        <f t="shared" si="26"/>
        <v>0</v>
      </c>
      <c r="Z59" s="558">
        <f t="shared" si="26"/>
        <v>0</v>
      </c>
    </row>
    <row r="60" spans="1:29" s="635" customFormat="1" x14ac:dyDescent="0.25">
      <c r="A60" s="537"/>
      <c r="B60" s="639" t="s">
        <v>1214</v>
      </c>
      <c r="C60" s="634">
        <f t="shared" si="10"/>
        <v>542.66780000000017</v>
      </c>
      <c r="D60" s="634">
        <v>542.66780000000017</v>
      </c>
      <c r="E60" s="634"/>
      <c r="F60" s="558">
        <f t="shared" si="7"/>
        <v>0</v>
      </c>
      <c r="G60" s="558"/>
      <c r="H60" s="558"/>
      <c r="I60" s="558"/>
      <c r="J60" s="558">
        <f t="shared" si="8"/>
        <v>450.17271899999997</v>
      </c>
      <c r="K60" s="558">
        <v>450.17271899999997</v>
      </c>
      <c r="L60" s="558"/>
      <c r="M60" s="558"/>
      <c r="N60" s="558"/>
      <c r="O60" s="558"/>
      <c r="P60" s="558"/>
      <c r="Q60" s="537">
        <f>C60-J60</f>
        <v>92.495081000000198</v>
      </c>
      <c r="R60" s="558"/>
      <c r="S60" s="558"/>
      <c r="T60" s="558"/>
      <c r="U60" s="558">
        <f>C60-J60</f>
        <v>92.495081000000198</v>
      </c>
      <c r="V60" s="558"/>
      <c r="W60" s="630"/>
      <c r="X60" s="630">
        <f t="shared" si="6"/>
        <v>0</v>
      </c>
      <c r="Y60" s="630"/>
      <c r="Z60" s="630"/>
      <c r="AA60" s="635">
        <v>509.81398999999999</v>
      </c>
      <c r="AB60" s="635">
        <v>1675792200</v>
      </c>
      <c r="AC60" s="635">
        <v>781540000</v>
      </c>
    </row>
    <row r="61" spans="1:29" s="545" customFormat="1" x14ac:dyDescent="0.25">
      <c r="A61" s="555">
        <v>2</v>
      </c>
      <c r="B61" s="639" t="s">
        <v>1231</v>
      </c>
      <c r="C61" s="634">
        <f t="shared" ref="C61:Z61" si="27">C62+C66+SUM(C70:C101)</f>
        <v>1949.337</v>
      </c>
      <c r="D61" s="634">
        <f t="shared" si="27"/>
        <v>1451.4369999999999</v>
      </c>
      <c r="E61" s="634">
        <f t="shared" si="27"/>
        <v>497.9</v>
      </c>
      <c r="F61" s="634">
        <f t="shared" si="27"/>
        <v>37176.317035</v>
      </c>
      <c r="G61" s="634">
        <f t="shared" si="27"/>
        <v>4207</v>
      </c>
      <c r="H61" s="632">
        <f t="shared" si="27"/>
        <v>34304.797034999996</v>
      </c>
      <c r="I61" s="632">
        <f t="shared" si="27"/>
        <v>0</v>
      </c>
      <c r="J61" s="632" t="e">
        <f t="shared" si="27"/>
        <v>#REF!</v>
      </c>
      <c r="K61" s="632" t="e">
        <f t="shared" si="27"/>
        <v>#REF!</v>
      </c>
      <c r="L61" s="632">
        <f t="shared" si="27"/>
        <v>30365.404041000002</v>
      </c>
      <c r="M61" s="632">
        <f t="shared" si="27"/>
        <v>2323</v>
      </c>
      <c r="N61" s="632">
        <f t="shared" si="27"/>
        <v>248.0412</v>
      </c>
      <c r="O61" s="632">
        <f t="shared" si="27"/>
        <v>0</v>
      </c>
      <c r="P61" s="632"/>
      <c r="Q61" s="671" t="e">
        <f t="shared" si="27"/>
        <v>#REF!</v>
      </c>
      <c r="R61" s="632">
        <f t="shared" si="27"/>
        <v>0</v>
      </c>
      <c r="S61" s="632">
        <f t="shared" si="27"/>
        <v>1630</v>
      </c>
      <c r="T61" s="632">
        <f t="shared" si="27"/>
        <v>540</v>
      </c>
      <c r="U61" s="632" t="e">
        <f t="shared" si="27"/>
        <v>#REF!</v>
      </c>
      <c r="V61" s="632">
        <f t="shared" si="27"/>
        <v>0</v>
      </c>
      <c r="W61" s="632">
        <f t="shared" si="27"/>
        <v>0</v>
      </c>
      <c r="X61" s="632">
        <f t="shared" si="27"/>
        <v>2614.1798639999997</v>
      </c>
      <c r="Y61" s="632">
        <f t="shared" si="27"/>
        <v>2342.4298639999997</v>
      </c>
      <c r="Z61" s="632">
        <f t="shared" si="27"/>
        <v>271.74999999999989</v>
      </c>
    </row>
    <row r="62" spans="1:29" x14ac:dyDescent="0.25">
      <c r="A62" s="559" t="s">
        <v>902</v>
      </c>
      <c r="B62" s="639" t="s">
        <v>1232</v>
      </c>
      <c r="C62" s="558">
        <f t="shared" ref="C62:H62" si="28">C63+C64+C65</f>
        <v>0</v>
      </c>
      <c r="D62" s="558">
        <f t="shared" si="28"/>
        <v>0</v>
      </c>
      <c r="E62" s="558">
        <f t="shared" si="28"/>
        <v>0</v>
      </c>
      <c r="F62" s="558">
        <f t="shared" si="28"/>
        <v>8492.92</v>
      </c>
      <c r="G62" s="558">
        <f t="shared" si="28"/>
        <v>0</v>
      </c>
      <c r="H62" s="558">
        <f t="shared" si="28"/>
        <v>8492.92</v>
      </c>
      <c r="I62" s="558">
        <f t="shared" ref="I62:Z62" si="29">I63+I64+I65</f>
        <v>0</v>
      </c>
      <c r="J62" s="558">
        <f t="shared" si="29"/>
        <v>0</v>
      </c>
      <c r="K62" s="558">
        <f t="shared" si="29"/>
        <v>0</v>
      </c>
      <c r="L62" s="558">
        <f t="shared" si="29"/>
        <v>8492.92</v>
      </c>
      <c r="M62" s="558">
        <f t="shared" si="29"/>
        <v>0</v>
      </c>
      <c r="N62" s="558">
        <f t="shared" si="29"/>
        <v>0</v>
      </c>
      <c r="O62" s="558">
        <f t="shared" si="29"/>
        <v>0</v>
      </c>
      <c r="P62" s="558"/>
      <c r="Q62" s="537">
        <f t="shared" si="29"/>
        <v>0</v>
      </c>
      <c r="R62" s="558">
        <f t="shared" si="29"/>
        <v>0</v>
      </c>
      <c r="S62" s="558">
        <f t="shared" si="29"/>
        <v>0</v>
      </c>
      <c r="T62" s="558">
        <f t="shared" si="29"/>
        <v>0</v>
      </c>
      <c r="U62" s="558">
        <f t="shared" si="29"/>
        <v>0</v>
      </c>
      <c r="V62" s="558">
        <f t="shared" si="29"/>
        <v>0</v>
      </c>
      <c r="W62" s="558">
        <f t="shared" si="29"/>
        <v>0</v>
      </c>
      <c r="X62" s="558">
        <f t="shared" si="29"/>
        <v>0</v>
      </c>
      <c r="Y62" s="558">
        <f t="shared" si="29"/>
        <v>0</v>
      </c>
      <c r="Z62" s="558">
        <f t="shared" si="29"/>
        <v>0</v>
      </c>
    </row>
    <row r="63" spans="1:29" ht="31.5" x14ac:dyDescent="0.25">
      <c r="A63" s="559" t="s">
        <v>1331</v>
      </c>
      <c r="B63" s="639" t="s">
        <v>1716</v>
      </c>
      <c r="C63" s="634"/>
      <c r="D63" s="634"/>
      <c r="E63" s="634"/>
      <c r="F63" s="558">
        <f t="shared" ref="F63:F101" si="30">G63+H63</f>
        <v>202</v>
      </c>
      <c r="G63" s="558"/>
      <c r="H63" s="558">
        <v>202</v>
      </c>
      <c r="I63" s="558"/>
      <c r="J63" s="558"/>
      <c r="K63" s="558"/>
      <c r="L63" s="558">
        <v>202</v>
      </c>
      <c r="M63" s="558"/>
      <c r="N63" s="558"/>
      <c r="O63" s="558"/>
      <c r="P63" s="558"/>
      <c r="Q63" s="537"/>
      <c r="R63" s="558"/>
      <c r="S63" s="558"/>
      <c r="T63" s="558"/>
      <c r="U63" s="558"/>
      <c r="V63" s="558"/>
      <c r="W63" s="630"/>
      <c r="X63" s="630">
        <f t="shared" si="6"/>
        <v>0</v>
      </c>
      <c r="Y63" s="630"/>
      <c r="Z63" s="630"/>
    </row>
    <row r="64" spans="1:29" x14ac:dyDescent="0.25">
      <c r="A64" s="559" t="s">
        <v>1332</v>
      </c>
      <c r="B64" s="639" t="s">
        <v>1715</v>
      </c>
      <c r="C64" s="634"/>
      <c r="D64" s="634"/>
      <c r="E64" s="634"/>
      <c r="F64" s="558">
        <f t="shared" si="30"/>
        <v>7496</v>
      </c>
      <c r="G64" s="558"/>
      <c r="H64" s="558">
        <f>6788+708</f>
        <v>7496</v>
      </c>
      <c r="I64" s="558"/>
      <c r="J64" s="558"/>
      <c r="K64" s="558"/>
      <c r="L64" s="558">
        <f>H64</f>
        <v>7496</v>
      </c>
      <c r="M64" s="558"/>
      <c r="N64" s="558"/>
      <c r="O64" s="558"/>
      <c r="P64" s="558"/>
      <c r="Q64" s="537"/>
      <c r="R64" s="558"/>
      <c r="S64" s="558"/>
      <c r="T64" s="558"/>
      <c r="U64" s="558"/>
      <c r="V64" s="558"/>
      <c r="W64" s="630"/>
      <c r="X64" s="630">
        <f t="shared" si="6"/>
        <v>0</v>
      </c>
      <c r="Y64" s="630"/>
      <c r="Z64" s="630"/>
    </row>
    <row r="65" spans="1:27" x14ac:dyDescent="0.25">
      <c r="A65" s="559"/>
      <c r="B65" s="639" t="s">
        <v>1719</v>
      </c>
      <c r="C65" s="634"/>
      <c r="D65" s="634"/>
      <c r="E65" s="634"/>
      <c r="F65" s="558">
        <f t="shared" si="30"/>
        <v>794.92000000000007</v>
      </c>
      <c r="G65" s="558"/>
      <c r="H65" s="558">
        <f>8290.92-7496</f>
        <v>794.92000000000007</v>
      </c>
      <c r="I65" s="558"/>
      <c r="J65" s="558"/>
      <c r="K65" s="558"/>
      <c r="L65" s="558">
        <f>H65</f>
        <v>794.92000000000007</v>
      </c>
      <c r="M65" s="558"/>
      <c r="N65" s="558"/>
      <c r="O65" s="558"/>
      <c r="P65" s="558"/>
      <c r="Q65" s="537">
        <f>F65-L65</f>
        <v>0</v>
      </c>
      <c r="R65" s="558"/>
      <c r="S65" s="558"/>
      <c r="T65" s="558"/>
      <c r="U65" s="558"/>
      <c r="V65" s="558"/>
      <c r="W65" s="630"/>
      <c r="X65" s="630">
        <f t="shared" si="6"/>
        <v>0</v>
      </c>
      <c r="Y65" s="630"/>
      <c r="Z65" s="630"/>
    </row>
    <row r="66" spans="1:27" ht="47.25" x14ac:dyDescent="0.25">
      <c r="A66" s="559" t="s">
        <v>903</v>
      </c>
      <c r="B66" s="639" t="s">
        <v>1233</v>
      </c>
      <c r="C66" s="634">
        <f t="shared" si="10"/>
        <v>0</v>
      </c>
      <c r="D66" s="634"/>
      <c r="E66" s="634"/>
      <c r="F66" s="558">
        <f t="shared" si="30"/>
        <v>2454</v>
      </c>
      <c r="G66" s="558"/>
      <c r="H66" s="558">
        <f>2323+131</f>
        <v>2454</v>
      </c>
      <c r="I66" s="558"/>
      <c r="J66" s="558">
        <f>J67+J68+J69</f>
        <v>2571.0411999999997</v>
      </c>
      <c r="K66" s="558"/>
      <c r="L66" s="558">
        <f>L67+L68+L69</f>
        <v>2571.0411999999997</v>
      </c>
      <c r="M66" s="558">
        <f>M67+M68+M69</f>
        <v>2323</v>
      </c>
      <c r="N66" s="558">
        <f>N67+N68+N69</f>
        <v>248.0412</v>
      </c>
      <c r="O66" s="558"/>
      <c r="P66" s="558"/>
      <c r="Q66" s="537">
        <f>C66+F66-J66-O66</f>
        <v>-117.04119999999966</v>
      </c>
      <c r="R66" s="558"/>
      <c r="S66" s="558"/>
      <c r="T66" s="558"/>
      <c r="U66" s="558"/>
      <c r="V66" s="558"/>
      <c r="W66" s="630"/>
      <c r="X66" s="630">
        <f t="shared" si="6"/>
        <v>0</v>
      </c>
      <c r="Y66" s="630"/>
      <c r="Z66" s="630"/>
    </row>
    <row r="67" spans="1:27" x14ac:dyDescent="0.25">
      <c r="A67" s="678"/>
      <c r="B67" s="639" t="s">
        <v>1234</v>
      </c>
      <c r="C67" s="634">
        <f t="shared" si="10"/>
        <v>0</v>
      </c>
      <c r="D67" s="634"/>
      <c r="E67" s="634"/>
      <c r="F67" s="558"/>
      <c r="G67" s="558"/>
      <c r="H67" s="558"/>
      <c r="I67" s="558"/>
      <c r="J67" s="558">
        <f t="shared" ref="J67:J101" si="31">K67+L67</f>
        <v>2003.5</v>
      </c>
      <c r="K67" s="558"/>
      <c r="L67" s="558">
        <v>2003.5</v>
      </c>
      <c r="M67" s="558">
        <f>L67</f>
        <v>2003.5</v>
      </c>
      <c r="N67" s="558"/>
      <c r="O67" s="558"/>
      <c r="P67" s="558"/>
      <c r="Q67" s="537"/>
      <c r="R67" s="558"/>
      <c r="S67" s="558"/>
      <c r="T67" s="558"/>
      <c r="U67" s="558"/>
      <c r="V67" s="558"/>
      <c r="W67" s="630"/>
      <c r="X67" s="630">
        <f t="shared" si="6"/>
        <v>0</v>
      </c>
      <c r="Y67" s="630"/>
      <c r="Z67" s="630"/>
    </row>
    <row r="68" spans="1:27" x14ac:dyDescent="0.25">
      <c r="A68" s="559" t="s">
        <v>882</v>
      </c>
      <c r="B68" s="639" t="s">
        <v>1235</v>
      </c>
      <c r="C68" s="634">
        <f t="shared" si="10"/>
        <v>0</v>
      </c>
      <c r="D68" s="634"/>
      <c r="E68" s="634"/>
      <c r="F68" s="558"/>
      <c r="G68" s="558"/>
      <c r="H68" s="558"/>
      <c r="I68" s="558"/>
      <c r="J68" s="558">
        <f>K68+L68</f>
        <v>340.52472</v>
      </c>
      <c r="K68" s="558"/>
      <c r="L68" s="558">
        <v>340.52472</v>
      </c>
      <c r="M68" s="558">
        <f>2323-M67-M69</f>
        <v>92.483519999999999</v>
      </c>
      <c r="N68" s="558">
        <f>L68-M68</f>
        <v>248.0412</v>
      </c>
      <c r="O68" s="558"/>
      <c r="P68" s="558"/>
      <c r="Q68" s="537"/>
      <c r="R68" s="558"/>
      <c r="S68" s="558"/>
      <c r="T68" s="558"/>
      <c r="U68" s="558"/>
      <c r="V68" s="558"/>
      <c r="W68" s="630"/>
      <c r="X68" s="630">
        <f t="shared" si="6"/>
        <v>0</v>
      </c>
      <c r="Y68" s="630"/>
      <c r="Z68" s="630"/>
    </row>
    <row r="69" spans="1:27" x14ac:dyDescent="0.25">
      <c r="A69" s="559"/>
      <c r="B69" s="639" t="s">
        <v>1236</v>
      </c>
      <c r="C69" s="634">
        <f t="shared" si="10"/>
        <v>0</v>
      </c>
      <c r="D69" s="634"/>
      <c r="E69" s="634"/>
      <c r="F69" s="558"/>
      <c r="G69" s="558"/>
      <c r="H69" s="558"/>
      <c r="I69" s="558"/>
      <c r="J69" s="558">
        <f>K69+L69</f>
        <v>227.01648</v>
      </c>
      <c r="K69" s="558"/>
      <c r="L69" s="558">
        <v>227.01648</v>
      </c>
      <c r="M69" s="558">
        <f>L69</f>
        <v>227.01648</v>
      </c>
      <c r="N69" s="558"/>
      <c r="O69" s="558"/>
      <c r="P69" s="558"/>
      <c r="Q69" s="537"/>
      <c r="R69" s="558"/>
      <c r="S69" s="558"/>
      <c r="T69" s="558"/>
      <c r="U69" s="558"/>
      <c r="V69" s="558"/>
      <c r="W69" s="630"/>
      <c r="X69" s="630">
        <f t="shared" si="6"/>
        <v>0</v>
      </c>
      <c r="Y69" s="630"/>
      <c r="Z69" s="630"/>
    </row>
    <row r="70" spans="1:27" ht="63" x14ac:dyDescent="0.25">
      <c r="A70" s="636" t="s">
        <v>910</v>
      </c>
      <c r="B70" s="639" t="s">
        <v>1237</v>
      </c>
      <c r="C70" s="634">
        <f t="shared" si="10"/>
        <v>402.51</v>
      </c>
      <c r="D70" s="630"/>
      <c r="E70" s="630">
        <v>402.51</v>
      </c>
      <c r="F70" s="558">
        <f t="shared" si="30"/>
        <v>4087.1869999999999</v>
      </c>
      <c r="G70" s="630"/>
      <c r="H70" s="630">
        <f>3575.187+392+120</f>
        <v>4087.1869999999999</v>
      </c>
      <c r="I70" s="630"/>
      <c r="J70" s="558">
        <f>K70+L70</f>
        <v>4071.8719999999998</v>
      </c>
      <c r="K70" s="630"/>
      <c r="L70" s="630">
        <v>4071.8719999999998</v>
      </c>
      <c r="M70" s="630"/>
      <c r="N70" s="630"/>
      <c r="O70" s="630"/>
      <c r="P70" s="630">
        <v>522.51</v>
      </c>
      <c r="Q70" s="537">
        <f>C70+F70-L70-P70</f>
        <v>-104.68499999999972</v>
      </c>
      <c r="R70" s="558"/>
      <c r="S70" s="558"/>
      <c r="T70" s="630"/>
      <c r="U70" s="630"/>
      <c r="V70" s="630"/>
      <c r="W70" s="630"/>
      <c r="X70" s="630">
        <f t="shared" si="6"/>
        <v>0</v>
      </c>
      <c r="Y70" s="630"/>
      <c r="Z70" s="630"/>
      <c r="AA70" s="626">
        <v>1.1000000000000001</v>
      </c>
    </row>
    <row r="71" spans="1:27" ht="31.5" x14ac:dyDescent="0.25">
      <c r="A71" s="636" t="s">
        <v>480</v>
      </c>
      <c r="B71" s="639" t="s">
        <v>1238</v>
      </c>
      <c r="C71" s="634">
        <f t="shared" si="10"/>
        <v>0</v>
      </c>
      <c r="D71" s="630"/>
      <c r="E71" s="630"/>
      <c r="F71" s="558">
        <f t="shared" si="30"/>
        <v>548.78399999999999</v>
      </c>
      <c r="G71" s="630"/>
      <c r="H71" s="630">
        <f>238+310.784</f>
        <v>548.78399999999999</v>
      </c>
      <c r="I71" s="630"/>
      <c r="J71" s="558">
        <f t="shared" si="31"/>
        <v>449.33199999999999</v>
      </c>
      <c r="K71" s="630"/>
      <c r="L71" s="630">
        <v>449.33199999999999</v>
      </c>
      <c r="M71" s="630"/>
      <c r="N71" s="630"/>
      <c r="O71" s="630"/>
      <c r="P71" s="630"/>
      <c r="Q71" s="537">
        <f>C71+F71-J71-O71</f>
        <v>99.451999999999998</v>
      </c>
      <c r="R71" s="558"/>
      <c r="S71" s="558"/>
      <c r="T71" s="630"/>
      <c r="U71" s="630">
        <f>Q71</f>
        <v>99.451999999999998</v>
      </c>
      <c r="V71" s="630"/>
      <c r="W71" s="630"/>
      <c r="X71" s="630">
        <f t="shared" si="6"/>
        <v>0</v>
      </c>
      <c r="Y71" s="630"/>
      <c r="Z71" s="630"/>
      <c r="AA71" s="626">
        <v>1.6</v>
      </c>
    </row>
    <row r="72" spans="1:27" x14ac:dyDescent="0.25">
      <c r="A72" s="636"/>
      <c r="B72" s="639" t="s">
        <v>1722</v>
      </c>
      <c r="C72" s="634"/>
      <c r="D72" s="630"/>
      <c r="E72" s="630"/>
      <c r="F72" s="558"/>
      <c r="G72" s="630"/>
      <c r="H72" s="630">
        <v>22.532</v>
      </c>
      <c r="I72" s="630"/>
      <c r="J72" s="558">
        <f t="shared" si="31"/>
        <v>22.532</v>
      </c>
      <c r="K72" s="630"/>
      <c r="L72" s="637">
        <v>22.532</v>
      </c>
      <c r="M72" s="630"/>
      <c r="N72" s="630"/>
      <c r="O72" s="630"/>
      <c r="P72" s="630"/>
      <c r="Q72" s="537"/>
      <c r="R72" s="558"/>
      <c r="S72" s="558"/>
      <c r="T72" s="630"/>
      <c r="U72" s="630"/>
      <c r="V72" s="630"/>
      <c r="W72" s="630"/>
      <c r="X72" s="630"/>
      <c r="Y72" s="630"/>
      <c r="Z72" s="630"/>
      <c r="AA72" s="591" t="s">
        <v>1721</v>
      </c>
    </row>
    <row r="73" spans="1:27" s="684" customFormat="1" ht="63" x14ac:dyDescent="0.25">
      <c r="A73" s="637" t="s">
        <v>481</v>
      </c>
      <c r="B73" s="639" t="s">
        <v>1239</v>
      </c>
      <c r="C73" s="634">
        <f t="shared" si="10"/>
        <v>0</v>
      </c>
      <c r="D73" s="630"/>
      <c r="E73" s="630"/>
      <c r="F73" s="558">
        <f t="shared" si="30"/>
        <v>7.26</v>
      </c>
      <c r="G73" s="630"/>
      <c r="H73" s="630">
        <v>7.26</v>
      </c>
      <c r="I73" s="630"/>
      <c r="J73" s="558">
        <f>K73+L73</f>
        <v>0</v>
      </c>
      <c r="K73" s="630"/>
      <c r="L73" s="637"/>
      <c r="M73" s="637"/>
      <c r="N73" s="637"/>
      <c r="O73" s="637"/>
      <c r="P73" s="637"/>
      <c r="Q73" s="537">
        <f>C73+F73-J73-O73</f>
        <v>7.26</v>
      </c>
      <c r="R73" s="558"/>
      <c r="S73" s="558"/>
      <c r="T73" s="630"/>
      <c r="U73" s="630"/>
      <c r="V73" s="630"/>
      <c r="W73" s="630"/>
      <c r="X73" s="630">
        <f t="shared" si="6"/>
        <v>7.26</v>
      </c>
      <c r="Y73" s="630">
        <f>Q73</f>
        <v>7.26</v>
      </c>
      <c r="Z73" s="630"/>
    </row>
    <row r="74" spans="1:27" s="683" customFormat="1" ht="31.5" x14ac:dyDescent="0.25">
      <c r="A74" s="636" t="s">
        <v>482</v>
      </c>
      <c r="B74" s="639" t="s">
        <v>1609</v>
      </c>
      <c r="C74" s="634">
        <f t="shared" si="10"/>
        <v>0</v>
      </c>
      <c r="D74" s="630"/>
      <c r="E74" s="630"/>
      <c r="F74" s="558">
        <f t="shared" si="30"/>
        <v>3412</v>
      </c>
      <c r="G74" s="630"/>
      <c r="H74" s="630">
        <v>3412</v>
      </c>
      <c r="I74" s="630"/>
      <c r="J74" s="558">
        <f t="shared" si="31"/>
        <v>1851.835</v>
      </c>
      <c r="K74" s="630"/>
      <c r="L74" s="630">
        <v>1851.835</v>
      </c>
      <c r="M74" s="630"/>
      <c r="N74" s="630"/>
      <c r="O74" s="630"/>
      <c r="P74" s="630"/>
      <c r="Q74" s="537">
        <f>C74+F74-J74-O74</f>
        <v>1560.165</v>
      </c>
      <c r="R74" s="558"/>
      <c r="S74" s="558"/>
      <c r="T74" s="630"/>
      <c r="U74" s="630"/>
      <c r="V74" s="630"/>
      <c r="W74" s="630"/>
      <c r="X74" s="630">
        <f>Y74+Z74</f>
        <v>1560.165</v>
      </c>
      <c r="Y74" s="630">
        <f>Q74</f>
        <v>1560.165</v>
      </c>
      <c r="Z74" s="630"/>
    </row>
    <row r="75" spans="1:27" s="683" customFormat="1" x14ac:dyDescent="0.25">
      <c r="A75" s="636" t="s">
        <v>483</v>
      </c>
      <c r="B75" s="639" t="s">
        <v>1240</v>
      </c>
      <c r="C75" s="634">
        <f t="shared" si="10"/>
        <v>0</v>
      </c>
      <c r="D75" s="630"/>
      <c r="E75" s="630"/>
      <c r="F75" s="558">
        <f t="shared" si="30"/>
        <v>124</v>
      </c>
      <c r="G75" s="630"/>
      <c r="H75" s="630">
        <v>124</v>
      </c>
      <c r="I75" s="630"/>
      <c r="J75" s="558">
        <f t="shared" si="31"/>
        <v>64</v>
      </c>
      <c r="K75" s="630"/>
      <c r="L75" s="630">
        <v>64</v>
      </c>
      <c r="M75" s="630"/>
      <c r="N75" s="630"/>
      <c r="O75" s="630"/>
      <c r="P75" s="630"/>
      <c r="Q75" s="537">
        <f>C75+F75-J75-O75</f>
        <v>60</v>
      </c>
      <c r="R75" s="558"/>
      <c r="S75" s="558"/>
      <c r="T75" s="630"/>
      <c r="U75" s="630"/>
      <c r="V75" s="630"/>
      <c r="W75" s="630"/>
      <c r="X75" s="630">
        <f t="shared" ref="X75:X98" si="32">Y75+Z75</f>
        <v>60</v>
      </c>
      <c r="Y75" s="630">
        <v>54</v>
      </c>
      <c r="Z75" s="630">
        <v>6</v>
      </c>
    </row>
    <row r="76" spans="1:27" s="683" customFormat="1" ht="31.5" x14ac:dyDescent="0.25">
      <c r="A76" s="636" t="s">
        <v>484</v>
      </c>
      <c r="B76" s="639" t="s">
        <v>1241</v>
      </c>
      <c r="C76" s="634">
        <f t="shared" si="10"/>
        <v>46.7</v>
      </c>
      <c r="D76" s="630"/>
      <c r="E76" s="630">
        <v>46.7</v>
      </c>
      <c r="F76" s="558">
        <f t="shared" si="30"/>
        <v>810.16</v>
      </c>
      <c r="G76" s="630"/>
      <c r="H76" s="630">
        <f>809.36+0.8</f>
        <v>810.16</v>
      </c>
      <c r="I76" s="630"/>
      <c r="J76" s="558">
        <f t="shared" si="31"/>
        <v>852.54000000000008</v>
      </c>
      <c r="K76" s="630"/>
      <c r="L76" s="630">
        <f>808.84+43.7</f>
        <v>852.54000000000008</v>
      </c>
      <c r="M76" s="630"/>
      <c r="N76" s="630"/>
      <c r="O76" s="630"/>
      <c r="P76" s="630"/>
      <c r="Q76" s="537">
        <f>C76+F76-J76</f>
        <v>4.3199999999999363</v>
      </c>
      <c r="R76" s="558"/>
      <c r="S76" s="558"/>
      <c r="T76" s="630"/>
      <c r="U76" s="630"/>
      <c r="V76" s="630"/>
      <c r="W76" s="630"/>
      <c r="X76" s="630">
        <f>Q76</f>
        <v>4.3199999999999363</v>
      </c>
      <c r="Y76" s="630">
        <f>3+0.42</f>
        <v>3.42</v>
      </c>
      <c r="Z76" s="630">
        <f>X76-Y76</f>
        <v>0.89999999999993641</v>
      </c>
      <c r="AA76" s="683">
        <v>809.36</v>
      </c>
    </row>
    <row r="77" spans="1:27" s="683" customFormat="1" ht="31.5" x14ac:dyDescent="0.25">
      <c r="A77" s="636" t="s">
        <v>485</v>
      </c>
      <c r="B77" s="639" t="s">
        <v>1607</v>
      </c>
      <c r="C77" s="634">
        <f t="shared" si="10"/>
        <v>0</v>
      </c>
      <c r="D77" s="630"/>
      <c r="E77" s="630"/>
      <c r="F77" s="558">
        <f t="shared" si="30"/>
        <v>35</v>
      </c>
      <c r="G77" s="630"/>
      <c r="H77" s="630">
        <v>35</v>
      </c>
      <c r="I77" s="630"/>
      <c r="J77" s="558">
        <f t="shared" si="31"/>
        <v>34.715226000000001</v>
      </c>
      <c r="K77" s="630"/>
      <c r="L77" s="630">
        <v>34.715226000000001</v>
      </c>
      <c r="M77" s="630"/>
      <c r="N77" s="630"/>
      <c r="O77" s="630"/>
      <c r="P77" s="630"/>
      <c r="Q77" s="537">
        <f>C77+F77-J77-O77</f>
        <v>0.28477399999999875</v>
      </c>
      <c r="R77" s="558"/>
      <c r="S77" s="558"/>
      <c r="T77" s="630"/>
      <c r="U77" s="630"/>
      <c r="V77" s="630"/>
      <c r="W77" s="630"/>
      <c r="X77" s="630">
        <f t="shared" si="32"/>
        <v>0.28477399999999875</v>
      </c>
      <c r="Y77" s="630">
        <f>Q77</f>
        <v>0.28477399999999875</v>
      </c>
      <c r="Z77" s="630"/>
      <c r="AA77" s="683">
        <v>0.8</v>
      </c>
    </row>
    <row r="78" spans="1:27" ht="63" x14ac:dyDescent="0.25">
      <c r="A78" s="636" t="s">
        <v>486</v>
      </c>
      <c r="B78" s="639" t="s">
        <v>1608</v>
      </c>
      <c r="C78" s="634"/>
      <c r="D78" s="630"/>
      <c r="E78" s="630"/>
      <c r="F78" s="558"/>
      <c r="G78" s="630"/>
      <c r="H78" s="630">
        <v>35.508000000000003</v>
      </c>
      <c r="I78" s="630"/>
      <c r="J78" s="558"/>
      <c r="K78" s="630"/>
      <c r="L78" s="630">
        <v>35.508000000000003</v>
      </c>
      <c r="M78" s="630"/>
      <c r="N78" s="630"/>
      <c r="O78" s="630"/>
      <c r="P78" s="630"/>
      <c r="Q78" s="537"/>
      <c r="R78" s="558"/>
      <c r="S78" s="558"/>
      <c r="T78" s="630"/>
      <c r="U78" s="630"/>
      <c r="V78" s="630"/>
      <c r="W78" s="630"/>
      <c r="X78" s="630">
        <f t="shared" si="32"/>
        <v>0</v>
      </c>
      <c r="Y78" s="630"/>
      <c r="Z78" s="630"/>
      <c r="AA78" s="591">
        <f>AA77+AA76</f>
        <v>810.16</v>
      </c>
    </row>
    <row r="79" spans="1:27" ht="31.5" x14ac:dyDescent="0.25">
      <c r="A79" s="636" t="s">
        <v>487</v>
      </c>
      <c r="B79" s="639" t="s">
        <v>1243</v>
      </c>
      <c r="C79" s="672">
        <f t="shared" si="10"/>
        <v>8.69</v>
      </c>
      <c r="D79" s="637"/>
      <c r="E79" s="637">
        <v>8.69</v>
      </c>
      <c r="F79" s="537">
        <f t="shared" si="30"/>
        <v>16.613140000000001</v>
      </c>
      <c r="G79" s="637"/>
      <c r="H79" s="637">
        <v>16.613140000000001</v>
      </c>
      <c r="I79" s="630"/>
      <c r="J79" s="558">
        <f t="shared" si="31"/>
        <v>16.613140000000001</v>
      </c>
      <c r="K79" s="630"/>
      <c r="L79" s="630">
        <f>H79</f>
        <v>16.613140000000001</v>
      </c>
      <c r="M79" s="630"/>
      <c r="N79" s="630"/>
      <c r="O79" s="630"/>
      <c r="P79" s="630"/>
      <c r="Q79" s="537">
        <f>C79+F79-J79-O79</f>
        <v>8.6899999999999977</v>
      </c>
      <c r="R79" s="558"/>
      <c r="S79" s="558"/>
      <c r="T79" s="630"/>
      <c r="U79" s="630"/>
      <c r="V79" s="630"/>
      <c r="W79" s="630"/>
      <c r="X79" s="637">
        <f t="shared" si="32"/>
        <v>8.6899999999999977</v>
      </c>
      <c r="Y79" s="637">
        <f>Q79</f>
        <v>8.6899999999999977</v>
      </c>
      <c r="Z79" s="637"/>
      <c r="AA79" s="591">
        <v>809.74</v>
      </c>
    </row>
    <row r="80" spans="1:27" ht="31.5" x14ac:dyDescent="0.25">
      <c r="A80" s="636" t="s">
        <v>488</v>
      </c>
      <c r="B80" s="639" t="s">
        <v>1610</v>
      </c>
      <c r="C80" s="634">
        <f>E80</f>
        <v>0</v>
      </c>
      <c r="D80" s="638"/>
      <c r="E80" s="630"/>
      <c r="F80" s="558">
        <f t="shared" si="30"/>
        <v>0</v>
      </c>
      <c r="G80" s="630"/>
      <c r="H80" s="630"/>
      <c r="I80" s="630"/>
      <c r="J80" s="558">
        <f t="shared" si="31"/>
        <v>0</v>
      </c>
      <c r="K80" s="630"/>
      <c r="L80" s="630"/>
      <c r="M80" s="630"/>
      <c r="N80" s="630"/>
      <c r="O80" s="630"/>
      <c r="P80" s="630"/>
      <c r="Q80" s="537">
        <f>C80+F80-J80-O80</f>
        <v>0</v>
      </c>
      <c r="R80" s="558"/>
      <c r="S80" s="558"/>
      <c r="T80" s="630"/>
      <c r="U80" s="630"/>
      <c r="V80" s="630"/>
      <c r="W80" s="630"/>
      <c r="X80" s="630">
        <f t="shared" si="32"/>
        <v>0</v>
      </c>
      <c r="Y80" s="630"/>
      <c r="Z80" s="630"/>
    </row>
    <row r="81" spans="1:27" x14ac:dyDescent="0.25">
      <c r="A81" s="636"/>
      <c r="B81" s="639" t="s">
        <v>1612</v>
      </c>
      <c r="C81" s="634">
        <f>E81</f>
        <v>0</v>
      </c>
      <c r="D81" s="638"/>
      <c r="E81" s="630"/>
      <c r="F81" s="558">
        <f>G81+H81</f>
        <v>3959.0459999999998</v>
      </c>
      <c r="G81" s="630"/>
      <c r="H81" s="630">
        <f>4310-350.954</f>
        <v>3959.0459999999998</v>
      </c>
      <c r="I81" s="630"/>
      <c r="J81" s="558">
        <f t="shared" si="31"/>
        <v>3959.0459999999998</v>
      </c>
      <c r="K81" s="630"/>
      <c r="L81" s="630">
        <f>H81</f>
        <v>3959.0459999999998</v>
      </c>
      <c r="M81" s="630"/>
      <c r="N81" s="630"/>
      <c r="O81" s="630"/>
      <c r="P81" s="630"/>
      <c r="Q81" s="537">
        <f>C81+F81-J81-O81</f>
        <v>0</v>
      </c>
      <c r="R81" s="558"/>
      <c r="S81" s="558"/>
      <c r="T81" s="630"/>
      <c r="U81" s="630"/>
      <c r="V81" s="630"/>
      <c r="W81" s="630"/>
      <c r="X81" s="630">
        <f t="shared" si="32"/>
        <v>0</v>
      </c>
      <c r="Y81" s="630"/>
      <c r="Z81" s="630"/>
    </row>
    <row r="82" spans="1:27" s="683" customFormat="1" x14ac:dyDescent="0.25">
      <c r="A82" s="636"/>
      <c r="B82" s="639" t="s">
        <v>1611</v>
      </c>
      <c r="C82" s="634">
        <f>E82</f>
        <v>0</v>
      </c>
      <c r="D82" s="630"/>
      <c r="E82" s="630"/>
      <c r="F82" s="558">
        <f t="shared" si="30"/>
        <v>598.66</v>
      </c>
      <c r="G82" s="630"/>
      <c r="H82" s="630">
        <f>473+125.66</f>
        <v>598.66</v>
      </c>
      <c r="I82" s="630"/>
      <c r="J82" s="558">
        <f t="shared" si="31"/>
        <v>572.406296</v>
      </c>
      <c r="K82" s="630"/>
      <c r="L82" s="630">
        <v>572.406296</v>
      </c>
      <c r="M82" s="630"/>
      <c r="N82" s="630"/>
      <c r="O82" s="630"/>
      <c r="P82" s="630"/>
      <c r="Q82" s="537">
        <f>C82+F82-J82-O82</f>
        <v>26.253703999999971</v>
      </c>
      <c r="R82" s="558"/>
      <c r="S82" s="558"/>
      <c r="T82" s="630"/>
      <c r="U82" s="630"/>
      <c r="V82" s="630"/>
      <c r="W82" s="630"/>
      <c r="X82" s="630">
        <f>F82-J82</f>
        <v>26.253703999999971</v>
      </c>
      <c r="Y82" s="630">
        <f>X82</f>
        <v>26.253703999999971</v>
      </c>
      <c r="Z82" s="630"/>
    </row>
    <row r="83" spans="1:27" s="683" customFormat="1" ht="47.25" x14ac:dyDescent="0.25">
      <c r="A83" s="636" t="s">
        <v>489</v>
      </c>
      <c r="B83" s="639" t="s">
        <v>1717</v>
      </c>
      <c r="C83" s="634">
        <f t="shared" si="10"/>
        <v>0</v>
      </c>
      <c r="D83" s="630"/>
      <c r="E83" s="630"/>
      <c r="F83" s="558">
        <f t="shared" si="30"/>
        <v>160</v>
      </c>
      <c r="G83" s="630"/>
      <c r="H83" s="630">
        <v>160</v>
      </c>
      <c r="I83" s="630"/>
      <c r="J83" s="558">
        <f t="shared" si="31"/>
        <v>122.375</v>
      </c>
      <c r="K83" s="630"/>
      <c r="L83" s="630">
        <v>122.375</v>
      </c>
      <c r="M83" s="630"/>
      <c r="N83" s="630"/>
      <c r="O83" s="630"/>
      <c r="P83" s="630"/>
      <c r="Q83" s="537">
        <f>C83+F83-J83-O83</f>
        <v>37.625</v>
      </c>
      <c r="R83" s="558"/>
      <c r="S83" s="558"/>
      <c r="T83" s="630"/>
      <c r="U83" s="630"/>
      <c r="V83" s="630"/>
      <c r="W83" s="630"/>
      <c r="X83" s="630">
        <f>Q83</f>
        <v>37.625</v>
      </c>
      <c r="Y83" s="630">
        <f>Q83</f>
        <v>37.625</v>
      </c>
      <c r="Z83" s="630"/>
    </row>
    <row r="84" spans="1:27" ht="47.25" x14ac:dyDescent="0.25">
      <c r="A84" s="636" t="s">
        <v>1098</v>
      </c>
      <c r="B84" s="639" t="s">
        <v>1718</v>
      </c>
      <c r="C84" s="634"/>
      <c r="D84" s="630"/>
      <c r="E84" s="630"/>
      <c r="F84" s="558">
        <f t="shared" si="30"/>
        <v>100</v>
      </c>
      <c r="G84" s="630"/>
      <c r="H84" s="630">
        <v>100</v>
      </c>
      <c r="I84" s="630"/>
      <c r="J84" s="558"/>
      <c r="K84" s="630"/>
      <c r="L84" s="630">
        <v>100</v>
      </c>
      <c r="M84" s="630"/>
      <c r="N84" s="630"/>
      <c r="O84" s="630"/>
      <c r="P84" s="630"/>
      <c r="Q84" s="537"/>
      <c r="R84" s="558"/>
      <c r="S84" s="558"/>
      <c r="T84" s="630"/>
      <c r="U84" s="630"/>
      <c r="V84" s="630"/>
      <c r="W84" s="630"/>
      <c r="X84" s="630"/>
      <c r="Y84" s="630"/>
      <c r="Z84" s="630"/>
    </row>
    <row r="85" spans="1:27" ht="31.5" x14ac:dyDescent="0.25">
      <c r="A85" s="636" t="s">
        <v>1099</v>
      </c>
      <c r="B85" s="639" t="s">
        <v>1244</v>
      </c>
      <c r="C85" s="634">
        <f t="shared" si="10"/>
        <v>0</v>
      </c>
      <c r="D85" s="630"/>
      <c r="E85" s="630"/>
      <c r="F85" s="558">
        <f t="shared" si="30"/>
        <v>300</v>
      </c>
      <c r="G85" s="630"/>
      <c r="H85" s="630">
        <v>300</v>
      </c>
      <c r="I85" s="630"/>
      <c r="J85" s="558">
        <f t="shared" si="31"/>
        <v>250</v>
      </c>
      <c r="K85" s="630"/>
      <c r="L85" s="630">
        <f>250</f>
        <v>250</v>
      </c>
      <c r="M85" s="630"/>
      <c r="N85" s="630"/>
      <c r="O85" s="630"/>
      <c r="P85" s="630"/>
      <c r="Q85" s="537">
        <f t="shared" ref="Q85:Q101" si="33">C85+F85-J85-O85</f>
        <v>50</v>
      </c>
      <c r="R85" s="558"/>
      <c r="S85" s="558"/>
      <c r="T85" s="630" t="s">
        <v>1315</v>
      </c>
      <c r="U85" s="630"/>
      <c r="V85" s="630"/>
      <c r="W85" s="630"/>
      <c r="X85" s="630">
        <f t="shared" si="32"/>
        <v>50</v>
      </c>
      <c r="Y85" s="630"/>
      <c r="Z85" s="630">
        <f>Q85</f>
        <v>50</v>
      </c>
      <c r="AA85" s="591" t="s">
        <v>1723</v>
      </c>
    </row>
    <row r="86" spans="1:27" s="683" customFormat="1" ht="31.5" x14ac:dyDescent="0.25">
      <c r="A86" s="636" t="s">
        <v>1100</v>
      </c>
      <c r="B86" s="639" t="s">
        <v>1550</v>
      </c>
      <c r="C86" s="634">
        <f t="shared" ref="C86:C101" si="34">D86+E86</f>
        <v>40</v>
      </c>
      <c r="D86" s="630"/>
      <c r="E86" s="630">
        <v>40</v>
      </c>
      <c r="F86" s="558">
        <f t="shared" si="30"/>
        <v>4261</v>
      </c>
      <c r="G86" s="630">
        <v>2661</v>
      </c>
      <c r="H86" s="630">
        <v>1600</v>
      </c>
      <c r="I86" s="630"/>
      <c r="J86" s="558">
        <f t="shared" si="31"/>
        <v>1961</v>
      </c>
      <c r="K86" s="630">
        <v>1961</v>
      </c>
      <c r="L86" s="630"/>
      <c r="M86" s="630"/>
      <c r="N86" s="630"/>
      <c r="O86" s="630"/>
      <c r="P86" s="630"/>
      <c r="Q86" s="537">
        <f t="shared" si="33"/>
        <v>2340</v>
      </c>
      <c r="R86" s="558"/>
      <c r="S86" s="558">
        <v>1600</v>
      </c>
      <c r="T86" s="630">
        <v>540</v>
      </c>
      <c r="U86" s="630"/>
      <c r="V86" s="630"/>
      <c r="W86" s="630"/>
      <c r="X86" s="630">
        <f t="shared" si="32"/>
        <v>200</v>
      </c>
      <c r="Y86" s="630">
        <v>200</v>
      </c>
      <c r="Z86" s="630"/>
    </row>
    <row r="87" spans="1:27" ht="63" x14ac:dyDescent="0.25">
      <c r="A87" s="636" t="s">
        <v>1101</v>
      </c>
      <c r="B87" s="639" t="s">
        <v>1728</v>
      </c>
      <c r="C87" s="634">
        <f t="shared" si="34"/>
        <v>0</v>
      </c>
      <c r="D87" s="630"/>
      <c r="E87" s="630"/>
      <c r="F87" s="558">
        <f t="shared" si="30"/>
        <v>64</v>
      </c>
      <c r="G87" s="630"/>
      <c r="H87" s="630">
        <v>64</v>
      </c>
      <c r="I87" s="630"/>
      <c r="J87" s="558">
        <f t="shared" si="31"/>
        <v>61.243000000000002</v>
      </c>
      <c r="K87" s="630"/>
      <c r="L87" s="630">
        <v>61.243000000000002</v>
      </c>
      <c r="M87" s="630"/>
      <c r="N87" s="630"/>
      <c r="O87" s="630"/>
      <c r="P87" s="630"/>
      <c r="Q87" s="537">
        <f t="shared" si="33"/>
        <v>2.7569999999999979</v>
      </c>
      <c r="R87" s="558"/>
      <c r="S87" s="558"/>
      <c r="T87" s="630"/>
      <c r="U87" s="630"/>
      <c r="V87" s="630"/>
      <c r="W87" s="630"/>
      <c r="X87" s="630">
        <f>H87-L87</f>
        <v>2.7569999999999979</v>
      </c>
      <c r="Y87" s="630"/>
      <c r="Z87" s="630">
        <f>X87</f>
        <v>2.7569999999999979</v>
      </c>
    </row>
    <row r="88" spans="1:27" s="683" customFormat="1" ht="47.25" x14ac:dyDescent="0.25">
      <c r="A88" s="636" t="s">
        <v>1102</v>
      </c>
      <c r="B88" s="639" t="s">
        <v>133</v>
      </c>
      <c r="C88" s="634">
        <f t="shared" si="34"/>
        <v>0</v>
      </c>
      <c r="D88" s="630"/>
      <c r="E88" s="630"/>
      <c r="F88" s="558">
        <f t="shared" si="30"/>
        <v>16.731999999999999</v>
      </c>
      <c r="G88" s="630"/>
      <c r="H88" s="630">
        <f>16.732</f>
        <v>16.731999999999999</v>
      </c>
      <c r="I88" s="630"/>
      <c r="J88" s="558">
        <f t="shared" si="31"/>
        <v>10.397</v>
      </c>
      <c r="K88" s="630"/>
      <c r="L88" s="630">
        <v>10.397</v>
      </c>
      <c r="M88" s="630"/>
      <c r="N88" s="630"/>
      <c r="O88" s="630"/>
      <c r="P88" s="630"/>
      <c r="Q88" s="537">
        <f t="shared" si="33"/>
        <v>6.3349999999999991</v>
      </c>
      <c r="R88" s="558"/>
      <c r="S88" s="558"/>
      <c r="T88" s="630"/>
      <c r="U88" s="630"/>
      <c r="V88" s="630"/>
      <c r="W88" s="630"/>
      <c r="X88" s="630">
        <f>H88-L88</f>
        <v>6.3349999999999991</v>
      </c>
      <c r="Y88" s="630">
        <f>X88</f>
        <v>6.3349999999999991</v>
      </c>
      <c r="Z88" s="630"/>
    </row>
    <row r="89" spans="1:27" s="683" customFormat="1" x14ac:dyDescent="0.25">
      <c r="A89" s="636" t="s">
        <v>1245</v>
      </c>
      <c r="B89" s="639" t="s">
        <v>1551</v>
      </c>
      <c r="C89" s="634">
        <f t="shared" si="34"/>
        <v>0</v>
      </c>
      <c r="D89" s="630"/>
      <c r="E89" s="630"/>
      <c r="F89" s="558">
        <f t="shared" si="30"/>
        <v>130</v>
      </c>
      <c r="G89" s="630"/>
      <c r="H89" s="630">
        <v>130</v>
      </c>
      <c r="I89" s="630"/>
      <c r="J89" s="558">
        <f t="shared" si="31"/>
        <v>123.438</v>
      </c>
      <c r="K89" s="630"/>
      <c r="L89" s="630">
        <v>123.438</v>
      </c>
      <c r="M89" s="630"/>
      <c r="N89" s="630"/>
      <c r="O89" s="630"/>
      <c r="P89" s="630"/>
      <c r="Q89" s="537">
        <f t="shared" si="33"/>
        <v>6.5619999999999976</v>
      </c>
      <c r="R89" s="558"/>
      <c r="S89" s="558"/>
      <c r="T89" s="630"/>
      <c r="U89" s="630"/>
      <c r="V89" s="630"/>
      <c r="W89" s="630"/>
      <c r="X89" s="630">
        <f>F89-J89</f>
        <v>6.5619999999999976</v>
      </c>
      <c r="Y89" s="630">
        <f>X89</f>
        <v>6.5619999999999976</v>
      </c>
      <c r="Z89" s="630"/>
    </row>
    <row r="90" spans="1:27" s="683" customFormat="1" x14ac:dyDescent="0.25">
      <c r="A90" s="636" t="s">
        <v>1246</v>
      </c>
      <c r="B90" s="639" t="s">
        <v>1707</v>
      </c>
      <c r="C90" s="634">
        <f t="shared" si="34"/>
        <v>0</v>
      </c>
      <c r="D90" s="630"/>
      <c r="E90" s="630"/>
      <c r="F90" s="558">
        <f t="shared" si="30"/>
        <v>1546</v>
      </c>
      <c r="G90" s="630">
        <v>1546</v>
      </c>
      <c r="H90" s="630"/>
      <c r="I90" s="630"/>
      <c r="J90" s="558" t="e">
        <f t="shared" si="31"/>
        <v>#REF!</v>
      </c>
      <c r="K90" s="630" t="e">
        <f>'B48'!#REF!</f>
        <v>#REF!</v>
      </c>
      <c r="L90" s="630"/>
      <c r="M90" s="630"/>
      <c r="N90" s="630"/>
      <c r="O90" s="630"/>
      <c r="P90" s="630"/>
      <c r="Q90" s="537" t="e">
        <f t="shared" si="33"/>
        <v>#REF!</v>
      </c>
      <c r="R90" s="558"/>
      <c r="S90" s="558"/>
      <c r="T90" s="630"/>
      <c r="U90" s="630" t="e">
        <f>Q90</f>
        <v>#REF!</v>
      </c>
      <c r="V90" s="630"/>
      <c r="W90" s="630"/>
      <c r="X90" s="630">
        <f t="shared" si="32"/>
        <v>0</v>
      </c>
      <c r="Y90" s="630"/>
      <c r="Z90" s="630"/>
    </row>
    <row r="91" spans="1:27" s="683" customFormat="1" ht="47.25" x14ac:dyDescent="0.25">
      <c r="A91" s="636" t="s">
        <v>1247</v>
      </c>
      <c r="B91" s="639" t="s">
        <v>1727</v>
      </c>
      <c r="C91" s="634">
        <f t="shared" si="34"/>
        <v>0</v>
      </c>
      <c r="D91" s="630"/>
      <c r="E91" s="630"/>
      <c r="F91" s="558">
        <f t="shared" si="30"/>
        <v>56.56</v>
      </c>
      <c r="G91" s="630"/>
      <c r="H91" s="630">
        <v>56.56</v>
      </c>
      <c r="I91" s="630"/>
      <c r="J91" s="558">
        <f t="shared" si="31"/>
        <v>55.34</v>
      </c>
      <c r="K91" s="630"/>
      <c r="L91" s="630">
        <v>55.34</v>
      </c>
      <c r="M91" s="630"/>
      <c r="N91" s="630"/>
      <c r="O91" s="630"/>
      <c r="P91" s="630"/>
      <c r="Q91" s="537">
        <f t="shared" si="33"/>
        <v>1.2199999999999989</v>
      </c>
      <c r="R91" s="558"/>
      <c r="S91" s="558"/>
      <c r="T91" s="630"/>
      <c r="U91" s="630"/>
      <c r="V91" s="630"/>
      <c r="W91" s="630"/>
      <c r="X91" s="630">
        <f t="shared" si="32"/>
        <v>1.2199999999999989</v>
      </c>
      <c r="Y91" s="630">
        <f>Q91</f>
        <v>1.2199999999999989</v>
      </c>
      <c r="Z91" s="630"/>
    </row>
    <row r="92" spans="1:27" ht="47.25" x14ac:dyDescent="0.25">
      <c r="A92" s="636" t="s">
        <v>1248</v>
      </c>
      <c r="B92" s="639" t="s">
        <v>134</v>
      </c>
      <c r="C92" s="634">
        <f t="shared" si="34"/>
        <v>0</v>
      </c>
      <c r="D92" s="630"/>
      <c r="E92" s="630"/>
      <c r="F92" s="558">
        <f t="shared" si="30"/>
        <v>423</v>
      </c>
      <c r="G92" s="630"/>
      <c r="H92" s="630">
        <f>233+190</f>
        <v>423</v>
      </c>
      <c r="I92" s="630"/>
      <c r="J92" s="558">
        <f t="shared" si="31"/>
        <v>423</v>
      </c>
      <c r="K92" s="630"/>
      <c r="L92" s="630">
        <v>423</v>
      </c>
      <c r="M92" s="630"/>
      <c r="N92" s="630"/>
      <c r="O92" s="630"/>
      <c r="P92" s="630"/>
      <c r="Q92" s="537">
        <f t="shared" si="33"/>
        <v>0</v>
      </c>
      <c r="R92" s="558"/>
      <c r="S92" s="558"/>
      <c r="T92" s="630"/>
      <c r="U92" s="630"/>
      <c r="V92" s="630"/>
      <c r="W92" s="630"/>
      <c r="X92" s="630">
        <f t="shared" si="32"/>
        <v>0</v>
      </c>
      <c r="Y92" s="630"/>
      <c r="Z92" s="630"/>
    </row>
    <row r="93" spans="1:27" s="683" customFormat="1" x14ac:dyDescent="0.25">
      <c r="A93" s="636" t="s">
        <v>1249</v>
      </c>
      <c r="B93" s="639" t="s">
        <v>135</v>
      </c>
      <c r="C93" s="634">
        <f t="shared" si="34"/>
        <v>0</v>
      </c>
      <c r="D93" s="630"/>
      <c r="E93" s="630"/>
      <c r="F93" s="558">
        <f t="shared" si="30"/>
        <v>1687.2860000000001</v>
      </c>
      <c r="G93" s="630"/>
      <c r="H93" s="630">
        <f>1403+284.286</f>
        <v>1687.2860000000001</v>
      </c>
      <c r="I93" s="630"/>
      <c r="J93" s="558">
        <f t="shared" si="31"/>
        <v>1623.673</v>
      </c>
      <c r="K93" s="630"/>
      <c r="L93" s="630">
        <v>1623.673</v>
      </c>
      <c r="M93" s="630"/>
      <c r="N93" s="630"/>
      <c r="O93" s="630"/>
      <c r="P93" s="630"/>
      <c r="Q93" s="537">
        <f t="shared" si="33"/>
        <v>63.613000000000056</v>
      </c>
      <c r="R93" s="558"/>
      <c r="S93" s="558"/>
      <c r="T93" s="630"/>
      <c r="U93" s="630"/>
      <c r="V93" s="630"/>
      <c r="W93" s="630"/>
      <c r="X93" s="630">
        <f>Y93+Z93</f>
        <v>63.613000000000056</v>
      </c>
      <c r="Y93" s="630">
        <f>Q93</f>
        <v>63.613000000000056</v>
      </c>
      <c r="Z93" s="630"/>
    </row>
    <row r="94" spans="1:27" ht="31.5" x14ac:dyDescent="0.25">
      <c r="A94" s="636" t="s">
        <v>1720</v>
      </c>
      <c r="B94" s="639" t="s">
        <v>136</v>
      </c>
      <c r="C94" s="634">
        <f t="shared" si="34"/>
        <v>0</v>
      </c>
      <c r="D94" s="630"/>
      <c r="E94" s="630"/>
      <c r="F94" s="558">
        <f t="shared" si="30"/>
        <v>7</v>
      </c>
      <c r="G94" s="630"/>
      <c r="H94" s="630">
        <v>7</v>
      </c>
      <c r="I94" s="630"/>
      <c r="J94" s="558">
        <f t="shared" si="31"/>
        <v>7</v>
      </c>
      <c r="K94" s="630"/>
      <c r="L94" s="630">
        <v>7</v>
      </c>
      <c r="M94" s="630"/>
      <c r="N94" s="630"/>
      <c r="O94" s="630"/>
      <c r="P94" s="630"/>
      <c r="Q94" s="537">
        <f t="shared" si="33"/>
        <v>0</v>
      </c>
      <c r="R94" s="558"/>
      <c r="S94" s="558"/>
      <c r="T94" s="630"/>
      <c r="U94" s="630"/>
      <c r="V94" s="630"/>
      <c r="W94" s="630"/>
      <c r="X94" s="630">
        <f t="shared" si="32"/>
        <v>0</v>
      </c>
      <c r="Y94" s="630"/>
      <c r="Z94" s="630"/>
    </row>
    <row r="95" spans="1:27" s="683" customFormat="1" x14ac:dyDescent="0.25">
      <c r="A95" s="636" t="s">
        <v>1250</v>
      </c>
      <c r="B95" s="639" t="s">
        <v>1252</v>
      </c>
      <c r="C95" s="634">
        <f t="shared" si="34"/>
        <v>0</v>
      </c>
      <c r="D95" s="630"/>
      <c r="E95" s="630"/>
      <c r="F95" s="640">
        <f t="shared" si="30"/>
        <v>1400</v>
      </c>
      <c r="G95" s="630"/>
      <c r="H95" s="640">
        <v>1400</v>
      </c>
      <c r="I95" s="630"/>
      <c r="J95" s="640">
        <f t="shared" si="31"/>
        <v>1230.6884</v>
      </c>
      <c r="K95" s="640"/>
      <c r="L95" s="640">
        <v>1230.6884</v>
      </c>
      <c r="M95" s="640"/>
      <c r="N95" s="640"/>
      <c r="O95" s="640"/>
      <c r="P95" s="640"/>
      <c r="Q95" s="676">
        <f t="shared" si="33"/>
        <v>169.3116</v>
      </c>
      <c r="R95" s="640"/>
      <c r="S95" s="558"/>
      <c r="T95" s="630"/>
      <c r="U95" s="630"/>
      <c r="V95" s="630"/>
      <c r="W95" s="630"/>
      <c r="X95" s="630">
        <f>F95-J95</f>
        <v>169.3116</v>
      </c>
      <c r="Y95" s="630">
        <f>X95</f>
        <v>169.3116</v>
      </c>
      <c r="Z95" s="630"/>
    </row>
    <row r="96" spans="1:27" ht="63" x14ac:dyDescent="0.25">
      <c r="A96" s="636" t="s">
        <v>1251</v>
      </c>
      <c r="B96" s="639" t="s">
        <v>1713</v>
      </c>
      <c r="C96" s="634">
        <f t="shared" si="34"/>
        <v>0</v>
      </c>
      <c r="D96" s="630"/>
      <c r="E96" s="630"/>
      <c r="F96" s="558">
        <f t="shared" si="30"/>
        <v>485.65889499999997</v>
      </c>
      <c r="G96" s="630"/>
      <c r="H96" s="630">
        <v>485.65889499999997</v>
      </c>
      <c r="I96" s="630"/>
      <c r="J96" s="558">
        <f t="shared" si="31"/>
        <v>485.65889499999997</v>
      </c>
      <c r="K96" s="630"/>
      <c r="L96" s="630">
        <f>H96</f>
        <v>485.65889499999997</v>
      </c>
      <c r="M96" s="630"/>
      <c r="N96" s="630"/>
      <c r="O96" s="630"/>
      <c r="P96" s="630"/>
      <c r="Q96" s="537">
        <f t="shared" si="33"/>
        <v>0</v>
      </c>
      <c r="R96" s="558"/>
      <c r="S96" s="558"/>
      <c r="T96" s="630"/>
      <c r="U96" s="630"/>
      <c r="V96" s="630"/>
      <c r="W96" s="630"/>
      <c r="X96" s="630">
        <f t="shared" si="32"/>
        <v>0</v>
      </c>
      <c r="Y96" s="630"/>
      <c r="Z96" s="630"/>
    </row>
    <row r="97" spans="1:26" ht="78.75" x14ac:dyDescent="0.25">
      <c r="A97" s="636" t="s">
        <v>1253</v>
      </c>
      <c r="B97" s="639" t="s">
        <v>1687</v>
      </c>
      <c r="C97" s="634">
        <f t="shared" si="34"/>
        <v>0</v>
      </c>
      <c r="D97" s="630"/>
      <c r="E97" s="630"/>
      <c r="F97" s="558">
        <f t="shared" si="30"/>
        <v>505</v>
      </c>
      <c r="G97" s="630"/>
      <c r="H97" s="630">
        <v>505</v>
      </c>
      <c r="I97" s="630"/>
      <c r="J97" s="558">
        <f t="shared" si="31"/>
        <v>332.10700000000003</v>
      </c>
      <c r="K97" s="630"/>
      <c r="L97" s="630">
        <v>332.10700000000003</v>
      </c>
      <c r="M97" s="630"/>
      <c r="N97" s="630"/>
      <c r="O97" s="630"/>
      <c r="P97" s="630"/>
      <c r="Q97" s="537">
        <f>F97-J97</f>
        <v>172.89299999999997</v>
      </c>
      <c r="R97" s="558"/>
      <c r="S97" s="558"/>
      <c r="T97" s="630"/>
      <c r="U97" s="630"/>
      <c r="V97" s="630"/>
      <c r="W97" s="630"/>
      <c r="X97" s="630">
        <f t="shared" si="32"/>
        <v>172.89299999999997</v>
      </c>
      <c r="Y97" s="630"/>
      <c r="Z97" s="630">
        <f>Q97</f>
        <v>172.89299999999997</v>
      </c>
    </row>
    <row r="98" spans="1:26" s="683" customFormat="1" x14ac:dyDescent="0.25">
      <c r="A98" s="636" t="s">
        <v>1254</v>
      </c>
      <c r="B98" s="639" t="s">
        <v>1553</v>
      </c>
      <c r="C98" s="634">
        <f t="shared" si="34"/>
        <v>0</v>
      </c>
      <c r="D98" s="630"/>
      <c r="E98" s="630"/>
      <c r="F98" s="558">
        <f t="shared" si="30"/>
        <v>1368.45</v>
      </c>
      <c r="G98" s="630"/>
      <c r="H98" s="630">
        <v>1368.45</v>
      </c>
      <c r="I98" s="630"/>
      <c r="J98" s="558">
        <f t="shared" si="31"/>
        <v>1212.5895</v>
      </c>
      <c r="K98" s="630"/>
      <c r="L98" s="630">
        <v>1212.5895</v>
      </c>
      <c r="M98" s="630"/>
      <c r="N98" s="630"/>
      <c r="O98" s="630"/>
      <c r="P98" s="630"/>
      <c r="Q98" s="537">
        <f t="shared" si="33"/>
        <v>155.8605</v>
      </c>
      <c r="R98" s="558"/>
      <c r="S98" s="558"/>
      <c r="T98" s="630"/>
      <c r="U98" s="630"/>
      <c r="V98" s="630"/>
      <c r="W98" s="630"/>
      <c r="X98" s="630">
        <f t="shared" si="32"/>
        <v>155.8605</v>
      </c>
      <c r="Y98" s="630">
        <f>Q98</f>
        <v>155.8605</v>
      </c>
      <c r="Z98" s="630"/>
    </row>
    <row r="99" spans="1:26" s="683" customFormat="1" ht="31.5" x14ac:dyDescent="0.25">
      <c r="A99" s="636" t="s">
        <v>1255</v>
      </c>
      <c r="B99" s="639" t="s">
        <v>1329</v>
      </c>
      <c r="C99" s="634">
        <f t="shared" si="34"/>
        <v>1451.4369999999999</v>
      </c>
      <c r="D99" s="630">
        <v>1451.4369999999999</v>
      </c>
      <c r="E99" s="630"/>
      <c r="F99" s="558">
        <f t="shared" si="30"/>
        <v>0</v>
      </c>
      <c r="G99" s="630"/>
      <c r="H99" s="630"/>
      <c r="I99" s="630"/>
      <c r="J99" s="558">
        <f>K99+L99</f>
        <v>1404.3143299999999</v>
      </c>
      <c r="K99" s="630">
        <f>1270+134.31433</f>
        <v>1404.3143299999999</v>
      </c>
      <c r="L99" s="630"/>
      <c r="M99" s="630"/>
      <c r="N99" s="630"/>
      <c r="O99" s="630"/>
      <c r="P99" s="630"/>
      <c r="Q99" s="537">
        <f t="shared" si="33"/>
        <v>47.122669999999971</v>
      </c>
      <c r="R99" s="558"/>
      <c r="S99" s="558">
        <v>30</v>
      </c>
      <c r="T99" s="630"/>
      <c r="U99" s="630"/>
      <c r="V99" s="630"/>
      <c r="W99" s="630"/>
      <c r="X99" s="630">
        <f>Q99-S99</f>
        <v>17.122669999999971</v>
      </c>
      <c r="Y99" s="630">
        <f>X99</f>
        <v>17.122669999999971</v>
      </c>
      <c r="Z99" s="630"/>
    </row>
    <row r="100" spans="1:26" s="683" customFormat="1" ht="31.5" x14ac:dyDescent="0.25">
      <c r="A100" s="636" t="s">
        <v>1256</v>
      </c>
      <c r="B100" s="639" t="s">
        <v>1329</v>
      </c>
      <c r="C100" s="634"/>
      <c r="D100" s="630"/>
      <c r="E100" s="630"/>
      <c r="F100" s="558"/>
      <c r="G100" s="630"/>
      <c r="H100" s="630">
        <v>1277.44</v>
      </c>
      <c r="I100" s="630"/>
      <c r="J100" s="558"/>
      <c r="K100" s="630"/>
      <c r="L100" s="630">
        <v>1252.7333839999999</v>
      </c>
      <c r="M100" s="630"/>
      <c r="N100" s="630"/>
      <c r="O100" s="630"/>
      <c r="P100" s="630"/>
      <c r="Q100" s="537">
        <f>H100-L100</f>
        <v>24.706616000000167</v>
      </c>
      <c r="R100" s="558"/>
      <c r="S100" s="558"/>
      <c r="T100" s="630"/>
      <c r="U100" s="630"/>
      <c r="V100" s="630"/>
      <c r="W100" s="630"/>
      <c r="X100" s="630">
        <f>Y100</f>
        <v>24.706616000000167</v>
      </c>
      <c r="Y100" s="630">
        <f>Q100</f>
        <v>24.706616000000167</v>
      </c>
      <c r="Z100" s="630"/>
    </row>
    <row r="101" spans="1:26" s="683" customFormat="1" ht="63" x14ac:dyDescent="0.25">
      <c r="A101" s="679" t="s">
        <v>1726</v>
      </c>
      <c r="B101" s="680" t="s">
        <v>1677</v>
      </c>
      <c r="C101" s="681">
        <f t="shared" si="34"/>
        <v>0</v>
      </c>
      <c r="D101" s="682"/>
      <c r="E101" s="682"/>
      <c r="F101" s="576">
        <f t="shared" si="30"/>
        <v>120</v>
      </c>
      <c r="G101" s="682"/>
      <c r="H101" s="682">
        <v>120</v>
      </c>
      <c r="I101" s="682"/>
      <c r="J101" s="576">
        <f t="shared" si="31"/>
        <v>80.8</v>
      </c>
      <c r="K101" s="682"/>
      <c r="L101" s="682">
        <v>80.8</v>
      </c>
      <c r="M101" s="682"/>
      <c r="N101" s="682"/>
      <c r="O101" s="682"/>
      <c r="P101" s="682"/>
      <c r="Q101" s="575">
        <f t="shared" si="33"/>
        <v>39.200000000000003</v>
      </c>
      <c r="R101" s="576"/>
      <c r="S101" s="576"/>
      <c r="T101" s="682"/>
      <c r="U101" s="682"/>
      <c r="V101" s="682"/>
      <c r="W101" s="682"/>
      <c r="X101" s="682">
        <f>Q101</f>
        <v>39.200000000000003</v>
      </c>
      <c r="Y101" s="682"/>
      <c r="Z101" s="682">
        <f>X101</f>
        <v>39.200000000000003</v>
      </c>
    </row>
    <row r="106" spans="1:26" s="686" customFormat="1" x14ac:dyDescent="0.25">
      <c r="C106" s="687"/>
      <c r="D106" s="687"/>
      <c r="E106" s="687"/>
      <c r="F106" s="687"/>
      <c r="G106" s="687"/>
      <c r="H106" s="687"/>
      <c r="I106" s="687"/>
      <c r="J106" s="687"/>
      <c r="K106" s="687"/>
      <c r="L106" s="687"/>
      <c r="M106" s="687"/>
      <c r="N106" s="687"/>
      <c r="O106" s="687"/>
      <c r="P106" s="687"/>
      <c r="Q106" s="688"/>
      <c r="R106" s="687"/>
      <c r="S106" s="687"/>
      <c r="T106" s="687"/>
      <c r="U106" s="687"/>
      <c r="V106" s="687"/>
      <c r="W106" s="687"/>
      <c r="X106" s="687"/>
      <c r="Y106" s="687"/>
      <c r="Z106" s="687"/>
    </row>
    <row r="107" spans="1:26" s="686" customFormat="1" x14ac:dyDescent="0.25">
      <c r="C107" s="687"/>
      <c r="D107" s="687"/>
      <c r="E107" s="687"/>
      <c r="F107" s="687"/>
      <c r="G107" s="687"/>
      <c r="H107" s="687"/>
      <c r="I107" s="687"/>
      <c r="J107" s="687"/>
      <c r="K107" s="687"/>
      <c r="L107" s="687"/>
      <c r="M107" s="687"/>
      <c r="N107" s="687"/>
      <c r="O107" s="687"/>
      <c r="P107" s="687"/>
      <c r="Q107" s="688"/>
      <c r="R107" s="687"/>
      <c r="S107" s="687"/>
      <c r="T107" s="687"/>
      <c r="U107" s="687"/>
      <c r="V107" s="687"/>
      <c r="W107" s="687"/>
      <c r="X107" s="687"/>
      <c r="Y107" s="687"/>
      <c r="Z107" s="687"/>
    </row>
    <row r="108" spans="1:26" s="686" customFormat="1" x14ac:dyDescent="0.25">
      <c r="C108" s="687"/>
      <c r="D108" s="687"/>
      <c r="E108" s="687"/>
      <c r="F108" s="687"/>
      <c r="G108" s="687"/>
      <c r="H108" s="687"/>
      <c r="I108" s="687"/>
      <c r="J108" s="687"/>
      <c r="K108" s="687"/>
      <c r="L108" s="687"/>
      <c r="M108" s="687"/>
      <c r="N108" s="687"/>
      <c r="O108" s="687"/>
      <c r="P108" s="687"/>
      <c r="Q108" s="688"/>
      <c r="R108" s="687"/>
      <c r="S108" s="687"/>
      <c r="T108" s="687"/>
      <c r="U108" s="687"/>
      <c r="V108" s="687"/>
      <c r="W108" s="687"/>
      <c r="X108" s="687"/>
      <c r="Y108" s="687"/>
      <c r="Z108" s="687"/>
    </row>
    <row r="109" spans="1:26" s="686" customFormat="1" x14ac:dyDescent="0.25">
      <c r="C109" s="687"/>
      <c r="D109" s="687"/>
      <c r="E109" s="687"/>
      <c r="F109" s="687"/>
      <c r="G109" s="687"/>
      <c r="H109" s="687"/>
      <c r="I109" s="687"/>
      <c r="J109" s="687"/>
      <c r="K109" s="687"/>
      <c r="L109" s="687"/>
      <c r="M109" s="687"/>
      <c r="N109" s="687"/>
      <c r="O109" s="687"/>
      <c r="P109" s="687"/>
      <c r="Q109" s="688"/>
      <c r="R109" s="687"/>
      <c r="S109" s="687"/>
      <c r="T109" s="687"/>
      <c r="U109" s="687"/>
      <c r="V109" s="687"/>
      <c r="W109" s="687"/>
      <c r="X109" s="687"/>
      <c r="Y109" s="687"/>
      <c r="Z109" s="687"/>
    </row>
    <row r="110" spans="1:26" s="686" customFormat="1" x14ac:dyDescent="0.25">
      <c r="C110" s="687"/>
      <c r="D110" s="687"/>
      <c r="E110" s="687"/>
      <c r="F110" s="687"/>
      <c r="G110" s="687"/>
      <c r="H110" s="687"/>
      <c r="I110" s="687"/>
      <c r="J110" s="687"/>
      <c r="K110" s="687"/>
      <c r="L110" s="687"/>
      <c r="M110" s="687"/>
      <c r="N110" s="687"/>
      <c r="O110" s="687"/>
      <c r="P110" s="687"/>
      <c r="Q110" s="688"/>
      <c r="R110" s="687"/>
      <c r="S110" s="687"/>
      <c r="T110" s="687"/>
      <c r="U110" s="687"/>
      <c r="V110" s="687"/>
      <c r="W110" s="687"/>
      <c r="X110" s="687"/>
      <c r="Y110" s="687"/>
      <c r="Z110" s="687"/>
    </row>
    <row r="111" spans="1:26" s="686" customFormat="1" x14ac:dyDescent="0.25">
      <c r="C111" s="687"/>
      <c r="D111" s="687"/>
      <c r="E111" s="687"/>
      <c r="F111" s="687"/>
      <c r="G111" s="687"/>
      <c r="H111" s="687"/>
      <c r="I111" s="687"/>
      <c r="J111" s="687"/>
      <c r="K111" s="687"/>
      <c r="L111" s="687"/>
      <c r="M111" s="687"/>
      <c r="N111" s="687"/>
      <c r="O111" s="687"/>
      <c r="P111" s="687"/>
      <c r="Q111" s="688"/>
      <c r="R111" s="687"/>
      <c r="S111" s="687"/>
      <c r="T111" s="687"/>
      <c r="U111" s="687"/>
      <c r="V111" s="687"/>
      <c r="W111" s="687"/>
      <c r="X111" s="687"/>
      <c r="Y111" s="687"/>
      <c r="Z111" s="687"/>
    </row>
    <row r="112" spans="1:26" s="686" customFormat="1" x14ac:dyDescent="0.25">
      <c r="C112" s="687"/>
      <c r="D112" s="687"/>
      <c r="E112" s="687"/>
      <c r="F112" s="687"/>
      <c r="G112" s="687"/>
      <c r="H112" s="687"/>
      <c r="I112" s="687"/>
      <c r="J112" s="687"/>
      <c r="K112" s="687"/>
      <c r="L112" s="687"/>
      <c r="M112" s="687"/>
      <c r="N112" s="687"/>
      <c r="O112" s="687"/>
      <c r="P112" s="687"/>
      <c r="Q112" s="688"/>
      <c r="R112" s="687"/>
      <c r="S112" s="687"/>
      <c r="T112" s="687"/>
      <c r="U112" s="687"/>
      <c r="V112" s="687"/>
      <c r="W112" s="687"/>
      <c r="X112" s="687"/>
      <c r="Y112" s="687"/>
      <c r="Z112" s="687"/>
    </row>
    <row r="113" spans="3:26" s="686" customFormat="1" x14ac:dyDescent="0.25">
      <c r="C113" s="687"/>
      <c r="D113" s="687"/>
      <c r="E113" s="687"/>
      <c r="F113" s="687"/>
      <c r="G113" s="687"/>
      <c r="H113" s="687"/>
      <c r="I113" s="687"/>
      <c r="J113" s="687"/>
      <c r="K113" s="687"/>
      <c r="L113" s="4036" t="s">
        <v>104</v>
      </c>
      <c r="M113" s="4036"/>
      <c r="N113" s="4036"/>
      <c r="O113" s="4036"/>
      <c r="P113" s="4036"/>
      <c r="Q113" s="4036"/>
      <c r="R113" s="4036"/>
      <c r="S113" s="4036"/>
      <c r="T113" s="4036"/>
      <c r="U113" s="697"/>
      <c r="V113" s="687"/>
      <c r="W113" s="687"/>
      <c r="X113" s="687"/>
      <c r="Y113" s="687"/>
      <c r="Z113" s="687"/>
    </row>
    <row r="114" spans="3:26" s="686" customFormat="1" x14ac:dyDescent="0.25">
      <c r="C114" s="687"/>
      <c r="D114" s="687"/>
      <c r="E114" s="687"/>
      <c r="F114" s="687"/>
      <c r="G114" s="687"/>
      <c r="H114" s="687"/>
      <c r="I114" s="687"/>
      <c r="J114" s="687"/>
      <c r="K114" s="687"/>
      <c r="L114" s="4037" t="s">
        <v>1441</v>
      </c>
      <c r="M114" s="4037"/>
      <c r="N114" s="4037"/>
      <c r="O114" s="4037"/>
      <c r="P114" s="4037"/>
      <c r="Q114" s="4037"/>
      <c r="R114" s="4037"/>
      <c r="S114" s="4037"/>
      <c r="T114" s="4037"/>
      <c r="U114" s="696"/>
      <c r="V114" s="687"/>
      <c r="W114" s="687"/>
      <c r="X114" s="687"/>
      <c r="Y114" s="687"/>
      <c r="Z114" s="687"/>
    </row>
    <row r="115" spans="3:26" s="686" customFormat="1" x14ac:dyDescent="0.25">
      <c r="C115" s="687"/>
      <c r="D115" s="687"/>
      <c r="E115" s="687"/>
      <c r="F115" s="687"/>
      <c r="G115" s="687"/>
      <c r="H115" s="687"/>
      <c r="I115" s="687"/>
      <c r="J115" s="687"/>
      <c r="K115" s="687"/>
      <c r="L115" s="696"/>
      <c r="M115" s="696"/>
      <c r="N115" s="696"/>
      <c r="O115" s="696"/>
      <c r="P115" s="696"/>
      <c r="Q115" s="689"/>
      <c r="R115" s="696"/>
      <c r="S115" s="696"/>
      <c r="T115" s="696"/>
      <c r="U115" s="696"/>
      <c r="V115" s="687"/>
      <c r="W115" s="687"/>
      <c r="X115" s="687"/>
      <c r="Y115" s="687"/>
      <c r="Z115" s="687"/>
    </row>
    <row r="116" spans="3:26" s="686" customFormat="1" x14ac:dyDescent="0.25">
      <c r="C116" s="687"/>
      <c r="D116" s="687"/>
      <c r="E116" s="687"/>
      <c r="F116" s="687"/>
      <c r="G116" s="687"/>
      <c r="H116" s="687"/>
      <c r="I116" s="687"/>
      <c r="J116" s="687"/>
      <c r="K116" s="687"/>
      <c r="L116" s="696"/>
      <c r="M116" s="696"/>
      <c r="N116" s="696"/>
      <c r="O116" s="696"/>
      <c r="P116" s="696"/>
      <c r="Q116" s="689"/>
      <c r="R116" s="696"/>
      <c r="S116" s="696"/>
      <c r="T116" s="696"/>
      <c r="U116" s="696"/>
      <c r="V116" s="687"/>
      <c r="W116" s="687"/>
      <c r="X116" s="687"/>
      <c r="Y116" s="687"/>
      <c r="Z116" s="687"/>
    </row>
    <row r="117" spans="3:26" s="686" customFormat="1" x14ac:dyDescent="0.25">
      <c r="C117" s="687"/>
      <c r="D117" s="687"/>
      <c r="E117" s="687"/>
      <c r="F117" s="687"/>
      <c r="G117" s="687"/>
      <c r="H117" s="687"/>
      <c r="I117" s="687"/>
      <c r="J117" s="687"/>
      <c r="K117" s="687"/>
      <c r="L117" s="696"/>
      <c r="M117" s="696"/>
      <c r="N117" s="696"/>
      <c r="O117" s="696"/>
      <c r="P117" s="696"/>
      <c r="Q117" s="689"/>
      <c r="R117" s="696"/>
      <c r="S117" s="696"/>
      <c r="T117" s="696"/>
      <c r="U117" s="696"/>
      <c r="V117" s="687"/>
      <c r="W117" s="687"/>
      <c r="X117" s="687"/>
      <c r="Y117" s="687"/>
      <c r="Z117" s="687"/>
    </row>
    <row r="118" spans="3:26" s="686" customFormat="1" x14ac:dyDescent="0.25">
      <c r="C118" s="687"/>
      <c r="D118" s="687"/>
      <c r="E118" s="687"/>
      <c r="F118" s="687"/>
      <c r="G118" s="687"/>
      <c r="H118" s="687"/>
      <c r="I118" s="687"/>
      <c r="J118" s="687"/>
      <c r="K118" s="687"/>
      <c r="L118" s="4036"/>
      <c r="M118" s="4036"/>
      <c r="N118" s="4036"/>
      <c r="O118" s="4036"/>
      <c r="P118" s="4036"/>
      <c r="Q118" s="4036"/>
      <c r="R118" s="4036"/>
      <c r="S118" s="4036"/>
      <c r="T118" s="4036"/>
      <c r="U118" s="697"/>
      <c r="V118" s="687"/>
      <c r="W118" s="687"/>
      <c r="X118" s="687"/>
      <c r="Y118" s="687"/>
      <c r="Z118" s="687"/>
    </row>
    <row r="119" spans="3:26" s="686" customFormat="1" x14ac:dyDescent="0.25">
      <c r="C119" s="687"/>
      <c r="D119" s="687"/>
      <c r="E119" s="687"/>
      <c r="F119" s="687"/>
      <c r="G119" s="687"/>
      <c r="H119" s="687"/>
      <c r="I119" s="687"/>
      <c r="J119" s="687"/>
      <c r="K119" s="687"/>
      <c r="L119" s="690"/>
      <c r="M119" s="690"/>
      <c r="N119" s="690"/>
      <c r="O119" s="691"/>
      <c r="P119" s="691"/>
      <c r="Q119" s="692"/>
      <c r="R119" s="691"/>
      <c r="S119" s="691"/>
      <c r="T119" s="691"/>
      <c r="U119" s="691"/>
      <c r="V119" s="687"/>
      <c r="W119" s="687"/>
      <c r="X119" s="687"/>
      <c r="Y119" s="687"/>
      <c r="Z119" s="687"/>
    </row>
    <row r="120" spans="3:26" s="686" customFormat="1" x14ac:dyDescent="0.25">
      <c r="C120" s="687"/>
      <c r="D120" s="687"/>
      <c r="E120" s="687"/>
      <c r="F120" s="687"/>
      <c r="G120" s="687"/>
      <c r="H120" s="687"/>
      <c r="I120" s="687"/>
      <c r="J120" s="687"/>
      <c r="K120" s="687"/>
      <c r="L120" s="4038" t="s">
        <v>808</v>
      </c>
      <c r="M120" s="4038"/>
      <c r="N120" s="4038"/>
      <c r="O120" s="4038"/>
      <c r="P120" s="4038"/>
      <c r="Q120" s="4038"/>
      <c r="R120" s="4038"/>
      <c r="S120" s="4038"/>
      <c r="T120" s="4038"/>
      <c r="U120" s="699"/>
      <c r="V120" s="687"/>
      <c r="W120" s="687"/>
      <c r="X120" s="687"/>
      <c r="Y120" s="687"/>
      <c r="Z120" s="687"/>
    </row>
  </sheetData>
  <mergeCells count="45">
    <mergeCell ref="W7:W9"/>
    <mergeCell ref="X7:Z7"/>
    <mergeCell ref="U8:U9"/>
    <mergeCell ref="V8:V9"/>
    <mergeCell ref="X8:X9"/>
    <mergeCell ref="Y8:Y9"/>
    <mergeCell ref="L113:T113"/>
    <mergeCell ref="L114:T114"/>
    <mergeCell ref="L118:T118"/>
    <mergeCell ref="L120:T120"/>
    <mergeCell ref="R7:R9"/>
    <mergeCell ref="S7:S9"/>
    <mergeCell ref="T7:T9"/>
    <mergeCell ref="W6:Z6"/>
    <mergeCell ref="D7:D9"/>
    <mergeCell ref="E7:E9"/>
    <mergeCell ref="G7:G9"/>
    <mergeCell ref="H7:H9"/>
    <mergeCell ref="K7:K9"/>
    <mergeCell ref="L7:L9"/>
    <mergeCell ref="M7:M9"/>
    <mergeCell ref="N7:N9"/>
    <mergeCell ref="P5:P9"/>
    <mergeCell ref="Q5:Z5"/>
    <mergeCell ref="J6:J9"/>
    <mergeCell ref="K6:L6"/>
    <mergeCell ref="Q6:Q9"/>
    <mergeCell ref="Z8:Z9"/>
    <mergeCell ref="U7:V7"/>
    <mergeCell ref="W1:Z1"/>
    <mergeCell ref="A2:Z2"/>
    <mergeCell ref="A3:Z3"/>
    <mergeCell ref="Q4:Z4"/>
    <mergeCell ref="A5:A9"/>
    <mergeCell ref="B5:B9"/>
    <mergeCell ref="C5:E5"/>
    <mergeCell ref="F5:I5"/>
    <mergeCell ref="J5:N5"/>
    <mergeCell ref="O5:O9"/>
    <mergeCell ref="C6:C9"/>
    <mergeCell ref="D6:E6"/>
    <mergeCell ref="F6:F9"/>
    <mergeCell ref="G6:H6"/>
    <mergeCell ref="I6:I9"/>
    <mergeCell ref="R6:V6"/>
  </mergeCells>
  <pageMargins left="0.95" right="0.7" top="0.75" bottom="0.75" header="0.3" footer="0.3"/>
  <pageSetup paperSize="9" scale="55" orientation="landscape" r:id="rId1"/>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7030A0"/>
  </sheetPr>
  <dimension ref="A1:L37"/>
  <sheetViews>
    <sheetView workbookViewId="0">
      <selection activeCell="C22" sqref="C22"/>
    </sheetView>
  </sheetViews>
  <sheetFormatPr defaultColWidth="9.140625" defaultRowHeight="16.5" x14ac:dyDescent="0.25"/>
  <cols>
    <col min="1" max="1" width="5.140625" style="123" customWidth="1"/>
    <col min="2" max="2" width="38.7109375" style="124" customWidth="1"/>
    <col min="3" max="3" width="15" style="123" customWidth="1"/>
    <col min="4" max="4" width="16.42578125" style="123" customWidth="1"/>
    <col min="5" max="5" width="11.7109375" style="123" customWidth="1"/>
    <col min="6" max="16384" width="9.140625" style="123"/>
  </cols>
  <sheetData>
    <row r="1" spans="1:5" x14ac:dyDescent="0.25">
      <c r="A1" s="109" t="s">
        <v>642</v>
      </c>
      <c r="D1" s="4730"/>
      <c r="E1" s="4730"/>
    </row>
    <row r="2" spans="1:5" x14ac:dyDescent="0.25">
      <c r="A2" s="4729" t="s">
        <v>754</v>
      </c>
      <c r="B2" s="4729"/>
      <c r="C2" s="4729"/>
      <c r="D2" s="4729"/>
      <c r="E2" s="4729"/>
    </row>
    <row r="3" spans="1:5" x14ac:dyDescent="0.25">
      <c r="D3" s="4731" t="s">
        <v>493</v>
      </c>
      <c r="E3" s="4731"/>
    </row>
    <row r="4" spans="1:5" ht="49.5" x14ac:dyDescent="0.25">
      <c r="A4" s="114" t="s">
        <v>844</v>
      </c>
      <c r="B4" s="114" t="s">
        <v>755</v>
      </c>
      <c r="C4" s="114" t="s">
        <v>774</v>
      </c>
      <c r="D4" s="114" t="s">
        <v>775</v>
      </c>
      <c r="E4" s="114" t="s">
        <v>776</v>
      </c>
    </row>
    <row r="5" spans="1:5" x14ac:dyDescent="0.25">
      <c r="A5" s="118" t="s">
        <v>847</v>
      </c>
      <c r="B5" s="126" t="s">
        <v>848</v>
      </c>
      <c r="C5" s="118">
        <v>1</v>
      </c>
      <c r="D5" s="118">
        <v>2</v>
      </c>
      <c r="E5" s="118" t="s">
        <v>298</v>
      </c>
    </row>
    <row r="6" spans="1:5" s="125" customFormat="1" x14ac:dyDescent="0.25">
      <c r="A6" s="127"/>
      <c r="B6" s="114" t="s">
        <v>886</v>
      </c>
      <c r="C6" s="127"/>
      <c r="D6" s="127"/>
      <c r="E6" s="127"/>
    </row>
    <row r="7" spans="1:5" s="125" customFormat="1" ht="33" x14ac:dyDescent="0.25">
      <c r="A7" s="151" t="s">
        <v>849</v>
      </c>
      <c r="B7" s="152" t="s">
        <v>343</v>
      </c>
      <c r="C7" s="151"/>
      <c r="D7" s="151"/>
      <c r="E7" s="151"/>
    </row>
    <row r="8" spans="1:5" s="125" customFormat="1" ht="17.25" x14ac:dyDescent="0.25">
      <c r="A8" s="153" t="s">
        <v>847</v>
      </c>
      <c r="B8" s="154" t="s">
        <v>777</v>
      </c>
      <c r="C8" s="153"/>
      <c r="D8" s="153"/>
      <c r="E8" s="153"/>
    </row>
    <row r="9" spans="1:5" x14ac:dyDescent="0.25">
      <c r="A9" s="155"/>
      <c r="B9" s="156" t="s">
        <v>778</v>
      </c>
      <c r="C9" s="155"/>
      <c r="D9" s="155"/>
      <c r="E9" s="155"/>
    </row>
    <row r="10" spans="1:5" x14ac:dyDescent="0.25">
      <c r="A10" s="155"/>
      <c r="B10" s="156" t="s">
        <v>779</v>
      </c>
      <c r="C10" s="155"/>
      <c r="D10" s="155"/>
      <c r="E10" s="155"/>
    </row>
    <row r="11" spans="1:5" s="125" customFormat="1" ht="17.25" x14ac:dyDescent="0.25">
      <c r="A11" s="153" t="s">
        <v>848</v>
      </c>
      <c r="B11" s="154" t="s">
        <v>780</v>
      </c>
      <c r="C11" s="153"/>
      <c r="D11" s="153"/>
      <c r="E11" s="153"/>
    </row>
    <row r="12" spans="1:5" x14ac:dyDescent="0.25">
      <c r="A12" s="155">
        <v>1</v>
      </c>
      <c r="B12" s="156" t="s">
        <v>778</v>
      </c>
      <c r="C12" s="155"/>
      <c r="D12" s="155"/>
      <c r="E12" s="155"/>
    </row>
    <row r="13" spans="1:5" x14ac:dyDescent="0.25">
      <c r="A13" s="155">
        <v>2</v>
      </c>
      <c r="B13" s="156" t="s">
        <v>779</v>
      </c>
      <c r="C13" s="155"/>
      <c r="D13" s="155"/>
      <c r="E13" s="155"/>
    </row>
    <row r="14" spans="1:5" s="125" customFormat="1" x14ac:dyDescent="0.25">
      <c r="A14" s="153" t="s">
        <v>866</v>
      </c>
      <c r="B14" s="157" t="s">
        <v>952</v>
      </c>
      <c r="C14" s="153"/>
      <c r="D14" s="153"/>
      <c r="E14" s="153"/>
    </row>
    <row r="15" spans="1:5" s="125" customFormat="1" ht="17.25" x14ac:dyDescent="0.25">
      <c r="A15" s="153" t="s">
        <v>847</v>
      </c>
      <c r="B15" s="154" t="s">
        <v>781</v>
      </c>
      <c r="C15" s="153"/>
      <c r="D15" s="153"/>
      <c r="E15" s="153"/>
    </row>
    <row r="16" spans="1:5" x14ac:dyDescent="0.25">
      <c r="A16" s="155">
        <v>1</v>
      </c>
      <c r="B16" s="156" t="s">
        <v>782</v>
      </c>
      <c r="C16" s="155"/>
      <c r="D16" s="155"/>
      <c r="E16" s="155"/>
    </row>
    <row r="17" spans="1:5" x14ac:dyDescent="0.25">
      <c r="A17" s="155">
        <v>2</v>
      </c>
      <c r="B17" s="156" t="s">
        <v>783</v>
      </c>
      <c r="C17" s="155"/>
      <c r="D17" s="155"/>
      <c r="E17" s="155"/>
    </row>
    <row r="18" spans="1:5" x14ac:dyDescent="0.25">
      <c r="A18" s="155">
        <v>3</v>
      </c>
      <c r="B18" s="156" t="s">
        <v>784</v>
      </c>
      <c r="C18" s="155"/>
      <c r="D18" s="155"/>
      <c r="E18" s="155"/>
    </row>
    <row r="19" spans="1:5" s="125" customFormat="1" ht="17.25" x14ac:dyDescent="0.25">
      <c r="A19" s="153" t="s">
        <v>848</v>
      </c>
      <c r="B19" s="154" t="s">
        <v>785</v>
      </c>
      <c r="C19" s="153"/>
      <c r="D19" s="153"/>
      <c r="E19" s="153"/>
    </row>
    <row r="20" spans="1:5" x14ac:dyDescent="0.25">
      <c r="A20" s="155">
        <v>1</v>
      </c>
      <c r="B20" s="156" t="s">
        <v>784</v>
      </c>
      <c r="C20" s="155"/>
      <c r="D20" s="155"/>
      <c r="E20" s="155"/>
    </row>
    <row r="21" spans="1:5" x14ac:dyDescent="0.25">
      <c r="A21" s="155">
        <v>2</v>
      </c>
      <c r="B21" s="156" t="s">
        <v>783</v>
      </c>
      <c r="C21" s="155"/>
      <c r="D21" s="155"/>
      <c r="E21" s="155"/>
    </row>
    <row r="22" spans="1:5" s="125" customFormat="1" ht="34.5" x14ac:dyDescent="0.25">
      <c r="A22" s="153" t="s">
        <v>904</v>
      </c>
      <c r="B22" s="154" t="s">
        <v>786</v>
      </c>
      <c r="C22" s="153"/>
      <c r="D22" s="153"/>
      <c r="E22" s="153"/>
    </row>
    <row r="23" spans="1:5" x14ac:dyDescent="0.25">
      <c r="A23" s="155">
        <v>1</v>
      </c>
      <c r="B23" s="156" t="s">
        <v>782</v>
      </c>
      <c r="C23" s="155"/>
      <c r="D23" s="155"/>
      <c r="E23" s="155"/>
    </row>
    <row r="24" spans="1:5" x14ac:dyDescent="0.25">
      <c r="A24" s="155">
        <v>2</v>
      </c>
      <c r="B24" s="156" t="s">
        <v>779</v>
      </c>
      <c r="C24" s="155"/>
      <c r="D24" s="155"/>
      <c r="E24" s="155"/>
    </row>
    <row r="25" spans="1:5" s="125" customFormat="1" ht="17.25" x14ac:dyDescent="0.25">
      <c r="A25" s="153" t="s">
        <v>927</v>
      </c>
      <c r="B25" s="154" t="s">
        <v>787</v>
      </c>
      <c r="C25" s="153"/>
      <c r="D25" s="153"/>
      <c r="E25" s="153"/>
    </row>
    <row r="26" spans="1:5" x14ac:dyDescent="0.25">
      <c r="A26" s="155">
        <v>1</v>
      </c>
      <c r="B26" s="156" t="s">
        <v>779</v>
      </c>
      <c r="C26" s="155"/>
      <c r="D26" s="155"/>
      <c r="E26" s="155"/>
    </row>
    <row r="27" spans="1:5" x14ac:dyDescent="0.25">
      <c r="A27" s="155">
        <v>2</v>
      </c>
      <c r="B27" s="156" t="s">
        <v>788</v>
      </c>
      <c r="C27" s="155"/>
      <c r="D27" s="155"/>
      <c r="E27" s="155"/>
    </row>
    <row r="28" spans="1:5" s="125" customFormat="1" x14ac:dyDescent="0.25">
      <c r="A28" s="153" t="s">
        <v>872</v>
      </c>
      <c r="B28" s="157" t="s">
        <v>789</v>
      </c>
      <c r="C28" s="153"/>
      <c r="D28" s="153"/>
      <c r="E28" s="153"/>
    </row>
    <row r="29" spans="1:5" x14ac:dyDescent="0.25">
      <c r="A29" s="155">
        <v>1</v>
      </c>
      <c r="B29" s="158" t="s">
        <v>895</v>
      </c>
      <c r="C29" s="155"/>
      <c r="D29" s="155"/>
      <c r="E29" s="155"/>
    </row>
    <row r="30" spans="1:5" x14ac:dyDescent="0.25">
      <c r="A30" s="155">
        <v>2</v>
      </c>
      <c r="B30" s="158" t="s">
        <v>895</v>
      </c>
      <c r="C30" s="155"/>
      <c r="D30" s="155"/>
      <c r="E30" s="155"/>
    </row>
    <row r="31" spans="1:5" x14ac:dyDescent="0.25">
      <c r="A31" s="155" t="s">
        <v>1479</v>
      </c>
      <c r="B31" s="158" t="s">
        <v>790</v>
      </c>
      <c r="C31" s="155"/>
      <c r="D31" s="155"/>
      <c r="E31" s="155"/>
    </row>
    <row r="32" spans="1:5" x14ac:dyDescent="0.25">
      <c r="A32" s="155">
        <v>1</v>
      </c>
      <c r="B32" s="158" t="s">
        <v>890</v>
      </c>
      <c r="C32" s="155"/>
      <c r="D32" s="155"/>
      <c r="E32" s="155"/>
    </row>
    <row r="33" spans="1:12" x14ac:dyDescent="0.25">
      <c r="A33" s="159" t="s">
        <v>1479</v>
      </c>
      <c r="B33" s="160" t="s">
        <v>791</v>
      </c>
      <c r="C33" s="159"/>
      <c r="D33" s="159"/>
      <c r="E33" s="159"/>
    </row>
    <row r="34" spans="1:12" x14ac:dyDescent="0.25">
      <c r="B34" s="128"/>
    </row>
    <row r="35" spans="1:12" x14ac:dyDescent="0.25">
      <c r="D35" s="4715" t="s">
        <v>501</v>
      </c>
      <c r="E35" s="4715"/>
    </row>
    <row r="36" spans="1:12" ht="16.5" customHeight="1" x14ac:dyDescent="0.25">
      <c r="A36" s="4689" t="s">
        <v>792</v>
      </c>
      <c r="B36" s="4689"/>
      <c r="C36" s="4689"/>
      <c r="D36" s="4689"/>
      <c r="E36" s="4689"/>
      <c r="F36" s="99"/>
      <c r="G36" s="99"/>
      <c r="H36" s="99"/>
      <c r="I36" s="99"/>
      <c r="J36" s="99"/>
      <c r="K36" s="99"/>
      <c r="L36" s="99"/>
    </row>
    <row r="37" spans="1:12" x14ac:dyDescent="0.25">
      <c r="A37" s="4691" t="s">
        <v>793</v>
      </c>
      <c r="B37" s="4691"/>
      <c r="C37" s="4691"/>
      <c r="D37" s="4691"/>
      <c r="E37" s="4691"/>
      <c r="F37" s="108"/>
      <c r="G37" s="108"/>
      <c r="H37" s="108"/>
      <c r="I37" s="108"/>
      <c r="J37" s="108"/>
      <c r="K37" s="108"/>
      <c r="L37" s="108"/>
    </row>
  </sheetData>
  <mergeCells count="6">
    <mergeCell ref="A37:E37"/>
    <mergeCell ref="D3:E3"/>
    <mergeCell ref="D1:E1"/>
    <mergeCell ref="A2:E2"/>
    <mergeCell ref="D35:E35"/>
    <mergeCell ref="A36:E36"/>
  </mergeCells>
  <phoneticPr fontId="70" type="noConversion"/>
  <pageMargins left="0.98425196850393704" right="0.23622047244094491" top="0.94488188976377963" bottom="0.74803149606299213" header="0.62992125984251968" footer="0.31496062992125984"/>
  <pageSetup paperSize="9" firstPageNumber="219" orientation="portrait" useFirstPageNumber="1" r:id="rId1"/>
  <headerFooter>
    <oddHeader>&amp;RBiểu số 5.44</oddHeader>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54"/>
  </sheetPr>
  <dimension ref="B2:H21"/>
  <sheetViews>
    <sheetView workbookViewId="0">
      <selection activeCell="C22" sqref="C22"/>
    </sheetView>
  </sheetViews>
  <sheetFormatPr defaultRowHeight="18.75" customHeight="1" x14ac:dyDescent="0.25"/>
  <cols>
    <col min="2" max="2" width="55" customWidth="1"/>
    <col min="3" max="3" width="24" customWidth="1"/>
  </cols>
  <sheetData>
    <row r="2" spans="2:8" ht="18.75" customHeight="1" x14ac:dyDescent="0.3">
      <c r="B2" s="205">
        <v>381607218160</v>
      </c>
    </row>
    <row r="4" spans="2:8" ht="18.75" customHeight="1" x14ac:dyDescent="0.3">
      <c r="B4" s="206">
        <v>67155585429</v>
      </c>
      <c r="C4" s="200">
        <v>19904739623</v>
      </c>
      <c r="D4" s="201"/>
      <c r="E4" s="201"/>
      <c r="F4" s="201"/>
      <c r="G4" s="201"/>
      <c r="H4" s="201"/>
    </row>
    <row r="5" spans="2:8" ht="18.75" customHeight="1" x14ac:dyDescent="0.3">
      <c r="B5" s="202">
        <v>26680262040</v>
      </c>
      <c r="C5" s="200">
        <v>115784900</v>
      </c>
      <c r="D5" s="201"/>
      <c r="E5" s="201"/>
      <c r="F5" s="201"/>
      <c r="G5" s="201"/>
      <c r="H5" s="201"/>
    </row>
    <row r="6" spans="2:8" ht="18.75" customHeight="1" x14ac:dyDescent="0.3">
      <c r="B6" s="202">
        <v>139189617906</v>
      </c>
      <c r="C6" s="200">
        <v>27627941769</v>
      </c>
      <c r="D6" s="201"/>
      <c r="E6" s="201"/>
      <c r="F6" s="201"/>
      <c r="G6" s="201"/>
    </row>
    <row r="7" spans="2:8" ht="18.75" customHeight="1" x14ac:dyDescent="0.3">
      <c r="B7" s="202">
        <v>4657592069</v>
      </c>
      <c r="C7" s="200">
        <v>111748876</v>
      </c>
      <c r="D7" s="201"/>
      <c r="E7" s="201"/>
      <c r="F7" s="201"/>
      <c r="G7" s="201"/>
    </row>
    <row r="8" spans="2:8" ht="18.75" customHeight="1" x14ac:dyDescent="0.3">
      <c r="B8" s="202">
        <v>961329704</v>
      </c>
      <c r="C8" s="200">
        <v>3436588285</v>
      </c>
      <c r="D8" s="201"/>
      <c r="E8" s="201"/>
      <c r="F8" s="201"/>
      <c r="G8" s="201"/>
    </row>
    <row r="9" spans="2:8" ht="18.75" customHeight="1" x14ac:dyDescent="0.3">
      <c r="B9" s="202">
        <v>1063917452</v>
      </c>
      <c r="C9" s="200">
        <v>42295508441</v>
      </c>
      <c r="D9" s="201"/>
      <c r="E9" s="201"/>
      <c r="F9" s="201"/>
      <c r="G9" s="201"/>
    </row>
    <row r="10" spans="2:8" ht="18.75" customHeight="1" x14ac:dyDescent="0.3">
      <c r="B10" s="203">
        <v>14207420349</v>
      </c>
      <c r="C10" s="200">
        <v>158415838</v>
      </c>
    </row>
    <row r="11" spans="2:8" ht="18.75" customHeight="1" x14ac:dyDescent="0.3">
      <c r="B11" s="203">
        <v>773972901</v>
      </c>
      <c r="C11" s="200">
        <v>275886732</v>
      </c>
    </row>
    <row r="12" spans="2:8" ht="18.75" customHeight="1" x14ac:dyDescent="0.3">
      <c r="B12" s="203">
        <v>89180533966</v>
      </c>
      <c r="C12" s="200">
        <v>4808782300</v>
      </c>
    </row>
    <row r="13" spans="2:8" ht="18.75" customHeight="1" x14ac:dyDescent="0.3">
      <c r="B13" s="203">
        <v>10705276909</v>
      </c>
      <c r="C13" s="200">
        <v>1582819947</v>
      </c>
    </row>
    <row r="14" spans="2:8" ht="18.75" customHeight="1" x14ac:dyDescent="0.3">
      <c r="B14" s="203">
        <v>5085605127</v>
      </c>
      <c r="C14" s="200">
        <v>1484975217</v>
      </c>
    </row>
    <row r="15" spans="2:8" ht="18.75" customHeight="1" x14ac:dyDescent="0.3">
      <c r="B15" s="203">
        <v>2099974044</v>
      </c>
      <c r="C15" s="200">
        <v>113651800</v>
      </c>
    </row>
    <row r="16" spans="2:8" ht="18.75" customHeight="1" x14ac:dyDescent="0.3">
      <c r="B16" s="203">
        <v>81000000</v>
      </c>
      <c r="C16" s="200">
        <v>2523672703</v>
      </c>
    </row>
    <row r="17" spans="2:3" ht="18.75" customHeight="1" x14ac:dyDescent="0.3">
      <c r="B17" s="203">
        <v>7132741241</v>
      </c>
      <c r="C17" s="200">
        <v>15035783514</v>
      </c>
    </row>
    <row r="18" spans="2:3" ht="18.75" customHeight="1" x14ac:dyDescent="0.3">
      <c r="B18" s="203">
        <v>2523672703</v>
      </c>
      <c r="C18" s="200">
        <v>32656134524</v>
      </c>
    </row>
    <row r="19" spans="2:3" ht="18.75" customHeight="1" x14ac:dyDescent="0.3">
      <c r="B19" s="203">
        <v>10108716320</v>
      </c>
      <c r="C19" s="206">
        <v>247269241698</v>
      </c>
    </row>
    <row r="20" spans="2:3" ht="18.75" customHeight="1" x14ac:dyDescent="0.3">
      <c r="B20" s="207">
        <f>SUM(B4:B19)</f>
        <v>381607218160</v>
      </c>
      <c r="C20" s="200">
        <v>5042182320</v>
      </c>
    </row>
    <row r="21" spans="2:3" ht="18.75" customHeight="1" x14ac:dyDescent="0.25">
      <c r="B21" s="204">
        <f>B2-B20</f>
        <v>0</v>
      </c>
      <c r="C21" s="208">
        <f>SUM(C4:C20)</f>
        <v>404443858487</v>
      </c>
    </row>
  </sheetData>
  <phoneticPr fontId="70" type="noConversion"/>
  <pageMargins left="0.75" right="0.75" top="1" bottom="1" header="0.5" footer="0.5"/>
  <pageSetup paperSize="9" orientation="portrait" verticalDpi="0" r:id="rId1"/>
  <headerFooter alignWithMargins="0"/>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0"/>
  <dimension ref="A1:Y408"/>
  <sheetViews>
    <sheetView topLeftCell="A29" zoomScale="70" zoomScaleNormal="70" workbookViewId="0">
      <selection activeCell="X20" sqref="X20"/>
    </sheetView>
  </sheetViews>
  <sheetFormatPr defaultColWidth="10.140625" defaultRowHeight="15.75" x14ac:dyDescent="0.25"/>
  <cols>
    <col min="1" max="1" width="4.7109375" style="591" customWidth="1"/>
    <col min="2" max="2" width="43.42578125" style="1004" customWidth="1"/>
    <col min="3" max="3" width="11.28515625" style="626" customWidth="1"/>
    <col min="4" max="4" width="9" style="626" customWidth="1"/>
    <col min="5" max="5" width="8.5703125" style="626" customWidth="1"/>
    <col min="6" max="6" width="12.85546875" style="2428" customWidth="1"/>
    <col min="7" max="7" width="5.7109375" style="2428" customWidth="1"/>
    <col min="8" max="8" width="13.28515625" style="2429" customWidth="1"/>
    <col min="9" max="9" width="14" style="2430" customWidth="1"/>
    <col min="10" max="10" width="10.5703125" style="2428" customWidth="1"/>
    <col min="11" max="11" width="16.28515625" style="2429" customWidth="1"/>
    <col min="12" max="12" width="14.5703125" style="2430" customWidth="1"/>
    <col min="13" max="13" width="16.42578125" style="2431" customWidth="1"/>
    <col min="14" max="14" width="11.28515625" style="2428" customWidth="1"/>
    <col min="15" max="15" width="7.140625" style="2428" hidden="1" customWidth="1"/>
    <col min="16" max="16" width="8.28515625" style="2428" hidden="1" customWidth="1"/>
    <col min="17" max="17" width="9.85546875" style="2428" hidden="1" customWidth="1"/>
    <col min="18" max="18" width="12.5703125" style="2428" hidden="1" customWidth="1"/>
    <col min="19" max="19" width="8.42578125" style="2430" hidden="1" customWidth="1"/>
    <col min="20" max="20" width="12.42578125" style="2428" customWidth="1"/>
    <col min="21" max="21" width="13.5703125" style="2428" customWidth="1"/>
    <col min="22" max="22" width="12.140625" style="2428" customWidth="1"/>
    <col min="23" max="23" width="14.140625" style="2588" customWidth="1"/>
    <col min="24" max="24" width="16.7109375" style="591" bestFit="1" customWidth="1"/>
    <col min="25" max="25" width="10.28515625" style="591" bestFit="1" customWidth="1"/>
    <col min="26" max="16384" width="10.140625" style="591"/>
  </cols>
  <sheetData>
    <row r="1" spans="1:25" x14ac:dyDescent="0.25">
      <c r="A1" s="545" t="s">
        <v>1205</v>
      </c>
      <c r="T1" s="4732" t="s">
        <v>2548</v>
      </c>
      <c r="U1" s="4732"/>
      <c r="V1" s="4732"/>
      <c r="W1" s="4732"/>
    </row>
    <row r="2" spans="1:25" x14ac:dyDescent="0.25">
      <c r="A2" s="3998" t="s">
        <v>3144</v>
      </c>
      <c r="B2" s="3998"/>
      <c r="C2" s="3998"/>
      <c r="D2" s="3998"/>
      <c r="E2" s="3998"/>
      <c r="F2" s="3998"/>
      <c r="G2" s="3998"/>
      <c r="H2" s="3998"/>
      <c r="I2" s="3998"/>
      <c r="J2" s="3998"/>
      <c r="K2" s="3998"/>
      <c r="L2" s="3998"/>
      <c r="M2" s="3998"/>
      <c r="N2" s="3998"/>
      <c r="O2" s="3998"/>
      <c r="P2" s="3998"/>
      <c r="Q2" s="3998"/>
      <c r="R2" s="3998"/>
      <c r="S2" s="3998"/>
      <c r="T2" s="3998"/>
      <c r="U2" s="3998"/>
      <c r="V2" s="3998"/>
      <c r="W2" s="3998"/>
    </row>
    <row r="3" spans="1:25" x14ac:dyDescent="0.25">
      <c r="A3" s="3997" t="e">
        <f>#REF!</f>
        <v>#REF!</v>
      </c>
      <c r="B3" s="3997"/>
      <c r="C3" s="3997"/>
      <c r="D3" s="3997"/>
      <c r="E3" s="3997"/>
      <c r="F3" s="3997"/>
      <c r="G3" s="3997"/>
      <c r="H3" s="3997"/>
      <c r="I3" s="3997"/>
      <c r="J3" s="3997"/>
      <c r="K3" s="3997"/>
      <c r="L3" s="3997"/>
      <c r="M3" s="3997"/>
      <c r="N3" s="3997"/>
      <c r="O3" s="3997"/>
      <c r="P3" s="3997"/>
      <c r="Q3" s="3997"/>
      <c r="R3" s="3997"/>
      <c r="S3" s="3997"/>
      <c r="T3" s="3997"/>
      <c r="U3" s="3997"/>
      <c r="V3" s="3997"/>
      <c r="W3" s="3997"/>
    </row>
    <row r="4" spans="1:25" x14ac:dyDescent="0.25">
      <c r="H4" s="2429">
        <f>K97-F97</f>
        <v>0</v>
      </c>
      <c r="N4" s="4733" t="s">
        <v>1461</v>
      </c>
      <c r="O4" s="4733"/>
      <c r="P4" s="4733"/>
      <c r="Q4" s="4733"/>
      <c r="R4" s="4733"/>
      <c r="S4" s="4733"/>
      <c r="T4" s="4733"/>
      <c r="U4" s="4733"/>
      <c r="V4" s="4733"/>
      <c r="W4" s="4733"/>
    </row>
    <row r="5" spans="1:25" ht="36" customHeight="1" x14ac:dyDescent="0.25">
      <c r="A5" s="4473" t="s">
        <v>844</v>
      </c>
      <c r="B5" s="4473" t="s">
        <v>3147</v>
      </c>
      <c r="C5" s="4475" t="s">
        <v>1206</v>
      </c>
      <c r="D5" s="4475"/>
      <c r="E5" s="4475"/>
      <c r="F5" s="4734" t="s">
        <v>3146</v>
      </c>
      <c r="G5" s="4734"/>
      <c r="H5" s="4734"/>
      <c r="I5" s="4735" t="s">
        <v>3139</v>
      </c>
      <c r="J5" s="4736"/>
      <c r="K5" s="4736"/>
      <c r="L5" s="4737" t="s">
        <v>1208</v>
      </c>
      <c r="M5" s="4753" t="s">
        <v>3425</v>
      </c>
      <c r="N5" s="4756" t="s">
        <v>3145</v>
      </c>
      <c r="O5" s="4757"/>
      <c r="P5" s="4757"/>
      <c r="Q5" s="4757"/>
      <c r="R5" s="4757"/>
      <c r="S5" s="4757"/>
      <c r="T5" s="4757"/>
      <c r="U5" s="4757"/>
      <c r="V5" s="4757"/>
      <c r="W5" s="4758"/>
      <c r="Y5" s="591">
        <v>0</v>
      </c>
    </row>
    <row r="6" spans="1:25" x14ac:dyDescent="0.25">
      <c r="A6" s="4473"/>
      <c r="B6" s="4473"/>
      <c r="C6" s="4475" t="s">
        <v>868</v>
      </c>
      <c r="D6" s="4475" t="s">
        <v>907</v>
      </c>
      <c r="E6" s="4475"/>
      <c r="F6" s="4734" t="s">
        <v>868</v>
      </c>
      <c r="G6" s="4734" t="s">
        <v>907</v>
      </c>
      <c r="H6" s="4734"/>
      <c r="I6" s="4739" t="s">
        <v>868</v>
      </c>
      <c r="J6" s="4744" t="s">
        <v>907</v>
      </c>
      <c r="K6" s="4744"/>
      <c r="L6" s="4738"/>
      <c r="M6" s="4754"/>
      <c r="N6" s="4743" t="s">
        <v>868</v>
      </c>
      <c r="O6" s="4734" t="s">
        <v>756</v>
      </c>
      <c r="P6" s="4734"/>
      <c r="Q6" s="4734"/>
      <c r="R6" s="4734"/>
      <c r="S6" s="4734"/>
      <c r="T6" s="4735" t="s">
        <v>757</v>
      </c>
      <c r="U6" s="4736"/>
      <c r="V6" s="4736"/>
      <c r="W6" s="4741"/>
    </row>
    <row r="7" spans="1:25" x14ac:dyDescent="0.25">
      <c r="A7" s="4473"/>
      <c r="B7" s="4473"/>
      <c r="C7" s="4475"/>
      <c r="D7" s="4475" t="s">
        <v>756</v>
      </c>
      <c r="E7" s="4475" t="s">
        <v>757</v>
      </c>
      <c r="F7" s="4734"/>
      <c r="G7" s="4734" t="s">
        <v>756</v>
      </c>
      <c r="H7" s="4742" t="s">
        <v>757</v>
      </c>
      <c r="I7" s="4740"/>
      <c r="J7" s="4734" t="s">
        <v>756</v>
      </c>
      <c r="K7" s="4742" t="s">
        <v>757</v>
      </c>
      <c r="L7" s="4738"/>
      <c r="M7" s="4754"/>
      <c r="N7" s="4752"/>
      <c r="O7" s="4752" t="s">
        <v>1592</v>
      </c>
      <c r="P7" s="4752" t="s">
        <v>1593</v>
      </c>
      <c r="Q7" s="4752" t="s">
        <v>1594</v>
      </c>
      <c r="R7" s="4750" t="s">
        <v>577</v>
      </c>
      <c r="S7" s="4751"/>
      <c r="T7" s="4743" t="s">
        <v>1210</v>
      </c>
      <c r="U7" s="4734" t="s">
        <v>577</v>
      </c>
      <c r="V7" s="4734"/>
      <c r="W7" s="4734"/>
    </row>
    <row r="8" spans="1:25" x14ac:dyDescent="0.25">
      <c r="A8" s="4473"/>
      <c r="B8" s="4473"/>
      <c r="C8" s="4475"/>
      <c r="D8" s="4475"/>
      <c r="E8" s="4475"/>
      <c r="F8" s="4734"/>
      <c r="G8" s="4734"/>
      <c r="H8" s="4742"/>
      <c r="I8" s="4740"/>
      <c r="J8" s="4734"/>
      <c r="K8" s="4742"/>
      <c r="L8" s="4738"/>
      <c r="M8" s="4754"/>
      <c r="N8" s="4752"/>
      <c r="O8" s="4752"/>
      <c r="P8" s="4752"/>
      <c r="Q8" s="4752"/>
      <c r="R8" s="4734" t="s">
        <v>1590</v>
      </c>
      <c r="S8" s="4737" t="s">
        <v>1591</v>
      </c>
      <c r="T8" s="4752"/>
      <c r="U8" s="4743" t="s">
        <v>868</v>
      </c>
      <c r="V8" s="4743" t="s">
        <v>1590</v>
      </c>
      <c r="W8" s="4745" t="s">
        <v>1591</v>
      </c>
    </row>
    <row r="9" spans="1:25" ht="55.15" customHeight="1" x14ac:dyDescent="0.25">
      <c r="A9" s="4473"/>
      <c r="B9" s="4473"/>
      <c r="C9" s="4475"/>
      <c r="D9" s="4475"/>
      <c r="E9" s="4475"/>
      <c r="F9" s="4734"/>
      <c r="G9" s="4734"/>
      <c r="H9" s="4742"/>
      <c r="I9" s="4740"/>
      <c r="J9" s="4734"/>
      <c r="K9" s="4742"/>
      <c r="L9" s="4739"/>
      <c r="M9" s="4755"/>
      <c r="N9" s="4744"/>
      <c r="O9" s="4744"/>
      <c r="P9" s="4744"/>
      <c r="Q9" s="4744"/>
      <c r="R9" s="4734"/>
      <c r="S9" s="4739"/>
      <c r="T9" s="4744"/>
      <c r="U9" s="4744"/>
      <c r="V9" s="4744"/>
      <c r="W9" s="4746"/>
    </row>
    <row r="10" spans="1:25" s="626" customFormat="1" x14ac:dyDescent="0.25">
      <c r="A10" s="2432" t="s">
        <v>847</v>
      </c>
      <c r="B10" s="2432" t="s">
        <v>848</v>
      </c>
      <c r="C10" s="2432">
        <v>1</v>
      </c>
      <c r="D10" s="2432">
        <v>2</v>
      </c>
      <c r="E10" s="2432">
        <v>3</v>
      </c>
      <c r="F10" s="2432">
        <v>4</v>
      </c>
      <c r="G10" s="2432">
        <v>5</v>
      </c>
      <c r="H10" s="2433">
        <v>6</v>
      </c>
      <c r="I10" s="2434">
        <v>8</v>
      </c>
      <c r="J10" s="2432">
        <v>9</v>
      </c>
      <c r="K10" s="2433">
        <v>10</v>
      </c>
      <c r="L10" s="2434">
        <v>13</v>
      </c>
      <c r="M10" s="2435"/>
      <c r="N10" s="2432">
        <v>14</v>
      </c>
      <c r="O10" s="2432">
        <v>15</v>
      </c>
      <c r="P10" s="2432">
        <v>16</v>
      </c>
      <c r="Q10" s="2432">
        <v>17</v>
      </c>
      <c r="R10" s="2432">
        <v>18</v>
      </c>
      <c r="S10" s="2434">
        <v>19</v>
      </c>
      <c r="T10" s="2432">
        <v>20</v>
      </c>
      <c r="U10" s="2432">
        <v>21</v>
      </c>
      <c r="V10" s="2432">
        <v>22</v>
      </c>
      <c r="W10" s="2433">
        <v>23</v>
      </c>
    </row>
    <row r="11" spans="1:25" x14ac:dyDescent="0.25">
      <c r="A11" s="2436"/>
      <c r="B11" s="2436" t="s">
        <v>886</v>
      </c>
      <c r="C11" s="2437"/>
      <c r="D11" s="2437"/>
      <c r="E11" s="2437">
        <f t="shared" ref="E11:S11" si="0">E12+E70</f>
        <v>0</v>
      </c>
      <c r="F11" s="2438">
        <f>F12+F70</f>
        <v>60621.625994000002</v>
      </c>
      <c r="G11" s="2438">
        <f t="shared" si="0"/>
        <v>0</v>
      </c>
      <c r="H11" s="2439">
        <f>H12+H70</f>
        <v>60621.625994000002</v>
      </c>
      <c r="I11" s="2440">
        <f>I12+I70</f>
        <v>60932.174821999979</v>
      </c>
      <c r="J11" s="2438">
        <f t="shared" si="0"/>
        <v>6073.988859</v>
      </c>
      <c r="K11" s="2439">
        <f t="shared" si="0"/>
        <v>55895.988362999982</v>
      </c>
      <c r="L11" s="2440">
        <f t="shared" si="0"/>
        <v>0</v>
      </c>
      <c r="M11" s="2441">
        <f t="shared" si="0"/>
        <v>2008.114</v>
      </c>
      <c r="N11" s="2438">
        <f t="shared" si="0"/>
        <v>1011.5741409999999</v>
      </c>
      <c r="O11" s="2438">
        <f t="shared" si="0"/>
        <v>0</v>
      </c>
      <c r="P11" s="2438">
        <f t="shared" si="0"/>
        <v>0</v>
      </c>
      <c r="Q11" s="2438">
        <f t="shared" si="0"/>
        <v>0</v>
      </c>
      <c r="R11" s="2438">
        <f t="shared" si="0"/>
        <v>1008.8301409999999</v>
      </c>
      <c r="S11" s="2440">
        <f t="shared" si="0"/>
        <v>0</v>
      </c>
      <c r="T11" s="2438">
        <f>T12+T70</f>
        <v>2259.3731000000002</v>
      </c>
      <c r="U11" s="2438">
        <f>U12+U70</f>
        <v>2028.4469510000008</v>
      </c>
      <c r="V11" s="2438">
        <f>V12+V70</f>
        <v>2348.9060510000008</v>
      </c>
      <c r="W11" s="2442">
        <f>W12+W70</f>
        <v>17.98948</v>
      </c>
    </row>
    <row r="12" spans="1:25" hidden="1" x14ac:dyDescent="0.25">
      <c r="A12" s="2436" t="s">
        <v>847</v>
      </c>
      <c r="B12" s="2436" t="s">
        <v>725</v>
      </c>
      <c r="C12" s="2437">
        <f t="shared" ref="C12:W12" si="1">C13+C29</f>
        <v>8890</v>
      </c>
      <c r="D12" s="2437">
        <f t="shared" si="1"/>
        <v>8890</v>
      </c>
      <c r="E12" s="2437">
        <f t="shared" si="1"/>
        <v>0</v>
      </c>
      <c r="F12" s="2438">
        <f t="shared" si="1"/>
        <v>60144.445994000002</v>
      </c>
      <c r="G12" s="2438">
        <f t="shared" si="1"/>
        <v>0</v>
      </c>
      <c r="H12" s="2439">
        <f t="shared" si="1"/>
        <v>60144.445994000002</v>
      </c>
      <c r="I12" s="2440">
        <f t="shared" si="1"/>
        <v>60475.728301999981</v>
      </c>
      <c r="J12" s="2438">
        <f t="shared" si="1"/>
        <v>6073.988859</v>
      </c>
      <c r="K12" s="2439">
        <f t="shared" si="1"/>
        <v>55439.541842999985</v>
      </c>
      <c r="L12" s="2440">
        <f t="shared" si="1"/>
        <v>0</v>
      </c>
      <c r="M12" s="2441">
        <f t="shared" si="1"/>
        <v>2008.114</v>
      </c>
      <c r="N12" s="2438">
        <f t="shared" si="1"/>
        <v>1008.8301409999999</v>
      </c>
      <c r="O12" s="2438">
        <f t="shared" si="1"/>
        <v>0</v>
      </c>
      <c r="P12" s="2438">
        <f t="shared" si="1"/>
        <v>0</v>
      </c>
      <c r="Q12" s="2438">
        <f t="shared" si="1"/>
        <v>0</v>
      </c>
      <c r="R12" s="2438">
        <f t="shared" si="1"/>
        <v>1008.8301409999999</v>
      </c>
      <c r="S12" s="2440">
        <f t="shared" si="1"/>
        <v>0</v>
      </c>
      <c r="T12" s="2438">
        <f t="shared" si="1"/>
        <v>2256.6291000000001</v>
      </c>
      <c r="U12" s="2438">
        <f t="shared" si="1"/>
        <v>2028.4469510000008</v>
      </c>
      <c r="V12" s="2438">
        <f t="shared" si="1"/>
        <v>2348.9060510000008</v>
      </c>
      <c r="W12" s="2442">
        <f t="shared" si="1"/>
        <v>0</v>
      </c>
    </row>
    <row r="13" spans="1:25" s="589" customFormat="1" hidden="1" x14ac:dyDescent="0.25">
      <c r="A13" s="2443"/>
      <c r="B13" s="2443" t="s">
        <v>1211</v>
      </c>
      <c r="C13" s="2444">
        <f t="shared" ref="C13:W13" si="2">C14+C20</f>
        <v>8890</v>
      </c>
      <c r="D13" s="2444">
        <f t="shared" si="2"/>
        <v>8890</v>
      </c>
      <c r="E13" s="2444">
        <f t="shared" si="2"/>
        <v>0</v>
      </c>
      <c r="F13" s="2445">
        <f t="shared" si="2"/>
        <v>3200.8024</v>
      </c>
      <c r="G13" s="2445">
        <f t="shared" si="2"/>
        <v>0</v>
      </c>
      <c r="H13" s="2446">
        <f t="shared" si="2"/>
        <v>3200.8024</v>
      </c>
      <c r="I13" s="2447">
        <f t="shared" si="2"/>
        <v>6203.988859</v>
      </c>
      <c r="J13" s="2445">
        <f t="shared" si="2"/>
        <v>6073.988859</v>
      </c>
      <c r="K13" s="2446">
        <f t="shared" si="2"/>
        <v>1167.8024</v>
      </c>
      <c r="L13" s="2447">
        <f t="shared" si="2"/>
        <v>0</v>
      </c>
      <c r="M13" s="2448">
        <f t="shared" si="2"/>
        <v>2008.114</v>
      </c>
      <c r="N13" s="2445">
        <f t="shared" si="2"/>
        <v>1008.8301409999999</v>
      </c>
      <c r="O13" s="2445">
        <f t="shared" si="2"/>
        <v>0</v>
      </c>
      <c r="P13" s="2445">
        <f t="shared" si="2"/>
        <v>0</v>
      </c>
      <c r="Q13" s="2445">
        <f t="shared" si="2"/>
        <v>0</v>
      </c>
      <c r="R13" s="2445">
        <f t="shared" si="2"/>
        <v>1008.8301409999999</v>
      </c>
      <c r="S13" s="2447">
        <f t="shared" si="2"/>
        <v>0</v>
      </c>
      <c r="T13" s="2445">
        <f t="shared" si="2"/>
        <v>2033</v>
      </c>
      <c r="U13" s="2445">
        <f t="shared" si="2"/>
        <v>0</v>
      </c>
      <c r="V13" s="2445">
        <f t="shared" si="2"/>
        <v>0</v>
      </c>
      <c r="W13" s="2449">
        <f t="shared" si="2"/>
        <v>0</v>
      </c>
    </row>
    <row r="14" spans="1:25" s="583" customFormat="1" ht="31.5" hidden="1" x14ac:dyDescent="0.25">
      <c r="A14" s="2443" t="s">
        <v>849</v>
      </c>
      <c r="B14" s="2450" t="s">
        <v>1212</v>
      </c>
      <c r="C14" s="2444">
        <f>C15</f>
        <v>0</v>
      </c>
      <c r="D14" s="2444">
        <f>D15</f>
        <v>0</v>
      </c>
      <c r="E14" s="2444">
        <f t="shared" ref="E14:W14" si="3">E15</f>
        <v>0</v>
      </c>
      <c r="F14" s="2445">
        <f>F15</f>
        <v>1033</v>
      </c>
      <c r="G14" s="2445">
        <f t="shared" si="3"/>
        <v>0</v>
      </c>
      <c r="H14" s="2446">
        <f t="shared" si="3"/>
        <v>1033</v>
      </c>
      <c r="I14" s="2447">
        <f t="shared" si="3"/>
        <v>0</v>
      </c>
      <c r="J14" s="2445">
        <f t="shared" si="3"/>
        <v>0</v>
      </c>
      <c r="K14" s="2446">
        <f t="shared" si="3"/>
        <v>0</v>
      </c>
      <c r="L14" s="2447">
        <f t="shared" si="3"/>
        <v>0</v>
      </c>
      <c r="M14" s="2448">
        <f t="shared" si="3"/>
        <v>0</v>
      </c>
      <c r="N14" s="2445">
        <f t="shared" si="3"/>
        <v>0</v>
      </c>
      <c r="O14" s="2445">
        <f t="shared" si="3"/>
        <v>0</v>
      </c>
      <c r="P14" s="2445">
        <f t="shared" si="3"/>
        <v>0</v>
      </c>
      <c r="Q14" s="2445">
        <f t="shared" si="3"/>
        <v>0</v>
      </c>
      <c r="R14" s="2445">
        <f t="shared" si="3"/>
        <v>0</v>
      </c>
      <c r="S14" s="2447">
        <f t="shared" si="3"/>
        <v>0</v>
      </c>
      <c r="T14" s="2445">
        <f t="shared" si="3"/>
        <v>1033</v>
      </c>
      <c r="U14" s="2445">
        <f t="shared" si="3"/>
        <v>0</v>
      </c>
      <c r="V14" s="2445">
        <f t="shared" si="3"/>
        <v>0</v>
      </c>
      <c r="W14" s="2449">
        <f t="shared" si="3"/>
        <v>0</v>
      </c>
    </row>
    <row r="15" spans="1:25" s="583" customFormat="1" hidden="1" x14ac:dyDescent="0.25">
      <c r="A15" s="2443">
        <v>1</v>
      </c>
      <c r="B15" s="2450" t="s">
        <v>170</v>
      </c>
      <c r="C15" s="2444">
        <f>C18</f>
        <v>0</v>
      </c>
      <c r="D15" s="2444">
        <f>D18</f>
        <v>0</v>
      </c>
      <c r="E15" s="2444">
        <f>E18</f>
        <v>0</v>
      </c>
      <c r="F15" s="2445">
        <f>F18</f>
        <v>1033</v>
      </c>
      <c r="G15" s="2445">
        <f t="shared" ref="G15:U15" si="4">G18</f>
        <v>0</v>
      </c>
      <c r="H15" s="2446">
        <f t="shared" si="4"/>
        <v>1033</v>
      </c>
      <c r="I15" s="2447">
        <f t="shared" si="4"/>
        <v>0</v>
      </c>
      <c r="J15" s="2445">
        <f t="shared" si="4"/>
        <v>0</v>
      </c>
      <c r="K15" s="2446">
        <f t="shared" si="4"/>
        <v>0</v>
      </c>
      <c r="L15" s="2447">
        <f t="shared" si="4"/>
        <v>0</v>
      </c>
      <c r="M15" s="2448">
        <f t="shared" si="4"/>
        <v>0</v>
      </c>
      <c r="N15" s="2445">
        <f t="shared" si="4"/>
        <v>0</v>
      </c>
      <c r="O15" s="2445">
        <f t="shared" si="4"/>
        <v>0</v>
      </c>
      <c r="P15" s="2445">
        <f t="shared" si="4"/>
        <v>0</v>
      </c>
      <c r="Q15" s="2445">
        <f t="shared" si="4"/>
        <v>0</v>
      </c>
      <c r="R15" s="2445">
        <f t="shared" si="4"/>
        <v>0</v>
      </c>
      <c r="S15" s="2447">
        <f t="shared" si="4"/>
        <v>0</v>
      </c>
      <c r="T15" s="2445">
        <f t="shared" si="4"/>
        <v>1033</v>
      </c>
      <c r="U15" s="2445">
        <f t="shared" si="4"/>
        <v>0</v>
      </c>
      <c r="V15" s="2445">
        <f>V16</f>
        <v>0</v>
      </c>
      <c r="W15" s="2449">
        <f>W16</f>
        <v>0</v>
      </c>
    </row>
    <row r="16" spans="1:25" s="589" customFormat="1" hidden="1" x14ac:dyDescent="0.25">
      <c r="A16" s="2451"/>
      <c r="B16" s="2452"/>
      <c r="C16" s="2453"/>
      <c r="D16" s="2453"/>
      <c r="E16" s="2453"/>
      <c r="F16" s="2454"/>
      <c r="G16" s="2454"/>
      <c r="H16" s="2455"/>
      <c r="I16" s="2456"/>
      <c r="J16" s="2454"/>
      <c r="K16" s="2455"/>
      <c r="L16" s="2456"/>
      <c r="M16" s="2457"/>
      <c r="N16" s="2454"/>
      <c r="O16" s="2454"/>
      <c r="P16" s="2454"/>
      <c r="Q16" s="2454"/>
      <c r="R16" s="2454"/>
      <c r="S16" s="2456"/>
      <c r="T16" s="2454"/>
      <c r="U16" s="2454"/>
      <c r="V16" s="2454"/>
      <c r="W16" s="2458"/>
    </row>
    <row r="17" spans="1:23" s="589" customFormat="1" x14ac:dyDescent="0.25">
      <c r="A17" s="2451"/>
      <c r="B17" s="2452"/>
      <c r="C17" s="2453"/>
      <c r="D17" s="2453"/>
      <c r="E17" s="2453"/>
      <c r="F17" s="2454"/>
      <c r="G17" s="2454"/>
      <c r="H17" s="2455"/>
      <c r="I17" s="2456"/>
      <c r="J17" s="2454"/>
      <c r="K17" s="2455"/>
      <c r="L17" s="2456"/>
      <c r="M17" s="2457"/>
      <c r="N17" s="2454"/>
      <c r="O17" s="2454"/>
      <c r="P17" s="2454"/>
      <c r="Q17" s="2454"/>
      <c r="R17" s="2454"/>
      <c r="S17" s="2456"/>
      <c r="T17" s="2454"/>
      <c r="U17" s="2454"/>
      <c r="V17" s="2454"/>
      <c r="W17" s="2458"/>
    </row>
    <row r="18" spans="1:23" s="589" customFormat="1" x14ac:dyDescent="0.25">
      <c r="A18" s="2451"/>
      <c r="B18" s="2452" t="s">
        <v>2959</v>
      </c>
      <c r="C18" s="2453">
        <f>D18+E18</f>
        <v>0</v>
      </c>
      <c r="D18" s="2453"/>
      <c r="E18" s="2453"/>
      <c r="F18" s="2454">
        <f>G18+H18</f>
        <v>1033</v>
      </c>
      <c r="G18" s="2454"/>
      <c r="H18" s="2455">
        <v>1033</v>
      </c>
      <c r="I18" s="2456"/>
      <c r="J18" s="2454"/>
      <c r="K18" s="2455"/>
      <c r="L18" s="2456"/>
      <c r="M18" s="2457"/>
      <c r="N18" s="2454"/>
      <c r="O18" s="2454"/>
      <c r="P18" s="2454"/>
      <c r="Q18" s="2454"/>
      <c r="R18" s="2454"/>
      <c r="S18" s="2456"/>
      <c r="T18" s="2454">
        <v>1033</v>
      </c>
      <c r="U18" s="2454"/>
      <c r="V18" s="2454"/>
      <c r="W18" s="2458"/>
    </row>
    <row r="19" spans="1:23" s="589" customFormat="1" x14ac:dyDescent="0.25">
      <c r="A19" s="2451"/>
      <c r="B19" s="2452"/>
      <c r="C19" s="2453"/>
      <c r="D19" s="2453"/>
      <c r="E19" s="2453"/>
      <c r="F19" s="2454"/>
      <c r="G19" s="2454"/>
      <c r="H19" s="2455"/>
      <c r="I19" s="2456"/>
      <c r="J19" s="2454"/>
      <c r="K19" s="2455"/>
      <c r="L19" s="2456"/>
      <c r="M19" s="2457"/>
      <c r="N19" s="2454"/>
      <c r="O19" s="2454"/>
      <c r="P19" s="2454"/>
      <c r="Q19" s="2454"/>
      <c r="R19" s="2454"/>
      <c r="S19" s="2456"/>
      <c r="T19" s="2454"/>
      <c r="U19" s="2454"/>
      <c r="V19" s="2454"/>
      <c r="W19" s="2458"/>
    </row>
    <row r="20" spans="1:23" s="589" customFormat="1" x14ac:dyDescent="0.25">
      <c r="A20" s="2443">
        <v>2</v>
      </c>
      <c r="B20" s="2459" t="s">
        <v>1757</v>
      </c>
      <c r="C20" s="2444">
        <f>C21+C25</f>
        <v>8890</v>
      </c>
      <c r="D20" s="2444">
        <f t="shared" ref="D20:W20" si="5">D21+D25</f>
        <v>8890</v>
      </c>
      <c r="E20" s="2444">
        <f t="shared" si="5"/>
        <v>0</v>
      </c>
      <c r="F20" s="2445">
        <f t="shared" si="5"/>
        <v>2167.8024</v>
      </c>
      <c r="G20" s="2445">
        <f t="shared" si="5"/>
        <v>0</v>
      </c>
      <c r="H20" s="2446">
        <f t="shared" si="5"/>
        <v>2167.8024</v>
      </c>
      <c r="I20" s="2447">
        <f t="shared" si="5"/>
        <v>6203.988859</v>
      </c>
      <c r="J20" s="2445">
        <f t="shared" si="5"/>
        <v>6073.988859</v>
      </c>
      <c r="K20" s="2446">
        <f t="shared" si="5"/>
        <v>1167.8024</v>
      </c>
      <c r="L20" s="2447">
        <f t="shared" si="5"/>
        <v>0</v>
      </c>
      <c r="M20" s="2448">
        <f t="shared" si="5"/>
        <v>2008.114</v>
      </c>
      <c r="N20" s="2445">
        <f t="shared" si="5"/>
        <v>1008.8301409999999</v>
      </c>
      <c r="O20" s="2445">
        <f t="shared" si="5"/>
        <v>0</v>
      </c>
      <c r="P20" s="2445">
        <f t="shared" si="5"/>
        <v>0</v>
      </c>
      <c r="Q20" s="2445">
        <f t="shared" si="5"/>
        <v>0</v>
      </c>
      <c r="R20" s="2445">
        <f t="shared" si="5"/>
        <v>1008.8301409999999</v>
      </c>
      <c r="S20" s="2447">
        <f t="shared" si="5"/>
        <v>0</v>
      </c>
      <c r="T20" s="2445">
        <f t="shared" si="5"/>
        <v>1000</v>
      </c>
      <c r="U20" s="2445">
        <f t="shared" si="5"/>
        <v>0</v>
      </c>
      <c r="V20" s="2445">
        <f t="shared" si="5"/>
        <v>0</v>
      </c>
      <c r="W20" s="2449">
        <f t="shared" si="5"/>
        <v>0</v>
      </c>
    </row>
    <row r="21" spans="1:23" s="589" customFormat="1" x14ac:dyDescent="0.25">
      <c r="A21" s="2443" t="s">
        <v>1317</v>
      </c>
      <c r="B21" s="2459" t="s">
        <v>707</v>
      </c>
      <c r="C21" s="2444">
        <f>C22</f>
        <v>8890</v>
      </c>
      <c r="D21" s="2444">
        <f t="shared" ref="D21:W21" si="6">D22</f>
        <v>8890</v>
      </c>
      <c r="E21" s="2444">
        <f t="shared" si="6"/>
        <v>0</v>
      </c>
      <c r="F21" s="2445">
        <f t="shared" si="6"/>
        <v>0</v>
      </c>
      <c r="G21" s="2445">
        <f t="shared" si="6"/>
        <v>0</v>
      </c>
      <c r="H21" s="2446">
        <f t="shared" si="6"/>
        <v>0</v>
      </c>
      <c r="I21" s="2447">
        <f t="shared" si="6"/>
        <v>6073.988859</v>
      </c>
      <c r="J21" s="2445">
        <f t="shared" si="6"/>
        <v>6073.988859</v>
      </c>
      <c r="K21" s="2446">
        <f t="shared" si="6"/>
        <v>0</v>
      </c>
      <c r="L21" s="2447">
        <f t="shared" si="6"/>
        <v>0</v>
      </c>
      <c r="M21" s="2448">
        <f t="shared" si="6"/>
        <v>2008.114</v>
      </c>
      <c r="N21" s="2445">
        <f t="shared" si="6"/>
        <v>1008.8301409999999</v>
      </c>
      <c r="O21" s="2445">
        <f t="shared" si="6"/>
        <v>0</v>
      </c>
      <c r="P21" s="2445">
        <f t="shared" si="6"/>
        <v>0</v>
      </c>
      <c r="Q21" s="2445">
        <f t="shared" si="6"/>
        <v>0</v>
      </c>
      <c r="R21" s="2445">
        <f t="shared" si="6"/>
        <v>1008.8301409999999</v>
      </c>
      <c r="S21" s="2447">
        <f t="shared" si="6"/>
        <v>0</v>
      </c>
      <c r="T21" s="2445">
        <f t="shared" si="6"/>
        <v>0</v>
      </c>
      <c r="U21" s="2445">
        <f t="shared" si="6"/>
        <v>0</v>
      </c>
      <c r="V21" s="2445">
        <f t="shared" si="6"/>
        <v>0</v>
      </c>
      <c r="W21" s="2449">
        <f t="shared" si="6"/>
        <v>0</v>
      </c>
    </row>
    <row r="22" spans="1:23" s="589" customFormat="1" x14ac:dyDescent="0.25">
      <c r="A22" s="2443" t="s">
        <v>902</v>
      </c>
      <c r="B22" s="2459" t="s">
        <v>2961</v>
      </c>
      <c r="C22" s="2444">
        <f t="shared" ref="C22:W22" si="7">C23+C24</f>
        <v>8890</v>
      </c>
      <c r="D22" s="2444">
        <f t="shared" si="7"/>
        <v>8890</v>
      </c>
      <c r="E22" s="2444">
        <f t="shared" si="7"/>
        <v>0</v>
      </c>
      <c r="F22" s="2445">
        <f t="shared" si="7"/>
        <v>0</v>
      </c>
      <c r="G22" s="2445">
        <f t="shared" si="7"/>
        <v>0</v>
      </c>
      <c r="H22" s="2446">
        <f t="shared" si="7"/>
        <v>0</v>
      </c>
      <c r="I22" s="2447">
        <f t="shared" si="7"/>
        <v>6073.988859</v>
      </c>
      <c r="J22" s="2445">
        <f t="shared" si="7"/>
        <v>6073.988859</v>
      </c>
      <c r="K22" s="2446">
        <f t="shared" si="7"/>
        <v>0</v>
      </c>
      <c r="L22" s="2447">
        <f t="shared" si="7"/>
        <v>0</v>
      </c>
      <c r="M22" s="2448">
        <f t="shared" si="7"/>
        <v>2008.114</v>
      </c>
      <c r="N22" s="2445">
        <f t="shared" si="7"/>
        <v>1008.8301409999999</v>
      </c>
      <c r="O22" s="2445">
        <f t="shared" si="7"/>
        <v>0</v>
      </c>
      <c r="P22" s="2445">
        <f t="shared" si="7"/>
        <v>0</v>
      </c>
      <c r="Q22" s="2445">
        <f t="shared" si="7"/>
        <v>0</v>
      </c>
      <c r="R22" s="2445">
        <f t="shared" si="7"/>
        <v>1008.8301409999999</v>
      </c>
      <c r="S22" s="2447">
        <f t="shared" si="7"/>
        <v>0</v>
      </c>
      <c r="T22" s="2445">
        <f t="shared" si="7"/>
        <v>0</v>
      </c>
      <c r="U22" s="2445">
        <f t="shared" si="7"/>
        <v>0</v>
      </c>
      <c r="V22" s="2445">
        <f t="shared" si="7"/>
        <v>0</v>
      </c>
      <c r="W22" s="2449">
        <f t="shared" si="7"/>
        <v>0</v>
      </c>
    </row>
    <row r="23" spans="1:23" s="1916" customFormat="1" x14ac:dyDescent="0.25">
      <c r="A23" s="2460"/>
      <c r="B23" s="2461" t="s">
        <v>2756</v>
      </c>
      <c r="C23" s="2444">
        <f>D23+E23</f>
        <v>3689</v>
      </c>
      <c r="D23" s="2462">
        <v>3689</v>
      </c>
      <c r="E23" s="2462"/>
      <c r="F23" s="2463"/>
      <c r="G23" s="2463"/>
      <c r="H23" s="2464"/>
      <c r="I23" s="2465">
        <f>J23+K23</f>
        <v>2937.3154549999999</v>
      </c>
      <c r="J23" s="2463">
        <v>2937.3154549999999</v>
      </c>
      <c r="K23" s="2464"/>
      <c r="L23" s="2465"/>
      <c r="M23" s="2466">
        <v>200.93299999999999</v>
      </c>
      <c r="N23" s="2463">
        <f>R23</f>
        <v>751.68454500000007</v>
      </c>
      <c r="O23" s="2463"/>
      <c r="P23" s="2463"/>
      <c r="Q23" s="2463"/>
      <c r="R23" s="2463">
        <f>D23-J23</f>
        <v>751.68454500000007</v>
      </c>
      <c r="S23" s="2465"/>
      <c r="T23" s="2463"/>
      <c r="U23" s="2463"/>
      <c r="V23" s="2463"/>
      <c r="W23" s="2467"/>
    </row>
    <row r="24" spans="1:23" s="1916" customFormat="1" x14ac:dyDescent="0.25">
      <c r="A24" s="2460"/>
      <c r="B24" s="2461" t="s">
        <v>2757</v>
      </c>
      <c r="C24" s="2444">
        <f>D24+E24</f>
        <v>5201</v>
      </c>
      <c r="D24" s="2462">
        <v>5201</v>
      </c>
      <c r="E24" s="2462"/>
      <c r="F24" s="2463"/>
      <c r="G24" s="2463"/>
      <c r="H24" s="2464"/>
      <c r="I24" s="2465">
        <f>J24+K24</f>
        <v>3136.6734040000001</v>
      </c>
      <c r="J24" s="2463">
        <v>3136.6734040000001</v>
      </c>
      <c r="K24" s="2464"/>
      <c r="L24" s="2465"/>
      <c r="M24" s="2466">
        <v>1807.181</v>
      </c>
      <c r="N24" s="2463">
        <f>R24+S24</f>
        <v>257.14559599999984</v>
      </c>
      <c r="O24" s="2463"/>
      <c r="P24" s="2463"/>
      <c r="Q24" s="2463"/>
      <c r="R24" s="2463">
        <f>D24-I24-M24-S24</f>
        <v>257.14559599999984</v>
      </c>
      <c r="S24" s="2465"/>
      <c r="T24" s="2463"/>
      <c r="U24" s="2463"/>
      <c r="V24" s="2463"/>
      <c r="W24" s="2467"/>
    </row>
    <row r="25" spans="1:23" s="583" customFormat="1" x14ac:dyDescent="0.25">
      <c r="A25" s="2443" t="s">
        <v>1317</v>
      </c>
      <c r="B25" s="2450" t="s">
        <v>1471</v>
      </c>
      <c r="C25" s="2444">
        <f>SUM(C26:C26)</f>
        <v>0</v>
      </c>
      <c r="D25" s="2444">
        <f>SUM(D26:D26)</f>
        <v>0</v>
      </c>
      <c r="E25" s="2444">
        <f>SUM(E26:E26)</f>
        <v>0</v>
      </c>
      <c r="F25" s="2445">
        <f>SUM(F26:F28)</f>
        <v>2167.8024</v>
      </c>
      <c r="G25" s="2445">
        <f t="shared" ref="G25:T25" si="8">SUM(G26:G28)</f>
        <v>0</v>
      </c>
      <c r="H25" s="2446">
        <f t="shared" si="8"/>
        <v>2167.8024</v>
      </c>
      <c r="I25" s="2447">
        <f t="shared" si="8"/>
        <v>130</v>
      </c>
      <c r="J25" s="2445">
        <f t="shared" si="8"/>
        <v>0</v>
      </c>
      <c r="K25" s="2446">
        <f t="shared" si="8"/>
        <v>1167.8024</v>
      </c>
      <c r="L25" s="2447">
        <f t="shared" si="8"/>
        <v>0</v>
      </c>
      <c r="M25" s="2448">
        <f t="shared" si="8"/>
        <v>0</v>
      </c>
      <c r="N25" s="2445">
        <f t="shared" si="8"/>
        <v>0</v>
      </c>
      <c r="O25" s="2445">
        <f t="shared" si="8"/>
        <v>0</v>
      </c>
      <c r="P25" s="2445">
        <f t="shared" si="8"/>
        <v>0</v>
      </c>
      <c r="Q25" s="2445">
        <f t="shared" si="8"/>
        <v>0</v>
      </c>
      <c r="R25" s="2445">
        <f t="shared" si="8"/>
        <v>0</v>
      </c>
      <c r="S25" s="2447">
        <f t="shared" si="8"/>
        <v>0</v>
      </c>
      <c r="T25" s="2445">
        <f t="shared" si="8"/>
        <v>1000</v>
      </c>
      <c r="U25" s="2445">
        <f>SUM(U26:U28)</f>
        <v>0</v>
      </c>
      <c r="V25" s="2445">
        <f>SUM(V26:V28)</f>
        <v>0</v>
      </c>
      <c r="W25" s="2449">
        <f>SUM(W26:W28)</f>
        <v>0</v>
      </c>
    </row>
    <row r="26" spans="1:23" s="589" customFormat="1" ht="31.5" x14ac:dyDescent="0.25">
      <c r="A26" s="2451">
        <v>2.2000000000000002</v>
      </c>
      <c r="B26" s="2452" t="s">
        <v>2957</v>
      </c>
      <c r="C26" s="2453"/>
      <c r="D26" s="2453"/>
      <c r="E26" s="2453"/>
      <c r="F26" s="2454">
        <f>H26</f>
        <v>130</v>
      </c>
      <c r="G26" s="2454"/>
      <c r="H26" s="2455">
        <v>130</v>
      </c>
      <c r="I26" s="2456">
        <f>K26</f>
        <v>130</v>
      </c>
      <c r="J26" s="2454"/>
      <c r="K26" s="2455">
        <v>130</v>
      </c>
      <c r="L26" s="2456"/>
      <c r="M26" s="2457"/>
      <c r="N26" s="2454"/>
      <c r="O26" s="2454"/>
      <c r="P26" s="2454"/>
      <c r="Q26" s="2454"/>
      <c r="R26" s="2454"/>
      <c r="S26" s="2456"/>
      <c r="T26" s="2454"/>
      <c r="U26" s="2454">
        <f>V26+W26</f>
        <v>0</v>
      </c>
      <c r="V26" s="2454">
        <f>F26-I26</f>
        <v>0</v>
      </c>
      <c r="W26" s="2458"/>
    </row>
    <row r="27" spans="1:23" s="589" customFormat="1" x14ac:dyDescent="0.25">
      <c r="A27" s="2451">
        <v>2.2999999999999998</v>
      </c>
      <c r="B27" s="2452" t="s">
        <v>3059</v>
      </c>
      <c r="C27" s="2453"/>
      <c r="D27" s="2453"/>
      <c r="E27" s="2453"/>
      <c r="F27" s="2454">
        <v>1000</v>
      </c>
      <c r="G27" s="2454"/>
      <c r="H27" s="2455">
        <v>1000</v>
      </c>
      <c r="I27" s="2456"/>
      <c r="J27" s="2454"/>
      <c r="K27" s="2455"/>
      <c r="L27" s="2456"/>
      <c r="M27" s="2457"/>
      <c r="N27" s="2454"/>
      <c r="O27" s="2454"/>
      <c r="P27" s="2454"/>
      <c r="Q27" s="2454"/>
      <c r="R27" s="2454"/>
      <c r="S27" s="2456"/>
      <c r="T27" s="2454">
        <v>1000</v>
      </c>
      <c r="U27" s="2454"/>
      <c r="V27" s="2454"/>
      <c r="W27" s="2458"/>
    </row>
    <row r="28" spans="1:23" s="589" customFormat="1" ht="63" x14ac:dyDescent="0.25">
      <c r="A28" s="2451">
        <v>2.4</v>
      </c>
      <c r="B28" s="2452" t="s">
        <v>2679</v>
      </c>
      <c r="C28" s="2453"/>
      <c r="D28" s="2453"/>
      <c r="E28" s="2453"/>
      <c r="F28" s="2454">
        <f>H28</f>
        <v>1037.8024</v>
      </c>
      <c r="G28" s="2454"/>
      <c r="H28" s="2455">
        <v>1037.8024</v>
      </c>
      <c r="I28" s="2456"/>
      <c r="J28" s="2454"/>
      <c r="K28" s="2455">
        <f>H28</f>
        <v>1037.8024</v>
      </c>
      <c r="L28" s="2456"/>
      <c r="M28" s="2457"/>
      <c r="N28" s="2454"/>
      <c r="O28" s="2454"/>
      <c r="P28" s="2454"/>
      <c r="Q28" s="2454"/>
      <c r="R28" s="2454"/>
      <c r="S28" s="2456"/>
      <c r="T28" s="2454"/>
      <c r="U28" s="2454"/>
      <c r="V28" s="2454"/>
      <c r="W28" s="2458"/>
    </row>
    <row r="29" spans="1:23" s="589" customFormat="1" ht="22.5" customHeight="1" x14ac:dyDescent="0.25">
      <c r="A29" s="2443">
        <v>3</v>
      </c>
      <c r="B29" s="2450" t="s">
        <v>1231</v>
      </c>
      <c r="C29" s="2444">
        <f>SUM(C30:C64)</f>
        <v>0</v>
      </c>
      <c r="D29" s="2444">
        <f>SUM(D30:D64)</f>
        <v>0</v>
      </c>
      <c r="E29" s="2444">
        <f>SUM(E30:E64)</f>
        <v>0</v>
      </c>
      <c r="F29" s="2445">
        <f t="shared" ref="F29:W29" si="9">SUM(F30:F69)</f>
        <v>56943.643594000001</v>
      </c>
      <c r="G29" s="2445">
        <f t="shared" si="9"/>
        <v>0</v>
      </c>
      <c r="H29" s="2446">
        <f t="shared" si="9"/>
        <v>56943.643594000001</v>
      </c>
      <c r="I29" s="2447">
        <f t="shared" si="9"/>
        <v>54271.739442999984</v>
      </c>
      <c r="J29" s="2445">
        <f t="shared" si="9"/>
        <v>0</v>
      </c>
      <c r="K29" s="2446">
        <f t="shared" si="9"/>
        <v>54271.739442999984</v>
      </c>
      <c r="L29" s="2447">
        <f t="shared" si="9"/>
        <v>0</v>
      </c>
      <c r="M29" s="2448">
        <f t="shared" si="9"/>
        <v>0</v>
      </c>
      <c r="N29" s="2445">
        <f t="shared" si="9"/>
        <v>0</v>
      </c>
      <c r="O29" s="2445">
        <f t="shared" si="9"/>
        <v>0</v>
      </c>
      <c r="P29" s="2445">
        <f t="shared" si="9"/>
        <v>0</v>
      </c>
      <c r="Q29" s="2445">
        <f t="shared" si="9"/>
        <v>0</v>
      </c>
      <c r="R29" s="2445">
        <f t="shared" si="9"/>
        <v>0</v>
      </c>
      <c r="S29" s="2447">
        <f t="shared" si="9"/>
        <v>0</v>
      </c>
      <c r="T29" s="2445">
        <f t="shared" si="9"/>
        <v>223.62909999999999</v>
      </c>
      <c r="U29" s="2445">
        <f t="shared" si="9"/>
        <v>2028.4469510000008</v>
      </c>
      <c r="V29" s="2445">
        <f t="shared" si="9"/>
        <v>2348.9060510000008</v>
      </c>
      <c r="W29" s="2449">
        <f t="shared" si="9"/>
        <v>0</v>
      </c>
    </row>
    <row r="30" spans="1:23" s="589" customFormat="1" ht="31.5" x14ac:dyDescent="0.25">
      <c r="A30" s="2451" t="s">
        <v>711</v>
      </c>
      <c r="B30" s="2452" t="s">
        <v>2747</v>
      </c>
      <c r="C30" s="2453"/>
      <c r="D30" s="2453"/>
      <c r="E30" s="2453"/>
      <c r="F30" s="2454">
        <f>G30+H30</f>
        <v>12817</v>
      </c>
      <c r="G30" s="2454"/>
      <c r="H30" s="2455">
        <v>12817</v>
      </c>
      <c r="I30" s="2456">
        <f>J30+K30</f>
        <v>12550.346</v>
      </c>
      <c r="J30" s="2454"/>
      <c r="K30" s="2455">
        <v>12550.346</v>
      </c>
      <c r="L30" s="2456"/>
      <c r="M30" s="2457"/>
      <c r="N30" s="2454"/>
      <c r="O30" s="2454"/>
      <c r="P30" s="2454"/>
      <c r="Q30" s="2454"/>
      <c r="R30" s="2454"/>
      <c r="S30" s="2456"/>
      <c r="T30" s="2454">
        <v>214.55410000000001</v>
      </c>
      <c r="U30" s="2454">
        <f>V30+W30</f>
        <v>52.099900000000446</v>
      </c>
      <c r="V30" s="2454">
        <f>F30-K30-T30</f>
        <v>52.099900000000446</v>
      </c>
      <c r="W30" s="2458"/>
    </row>
    <row r="31" spans="1:23" s="1781" customFormat="1" ht="87" customHeight="1" x14ac:dyDescent="0.25">
      <c r="A31" s="2468" t="s">
        <v>711</v>
      </c>
      <c r="B31" s="2469" t="s">
        <v>2750</v>
      </c>
      <c r="C31" s="2470"/>
      <c r="D31" s="2470"/>
      <c r="E31" s="2470"/>
      <c r="F31" s="2455">
        <f>H31</f>
        <v>5730</v>
      </c>
      <c r="G31" s="2455"/>
      <c r="H31" s="2455">
        <v>5730</v>
      </c>
      <c r="I31" s="2456">
        <f>J31+K31+K32</f>
        <v>5584.5874999999996</v>
      </c>
      <c r="J31" s="2455"/>
      <c r="K31" s="2455">
        <v>5485.2184999999999</v>
      </c>
      <c r="L31" s="2456">
        <f>+L32</f>
        <v>0</v>
      </c>
      <c r="M31" s="2457"/>
      <c r="N31" s="2455"/>
      <c r="O31" s="2455"/>
      <c r="P31" s="2455"/>
      <c r="Q31" s="2455"/>
      <c r="R31" s="2455"/>
      <c r="S31" s="2456"/>
      <c r="T31" s="2455">
        <v>9.0749999999999993</v>
      </c>
      <c r="U31" s="2455">
        <f>V31</f>
        <v>36.968500000000361</v>
      </c>
      <c r="V31" s="2455">
        <f>F31-I31-K32-T31</f>
        <v>36.968500000000361</v>
      </c>
      <c r="W31" s="2458"/>
    </row>
    <row r="32" spans="1:23" s="1781" customFormat="1" ht="52.5" customHeight="1" x14ac:dyDescent="0.25">
      <c r="A32" s="2468" t="s">
        <v>711</v>
      </c>
      <c r="B32" s="2469" t="s">
        <v>2315</v>
      </c>
      <c r="C32" s="2470"/>
      <c r="D32" s="2470"/>
      <c r="E32" s="2470"/>
      <c r="F32" s="2455"/>
      <c r="G32" s="2455"/>
      <c r="H32" s="2455"/>
      <c r="I32" s="2456"/>
      <c r="J32" s="2455"/>
      <c r="K32" s="2455">
        <v>99.369</v>
      </c>
      <c r="L32" s="2456"/>
      <c r="M32" s="2457"/>
      <c r="N32" s="2455"/>
      <c r="O32" s="2455"/>
      <c r="P32" s="2455"/>
      <c r="Q32" s="2455"/>
      <c r="R32" s="2455"/>
      <c r="S32" s="2456"/>
      <c r="T32" s="2455"/>
      <c r="U32" s="2455">
        <f>V32+W32</f>
        <v>0</v>
      </c>
      <c r="V32" s="2455"/>
      <c r="W32" s="2458"/>
    </row>
    <row r="33" spans="1:23" s="589" customFormat="1" ht="63" x14ac:dyDescent="0.25">
      <c r="A33" s="2451"/>
      <c r="B33" s="2452" t="s">
        <v>2666</v>
      </c>
      <c r="C33" s="2453"/>
      <c r="D33" s="2453"/>
      <c r="E33" s="2453"/>
      <c r="F33" s="2454">
        <f t="shared" ref="F33:F38" si="10">H33</f>
        <v>5496</v>
      </c>
      <c r="G33" s="2454"/>
      <c r="H33" s="2455">
        <v>5496</v>
      </c>
      <c r="I33" s="2456">
        <f>K33</f>
        <v>5496</v>
      </c>
      <c r="J33" s="2454"/>
      <c r="K33" s="2455">
        <v>5496</v>
      </c>
      <c r="L33" s="2456"/>
      <c r="M33" s="2457"/>
      <c r="N33" s="2454"/>
      <c r="O33" s="2454"/>
      <c r="P33" s="2454"/>
      <c r="Q33" s="2454"/>
      <c r="R33" s="2454"/>
      <c r="S33" s="2456"/>
      <c r="T33" s="2454"/>
      <c r="U33" s="2454"/>
      <c r="V33" s="2454"/>
      <c r="W33" s="2458"/>
    </row>
    <row r="34" spans="1:23" s="589" customFormat="1" ht="47.25" x14ac:dyDescent="0.25">
      <c r="A34" s="2451" t="s">
        <v>711</v>
      </c>
      <c r="B34" s="2471" t="s">
        <v>1760</v>
      </c>
      <c r="C34" s="2453"/>
      <c r="D34" s="2453"/>
      <c r="E34" s="2453"/>
      <c r="F34" s="2454">
        <f t="shared" si="10"/>
        <v>4697</v>
      </c>
      <c r="G34" s="2454"/>
      <c r="H34" s="2455">
        <f>3575+1122</f>
        <v>4697</v>
      </c>
      <c r="I34" s="2456">
        <f t="shared" ref="I34:I65" si="11">K34</f>
        <v>4482.384</v>
      </c>
      <c r="J34" s="2454"/>
      <c r="K34" s="2455">
        <v>4482.384</v>
      </c>
      <c r="L34" s="2456"/>
      <c r="M34" s="2457"/>
      <c r="N34" s="2454"/>
      <c r="O34" s="2454"/>
      <c r="P34" s="2454"/>
      <c r="Q34" s="2454"/>
      <c r="R34" s="2454"/>
      <c r="S34" s="2456"/>
      <c r="T34" s="2454"/>
      <c r="U34" s="2454">
        <f t="shared" ref="U34:U47" si="12">V34+W34</f>
        <v>214.61599999999999</v>
      </c>
      <c r="V34" s="2454">
        <f>F34-K34-M34</f>
        <v>214.61599999999999</v>
      </c>
      <c r="W34" s="2458"/>
    </row>
    <row r="35" spans="1:23" s="589" customFormat="1" ht="31.5" x14ac:dyDescent="0.25">
      <c r="A35" s="2451" t="s">
        <v>711</v>
      </c>
      <c r="B35" s="2452" t="s">
        <v>1238</v>
      </c>
      <c r="C35" s="2453"/>
      <c r="D35" s="2453"/>
      <c r="E35" s="2453"/>
      <c r="F35" s="2454">
        <f t="shared" si="10"/>
        <v>581</v>
      </c>
      <c r="G35" s="2454"/>
      <c r="H35" s="2455">
        <v>581</v>
      </c>
      <c r="I35" s="2456">
        <f t="shared" si="11"/>
        <v>581.13</v>
      </c>
      <c r="J35" s="2454"/>
      <c r="K35" s="2455">
        <v>581.13</v>
      </c>
      <c r="L35" s="2456"/>
      <c r="M35" s="2457"/>
      <c r="N35" s="2454"/>
      <c r="O35" s="2454"/>
      <c r="P35" s="2454"/>
      <c r="Q35" s="2454"/>
      <c r="R35" s="2454"/>
      <c r="S35" s="2456"/>
      <c r="T35" s="2454"/>
      <c r="U35" s="2454">
        <f t="shared" si="12"/>
        <v>-0.12999999999999545</v>
      </c>
      <c r="V35" s="2454">
        <f t="shared" ref="V35:V42" si="13">F35-I35-M35</f>
        <v>-0.12999999999999545</v>
      </c>
      <c r="W35" s="2458"/>
    </row>
    <row r="36" spans="1:23" s="589" customFormat="1" ht="47.25" x14ac:dyDescent="0.25">
      <c r="A36" s="2451" t="s">
        <v>711</v>
      </c>
      <c r="B36" s="2472" t="s">
        <v>2752</v>
      </c>
      <c r="C36" s="2453"/>
      <c r="D36" s="2453"/>
      <c r="E36" s="2453"/>
      <c r="F36" s="2454">
        <f t="shared" si="10"/>
        <v>2663</v>
      </c>
      <c r="G36" s="2454"/>
      <c r="H36" s="2455">
        <f>1963+700</f>
        <v>2663</v>
      </c>
      <c r="I36" s="2456">
        <f t="shared" si="11"/>
        <v>2680.78</v>
      </c>
      <c r="J36" s="2454"/>
      <c r="K36" s="2455">
        <v>2680.78</v>
      </c>
      <c r="L36" s="2456"/>
      <c r="M36" s="2457"/>
      <c r="N36" s="2454"/>
      <c r="O36" s="2454"/>
      <c r="P36" s="2454"/>
      <c r="Q36" s="2454"/>
      <c r="R36" s="2454"/>
      <c r="S36" s="2456"/>
      <c r="T36" s="2454"/>
      <c r="U36" s="2454">
        <f t="shared" si="12"/>
        <v>-17.7800000000002</v>
      </c>
      <c r="V36" s="2454">
        <f t="shared" si="13"/>
        <v>-17.7800000000002</v>
      </c>
      <c r="W36" s="2458"/>
    </row>
    <row r="37" spans="1:23" s="589" customFormat="1" ht="31.5" x14ac:dyDescent="0.25">
      <c r="A37" s="2451" t="s">
        <v>711</v>
      </c>
      <c r="B37" s="2452" t="s">
        <v>1607</v>
      </c>
      <c r="C37" s="2453"/>
      <c r="D37" s="2453"/>
      <c r="E37" s="2453"/>
      <c r="F37" s="2454">
        <f t="shared" si="10"/>
        <v>53</v>
      </c>
      <c r="G37" s="2454"/>
      <c r="H37" s="2455">
        <v>53</v>
      </c>
      <c r="I37" s="2456">
        <f t="shared" si="11"/>
        <v>77.877111999999997</v>
      </c>
      <c r="J37" s="2454"/>
      <c r="K37" s="2455">
        <v>77.877111999999997</v>
      </c>
      <c r="L37" s="2456"/>
      <c r="M37" s="2457"/>
      <c r="N37" s="2454"/>
      <c r="O37" s="2454"/>
      <c r="P37" s="2454"/>
      <c r="Q37" s="2454"/>
      <c r="R37" s="2454"/>
      <c r="S37" s="2456"/>
      <c r="T37" s="2454"/>
      <c r="U37" s="2454">
        <f t="shared" si="12"/>
        <v>-24.877111999999997</v>
      </c>
      <c r="V37" s="2454">
        <f t="shared" si="13"/>
        <v>-24.877111999999997</v>
      </c>
      <c r="W37" s="2458"/>
    </row>
    <row r="38" spans="1:23" s="589" customFormat="1" ht="47.25" x14ac:dyDescent="0.25">
      <c r="A38" s="2451" t="s">
        <v>711</v>
      </c>
      <c r="B38" s="2452" t="s">
        <v>1608</v>
      </c>
      <c r="C38" s="2453"/>
      <c r="D38" s="2453"/>
      <c r="E38" s="2453"/>
      <c r="F38" s="2454">
        <f t="shared" si="10"/>
        <v>80</v>
      </c>
      <c r="G38" s="2454"/>
      <c r="H38" s="2455">
        <f>48+32</f>
        <v>80</v>
      </c>
      <c r="I38" s="2456">
        <f t="shared" si="11"/>
        <v>80.459999999999994</v>
      </c>
      <c r="J38" s="2454"/>
      <c r="K38" s="2455">
        <v>80.459999999999994</v>
      </c>
      <c r="L38" s="2456"/>
      <c r="M38" s="2457"/>
      <c r="N38" s="2454"/>
      <c r="O38" s="2454"/>
      <c r="P38" s="2454"/>
      <c r="Q38" s="2454"/>
      <c r="R38" s="2454"/>
      <c r="S38" s="2456"/>
      <c r="T38" s="2454"/>
      <c r="U38" s="2454">
        <f t="shared" si="12"/>
        <v>-0.45999999999999375</v>
      </c>
      <c r="V38" s="2454">
        <f t="shared" si="13"/>
        <v>-0.45999999999999375</v>
      </c>
      <c r="W38" s="2458"/>
    </row>
    <row r="39" spans="1:23" s="589" customFormat="1" ht="63" x14ac:dyDescent="0.25">
      <c r="A39" s="2451" t="s">
        <v>711</v>
      </c>
      <c r="B39" s="2452" t="s">
        <v>2749</v>
      </c>
      <c r="C39" s="2453"/>
      <c r="D39" s="2453"/>
      <c r="E39" s="2453"/>
      <c r="F39" s="2454">
        <f>G39+H39</f>
        <v>3680</v>
      </c>
      <c r="G39" s="2454"/>
      <c r="H39" s="2455">
        <v>3680</v>
      </c>
      <c r="I39" s="2456">
        <f t="shared" si="11"/>
        <v>3558.7326670000002</v>
      </c>
      <c r="J39" s="2454"/>
      <c r="K39" s="2455">
        <v>3558.7326670000002</v>
      </c>
      <c r="L39" s="2456"/>
      <c r="M39" s="2457"/>
      <c r="N39" s="2454"/>
      <c r="O39" s="2454"/>
      <c r="P39" s="2454"/>
      <c r="Q39" s="2454"/>
      <c r="R39" s="2454"/>
      <c r="S39" s="2456"/>
      <c r="T39" s="2454"/>
      <c r="U39" s="2454">
        <f t="shared" si="12"/>
        <v>121.26733299999978</v>
      </c>
      <c r="V39" s="2454">
        <f t="shared" si="13"/>
        <v>121.26733299999978</v>
      </c>
      <c r="W39" s="2458"/>
    </row>
    <row r="40" spans="1:23" s="589" customFormat="1" ht="47.25" x14ac:dyDescent="0.25">
      <c r="A40" s="2451" t="s">
        <v>711</v>
      </c>
      <c r="B40" s="2452" t="s">
        <v>2681</v>
      </c>
      <c r="C40" s="2453"/>
      <c r="D40" s="2453"/>
      <c r="E40" s="2453"/>
      <c r="F40" s="2454">
        <f t="shared" ref="F40:F47" si="14">G40+H40</f>
        <v>1027.604</v>
      </c>
      <c r="G40" s="2454"/>
      <c r="H40" s="2455">
        <v>1027.604</v>
      </c>
      <c r="I40" s="2456">
        <f t="shared" si="11"/>
        <v>949.36305900000002</v>
      </c>
      <c r="J40" s="2454"/>
      <c r="K40" s="2455">
        <v>949.36305900000002</v>
      </c>
      <c r="L40" s="2456"/>
      <c r="M40" s="2457"/>
      <c r="N40" s="2454"/>
      <c r="O40" s="2454"/>
      <c r="P40" s="2454"/>
      <c r="Q40" s="2454"/>
      <c r="R40" s="2454"/>
      <c r="S40" s="2456"/>
      <c r="T40" s="2454"/>
      <c r="U40" s="2454">
        <f t="shared" si="12"/>
        <v>78.240941000000021</v>
      </c>
      <c r="V40" s="2454">
        <f t="shared" si="13"/>
        <v>78.240941000000021</v>
      </c>
      <c r="W40" s="2458"/>
    </row>
    <row r="41" spans="1:23" s="589" customFormat="1" ht="47.25" x14ac:dyDescent="0.25">
      <c r="A41" s="2451" t="s">
        <v>711</v>
      </c>
      <c r="B41" s="2472" t="s">
        <v>2663</v>
      </c>
      <c r="C41" s="2453"/>
      <c r="D41" s="2453"/>
      <c r="E41" s="2453"/>
      <c r="F41" s="2454">
        <f t="shared" si="14"/>
        <v>27</v>
      </c>
      <c r="G41" s="2454"/>
      <c r="H41" s="2455">
        <v>27</v>
      </c>
      <c r="I41" s="2456">
        <f t="shared" si="11"/>
        <v>27</v>
      </c>
      <c r="J41" s="2454"/>
      <c r="K41" s="2455">
        <v>27</v>
      </c>
      <c r="L41" s="2456"/>
      <c r="M41" s="2457"/>
      <c r="N41" s="2454"/>
      <c r="O41" s="2454"/>
      <c r="P41" s="2454"/>
      <c r="Q41" s="2454"/>
      <c r="R41" s="2454"/>
      <c r="S41" s="2456"/>
      <c r="T41" s="2454"/>
      <c r="U41" s="2454">
        <f t="shared" si="12"/>
        <v>0</v>
      </c>
      <c r="V41" s="2454">
        <f t="shared" si="13"/>
        <v>0</v>
      </c>
      <c r="W41" s="2458"/>
    </row>
    <row r="42" spans="1:23" s="589" customFormat="1" ht="47.25" x14ac:dyDescent="0.25">
      <c r="A42" s="2451" t="s">
        <v>711</v>
      </c>
      <c r="B42" s="2472" t="s">
        <v>2664</v>
      </c>
      <c r="C42" s="2453"/>
      <c r="D42" s="2453"/>
      <c r="E42" s="2453"/>
      <c r="F42" s="2454">
        <f t="shared" si="14"/>
        <v>200</v>
      </c>
      <c r="G42" s="2454"/>
      <c r="H42" s="2455">
        <v>200</v>
      </c>
      <c r="I42" s="2456">
        <f t="shared" si="11"/>
        <v>200</v>
      </c>
      <c r="J42" s="2454"/>
      <c r="K42" s="2455">
        <v>200</v>
      </c>
      <c r="L42" s="2456"/>
      <c r="M42" s="2457"/>
      <c r="N42" s="2454"/>
      <c r="O42" s="2454"/>
      <c r="P42" s="2454"/>
      <c r="Q42" s="2454"/>
      <c r="R42" s="2454"/>
      <c r="S42" s="2456"/>
      <c r="T42" s="2454"/>
      <c r="U42" s="2454">
        <f t="shared" si="12"/>
        <v>0</v>
      </c>
      <c r="V42" s="2454">
        <f t="shared" si="13"/>
        <v>0</v>
      </c>
      <c r="W42" s="2458"/>
    </row>
    <row r="43" spans="1:23" s="589" customFormat="1" ht="78.75" x14ac:dyDescent="0.25">
      <c r="A43" s="2451" t="s">
        <v>711</v>
      </c>
      <c r="B43" s="2472" t="s">
        <v>2667</v>
      </c>
      <c r="C43" s="2453"/>
      <c r="D43" s="2453"/>
      <c r="E43" s="2453"/>
      <c r="F43" s="2454">
        <f t="shared" si="14"/>
        <v>357</v>
      </c>
      <c r="G43" s="2454"/>
      <c r="H43" s="2455">
        <v>357</v>
      </c>
      <c r="I43" s="2456">
        <f t="shared" si="11"/>
        <v>0</v>
      </c>
      <c r="J43" s="2454"/>
      <c r="K43" s="2455"/>
      <c r="L43" s="2456"/>
      <c r="M43" s="2457"/>
      <c r="N43" s="2454"/>
      <c r="O43" s="2454"/>
      <c r="P43" s="2454"/>
      <c r="Q43" s="2454"/>
      <c r="R43" s="2454"/>
      <c r="S43" s="2456"/>
      <c r="T43" s="2454"/>
      <c r="U43" s="2454">
        <f t="shared" si="12"/>
        <v>357</v>
      </c>
      <c r="V43" s="2454">
        <f>F43-I43-M43</f>
        <v>357</v>
      </c>
      <c r="W43" s="2458"/>
    </row>
    <row r="44" spans="1:23" s="589" customFormat="1" ht="31.5" x14ac:dyDescent="0.25">
      <c r="A44" s="2451" t="s">
        <v>711</v>
      </c>
      <c r="B44" s="2472" t="s">
        <v>2668</v>
      </c>
      <c r="C44" s="2453"/>
      <c r="D44" s="2453"/>
      <c r="E44" s="2453"/>
      <c r="F44" s="2454">
        <f t="shared" si="14"/>
        <v>800</v>
      </c>
      <c r="G44" s="2454"/>
      <c r="H44" s="2455">
        <v>800</v>
      </c>
      <c r="I44" s="2456">
        <f t="shared" si="11"/>
        <v>762.41301099999998</v>
      </c>
      <c r="J44" s="2454"/>
      <c r="K44" s="2455">
        <v>762.41301099999998</v>
      </c>
      <c r="L44" s="2456"/>
      <c r="M44" s="2457"/>
      <c r="N44" s="2454"/>
      <c r="O44" s="2454"/>
      <c r="P44" s="2454"/>
      <c r="Q44" s="2454"/>
      <c r="R44" s="2454"/>
      <c r="S44" s="2456"/>
      <c r="T44" s="2454"/>
      <c r="U44" s="2454">
        <f t="shared" si="12"/>
        <v>37.586989000000017</v>
      </c>
      <c r="V44" s="2454">
        <f>F44-I44-M44</f>
        <v>37.586989000000017</v>
      </c>
      <c r="W44" s="2458"/>
    </row>
    <row r="45" spans="1:23" s="589" customFormat="1" x14ac:dyDescent="0.25">
      <c r="A45" s="2451" t="s">
        <v>711</v>
      </c>
      <c r="B45" s="2472" t="s">
        <v>1770</v>
      </c>
      <c r="C45" s="2453"/>
      <c r="D45" s="2453"/>
      <c r="E45" s="2453"/>
      <c r="F45" s="2454">
        <f t="shared" si="14"/>
        <v>133</v>
      </c>
      <c r="G45" s="2454"/>
      <c r="H45" s="2455">
        <v>133</v>
      </c>
      <c r="I45" s="2456">
        <f t="shared" si="11"/>
        <v>114.57</v>
      </c>
      <c r="J45" s="2454"/>
      <c r="K45" s="2455">
        <v>114.57</v>
      </c>
      <c r="L45" s="2456"/>
      <c r="M45" s="2457"/>
      <c r="N45" s="2454"/>
      <c r="O45" s="2454"/>
      <c r="P45" s="2454"/>
      <c r="Q45" s="2454"/>
      <c r="R45" s="2454"/>
      <c r="S45" s="2456"/>
      <c r="T45" s="2454"/>
      <c r="U45" s="2454">
        <f t="shared" si="12"/>
        <v>18.430000000000007</v>
      </c>
      <c r="V45" s="2454">
        <f>F45-I45-M45</f>
        <v>18.430000000000007</v>
      </c>
      <c r="W45" s="2458"/>
    </row>
    <row r="46" spans="1:23" s="589" customFormat="1" x14ac:dyDescent="0.25">
      <c r="A46" s="2451" t="s">
        <v>711</v>
      </c>
      <c r="B46" s="2452" t="s">
        <v>1771</v>
      </c>
      <c r="C46" s="2453"/>
      <c r="D46" s="2453"/>
      <c r="E46" s="2453"/>
      <c r="F46" s="2454">
        <f t="shared" si="14"/>
        <v>1200</v>
      </c>
      <c r="G46" s="2454"/>
      <c r="H46" s="2455">
        <v>1200</v>
      </c>
      <c r="I46" s="2456">
        <f t="shared" si="11"/>
        <v>1200</v>
      </c>
      <c r="J46" s="2454"/>
      <c r="K46" s="2455">
        <v>1200</v>
      </c>
      <c r="L46" s="2456"/>
      <c r="M46" s="2457"/>
      <c r="N46" s="2454"/>
      <c r="O46" s="2454"/>
      <c r="P46" s="2454"/>
      <c r="Q46" s="2454"/>
      <c r="R46" s="2454"/>
      <c r="S46" s="2456"/>
      <c r="T46" s="2454"/>
      <c r="U46" s="2454">
        <f t="shared" si="12"/>
        <v>0</v>
      </c>
      <c r="V46" s="2454">
        <f>F46-I46-M46</f>
        <v>0</v>
      </c>
      <c r="W46" s="2458"/>
    </row>
    <row r="47" spans="1:23" s="589" customFormat="1" ht="31.5" x14ac:dyDescent="0.25">
      <c r="A47" s="2451" t="s">
        <v>711</v>
      </c>
      <c r="B47" s="2452" t="s">
        <v>1610</v>
      </c>
      <c r="C47" s="2453"/>
      <c r="D47" s="2453"/>
      <c r="E47" s="2453"/>
      <c r="F47" s="2454">
        <f t="shared" si="14"/>
        <v>591</v>
      </c>
      <c r="G47" s="2454"/>
      <c r="H47" s="2455">
        <v>591</v>
      </c>
      <c r="I47" s="2456">
        <f t="shared" si="11"/>
        <v>574.89372000000003</v>
      </c>
      <c r="J47" s="2454"/>
      <c r="K47" s="2455">
        <v>574.89372000000003</v>
      </c>
      <c r="L47" s="2456"/>
      <c r="M47" s="2457"/>
      <c r="N47" s="2454"/>
      <c r="O47" s="2454"/>
      <c r="P47" s="2454"/>
      <c r="Q47" s="2454"/>
      <c r="R47" s="2454"/>
      <c r="S47" s="2456"/>
      <c r="T47" s="2454"/>
      <c r="U47" s="2454">
        <f t="shared" si="12"/>
        <v>16.10627999999997</v>
      </c>
      <c r="V47" s="2454">
        <f>F47-I47</f>
        <v>16.10627999999997</v>
      </c>
      <c r="W47" s="2458"/>
    </row>
    <row r="48" spans="1:23" s="589" customFormat="1" ht="31.5" x14ac:dyDescent="0.25">
      <c r="A48" s="2451" t="s">
        <v>711</v>
      </c>
      <c r="B48" s="2452" t="s">
        <v>1717</v>
      </c>
      <c r="C48" s="2453"/>
      <c r="D48" s="2453"/>
      <c r="E48" s="2453"/>
      <c r="F48" s="2454">
        <f>H48</f>
        <v>202</v>
      </c>
      <c r="G48" s="2454"/>
      <c r="H48" s="2455">
        <v>202</v>
      </c>
      <c r="I48" s="2456">
        <f t="shared" si="11"/>
        <v>202</v>
      </c>
      <c r="J48" s="2454"/>
      <c r="K48" s="2455">
        <v>202</v>
      </c>
      <c r="L48" s="2456"/>
      <c r="M48" s="2457"/>
      <c r="N48" s="2454"/>
      <c r="O48" s="2454"/>
      <c r="P48" s="2454"/>
      <c r="Q48" s="2454"/>
      <c r="R48" s="2454"/>
      <c r="S48" s="2456"/>
      <c r="T48" s="2454"/>
      <c r="U48" s="2454"/>
      <c r="V48" s="2454"/>
      <c r="W48" s="2458"/>
    </row>
    <row r="49" spans="1:23" s="589" customFormat="1" ht="31.5" x14ac:dyDescent="0.25">
      <c r="A49" s="2451" t="s">
        <v>711</v>
      </c>
      <c r="B49" s="2472" t="s">
        <v>2661</v>
      </c>
      <c r="C49" s="2453"/>
      <c r="D49" s="2453"/>
      <c r="E49" s="2453"/>
      <c r="F49" s="2454">
        <f>H49</f>
        <v>316</v>
      </c>
      <c r="G49" s="2454"/>
      <c r="H49" s="2455">
        <v>316</v>
      </c>
      <c r="I49" s="2456">
        <f t="shared" si="11"/>
        <v>298.084655</v>
      </c>
      <c r="J49" s="2454"/>
      <c r="K49" s="2455">
        <v>298.084655</v>
      </c>
      <c r="L49" s="2456"/>
      <c r="M49" s="2457"/>
      <c r="N49" s="2454"/>
      <c r="O49" s="2454"/>
      <c r="P49" s="2454"/>
      <c r="Q49" s="2454"/>
      <c r="R49" s="2454"/>
      <c r="S49" s="2456"/>
      <c r="T49" s="2454"/>
      <c r="U49" s="2454">
        <f t="shared" ref="U49:U55" si="15">V49</f>
        <v>17.915345000000002</v>
      </c>
      <c r="V49" s="2454">
        <f>H49-I49</f>
        <v>17.915345000000002</v>
      </c>
      <c r="W49" s="2458"/>
    </row>
    <row r="50" spans="1:23" s="589" customFormat="1" x14ac:dyDescent="0.25">
      <c r="A50" s="2451" t="s">
        <v>711</v>
      </c>
      <c r="B50" s="2452" t="s">
        <v>2965</v>
      </c>
      <c r="C50" s="2453"/>
      <c r="D50" s="2453"/>
      <c r="E50" s="2453"/>
      <c r="F50" s="2454">
        <v>400</v>
      </c>
      <c r="G50" s="2454"/>
      <c r="H50" s="2455">
        <v>400</v>
      </c>
      <c r="I50" s="2456">
        <f t="shared" si="11"/>
        <v>400</v>
      </c>
      <c r="J50" s="2454"/>
      <c r="K50" s="2455">
        <v>400</v>
      </c>
      <c r="L50" s="2456"/>
      <c r="M50" s="2457"/>
      <c r="N50" s="2454"/>
      <c r="O50" s="2454"/>
      <c r="P50" s="2454"/>
      <c r="Q50" s="2454"/>
      <c r="R50" s="2454"/>
      <c r="S50" s="2456"/>
      <c r="T50" s="2454"/>
      <c r="U50" s="2454">
        <f t="shared" si="15"/>
        <v>0</v>
      </c>
      <c r="V50" s="2454"/>
      <c r="W50" s="2458"/>
    </row>
    <row r="51" spans="1:23" s="589" customFormat="1" ht="63" x14ac:dyDescent="0.25">
      <c r="A51" s="2451" t="s">
        <v>711</v>
      </c>
      <c r="B51" s="2452" t="s">
        <v>2669</v>
      </c>
      <c r="C51" s="2453"/>
      <c r="D51" s="2453"/>
      <c r="E51" s="2453"/>
      <c r="F51" s="2454">
        <f t="shared" ref="F51:F65" si="16">H51</f>
        <v>300</v>
      </c>
      <c r="G51" s="2454"/>
      <c r="H51" s="2455">
        <v>300</v>
      </c>
      <c r="I51" s="2456">
        <f t="shared" si="11"/>
        <v>0</v>
      </c>
      <c r="J51" s="2454"/>
      <c r="K51" s="2455">
        <v>0</v>
      </c>
      <c r="L51" s="2456"/>
      <c r="M51" s="2457"/>
      <c r="N51" s="2454"/>
      <c r="O51" s="2454"/>
      <c r="P51" s="2454"/>
      <c r="Q51" s="2454"/>
      <c r="R51" s="2454"/>
      <c r="S51" s="2456"/>
      <c r="T51" s="2454"/>
      <c r="U51" s="2454">
        <f t="shared" si="15"/>
        <v>300</v>
      </c>
      <c r="V51" s="2454">
        <f>F51-I51</f>
        <v>300</v>
      </c>
      <c r="W51" s="2458"/>
    </row>
    <row r="52" spans="1:23" s="589" customFormat="1" ht="31.5" x14ac:dyDescent="0.25">
      <c r="A52" s="2451" t="s">
        <v>711</v>
      </c>
      <c r="B52" s="2452" t="s">
        <v>2322</v>
      </c>
      <c r="C52" s="2453">
        <f>E52</f>
        <v>0</v>
      </c>
      <c r="D52" s="2453"/>
      <c r="E52" s="2453"/>
      <c r="F52" s="2454">
        <f t="shared" si="16"/>
        <v>1185</v>
      </c>
      <c r="G52" s="2454"/>
      <c r="H52" s="2455">
        <v>1185</v>
      </c>
      <c r="I52" s="2456">
        <f t="shared" si="11"/>
        <v>1174.320322</v>
      </c>
      <c r="J52" s="2454"/>
      <c r="K52" s="2455">
        <v>1174.320322</v>
      </c>
      <c r="L52" s="2456"/>
      <c r="M52" s="2457"/>
      <c r="N52" s="2454"/>
      <c r="O52" s="2454"/>
      <c r="P52" s="2454"/>
      <c r="Q52" s="2454"/>
      <c r="R52" s="2454"/>
      <c r="S52" s="2456"/>
      <c r="T52" s="2454"/>
      <c r="U52" s="2454">
        <f t="shared" si="15"/>
        <v>10.679677999999967</v>
      </c>
      <c r="V52" s="2454">
        <f>F52-I52+C52</f>
        <v>10.679677999999967</v>
      </c>
      <c r="W52" s="2458"/>
    </row>
    <row r="53" spans="1:23" s="589" customFormat="1" ht="31.5" x14ac:dyDescent="0.25">
      <c r="A53" s="2451" t="s">
        <v>711</v>
      </c>
      <c r="B53" s="2452" t="s">
        <v>2323</v>
      </c>
      <c r="C53" s="2453"/>
      <c r="D53" s="2453"/>
      <c r="E53" s="2453"/>
      <c r="F53" s="2454">
        <f t="shared" si="16"/>
        <v>70</v>
      </c>
      <c r="G53" s="2454"/>
      <c r="H53" s="2455">
        <v>70</v>
      </c>
      <c r="I53" s="2456">
        <f t="shared" si="11"/>
        <v>70</v>
      </c>
      <c r="J53" s="2454"/>
      <c r="K53" s="2455">
        <v>70</v>
      </c>
      <c r="L53" s="2456"/>
      <c r="M53" s="2457"/>
      <c r="N53" s="2454"/>
      <c r="O53" s="2454"/>
      <c r="P53" s="2454"/>
      <c r="Q53" s="2454"/>
      <c r="R53" s="2454"/>
      <c r="S53" s="2456"/>
      <c r="T53" s="2454"/>
      <c r="U53" s="2454">
        <f t="shared" si="15"/>
        <v>0</v>
      </c>
      <c r="V53" s="2454">
        <f>F53-I53+C53</f>
        <v>0</v>
      </c>
      <c r="W53" s="2458"/>
    </row>
    <row r="54" spans="1:23" s="589" customFormat="1" ht="31.5" x14ac:dyDescent="0.25">
      <c r="A54" s="2451" t="s">
        <v>711</v>
      </c>
      <c r="B54" s="2452" t="s">
        <v>2324</v>
      </c>
      <c r="C54" s="2453"/>
      <c r="D54" s="2453"/>
      <c r="E54" s="2453"/>
      <c r="F54" s="2454">
        <f t="shared" si="16"/>
        <v>1400</v>
      </c>
      <c r="G54" s="2454"/>
      <c r="H54" s="2455">
        <v>1400</v>
      </c>
      <c r="I54" s="2456">
        <f t="shared" si="11"/>
        <v>1395.8089689999999</v>
      </c>
      <c r="J54" s="2454"/>
      <c r="K54" s="2455">
        <v>1395.8089689999999</v>
      </c>
      <c r="L54" s="2456"/>
      <c r="M54" s="2457"/>
      <c r="N54" s="2454"/>
      <c r="O54" s="2454"/>
      <c r="P54" s="2454"/>
      <c r="Q54" s="2454"/>
      <c r="R54" s="2454"/>
      <c r="S54" s="2456"/>
      <c r="T54" s="2454"/>
      <c r="U54" s="2454">
        <f t="shared" si="15"/>
        <v>4.1910310000000663</v>
      </c>
      <c r="V54" s="2454">
        <f>F54-I54+C54</f>
        <v>4.1910310000000663</v>
      </c>
      <c r="W54" s="2458"/>
    </row>
    <row r="55" spans="1:23" s="589" customFormat="1" ht="31.5" x14ac:dyDescent="0.25">
      <c r="A55" s="2451" t="s">
        <v>711</v>
      </c>
      <c r="B55" s="2452" t="s">
        <v>2648</v>
      </c>
      <c r="C55" s="2453">
        <f>E55</f>
        <v>0</v>
      </c>
      <c r="D55" s="2453"/>
      <c r="E55" s="2453"/>
      <c r="F55" s="2454">
        <f t="shared" si="16"/>
        <v>1144</v>
      </c>
      <c r="G55" s="2454"/>
      <c r="H55" s="2455">
        <v>1144</v>
      </c>
      <c r="I55" s="2456">
        <f>K55</f>
        <v>1137.963</v>
      </c>
      <c r="J55" s="2454"/>
      <c r="K55" s="2455">
        <v>1137.963</v>
      </c>
      <c r="L55" s="2456"/>
      <c r="M55" s="2457"/>
      <c r="N55" s="2454"/>
      <c r="O55" s="2454"/>
      <c r="P55" s="2454"/>
      <c r="Q55" s="2454"/>
      <c r="R55" s="2454"/>
      <c r="S55" s="2456"/>
      <c r="T55" s="2454"/>
      <c r="U55" s="2454">
        <f t="shared" si="15"/>
        <v>6.0370000000000346</v>
      </c>
      <c r="V55" s="2454">
        <f>F55-I55+C55</f>
        <v>6.0370000000000346</v>
      </c>
      <c r="W55" s="2458"/>
    </row>
    <row r="56" spans="1:23" s="589" customFormat="1" ht="47.25" x14ac:dyDescent="0.25">
      <c r="A56" s="2451" t="s">
        <v>711</v>
      </c>
      <c r="B56" s="2472" t="s">
        <v>2727</v>
      </c>
      <c r="C56" s="2453"/>
      <c r="D56" s="2453"/>
      <c r="E56" s="2453"/>
      <c r="F56" s="2454">
        <f t="shared" si="16"/>
        <v>590.97259699999995</v>
      </c>
      <c r="G56" s="2454"/>
      <c r="H56" s="2455">
        <v>590.97259699999995</v>
      </c>
      <c r="I56" s="2456">
        <f t="shared" ref="I56:I62" si="17">K56</f>
        <v>590.97259699999995</v>
      </c>
      <c r="J56" s="2454"/>
      <c r="K56" s="2455">
        <v>590.97259699999995</v>
      </c>
      <c r="L56" s="2456"/>
      <c r="M56" s="2457"/>
      <c r="N56" s="2454"/>
      <c r="O56" s="2454"/>
      <c r="P56" s="2454"/>
      <c r="Q56" s="2454"/>
      <c r="R56" s="2454"/>
      <c r="S56" s="2456"/>
      <c r="T56" s="2454"/>
      <c r="U56" s="2454"/>
      <c r="V56" s="2454"/>
      <c r="W56" s="2458"/>
    </row>
    <row r="57" spans="1:23" s="589" customFormat="1" x14ac:dyDescent="0.25">
      <c r="A57" s="2451" t="s">
        <v>711</v>
      </c>
      <c r="B57" s="2461" t="s">
        <v>1611</v>
      </c>
      <c r="C57" s="2453"/>
      <c r="D57" s="2453"/>
      <c r="E57" s="2453"/>
      <c r="F57" s="2454">
        <f t="shared" si="16"/>
        <v>590.97259699999995</v>
      </c>
      <c r="G57" s="2454"/>
      <c r="H57" s="2455">
        <v>590.97259699999995</v>
      </c>
      <c r="I57" s="2456">
        <f t="shared" si="17"/>
        <v>590.97259699999995</v>
      </c>
      <c r="J57" s="2454"/>
      <c r="K57" s="2455">
        <v>590.97259699999995</v>
      </c>
      <c r="L57" s="2456"/>
      <c r="M57" s="2457"/>
      <c r="N57" s="2454"/>
      <c r="O57" s="2454"/>
      <c r="P57" s="2454"/>
      <c r="Q57" s="2454"/>
      <c r="R57" s="2454"/>
      <c r="S57" s="2456"/>
      <c r="T57" s="2454"/>
      <c r="U57" s="2454"/>
      <c r="V57" s="2454">
        <f t="shared" ref="V57:V65" si="18">F57-I57</f>
        <v>0</v>
      </c>
      <c r="W57" s="2458"/>
    </row>
    <row r="58" spans="1:23" s="589" customFormat="1" ht="31.5" x14ac:dyDescent="0.25">
      <c r="A58" s="2451" t="s">
        <v>711</v>
      </c>
      <c r="B58" s="2472" t="s">
        <v>2673</v>
      </c>
      <c r="C58" s="2453"/>
      <c r="D58" s="2453"/>
      <c r="E58" s="2453"/>
      <c r="F58" s="2454">
        <f>H58</f>
        <v>727.34500000000003</v>
      </c>
      <c r="G58" s="2454"/>
      <c r="H58" s="2455">
        <v>727.34500000000003</v>
      </c>
      <c r="I58" s="2456">
        <f t="shared" si="17"/>
        <v>727.34500000000003</v>
      </c>
      <c r="J58" s="2454"/>
      <c r="K58" s="2455">
        <f>H58</f>
        <v>727.34500000000003</v>
      </c>
      <c r="L58" s="2456"/>
      <c r="M58" s="2457"/>
      <c r="N58" s="2454"/>
      <c r="O58" s="2454"/>
      <c r="P58" s="2454"/>
      <c r="Q58" s="2454"/>
      <c r="R58" s="2454"/>
      <c r="S58" s="2456"/>
      <c r="T58" s="2454"/>
      <c r="U58" s="2454"/>
      <c r="V58" s="2454">
        <f t="shared" si="18"/>
        <v>0</v>
      </c>
      <c r="W58" s="2458"/>
    </row>
    <row r="59" spans="1:23" s="589" customFormat="1" ht="47.25" x14ac:dyDescent="0.25">
      <c r="A59" s="2451" t="s">
        <v>711</v>
      </c>
      <c r="B59" s="2472" t="s">
        <v>2728</v>
      </c>
      <c r="C59" s="2453"/>
      <c r="D59" s="2453"/>
      <c r="E59" s="2453"/>
      <c r="F59" s="2454">
        <f>H59</f>
        <v>48.404000000000003</v>
      </c>
      <c r="G59" s="2454"/>
      <c r="H59" s="2455">
        <v>48.404000000000003</v>
      </c>
      <c r="I59" s="2456">
        <f t="shared" si="17"/>
        <v>48.404000000000003</v>
      </c>
      <c r="J59" s="2454"/>
      <c r="K59" s="2455">
        <f>H59</f>
        <v>48.404000000000003</v>
      </c>
      <c r="L59" s="2456"/>
      <c r="M59" s="2457"/>
      <c r="N59" s="2454"/>
      <c r="O59" s="2454"/>
      <c r="P59" s="2454"/>
      <c r="Q59" s="2454"/>
      <c r="R59" s="2454"/>
      <c r="S59" s="2456"/>
      <c r="T59" s="2454"/>
      <c r="U59" s="2454"/>
      <c r="V59" s="2454">
        <f t="shared" si="18"/>
        <v>0</v>
      </c>
      <c r="W59" s="2458"/>
    </row>
    <row r="60" spans="1:23" s="589" customFormat="1" ht="78.75" x14ac:dyDescent="0.25">
      <c r="A60" s="2451" t="s">
        <v>711</v>
      </c>
      <c r="B60" s="2472" t="s">
        <v>2736</v>
      </c>
      <c r="C60" s="2453"/>
      <c r="D60" s="2453"/>
      <c r="E60" s="2453"/>
      <c r="F60" s="2454">
        <f>H60</f>
        <v>2500</v>
      </c>
      <c r="G60" s="2454"/>
      <c r="H60" s="2455">
        <v>2500</v>
      </c>
      <c r="I60" s="2456">
        <f t="shared" si="17"/>
        <v>2179.5409</v>
      </c>
      <c r="J60" s="2454"/>
      <c r="K60" s="2455">
        <v>2179.5409</v>
      </c>
      <c r="L60" s="2456"/>
      <c r="M60" s="2457"/>
      <c r="N60" s="2454"/>
      <c r="O60" s="2454"/>
      <c r="P60" s="2454"/>
      <c r="Q60" s="2454"/>
      <c r="R60" s="2454"/>
      <c r="S60" s="2456"/>
      <c r="T60" s="2454"/>
      <c r="U60" s="2454"/>
      <c r="V60" s="2454">
        <f t="shared" si="18"/>
        <v>320.45910000000003</v>
      </c>
      <c r="W60" s="2458"/>
    </row>
    <row r="61" spans="1:23" s="589" customFormat="1" ht="31.5" x14ac:dyDescent="0.25">
      <c r="A61" s="2451" t="s">
        <v>711</v>
      </c>
      <c r="B61" s="2472" t="s">
        <v>2711</v>
      </c>
      <c r="C61" s="2453"/>
      <c r="D61" s="2453"/>
      <c r="E61" s="2453"/>
      <c r="F61" s="2454">
        <f>H61</f>
        <v>506.06600000000003</v>
      </c>
      <c r="G61" s="2454"/>
      <c r="H61" s="2455">
        <v>506.06600000000003</v>
      </c>
      <c r="I61" s="2456">
        <f t="shared" si="17"/>
        <v>506.06600000000003</v>
      </c>
      <c r="J61" s="2454"/>
      <c r="K61" s="2455">
        <v>506.06600000000003</v>
      </c>
      <c r="L61" s="2456"/>
      <c r="M61" s="2457"/>
      <c r="N61" s="2454"/>
      <c r="O61" s="2454"/>
      <c r="P61" s="2454"/>
      <c r="Q61" s="2454"/>
      <c r="R61" s="2454"/>
      <c r="S61" s="2456"/>
      <c r="T61" s="2454"/>
      <c r="U61" s="2454"/>
      <c r="V61" s="2454">
        <f t="shared" si="18"/>
        <v>0</v>
      </c>
      <c r="W61" s="2458"/>
    </row>
    <row r="62" spans="1:23" s="589" customFormat="1" ht="63" x14ac:dyDescent="0.25">
      <c r="A62" s="2451" t="s">
        <v>711</v>
      </c>
      <c r="B62" s="2472" t="s">
        <v>2966</v>
      </c>
      <c r="C62" s="2453"/>
      <c r="D62" s="2453"/>
      <c r="E62" s="2453"/>
      <c r="F62" s="2454">
        <f>H62</f>
        <v>467.91300000000007</v>
      </c>
      <c r="G62" s="2454"/>
      <c r="H62" s="2455">
        <v>467.91300000000007</v>
      </c>
      <c r="I62" s="2456">
        <f t="shared" si="17"/>
        <v>467.91300000000007</v>
      </c>
      <c r="J62" s="2454"/>
      <c r="K62" s="2455">
        <v>467.91300000000007</v>
      </c>
      <c r="L62" s="2456"/>
      <c r="M62" s="2457"/>
      <c r="N62" s="2454"/>
      <c r="O62" s="2454"/>
      <c r="P62" s="2454"/>
      <c r="Q62" s="2454"/>
      <c r="R62" s="2454"/>
      <c r="S62" s="2456"/>
      <c r="T62" s="2454"/>
      <c r="U62" s="2454"/>
      <c r="V62" s="2454">
        <f t="shared" si="18"/>
        <v>0</v>
      </c>
      <c r="W62" s="2458"/>
    </row>
    <row r="63" spans="1:23" s="1480" customFormat="1" ht="31.5" x14ac:dyDescent="0.25">
      <c r="A63" s="2473" t="s">
        <v>711</v>
      </c>
      <c r="B63" s="2474" t="s">
        <v>2753</v>
      </c>
      <c r="C63" s="2453"/>
      <c r="D63" s="2453"/>
      <c r="E63" s="2453"/>
      <c r="F63" s="2454">
        <f t="shared" si="16"/>
        <v>853</v>
      </c>
      <c r="G63" s="2454"/>
      <c r="H63" s="2455">
        <v>853</v>
      </c>
      <c r="I63" s="2456">
        <f t="shared" si="11"/>
        <v>817.89366900000005</v>
      </c>
      <c r="J63" s="2454"/>
      <c r="K63" s="2455">
        <v>817.89366900000005</v>
      </c>
      <c r="L63" s="2456"/>
      <c r="M63" s="2457"/>
      <c r="N63" s="2454"/>
      <c r="O63" s="2454"/>
      <c r="P63" s="2454"/>
      <c r="Q63" s="2454"/>
      <c r="R63" s="2454"/>
      <c r="S63" s="2456"/>
      <c r="T63" s="2454"/>
      <c r="U63" s="2454">
        <f>V63</f>
        <v>35.106330999999955</v>
      </c>
      <c r="V63" s="2454">
        <f t="shared" si="18"/>
        <v>35.106330999999955</v>
      </c>
      <c r="W63" s="2458"/>
    </row>
    <row r="64" spans="1:23" s="1480" customFormat="1" ht="31.5" x14ac:dyDescent="0.25">
      <c r="A64" s="2473" t="s">
        <v>711</v>
      </c>
      <c r="B64" s="2474" t="s">
        <v>2754</v>
      </c>
      <c r="C64" s="2453"/>
      <c r="D64" s="2453"/>
      <c r="E64" s="2453"/>
      <c r="F64" s="2454">
        <f t="shared" si="16"/>
        <v>951</v>
      </c>
      <c r="G64" s="2454"/>
      <c r="H64" s="2455">
        <v>951</v>
      </c>
      <c r="I64" s="2456">
        <f t="shared" si="11"/>
        <v>614.28092000000004</v>
      </c>
      <c r="J64" s="2454"/>
      <c r="K64" s="2455">
        <v>614.28092000000004</v>
      </c>
      <c r="L64" s="2456"/>
      <c r="M64" s="2457"/>
      <c r="N64" s="2454"/>
      <c r="O64" s="2454"/>
      <c r="P64" s="2454"/>
      <c r="Q64" s="2454"/>
      <c r="R64" s="2454"/>
      <c r="S64" s="2456"/>
      <c r="T64" s="2454"/>
      <c r="U64" s="2454">
        <f>W64+V64</f>
        <v>336.71907999999996</v>
      </c>
      <c r="V64" s="2454">
        <f t="shared" si="18"/>
        <v>336.71907999999996</v>
      </c>
      <c r="W64" s="2458"/>
    </row>
    <row r="65" spans="1:23" s="589" customFormat="1" ht="31.5" x14ac:dyDescent="0.25">
      <c r="A65" s="2451" t="s">
        <v>711</v>
      </c>
      <c r="B65" s="2475" t="s">
        <v>1768</v>
      </c>
      <c r="C65" s="2453"/>
      <c r="D65" s="2453"/>
      <c r="E65" s="2453"/>
      <c r="F65" s="2454">
        <f t="shared" si="16"/>
        <v>30</v>
      </c>
      <c r="G65" s="2454"/>
      <c r="H65" s="2455">
        <v>30</v>
      </c>
      <c r="I65" s="2456">
        <f t="shared" si="11"/>
        <v>29.837122000000001</v>
      </c>
      <c r="J65" s="2454"/>
      <c r="K65" s="2455">
        <v>29.837122000000001</v>
      </c>
      <c r="L65" s="2456"/>
      <c r="M65" s="2457"/>
      <c r="N65" s="2454"/>
      <c r="O65" s="2454"/>
      <c r="P65" s="2454"/>
      <c r="Q65" s="2454"/>
      <c r="R65" s="2454"/>
      <c r="S65" s="2456"/>
      <c r="T65" s="2454"/>
      <c r="U65" s="2454">
        <f>W65+V65</f>
        <v>0.16287799999999919</v>
      </c>
      <c r="V65" s="2454">
        <f t="shared" si="18"/>
        <v>0.16287799999999919</v>
      </c>
      <c r="W65" s="2458"/>
    </row>
    <row r="66" spans="1:23" s="589" customFormat="1" ht="31.5" x14ac:dyDescent="0.25">
      <c r="A66" s="2451" t="s">
        <v>711</v>
      </c>
      <c r="B66" s="2476" t="s">
        <v>2656</v>
      </c>
      <c r="C66" s="2453"/>
      <c r="D66" s="2453"/>
      <c r="E66" s="2453"/>
      <c r="F66" s="2454">
        <f>H66</f>
        <v>500</v>
      </c>
      <c r="G66" s="2454"/>
      <c r="H66" s="2455">
        <v>500</v>
      </c>
      <c r="I66" s="2456">
        <f>K66</f>
        <v>495.06632300000001</v>
      </c>
      <c r="J66" s="2454"/>
      <c r="K66" s="2455">
        <v>495.06632300000001</v>
      </c>
      <c r="L66" s="2456"/>
      <c r="M66" s="2457"/>
      <c r="N66" s="2454"/>
      <c r="O66" s="2454"/>
      <c r="P66" s="2454"/>
      <c r="Q66" s="2454"/>
      <c r="R66" s="2454"/>
      <c r="S66" s="2456"/>
      <c r="T66" s="2454"/>
      <c r="U66" s="2454">
        <f>V66</f>
        <v>4.9336769999999888</v>
      </c>
      <c r="V66" s="2454">
        <f>F66-I66-M66</f>
        <v>4.9336769999999888</v>
      </c>
      <c r="W66" s="2458"/>
    </row>
    <row r="67" spans="1:23" s="589" customFormat="1" ht="47.25" x14ac:dyDescent="0.25">
      <c r="A67" s="2451" t="s">
        <v>711</v>
      </c>
      <c r="B67" s="2476" t="s">
        <v>2329</v>
      </c>
      <c r="C67" s="2453"/>
      <c r="D67" s="2453"/>
      <c r="E67" s="2453"/>
      <c r="F67" s="2454">
        <f>H67</f>
        <v>582</v>
      </c>
      <c r="G67" s="2454"/>
      <c r="H67" s="2455">
        <v>582</v>
      </c>
      <c r="I67" s="2456">
        <f>K67</f>
        <v>582</v>
      </c>
      <c r="J67" s="2454"/>
      <c r="K67" s="2455">
        <v>582</v>
      </c>
      <c r="L67" s="2456"/>
      <c r="M67" s="2457"/>
      <c r="N67" s="2454"/>
      <c r="O67" s="2454"/>
      <c r="P67" s="2454"/>
      <c r="Q67" s="2454"/>
      <c r="R67" s="2454"/>
      <c r="S67" s="2456"/>
      <c r="T67" s="2454"/>
      <c r="U67" s="2454">
        <f>V67</f>
        <v>0</v>
      </c>
      <c r="V67" s="2454">
        <f>F67-I67-M67</f>
        <v>0</v>
      </c>
      <c r="W67" s="2458"/>
    </row>
    <row r="68" spans="1:23" s="589" customFormat="1" ht="31.5" x14ac:dyDescent="0.25">
      <c r="A68" s="2451" t="s">
        <v>711</v>
      </c>
      <c r="B68" s="2476" t="s">
        <v>2330</v>
      </c>
      <c r="C68" s="2453"/>
      <c r="D68" s="2453"/>
      <c r="E68" s="2453"/>
      <c r="F68" s="2454">
        <f>H68</f>
        <v>51.2</v>
      </c>
      <c r="G68" s="2454"/>
      <c r="H68" s="2455">
        <v>51.2</v>
      </c>
      <c r="I68" s="2456">
        <f>K68</f>
        <v>51.2</v>
      </c>
      <c r="J68" s="2454"/>
      <c r="K68" s="2455">
        <v>51.2</v>
      </c>
      <c r="L68" s="2456"/>
      <c r="M68" s="2457"/>
      <c r="N68" s="2454"/>
      <c r="O68" s="2454"/>
      <c r="P68" s="2454"/>
      <c r="Q68" s="2454"/>
      <c r="R68" s="2454"/>
      <c r="S68" s="2456"/>
      <c r="T68" s="2454"/>
      <c r="U68" s="2454">
        <f>V68</f>
        <v>0</v>
      </c>
      <c r="V68" s="2454">
        <f>F68-I68-M68</f>
        <v>0</v>
      </c>
      <c r="W68" s="2458"/>
    </row>
    <row r="69" spans="1:23" s="589" customFormat="1" ht="94.5" x14ac:dyDescent="0.25">
      <c r="A69" s="2451">
        <v>1</v>
      </c>
      <c r="B69" s="2452" t="s">
        <v>2759</v>
      </c>
      <c r="C69" s="2453"/>
      <c r="D69" s="2453"/>
      <c r="E69" s="2453"/>
      <c r="F69" s="2454">
        <f>G69+H69</f>
        <v>3395.1664000000001</v>
      </c>
      <c r="G69" s="2454"/>
      <c r="H69" s="2455">
        <v>3395.1664000000001</v>
      </c>
      <c r="I69" s="2456">
        <f>J69+K69</f>
        <v>2971.5332999999996</v>
      </c>
      <c r="J69" s="2454"/>
      <c r="K69" s="2455">
        <v>2971.5332999999996</v>
      </c>
      <c r="L69" s="2456"/>
      <c r="M69" s="2457"/>
      <c r="N69" s="2454"/>
      <c r="O69" s="2454"/>
      <c r="P69" s="2454"/>
      <c r="Q69" s="2454"/>
      <c r="R69" s="2454"/>
      <c r="S69" s="2456"/>
      <c r="T69" s="2454"/>
      <c r="U69" s="2454">
        <f>V69+W69</f>
        <v>423.63310000000047</v>
      </c>
      <c r="V69" s="2454">
        <f>H69-K69</f>
        <v>423.63310000000047</v>
      </c>
      <c r="W69" s="2458"/>
    </row>
    <row r="70" spans="1:23" s="2482" customFormat="1" x14ac:dyDescent="0.25">
      <c r="A70" s="2477" t="s">
        <v>848</v>
      </c>
      <c r="B70" s="2477" t="s">
        <v>726</v>
      </c>
      <c r="C70" s="2478">
        <f>C71+C96+C101</f>
        <v>0</v>
      </c>
      <c r="D70" s="2478">
        <f>D71+D96+D101</f>
        <v>0</v>
      </c>
      <c r="E70" s="2478">
        <f>E71+E96+E101</f>
        <v>0</v>
      </c>
      <c r="F70" s="2479">
        <f>F71+F96+F101</f>
        <v>477.18</v>
      </c>
      <c r="G70" s="2479">
        <f t="shared" ref="G70:V70" si="19">G71+G96+G101</f>
        <v>0</v>
      </c>
      <c r="H70" s="2479">
        <f t="shared" si="19"/>
        <v>477.18</v>
      </c>
      <c r="I70" s="2479">
        <f>I71+I96+I101</f>
        <v>456.44652000000008</v>
      </c>
      <c r="J70" s="2479">
        <f t="shared" si="19"/>
        <v>0</v>
      </c>
      <c r="K70" s="2479">
        <f t="shared" si="19"/>
        <v>456.44652000000008</v>
      </c>
      <c r="L70" s="2479">
        <f t="shared" si="19"/>
        <v>0</v>
      </c>
      <c r="M70" s="2480">
        <f t="shared" si="19"/>
        <v>0</v>
      </c>
      <c r="N70" s="2479">
        <f t="shared" si="19"/>
        <v>2.7439999999999998</v>
      </c>
      <c r="O70" s="2479">
        <f t="shared" si="19"/>
        <v>0</v>
      </c>
      <c r="P70" s="2479">
        <f t="shared" si="19"/>
        <v>0</v>
      </c>
      <c r="Q70" s="2479">
        <f t="shared" si="19"/>
        <v>0</v>
      </c>
      <c r="R70" s="2479">
        <f t="shared" si="19"/>
        <v>0</v>
      </c>
      <c r="S70" s="2479">
        <f t="shared" si="19"/>
        <v>0</v>
      </c>
      <c r="T70" s="2479">
        <f t="shared" si="19"/>
        <v>2.7439999999999998</v>
      </c>
      <c r="U70" s="2479">
        <f t="shared" si="19"/>
        <v>0</v>
      </c>
      <c r="V70" s="2479">
        <f t="shared" si="19"/>
        <v>0</v>
      </c>
      <c r="W70" s="2481">
        <f>W71+W96+W101</f>
        <v>17.98948</v>
      </c>
    </row>
    <row r="71" spans="1:23" s="589" customFormat="1" x14ac:dyDescent="0.25">
      <c r="A71" s="2443"/>
      <c r="B71" s="2483"/>
      <c r="C71" s="2444"/>
      <c r="D71" s="2444"/>
      <c r="E71" s="2444"/>
      <c r="F71" s="2445"/>
      <c r="G71" s="2445"/>
      <c r="H71" s="2446"/>
      <c r="I71" s="2447"/>
      <c r="J71" s="2445"/>
      <c r="K71" s="2446"/>
      <c r="L71" s="2447"/>
      <c r="M71" s="2448"/>
      <c r="N71" s="2445"/>
      <c r="O71" s="2445"/>
      <c r="P71" s="2445"/>
      <c r="Q71" s="2445"/>
      <c r="R71" s="2445"/>
      <c r="S71" s="2447"/>
      <c r="T71" s="2445"/>
      <c r="U71" s="2445"/>
      <c r="V71" s="2445"/>
      <c r="W71" s="2449"/>
    </row>
    <row r="72" spans="1:23" s="2489" customFormat="1" x14ac:dyDescent="0.25">
      <c r="A72" s="2484" t="s">
        <v>849</v>
      </c>
      <c r="B72" s="2484" t="s">
        <v>1211</v>
      </c>
      <c r="C72" s="2485">
        <f t="shared" ref="C72:V72" si="20">C73+C85</f>
        <v>2033</v>
      </c>
      <c r="D72" s="2485">
        <f t="shared" si="20"/>
        <v>0</v>
      </c>
      <c r="E72" s="2485">
        <f t="shared" si="20"/>
        <v>2033</v>
      </c>
      <c r="F72" s="2486">
        <f t="shared" si="20"/>
        <v>2033</v>
      </c>
      <c r="G72" s="2486">
        <f t="shared" si="20"/>
        <v>0</v>
      </c>
      <c r="H72" s="2486">
        <f t="shared" si="20"/>
        <v>2033</v>
      </c>
      <c r="I72" s="2486">
        <f t="shared" si="20"/>
        <v>1946.365961</v>
      </c>
      <c r="J72" s="2486">
        <f t="shared" si="20"/>
        <v>0</v>
      </c>
      <c r="K72" s="2486">
        <f t="shared" si="20"/>
        <v>1946.365961</v>
      </c>
      <c r="L72" s="2486">
        <f t="shared" si="20"/>
        <v>6.8964739999999836</v>
      </c>
      <c r="M72" s="2487">
        <f t="shared" si="20"/>
        <v>0</v>
      </c>
      <c r="N72" s="2486">
        <f t="shared" si="20"/>
        <v>0</v>
      </c>
      <c r="O72" s="2486">
        <f t="shared" si="20"/>
        <v>0</v>
      </c>
      <c r="P72" s="2486">
        <f t="shared" si="20"/>
        <v>0</v>
      </c>
      <c r="Q72" s="2486">
        <f t="shared" si="20"/>
        <v>0</v>
      </c>
      <c r="R72" s="2486">
        <f t="shared" si="20"/>
        <v>0</v>
      </c>
      <c r="S72" s="2486">
        <f t="shared" si="20"/>
        <v>0</v>
      </c>
      <c r="T72" s="2486">
        <f t="shared" si="20"/>
        <v>0</v>
      </c>
      <c r="U72" s="2486">
        <f t="shared" si="20"/>
        <v>0</v>
      </c>
      <c r="V72" s="2486">
        <f t="shared" si="20"/>
        <v>0</v>
      </c>
      <c r="W72" s="2488">
        <f>W73+W85</f>
        <v>20.870000000000005</v>
      </c>
    </row>
    <row r="73" spans="1:23" s="583" customFormat="1" ht="31.5" x14ac:dyDescent="0.25">
      <c r="A73" s="2443"/>
      <c r="B73" s="2450" t="s">
        <v>1212</v>
      </c>
      <c r="C73" s="2444">
        <f t="shared" ref="C73:V73" si="21">C74</f>
        <v>1033</v>
      </c>
      <c r="D73" s="2444">
        <f t="shared" si="21"/>
        <v>0</v>
      </c>
      <c r="E73" s="2444">
        <f t="shared" si="21"/>
        <v>1033</v>
      </c>
      <c r="F73" s="2445">
        <f t="shared" si="21"/>
        <v>1033</v>
      </c>
      <c r="G73" s="2445">
        <f t="shared" si="21"/>
        <v>0</v>
      </c>
      <c r="H73" s="2446">
        <f t="shared" si="21"/>
        <v>1033</v>
      </c>
      <c r="I73" s="2447">
        <f t="shared" si="21"/>
        <v>956.80096100000003</v>
      </c>
      <c r="J73" s="2445">
        <f t="shared" si="21"/>
        <v>0</v>
      </c>
      <c r="K73" s="2446">
        <f t="shared" si="21"/>
        <v>956.80096100000003</v>
      </c>
      <c r="L73" s="2447">
        <f t="shared" si="21"/>
        <v>6.8964739999999836</v>
      </c>
      <c r="M73" s="2448">
        <f t="shared" si="21"/>
        <v>0</v>
      </c>
      <c r="N73" s="2445">
        <f t="shared" si="21"/>
        <v>0</v>
      </c>
      <c r="O73" s="2445">
        <f t="shared" si="21"/>
        <v>0</v>
      </c>
      <c r="P73" s="2445">
        <f t="shared" si="21"/>
        <v>0</v>
      </c>
      <c r="Q73" s="2445">
        <f t="shared" si="21"/>
        <v>0</v>
      </c>
      <c r="R73" s="2445">
        <f t="shared" si="21"/>
        <v>0</v>
      </c>
      <c r="S73" s="2447">
        <f t="shared" si="21"/>
        <v>0</v>
      </c>
      <c r="T73" s="2445">
        <f t="shared" si="21"/>
        <v>0</v>
      </c>
      <c r="U73" s="2445">
        <f t="shared" si="21"/>
        <v>0</v>
      </c>
      <c r="V73" s="2445">
        <f t="shared" si="21"/>
        <v>0</v>
      </c>
      <c r="W73" s="2449">
        <f>W74</f>
        <v>0</v>
      </c>
    </row>
    <row r="74" spans="1:23" s="583" customFormat="1" x14ac:dyDescent="0.25">
      <c r="A74" s="2443">
        <v>1</v>
      </c>
      <c r="B74" s="2450" t="s">
        <v>170</v>
      </c>
      <c r="C74" s="2444">
        <f t="shared" ref="C74:U74" si="22">C77</f>
        <v>1033</v>
      </c>
      <c r="D74" s="2444">
        <f t="shared" si="22"/>
        <v>0</v>
      </c>
      <c r="E74" s="2444">
        <f t="shared" si="22"/>
        <v>1033</v>
      </c>
      <c r="F74" s="2445">
        <f t="shared" si="22"/>
        <v>1033</v>
      </c>
      <c r="G74" s="2445">
        <f t="shared" si="22"/>
        <v>0</v>
      </c>
      <c r="H74" s="2446">
        <f t="shared" si="22"/>
        <v>1033</v>
      </c>
      <c r="I74" s="2447">
        <f t="shared" si="22"/>
        <v>956.80096100000003</v>
      </c>
      <c r="J74" s="2445">
        <f t="shared" si="22"/>
        <v>0</v>
      </c>
      <c r="K74" s="2449">
        <f t="shared" si="22"/>
        <v>956.80096100000003</v>
      </c>
      <c r="L74" s="2447">
        <f t="shared" si="22"/>
        <v>6.8964739999999836</v>
      </c>
      <c r="M74" s="2448">
        <f t="shared" si="22"/>
        <v>0</v>
      </c>
      <c r="N74" s="2445">
        <f t="shared" si="22"/>
        <v>0</v>
      </c>
      <c r="O74" s="2445">
        <f t="shared" si="22"/>
        <v>0</v>
      </c>
      <c r="P74" s="2445">
        <f t="shared" si="22"/>
        <v>0</v>
      </c>
      <c r="Q74" s="2445">
        <f t="shared" si="22"/>
        <v>0</v>
      </c>
      <c r="R74" s="2445">
        <f t="shared" si="22"/>
        <v>0</v>
      </c>
      <c r="S74" s="2447">
        <f t="shared" si="22"/>
        <v>0</v>
      </c>
      <c r="T74" s="2445">
        <f t="shared" si="22"/>
        <v>0</v>
      </c>
      <c r="U74" s="2445">
        <f t="shared" si="22"/>
        <v>0</v>
      </c>
      <c r="V74" s="2445">
        <f>V75</f>
        <v>0</v>
      </c>
      <c r="W74" s="2449">
        <f>W75</f>
        <v>0</v>
      </c>
    </row>
    <row r="75" spans="1:23" s="589" customFormat="1" x14ac:dyDescent="0.25">
      <c r="A75" s="2451"/>
      <c r="B75" s="2452"/>
      <c r="C75" s="2453"/>
      <c r="D75" s="2453"/>
      <c r="E75" s="2453"/>
      <c r="F75" s="2454"/>
      <c r="G75" s="2454"/>
      <c r="H75" s="2455"/>
      <c r="I75" s="2456"/>
      <c r="J75" s="2454"/>
      <c r="K75" s="2458"/>
      <c r="L75" s="2456"/>
      <c r="M75" s="2457"/>
      <c r="N75" s="2454"/>
      <c r="O75" s="2454"/>
      <c r="P75" s="2454"/>
      <c r="Q75" s="2454"/>
      <c r="R75" s="2454"/>
      <c r="S75" s="2456"/>
      <c r="T75" s="2454"/>
      <c r="U75" s="2454"/>
      <c r="V75" s="2454"/>
      <c r="W75" s="2458"/>
    </row>
    <row r="76" spans="1:23" s="589" customFormat="1" x14ac:dyDescent="0.25">
      <c r="A76" s="2451"/>
      <c r="B76" s="2452"/>
      <c r="C76" s="2453"/>
      <c r="D76" s="2453"/>
      <c r="E76" s="2453"/>
      <c r="F76" s="2454"/>
      <c r="G76" s="2454"/>
      <c r="H76" s="2455"/>
      <c r="I76" s="2456"/>
      <c r="J76" s="2454"/>
      <c r="K76" s="2458"/>
      <c r="L76" s="2456"/>
      <c r="M76" s="2457"/>
      <c r="N76" s="2454"/>
      <c r="O76" s="2454"/>
      <c r="P76" s="2454"/>
      <c r="Q76" s="2454"/>
      <c r="R76" s="2454"/>
      <c r="S76" s="2456"/>
      <c r="T76" s="2454"/>
      <c r="U76" s="2454"/>
      <c r="V76" s="2454"/>
      <c r="W76" s="2458"/>
    </row>
    <row r="77" spans="1:23" s="589" customFormat="1" x14ac:dyDescent="0.25">
      <c r="A77" s="2451"/>
      <c r="B77" s="2452" t="s">
        <v>3426</v>
      </c>
      <c r="C77" s="2453">
        <f>D77+E77</f>
        <v>1033</v>
      </c>
      <c r="D77" s="2453"/>
      <c r="E77" s="2453">
        <v>1033</v>
      </c>
      <c r="F77" s="2454">
        <f t="shared" ref="F77:F89" si="23">G77+H77</f>
        <v>1033</v>
      </c>
      <c r="G77" s="2454"/>
      <c r="H77" s="2455">
        <f>SUM(H78:H83)</f>
        <v>1033</v>
      </c>
      <c r="I77" s="2455">
        <f t="shared" ref="I77:V77" si="24">SUM(I78:I83)</f>
        <v>956.80096100000003</v>
      </c>
      <c r="J77" s="2455">
        <f t="shared" si="24"/>
        <v>0</v>
      </c>
      <c r="K77" s="2458">
        <f>SUM(K78:K83)</f>
        <v>956.80096100000003</v>
      </c>
      <c r="L77" s="2458">
        <f t="shared" si="24"/>
        <v>6.8964739999999836</v>
      </c>
      <c r="M77" s="2457">
        <f t="shared" si="24"/>
        <v>0</v>
      </c>
      <c r="N77" s="2455">
        <f t="shared" si="24"/>
        <v>0</v>
      </c>
      <c r="O77" s="2455">
        <f t="shared" si="24"/>
        <v>0</v>
      </c>
      <c r="P77" s="2455">
        <f t="shared" si="24"/>
        <v>0</v>
      </c>
      <c r="Q77" s="2455">
        <f t="shared" si="24"/>
        <v>0</v>
      </c>
      <c r="R77" s="2455">
        <f t="shared" si="24"/>
        <v>0</v>
      </c>
      <c r="S77" s="2455">
        <f t="shared" si="24"/>
        <v>0</v>
      </c>
      <c r="T77" s="2455">
        <f t="shared" si="24"/>
        <v>0</v>
      </c>
      <c r="U77" s="2455">
        <f t="shared" si="24"/>
        <v>0</v>
      </c>
      <c r="V77" s="2455">
        <f t="shared" si="24"/>
        <v>9.0000000000000002E-6</v>
      </c>
      <c r="W77" s="2458">
        <f>SUM(W78:W83)</f>
        <v>69.302564999999987</v>
      </c>
    </row>
    <row r="78" spans="1:23" s="182" customFormat="1" ht="16.5" x14ac:dyDescent="0.25">
      <c r="A78" s="2490"/>
      <c r="B78" s="2491" t="s">
        <v>2609</v>
      </c>
      <c r="C78" s="2492"/>
      <c r="D78" s="2492"/>
      <c r="E78" s="2492"/>
      <c r="F78" s="2456">
        <f t="shared" si="23"/>
        <v>0</v>
      </c>
      <c r="G78" s="2456"/>
      <c r="H78" s="2455">
        <f>150-150</f>
        <v>0</v>
      </c>
      <c r="I78" s="2456">
        <f t="shared" ref="I78:I125" si="25">J78+K78</f>
        <v>0</v>
      </c>
      <c r="J78" s="2456"/>
      <c r="K78" s="2458"/>
      <c r="L78" s="2456"/>
      <c r="M78" s="2457"/>
      <c r="N78" s="2456"/>
      <c r="O78" s="2456"/>
      <c r="P78" s="2456"/>
      <c r="Q78" s="2456"/>
      <c r="R78" s="2456"/>
      <c r="S78" s="2456"/>
      <c r="T78" s="2456"/>
      <c r="U78" s="2456"/>
      <c r="V78" s="2456"/>
      <c r="W78" s="2458"/>
    </row>
    <row r="79" spans="1:23" s="182" customFormat="1" ht="16.5" x14ac:dyDescent="0.25">
      <c r="A79" s="2490"/>
      <c r="B79" s="2491" t="s">
        <v>2611</v>
      </c>
      <c r="C79" s="2492"/>
      <c r="D79" s="2492"/>
      <c r="E79" s="2492"/>
      <c r="F79" s="2456">
        <f t="shared" si="23"/>
        <v>330</v>
      </c>
      <c r="G79" s="2456"/>
      <c r="H79" s="2455">
        <f>180+150</f>
        <v>330</v>
      </c>
      <c r="I79" s="2456">
        <f t="shared" si="25"/>
        <v>330</v>
      </c>
      <c r="J79" s="2456"/>
      <c r="K79" s="2458">
        <f>H79</f>
        <v>330</v>
      </c>
      <c r="L79" s="2456"/>
      <c r="M79" s="2457"/>
      <c r="N79" s="2456"/>
      <c r="O79" s="2456"/>
      <c r="P79" s="2456"/>
      <c r="Q79" s="2456"/>
      <c r="R79" s="2456"/>
      <c r="S79" s="2456"/>
      <c r="T79" s="2456"/>
      <c r="U79" s="2456"/>
      <c r="V79" s="2456"/>
      <c r="W79" s="2458"/>
    </row>
    <row r="80" spans="1:23" s="182" customFormat="1" ht="16.5" x14ac:dyDescent="0.25">
      <c r="A80" s="2490"/>
      <c r="B80" s="2491" t="s">
        <v>2614</v>
      </c>
      <c r="C80" s="2492"/>
      <c r="D80" s="2492"/>
      <c r="E80" s="2492"/>
      <c r="F80" s="2456">
        <f t="shared" si="23"/>
        <v>170</v>
      </c>
      <c r="G80" s="2456"/>
      <c r="H80" s="2455">
        <v>170</v>
      </c>
      <c r="I80" s="2493">
        <f t="shared" si="25"/>
        <v>169.933536</v>
      </c>
      <c r="J80" s="2494"/>
      <c r="K80" s="2458">
        <v>169.933536</v>
      </c>
      <c r="L80" s="2495">
        <f>H80-K80</f>
        <v>6.6463999999996304E-2</v>
      </c>
      <c r="M80" s="2457"/>
      <c r="N80" s="2456"/>
      <c r="O80" s="2456"/>
      <c r="P80" s="2456"/>
      <c r="Q80" s="2456"/>
      <c r="R80" s="2456"/>
      <c r="S80" s="2456"/>
      <c r="T80" s="2456"/>
      <c r="U80" s="2456"/>
      <c r="V80" s="2456"/>
      <c r="W80" s="2458"/>
    </row>
    <row r="81" spans="1:23" s="182" customFormat="1" ht="16.5" x14ac:dyDescent="0.25">
      <c r="A81" s="2490"/>
      <c r="B81" s="2491" t="s">
        <v>2615</v>
      </c>
      <c r="C81" s="2492"/>
      <c r="D81" s="2492"/>
      <c r="E81" s="2492"/>
      <c r="F81" s="2456">
        <f t="shared" si="23"/>
        <v>100</v>
      </c>
      <c r="G81" s="2456"/>
      <c r="H81" s="2455">
        <v>100</v>
      </c>
      <c r="I81" s="2496">
        <f t="shared" si="25"/>
        <v>100</v>
      </c>
      <c r="J81" s="2456"/>
      <c r="K81" s="2458">
        <v>100</v>
      </c>
      <c r="L81" s="2495">
        <f>H81-K81</f>
        <v>0</v>
      </c>
      <c r="M81" s="2457"/>
      <c r="N81" s="2456"/>
      <c r="O81" s="2456"/>
      <c r="P81" s="2456"/>
      <c r="Q81" s="2456"/>
      <c r="R81" s="2456"/>
      <c r="S81" s="2456"/>
      <c r="T81" s="2456"/>
      <c r="U81" s="2456"/>
      <c r="V81" s="2456"/>
      <c r="W81" s="2458"/>
    </row>
    <row r="82" spans="1:23" s="182" customFormat="1" ht="16.5" x14ac:dyDescent="0.25">
      <c r="A82" s="2490"/>
      <c r="B82" s="2491" t="s">
        <v>2617</v>
      </c>
      <c r="C82" s="2492"/>
      <c r="D82" s="2492"/>
      <c r="E82" s="2492"/>
      <c r="F82" s="2456">
        <f t="shared" si="23"/>
        <v>263</v>
      </c>
      <c r="G82" s="2456"/>
      <c r="H82" s="2455">
        <v>263</v>
      </c>
      <c r="I82" s="2493">
        <f t="shared" si="25"/>
        <v>193.69743500000001</v>
      </c>
      <c r="J82" s="2494"/>
      <c r="K82" s="2458">
        <v>193.69743500000001</v>
      </c>
      <c r="L82" s="2495">
        <v>0</v>
      </c>
      <c r="M82" s="2457"/>
      <c r="N82" s="2456"/>
      <c r="O82" s="2456"/>
      <c r="P82" s="2456"/>
      <c r="Q82" s="2456"/>
      <c r="R82" s="2456"/>
      <c r="S82" s="2456"/>
      <c r="T82" s="2456"/>
      <c r="U82" s="2456"/>
      <c r="V82" s="2456"/>
      <c r="W82" s="2458">
        <f>F82-I82-L82-T82</f>
        <v>69.302564999999987</v>
      </c>
    </row>
    <row r="83" spans="1:23" s="182" customFormat="1" ht="16.5" x14ac:dyDescent="0.25">
      <c r="A83" s="2490"/>
      <c r="B83" s="2491" t="s">
        <v>2621</v>
      </c>
      <c r="C83" s="2492"/>
      <c r="D83" s="2492"/>
      <c r="E83" s="2492"/>
      <c r="F83" s="2456">
        <f t="shared" si="23"/>
        <v>170</v>
      </c>
      <c r="G83" s="2456"/>
      <c r="H83" s="2455">
        <v>170</v>
      </c>
      <c r="I83" s="2496">
        <f t="shared" si="25"/>
        <v>163.16999000000001</v>
      </c>
      <c r="J83" s="2456"/>
      <c r="K83" s="2458">
        <v>163.16999000000001</v>
      </c>
      <c r="L83" s="2495">
        <f>H83-K83</f>
        <v>6.8300099999999873</v>
      </c>
      <c r="M83" s="2457"/>
      <c r="N83" s="2456"/>
      <c r="O83" s="2456"/>
      <c r="P83" s="2456"/>
      <c r="Q83" s="2456"/>
      <c r="R83" s="2456"/>
      <c r="S83" s="2456"/>
      <c r="T83" s="2456"/>
      <c r="U83" s="2456"/>
      <c r="V83" s="2456">
        <v>9.0000000000000002E-6</v>
      </c>
      <c r="W83" s="2458"/>
    </row>
    <row r="84" spans="1:23" s="589" customFormat="1" x14ac:dyDescent="0.25">
      <c r="A84" s="2451"/>
      <c r="B84" s="2452"/>
      <c r="C84" s="2453"/>
      <c r="D84" s="2453"/>
      <c r="E84" s="2453"/>
      <c r="F84" s="2454">
        <f t="shared" si="23"/>
        <v>0</v>
      </c>
      <c r="G84" s="2454"/>
      <c r="H84" s="2455"/>
      <c r="I84" s="2456">
        <f t="shared" si="25"/>
        <v>0</v>
      </c>
      <c r="J84" s="2454"/>
      <c r="K84" s="2455"/>
      <c r="L84" s="2456"/>
      <c r="M84" s="2457"/>
      <c r="N84" s="2454"/>
      <c r="O84" s="2454"/>
      <c r="P84" s="2454"/>
      <c r="Q84" s="2454"/>
      <c r="R84" s="2454"/>
      <c r="S84" s="2456"/>
      <c r="T84" s="2454"/>
      <c r="U84" s="2454"/>
      <c r="V84" s="2454"/>
      <c r="W84" s="2458"/>
    </row>
    <row r="85" spans="1:23" s="589" customFormat="1" x14ac:dyDescent="0.25">
      <c r="A85" s="2443">
        <v>2</v>
      </c>
      <c r="B85" s="2459" t="s">
        <v>1757</v>
      </c>
      <c r="C85" s="2444">
        <f>C86+C90</f>
        <v>1000</v>
      </c>
      <c r="D85" s="2444">
        <f>D86+D90</f>
        <v>0</v>
      </c>
      <c r="E85" s="2444">
        <f>E86+E90</f>
        <v>1000</v>
      </c>
      <c r="F85" s="2454">
        <f t="shared" si="23"/>
        <v>1000</v>
      </c>
      <c r="G85" s="2445">
        <f>G86+G90</f>
        <v>0</v>
      </c>
      <c r="H85" s="2446">
        <f>H86+H90</f>
        <v>1000</v>
      </c>
      <c r="I85" s="2456">
        <f t="shared" si="25"/>
        <v>989.56500000000005</v>
      </c>
      <c r="J85" s="2445">
        <f t="shared" ref="J85:W85" si="26">J86+J90</f>
        <v>0</v>
      </c>
      <c r="K85" s="2446">
        <f t="shared" si="26"/>
        <v>989.56500000000005</v>
      </c>
      <c r="L85" s="2447">
        <f t="shared" si="26"/>
        <v>0</v>
      </c>
      <c r="M85" s="2448">
        <f t="shared" si="26"/>
        <v>0</v>
      </c>
      <c r="N85" s="2445">
        <f t="shared" si="26"/>
        <v>0</v>
      </c>
      <c r="O85" s="2445">
        <f t="shared" si="26"/>
        <v>0</v>
      </c>
      <c r="P85" s="2445">
        <f t="shared" si="26"/>
        <v>0</v>
      </c>
      <c r="Q85" s="2445">
        <f t="shared" si="26"/>
        <v>0</v>
      </c>
      <c r="R85" s="2445">
        <f t="shared" si="26"/>
        <v>0</v>
      </c>
      <c r="S85" s="2447">
        <f t="shared" si="26"/>
        <v>0</v>
      </c>
      <c r="T85" s="2445">
        <f t="shared" si="26"/>
        <v>0</v>
      </c>
      <c r="U85" s="2445">
        <f t="shared" si="26"/>
        <v>0</v>
      </c>
      <c r="V85" s="2445">
        <f t="shared" si="26"/>
        <v>0</v>
      </c>
      <c r="W85" s="2449">
        <f t="shared" si="26"/>
        <v>20.870000000000005</v>
      </c>
    </row>
    <row r="86" spans="1:23" s="589" customFormat="1" x14ac:dyDescent="0.25">
      <c r="A86" s="2443"/>
      <c r="B86" s="2459"/>
      <c r="C86" s="2444"/>
      <c r="D86" s="2444"/>
      <c r="E86" s="2444"/>
      <c r="F86" s="2454">
        <f t="shared" si="23"/>
        <v>0</v>
      </c>
      <c r="G86" s="2445"/>
      <c r="H86" s="2446"/>
      <c r="I86" s="2456">
        <f t="shared" si="25"/>
        <v>0</v>
      </c>
      <c r="J86" s="2445"/>
      <c r="K86" s="2446"/>
      <c r="L86" s="2447"/>
      <c r="M86" s="2448"/>
      <c r="N86" s="2445"/>
      <c r="O86" s="2445"/>
      <c r="P86" s="2445"/>
      <c r="Q86" s="2445"/>
      <c r="R86" s="2445"/>
      <c r="S86" s="2447"/>
      <c r="T86" s="2445"/>
      <c r="U86" s="2445"/>
      <c r="V86" s="2445"/>
      <c r="W86" s="2449"/>
    </row>
    <row r="87" spans="1:23" s="589" customFormat="1" x14ac:dyDescent="0.25">
      <c r="A87" s="2443"/>
      <c r="B87" s="2459"/>
      <c r="C87" s="2444"/>
      <c r="D87" s="2444"/>
      <c r="E87" s="2444"/>
      <c r="F87" s="2454">
        <f t="shared" si="23"/>
        <v>0</v>
      </c>
      <c r="G87" s="2445"/>
      <c r="H87" s="2446"/>
      <c r="I87" s="2456">
        <f t="shared" si="25"/>
        <v>0</v>
      </c>
      <c r="J87" s="2445"/>
      <c r="K87" s="2446"/>
      <c r="L87" s="2447"/>
      <c r="M87" s="2448"/>
      <c r="N87" s="2445"/>
      <c r="O87" s="2445"/>
      <c r="P87" s="2445"/>
      <c r="Q87" s="2445"/>
      <c r="R87" s="2445"/>
      <c r="S87" s="2447"/>
      <c r="T87" s="2445"/>
      <c r="U87" s="2445"/>
      <c r="V87" s="2445"/>
      <c r="W87" s="2449"/>
    </row>
    <row r="88" spans="1:23" s="1916" customFormat="1" x14ac:dyDescent="0.25">
      <c r="A88" s="2460"/>
      <c r="B88" s="2461"/>
      <c r="C88" s="2444"/>
      <c r="D88" s="2462"/>
      <c r="E88" s="2462"/>
      <c r="F88" s="2454">
        <f t="shared" si="23"/>
        <v>0</v>
      </c>
      <c r="G88" s="2463"/>
      <c r="H88" s="2464"/>
      <c r="I88" s="2456">
        <f t="shared" si="25"/>
        <v>0</v>
      </c>
      <c r="J88" s="2463"/>
      <c r="K88" s="2464"/>
      <c r="L88" s="2465"/>
      <c r="M88" s="2466"/>
      <c r="N88" s="2463"/>
      <c r="O88" s="2463"/>
      <c r="P88" s="2463"/>
      <c r="Q88" s="2463"/>
      <c r="R88" s="2463"/>
      <c r="S88" s="2465"/>
      <c r="T88" s="2463"/>
      <c r="U88" s="2463"/>
      <c r="V88" s="2463"/>
      <c r="W88" s="2467"/>
    </row>
    <row r="89" spans="1:23" s="1916" customFormat="1" x14ac:dyDescent="0.25">
      <c r="A89" s="2460"/>
      <c r="B89" s="2461"/>
      <c r="C89" s="2444"/>
      <c r="D89" s="2462"/>
      <c r="E89" s="2462"/>
      <c r="F89" s="2454">
        <f t="shared" si="23"/>
        <v>0</v>
      </c>
      <c r="G89" s="2463"/>
      <c r="H89" s="2464"/>
      <c r="I89" s="2456">
        <f t="shared" si="25"/>
        <v>0</v>
      </c>
      <c r="J89" s="2463"/>
      <c r="K89" s="2464"/>
      <c r="L89" s="2465"/>
      <c r="M89" s="2466"/>
      <c r="N89" s="2463"/>
      <c r="O89" s="2463"/>
      <c r="P89" s="2463"/>
      <c r="Q89" s="2463"/>
      <c r="R89" s="2463"/>
      <c r="S89" s="2465"/>
      <c r="T89" s="2463"/>
      <c r="U89" s="2463"/>
      <c r="V89" s="2463"/>
      <c r="W89" s="2467"/>
    </row>
    <row r="90" spans="1:23" s="583" customFormat="1" x14ac:dyDescent="0.25">
      <c r="A90" s="2443" t="s">
        <v>1317</v>
      </c>
      <c r="B90" s="2450" t="s">
        <v>1471</v>
      </c>
      <c r="C90" s="2444">
        <f>D90+E90</f>
        <v>1000</v>
      </c>
      <c r="D90" s="2444">
        <f>SUM(D91:D91)</f>
        <v>0</v>
      </c>
      <c r="E90" s="2444">
        <v>1000</v>
      </c>
      <c r="F90" s="2454">
        <f>F92</f>
        <v>1000</v>
      </c>
      <c r="G90" s="2454">
        <f t="shared" ref="G90:T90" si="27">G92</f>
        <v>0</v>
      </c>
      <c r="H90" s="2455">
        <f t="shared" si="27"/>
        <v>1000</v>
      </c>
      <c r="I90" s="2454">
        <f t="shared" si="27"/>
        <v>989.56500000000005</v>
      </c>
      <c r="J90" s="2454">
        <f t="shared" si="27"/>
        <v>0</v>
      </c>
      <c r="K90" s="2455">
        <f t="shared" si="27"/>
        <v>989.56500000000005</v>
      </c>
      <c r="L90" s="2454">
        <f t="shared" si="27"/>
        <v>0</v>
      </c>
      <c r="M90" s="2457">
        <f t="shared" si="27"/>
        <v>0</v>
      </c>
      <c r="N90" s="2454">
        <f t="shared" si="27"/>
        <v>0</v>
      </c>
      <c r="O90" s="2454">
        <f t="shared" si="27"/>
        <v>0</v>
      </c>
      <c r="P90" s="2454">
        <f t="shared" si="27"/>
        <v>0</v>
      </c>
      <c r="Q90" s="2454">
        <f t="shared" si="27"/>
        <v>0</v>
      </c>
      <c r="R90" s="2454">
        <f t="shared" si="27"/>
        <v>0</v>
      </c>
      <c r="S90" s="2454">
        <f t="shared" si="27"/>
        <v>0</v>
      </c>
      <c r="T90" s="2454">
        <f t="shared" si="27"/>
        <v>0</v>
      </c>
      <c r="U90" s="2445">
        <f>SUM(U91:U95)</f>
        <v>0</v>
      </c>
      <c r="V90" s="2445">
        <f>SUM(V91:V95)</f>
        <v>0</v>
      </c>
      <c r="W90" s="2449">
        <f>SUM(W91:W95)</f>
        <v>20.870000000000005</v>
      </c>
    </row>
    <row r="91" spans="1:23" s="589" customFormat="1" x14ac:dyDescent="0.25">
      <c r="A91" s="2451"/>
      <c r="B91" s="2452"/>
      <c r="C91" s="2453"/>
      <c r="D91" s="2453"/>
      <c r="E91" s="2453"/>
      <c r="F91" s="2454">
        <f>G91+H91</f>
        <v>0</v>
      </c>
      <c r="G91" s="2454"/>
      <c r="H91" s="2455"/>
      <c r="I91" s="2456">
        <f t="shared" si="25"/>
        <v>0</v>
      </c>
      <c r="J91" s="2454"/>
      <c r="K91" s="2455"/>
      <c r="L91" s="2456"/>
      <c r="M91" s="2457"/>
      <c r="N91" s="2454"/>
      <c r="O91" s="2454"/>
      <c r="P91" s="2454"/>
      <c r="Q91" s="2454"/>
      <c r="R91" s="2454"/>
      <c r="S91" s="2456"/>
      <c r="T91" s="2454"/>
      <c r="U91" s="2454"/>
      <c r="V91" s="2454"/>
      <c r="W91" s="2458"/>
    </row>
    <row r="92" spans="1:23" s="2504" customFormat="1" x14ac:dyDescent="0.25">
      <c r="A92" s="2497"/>
      <c r="B92" s="2498" t="s">
        <v>3059</v>
      </c>
      <c r="C92" s="2499"/>
      <c r="D92" s="2499"/>
      <c r="E92" s="2499"/>
      <c r="F92" s="2500">
        <f>SUM(F93:F95)</f>
        <v>1000</v>
      </c>
      <c r="G92" s="2500">
        <f t="shared" ref="G92:W92" si="28">SUM(G93:G95)</f>
        <v>0</v>
      </c>
      <c r="H92" s="2501">
        <f t="shared" si="28"/>
        <v>1000</v>
      </c>
      <c r="I92" s="2500">
        <f t="shared" si="28"/>
        <v>989.56500000000005</v>
      </c>
      <c r="J92" s="2500">
        <f t="shared" si="28"/>
        <v>0</v>
      </c>
      <c r="K92" s="2502">
        <f>SUM(K93:K95)</f>
        <v>989.56500000000005</v>
      </c>
      <c r="L92" s="2500">
        <f t="shared" si="28"/>
        <v>0</v>
      </c>
      <c r="M92" s="2502">
        <f t="shared" si="28"/>
        <v>0</v>
      </c>
      <c r="N92" s="2500">
        <f t="shared" si="28"/>
        <v>0</v>
      </c>
      <c r="O92" s="2500">
        <f t="shared" si="28"/>
        <v>0</v>
      </c>
      <c r="P92" s="2500">
        <f t="shared" si="28"/>
        <v>0</v>
      </c>
      <c r="Q92" s="2500">
        <f t="shared" si="28"/>
        <v>0</v>
      </c>
      <c r="R92" s="2500">
        <f t="shared" si="28"/>
        <v>0</v>
      </c>
      <c r="S92" s="2500">
        <f t="shared" si="28"/>
        <v>0</v>
      </c>
      <c r="T92" s="2500">
        <f t="shared" si="28"/>
        <v>0</v>
      </c>
      <c r="U92" s="2500">
        <f t="shared" si="28"/>
        <v>0</v>
      </c>
      <c r="V92" s="2500">
        <f t="shared" si="28"/>
        <v>0</v>
      </c>
      <c r="W92" s="2503">
        <f t="shared" si="28"/>
        <v>10.435000000000002</v>
      </c>
    </row>
    <row r="93" spans="1:23" s="1781" customFormat="1" ht="16.5" x14ac:dyDescent="0.25">
      <c r="A93" s="2468"/>
      <c r="B93" s="2505" t="s">
        <v>2613</v>
      </c>
      <c r="C93" s="2470"/>
      <c r="D93" s="2470"/>
      <c r="E93" s="2470"/>
      <c r="F93" s="2455">
        <f>G93+H93</f>
        <v>228</v>
      </c>
      <c r="G93" s="2455"/>
      <c r="H93" s="2455">
        <v>228</v>
      </c>
      <c r="I93" s="2455">
        <f t="shared" si="25"/>
        <v>228</v>
      </c>
      <c r="J93" s="2455"/>
      <c r="K93" s="2455">
        <f>H93</f>
        <v>228</v>
      </c>
      <c r="L93" s="2455"/>
      <c r="M93" s="2457"/>
      <c r="N93" s="2455"/>
      <c r="O93" s="2455"/>
      <c r="P93" s="2455"/>
      <c r="Q93" s="2455"/>
      <c r="R93" s="2455"/>
      <c r="S93" s="2455"/>
      <c r="T93" s="2455"/>
      <c r="U93" s="2455"/>
      <c r="V93" s="2455"/>
      <c r="W93" s="2458"/>
    </row>
    <row r="94" spans="1:23" s="1781" customFormat="1" ht="16.5" x14ac:dyDescent="0.25">
      <c r="A94" s="2468"/>
      <c r="B94" s="2505" t="s">
        <v>2615</v>
      </c>
      <c r="C94" s="2470"/>
      <c r="D94" s="2470"/>
      <c r="E94" s="2470"/>
      <c r="F94" s="2455">
        <f>G94+H94</f>
        <v>210</v>
      </c>
      <c r="G94" s="2455"/>
      <c r="H94" s="2455">
        <v>210</v>
      </c>
      <c r="I94" s="2455">
        <f>J94+K94</f>
        <v>199.565</v>
      </c>
      <c r="J94" s="2455"/>
      <c r="K94" s="2458">
        <v>199.565</v>
      </c>
      <c r="L94" s="2455"/>
      <c r="M94" s="2457"/>
      <c r="N94" s="2455"/>
      <c r="O94" s="2455"/>
      <c r="P94" s="2455"/>
      <c r="Q94" s="2455"/>
      <c r="R94" s="2455"/>
      <c r="S94" s="2455"/>
      <c r="T94" s="2455"/>
      <c r="U94" s="2455"/>
      <c r="V94" s="2455"/>
      <c r="W94" s="2458">
        <f>H94-K94</f>
        <v>10.435000000000002</v>
      </c>
    </row>
    <row r="95" spans="1:23" s="1781" customFormat="1" ht="16.5" x14ac:dyDescent="0.25">
      <c r="A95" s="2468"/>
      <c r="B95" s="2505" t="s">
        <v>3427</v>
      </c>
      <c r="C95" s="2470"/>
      <c r="D95" s="2470"/>
      <c r="E95" s="2470"/>
      <c r="F95" s="2455">
        <f>G95+H95</f>
        <v>562</v>
      </c>
      <c r="G95" s="2455"/>
      <c r="H95" s="2455">
        <v>562</v>
      </c>
      <c r="I95" s="2455">
        <f>J95+K95</f>
        <v>562</v>
      </c>
      <c r="J95" s="2455"/>
      <c r="K95" s="2455">
        <f>H95</f>
        <v>562</v>
      </c>
      <c r="L95" s="2455"/>
      <c r="M95" s="2457"/>
      <c r="N95" s="2455"/>
      <c r="O95" s="2455"/>
      <c r="P95" s="2455"/>
      <c r="Q95" s="2455"/>
      <c r="R95" s="2455"/>
      <c r="S95" s="2455"/>
      <c r="T95" s="2455"/>
      <c r="U95" s="2455"/>
      <c r="V95" s="2455"/>
      <c r="W95" s="2458"/>
    </row>
    <row r="96" spans="1:23" s="583" customFormat="1" x14ac:dyDescent="0.25">
      <c r="A96" s="2443"/>
      <c r="B96" s="2450"/>
      <c r="C96" s="2444"/>
      <c r="D96" s="2444"/>
      <c r="E96" s="2444"/>
      <c r="F96" s="2454"/>
      <c r="G96" s="2445"/>
      <c r="H96" s="2446"/>
      <c r="I96" s="2456"/>
      <c r="J96" s="2445"/>
      <c r="K96" s="2446"/>
      <c r="L96" s="2455">
        <f>I96-K96</f>
        <v>0</v>
      </c>
      <c r="M96" s="2448"/>
      <c r="N96" s="2445"/>
      <c r="O96" s="2445"/>
      <c r="P96" s="2445"/>
      <c r="Q96" s="2445"/>
      <c r="R96" s="2445"/>
      <c r="S96" s="2447"/>
      <c r="T96" s="2445"/>
      <c r="U96" s="2445"/>
      <c r="V96" s="2445"/>
      <c r="W96" s="2449"/>
    </row>
    <row r="97" spans="1:23" s="589" customFormat="1" x14ac:dyDescent="0.25">
      <c r="A97" s="2451"/>
      <c r="B97" s="2472"/>
      <c r="C97" s="2453"/>
      <c r="D97" s="2453"/>
      <c r="E97" s="2453"/>
      <c r="F97" s="2454">
        <f>G97+H97</f>
        <v>0</v>
      </c>
      <c r="G97" s="2454"/>
      <c r="H97" s="2455"/>
      <c r="I97" s="2456">
        <f t="shared" si="25"/>
        <v>0</v>
      </c>
      <c r="J97" s="2454"/>
      <c r="K97" s="2455"/>
      <c r="L97" s="2455">
        <f>I97-K97</f>
        <v>0</v>
      </c>
      <c r="M97" s="2457"/>
      <c r="N97" s="2454"/>
      <c r="O97" s="2454"/>
      <c r="P97" s="2454"/>
      <c r="Q97" s="2454"/>
      <c r="R97" s="2454"/>
      <c r="S97" s="2456"/>
      <c r="T97" s="2454"/>
      <c r="U97" s="2454"/>
      <c r="V97" s="2454"/>
      <c r="W97" s="2458"/>
    </row>
    <row r="98" spans="1:23" s="589" customFormat="1" x14ac:dyDescent="0.25">
      <c r="A98" s="2451"/>
      <c r="B98" s="2461"/>
      <c r="C98" s="2453"/>
      <c r="D98" s="2453"/>
      <c r="E98" s="2453"/>
      <c r="F98" s="2454">
        <f>G98+H98</f>
        <v>0</v>
      </c>
      <c r="G98" s="2454"/>
      <c r="H98" s="2455"/>
      <c r="I98" s="2456">
        <f t="shared" si="25"/>
        <v>0</v>
      </c>
      <c r="J98" s="2454"/>
      <c r="K98" s="2455"/>
      <c r="L98" s="2455">
        <f>I98-K98</f>
        <v>0</v>
      </c>
      <c r="M98" s="2457"/>
      <c r="N98" s="2454"/>
      <c r="O98" s="2454"/>
      <c r="P98" s="2454"/>
      <c r="Q98" s="2454"/>
      <c r="R98" s="2454"/>
      <c r="S98" s="2456"/>
      <c r="T98" s="2454"/>
      <c r="U98" s="2454"/>
      <c r="V98" s="2454"/>
      <c r="W98" s="2458"/>
    </row>
    <row r="99" spans="1:23" s="589" customFormat="1" x14ac:dyDescent="0.25">
      <c r="A99" s="2451"/>
      <c r="B99" s="2461"/>
      <c r="C99" s="2453"/>
      <c r="D99" s="2453"/>
      <c r="E99" s="2453"/>
      <c r="F99" s="2454">
        <f>G99+H99</f>
        <v>0</v>
      </c>
      <c r="G99" s="2454"/>
      <c r="H99" s="2455"/>
      <c r="I99" s="2456">
        <f t="shared" si="25"/>
        <v>0</v>
      </c>
      <c r="J99" s="2454"/>
      <c r="K99" s="2455"/>
      <c r="L99" s="2455">
        <f>I99-K99</f>
        <v>0</v>
      </c>
      <c r="M99" s="2457"/>
      <c r="N99" s="2454"/>
      <c r="O99" s="2454"/>
      <c r="P99" s="2454"/>
      <c r="Q99" s="2454"/>
      <c r="R99" s="2454"/>
      <c r="S99" s="2456"/>
      <c r="T99" s="2454"/>
      <c r="U99" s="2454"/>
      <c r="V99" s="2454"/>
      <c r="W99" s="2458"/>
    </row>
    <row r="100" spans="1:23" s="589" customFormat="1" x14ac:dyDescent="0.25">
      <c r="A100" s="2451"/>
      <c r="B100" s="2461"/>
      <c r="C100" s="2453"/>
      <c r="D100" s="2453"/>
      <c r="E100" s="2453"/>
      <c r="F100" s="2454"/>
      <c r="G100" s="2454"/>
      <c r="H100" s="2455"/>
      <c r="I100" s="2456"/>
      <c r="J100" s="2454"/>
      <c r="K100" s="2455"/>
      <c r="L100" s="2455">
        <f>I100-K100</f>
        <v>0</v>
      </c>
      <c r="M100" s="2457"/>
      <c r="N100" s="2454"/>
      <c r="O100" s="2454"/>
      <c r="P100" s="2454"/>
      <c r="Q100" s="2454"/>
      <c r="R100" s="2454"/>
      <c r="S100" s="2456"/>
      <c r="T100" s="2454"/>
      <c r="U100" s="2454"/>
      <c r="V100" s="2454"/>
      <c r="W100" s="2458"/>
    </row>
    <row r="101" spans="1:23" s="2508" customFormat="1" ht="31.5" x14ac:dyDescent="0.25">
      <c r="A101" s="2484" t="s">
        <v>866</v>
      </c>
      <c r="B101" s="2506" t="s">
        <v>2339</v>
      </c>
      <c r="C101" s="2485">
        <f t="shared" ref="C101:V101" si="29">C103+C124</f>
        <v>0</v>
      </c>
      <c r="D101" s="2485">
        <f t="shared" si="29"/>
        <v>0</v>
      </c>
      <c r="E101" s="2485">
        <f t="shared" si="29"/>
        <v>0</v>
      </c>
      <c r="F101" s="2485">
        <f t="shared" si="29"/>
        <v>477.18</v>
      </c>
      <c r="G101" s="2485">
        <f t="shared" si="29"/>
        <v>0</v>
      </c>
      <c r="H101" s="2485">
        <f t="shared" si="29"/>
        <v>477.18</v>
      </c>
      <c r="I101" s="2485">
        <f t="shared" si="29"/>
        <v>456.44652000000008</v>
      </c>
      <c r="J101" s="2485">
        <f t="shared" si="29"/>
        <v>0</v>
      </c>
      <c r="K101" s="2485">
        <f t="shared" si="29"/>
        <v>456.44652000000008</v>
      </c>
      <c r="L101" s="2485">
        <f t="shared" si="29"/>
        <v>0</v>
      </c>
      <c r="M101" s="2487">
        <f t="shared" si="29"/>
        <v>0</v>
      </c>
      <c r="N101" s="2485">
        <f t="shared" si="29"/>
        <v>2.7439999999999998</v>
      </c>
      <c r="O101" s="2485">
        <f t="shared" si="29"/>
        <v>0</v>
      </c>
      <c r="P101" s="2485">
        <f t="shared" si="29"/>
        <v>0</v>
      </c>
      <c r="Q101" s="2485">
        <f t="shared" si="29"/>
        <v>0</v>
      </c>
      <c r="R101" s="2485">
        <f t="shared" si="29"/>
        <v>0</v>
      </c>
      <c r="S101" s="2485">
        <f t="shared" si="29"/>
        <v>0</v>
      </c>
      <c r="T101" s="2507">
        <f t="shared" si="29"/>
        <v>2.7439999999999998</v>
      </c>
      <c r="U101" s="2485">
        <f t="shared" si="29"/>
        <v>0</v>
      </c>
      <c r="V101" s="2485">
        <f t="shared" si="29"/>
        <v>0</v>
      </c>
      <c r="W101" s="2488">
        <f>W103+W124</f>
        <v>17.98948</v>
      </c>
    </row>
    <row r="102" spans="1:23" s="589" customFormat="1" ht="71.25" customHeight="1" x14ac:dyDescent="0.25">
      <c r="A102" s="2451" t="s">
        <v>882</v>
      </c>
      <c r="B102" s="2472" t="s">
        <v>2465</v>
      </c>
      <c r="C102" s="2453"/>
      <c r="D102" s="2453"/>
      <c r="E102" s="2453"/>
      <c r="F102" s="2454">
        <f>G102+H102</f>
        <v>632.25700000000006</v>
      </c>
      <c r="G102" s="2454"/>
      <c r="H102" s="2455">
        <v>632.25700000000006</v>
      </c>
      <c r="I102" s="2456">
        <f t="shared" si="25"/>
        <v>632.25700000000006</v>
      </c>
      <c r="J102" s="2454"/>
      <c r="K102" s="2455">
        <v>632.25700000000006</v>
      </c>
      <c r="L102" s="2456"/>
      <c r="M102" s="2457"/>
      <c r="N102" s="2454"/>
      <c r="O102" s="2454"/>
      <c r="P102" s="2454"/>
      <c r="Q102" s="2454"/>
      <c r="R102" s="2454"/>
      <c r="S102" s="2456"/>
      <c r="T102" s="2509"/>
      <c r="U102" s="2454">
        <f>H102-K102</f>
        <v>0</v>
      </c>
      <c r="V102" s="2454"/>
      <c r="W102" s="2458">
        <f>U102</f>
        <v>0</v>
      </c>
    </row>
    <row r="103" spans="1:23" s="2504" customFormat="1" ht="54" customHeight="1" x14ac:dyDescent="0.25">
      <c r="A103" s="2497">
        <v>1</v>
      </c>
      <c r="B103" s="2510" t="s">
        <v>1765</v>
      </c>
      <c r="C103" s="2499"/>
      <c r="D103" s="2499"/>
      <c r="E103" s="2499"/>
      <c r="F103" s="2511">
        <f>SUM(F104:F123)</f>
        <v>445</v>
      </c>
      <c r="G103" s="2511">
        <f>SUM(G104:G123)</f>
        <v>0</v>
      </c>
      <c r="H103" s="2511">
        <f>SUM(H104:H123)</f>
        <v>445</v>
      </c>
      <c r="I103" s="2500">
        <f>SUM(I104:I123)</f>
        <v>437.13612000000006</v>
      </c>
      <c r="J103" s="2500">
        <f t="shared" ref="J103:V103" si="30">SUM(J104:J123)</f>
        <v>0</v>
      </c>
      <c r="K103" s="2502">
        <f>SUM(K104:K123)</f>
        <v>437.13612000000006</v>
      </c>
      <c r="L103" s="2501">
        <f t="shared" si="30"/>
        <v>0</v>
      </c>
      <c r="M103" s="2502">
        <f t="shared" si="30"/>
        <v>0</v>
      </c>
      <c r="N103" s="2501">
        <f t="shared" si="30"/>
        <v>2.7439999999999998</v>
      </c>
      <c r="O103" s="2501">
        <f t="shared" si="30"/>
        <v>0</v>
      </c>
      <c r="P103" s="2501">
        <f t="shared" si="30"/>
        <v>0</v>
      </c>
      <c r="Q103" s="2501">
        <f t="shared" si="30"/>
        <v>0</v>
      </c>
      <c r="R103" s="2501">
        <f t="shared" si="30"/>
        <v>0</v>
      </c>
      <c r="S103" s="2501">
        <f t="shared" si="30"/>
        <v>0</v>
      </c>
      <c r="T103" s="2512">
        <f t="shared" si="30"/>
        <v>2.7439999999999998</v>
      </c>
      <c r="U103" s="2501">
        <f t="shared" si="30"/>
        <v>0</v>
      </c>
      <c r="V103" s="2501">
        <f t="shared" si="30"/>
        <v>0</v>
      </c>
      <c r="W103" s="2503">
        <f>SUM(W104:W123)</f>
        <v>5.119880000000002</v>
      </c>
    </row>
    <row r="104" spans="1:23" s="1781" customFormat="1" ht="24" customHeight="1" x14ac:dyDescent="0.25">
      <c r="A104" s="2468">
        <v>1</v>
      </c>
      <c r="B104" s="2505" t="s">
        <v>2603</v>
      </c>
      <c r="C104" s="2470"/>
      <c r="D104" s="2470"/>
      <c r="E104" s="2470">
        <f>F104-H104</f>
        <v>0</v>
      </c>
      <c r="F104" s="2455">
        <f>G104+H104</f>
        <v>25</v>
      </c>
      <c r="G104" s="2455"/>
      <c r="H104" s="2513">
        <v>25</v>
      </c>
      <c r="I104" s="2455">
        <f t="shared" si="25"/>
        <v>25</v>
      </c>
      <c r="J104" s="2455"/>
      <c r="K104" s="2455">
        <v>25</v>
      </c>
      <c r="L104" s="2455"/>
      <c r="M104" s="2457">
        <f>H104-K104</f>
        <v>0</v>
      </c>
      <c r="N104" s="2455"/>
      <c r="O104" s="2455"/>
      <c r="P104" s="2455"/>
      <c r="Q104" s="2455"/>
      <c r="R104" s="2455"/>
      <c r="S104" s="2455"/>
      <c r="T104" s="2455"/>
      <c r="U104" s="2455"/>
      <c r="V104" s="2455"/>
      <c r="W104" s="2514">
        <f>H104-K104-M104</f>
        <v>0</v>
      </c>
    </row>
    <row r="105" spans="1:23" s="2520" customFormat="1" ht="24" customHeight="1" x14ac:dyDescent="0.25">
      <c r="A105" s="2515">
        <v>2</v>
      </c>
      <c r="B105" s="2516" t="s">
        <v>2604</v>
      </c>
      <c r="C105" s="2517"/>
      <c r="D105" s="2517"/>
      <c r="E105" s="2470">
        <f t="shared" ref="E105:E123" si="31">F105-H105</f>
        <v>0</v>
      </c>
      <c r="F105" s="2455">
        <f>G105+H105</f>
        <v>20</v>
      </c>
      <c r="G105" s="2518"/>
      <c r="H105" s="2519">
        <v>20</v>
      </c>
      <c r="I105" s="2518">
        <f>J105+K105</f>
        <v>20</v>
      </c>
      <c r="J105" s="2518"/>
      <c r="K105" s="2518">
        <v>20</v>
      </c>
      <c r="L105" s="2518"/>
      <c r="M105" s="2457">
        <f t="shared" ref="M105:M122" si="32">H105-K105</f>
        <v>0</v>
      </c>
      <c r="N105" s="2518"/>
      <c r="O105" s="2518"/>
      <c r="P105" s="2518"/>
      <c r="Q105" s="2518"/>
      <c r="R105" s="2518"/>
      <c r="S105" s="2518"/>
      <c r="T105" s="2518"/>
      <c r="U105" s="2518"/>
      <c r="V105" s="2518"/>
      <c r="W105" s="2514">
        <f>H105-K105-M105</f>
        <v>0</v>
      </c>
    </row>
    <row r="106" spans="1:23" s="2520" customFormat="1" ht="24" customHeight="1" x14ac:dyDescent="0.25">
      <c r="A106" s="2468">
        <v>3</v>
      </c>
      <c r="B106" s="2516" t="s">
        <v>2605</v>
      </c>
      <c r="C106" s="2517"/>
      <c r="D106" s="2517"/>
      <c r="E106" s="2470">
        <f t="shared" si="31"/>
        <v>0</v>
      </c>
      <c r="F106" s="2455">
        <f>G106+H106</f>
        <v>25</v>
      </c>
      <c r="G106" s="2518"/>
      <c r="H106" s="2519">
        <v>25</v>
      </c>
      <c r="I106" s="2518">
        <f t="shared" si="25"/>
        <v>25</v>
      </c>
      <c r="J106" s="2518"/>
      <c r="K106" s="2518">
        <v>25</v>
      </c>
      <c r="L106" s="2518"/>
      <c r="M106" s="2457">
        <f t="shared" si="32"/>
        <v>0</v>
      </c>
      <c r="N106" s="2518"/>
      <c r="O106" s="2518"/>
      <c r="P106" s="2518"/>
      <c r="Q106" s="2518"/>
      <c r="R106" s="2518"/>
      <c r="S106" s="2518"/>
      <c r="T106" s="2518"/>
      <c r="U106" s="2518"/>
      <c r="V106" s="2518"/>
      <c r="W106" s="2514">
        <f t="shared" ref="W106:W122" si="33">H106-K106-M106</f>
        <v>0</v>
      </c>
    </row>
    <row r="107" spans="1:23" s="2520" customFormat="1" ht="24" customHeight="1" x14ac:dyDescent="0.25">
      <c r="A107" s="2468">
        <v>4</v>
      </c>
      <c r="B107" s="2516" t="s">
        <v>2606</v>
      </c>
      <c r="C107" s="2517"/>
      <c r="D107" s="2517"/>
      <c r="E107" s="2470">
        <f t="shared" si="31"/>
        <v>0</v>
      </c>
      <c r="F107" s="2455">
        <f t="shared" ref="F107:F120" si="34">G107+H107</f>
        <v>25</v>
      </c>
      <c r="G107" s="2518"/>
      <c r="H107" s="2519">
        <v>25</v>
      </c>
      <c r="I107" s="2518">
        <f t="shared" si="25"/>
        <v>25</v>
      </c>
      <c r="J107" s="2518"/>
      <c r="K107" s="2518">
        <v>25</v>
      </c>
      <c r="L107" s="2518"/>
      <c r="M107" s="2457">
        <f t="shared" si="32"/>
        <v>0</v>
      </c>
      <c r="N107" s="2518"/>
      <c r="O107" s="2518"/>
      <c r="P107" s="2518"/>
      <c r="Q107" s="2518"/>
      <c r="R107" s="2518"/>
      <c r="S107" s="2518"/>
      <c r="T107" s="2518"/>
      <c r="U107" s="2518"/>
      <c r="V107" s="2518"/>
      <c r="W107" s="2514">
        <f t="shared" si="33"/>
        <v>0</v>
      </c>
    </row>
    <row r="108" spans="1:23" s="2520" customFormat="1" ht="24" customHeight="1" x14ac:dyDescent="0.25">
      <c r="A108" s="2515">
        <v>5</v>
      </c>
      <c r="B108" s="2516" t="s">
        <v>2607</v>
      </c>
      <c r="C108" s="2517"/>
      <c r="D108" s="2517"/>
      <c r="E108" s="2470">
        <f t="shared" si="31"/>
        <v>0</v>
      </c>
      <c r="F108" s="2455">
        <f t="shared" si="34"/>
        <v>25</v>
      </c>
      <c r="G108" s="2517"/>
      <c r="H108" s="2519">
        <v>25</v>
      </c>
      <c r="I108" s="2517">
        <f t="shared" si="25"/>
        <v>23.3</v>
      </c>
      <c r="J108" s="2517"/>
      <c r="K108" s="2517">
        <v>23.3</v>
      </c>
      <c r="L108" s="2517"/>
      <c r="M108" s="2457">
        <v>0</v>
      </c>
      <c r="N108" s="2517"/>
      <c r="O108" s="2517"/>
      <c r="P108" s="2517"/>
      <c r="Q108" s="2517"/>
      <c r="R108" s="2517"/>
      <c r="S108" s="2517"/>
      <c r="T108" s="2517"/>
      <c r="U108" s="2518"/>
      <c r="V108" s="2518"/>
      <c r="W108" s="2514">
        <f t="shared" si="33"/>
        <v>1.6999999999999993</v>
      </c>
    </row>
    <row r="109" spans="1:23" s="2295" customFormat="1" ht="24" customHeight="1" x14ac:dyDescent="0.25">
      <c r="A109" s="2490">
        <v>6</v>
      </c>
      <c r="B109" s="2522" t="s">
        <v>2608</v>
      </c>
      <c r="C109" s="2523"/>
      <c r="D109" s="2523"/>
      <c r="E109" s="2492">
        <f t="shared" si="31"/>
        <v>0</v>
      </c>
      <c r="F109" s="2456">
        <f t="shared" si="34"/>
        <v>20</v>
      </c>
      <c r="G109" s="2524"/>
      <c r="H109" s="2699">
        <v>20</v>
      </c>
      <c r="I109" s="2524">
        <f t="shared" si="25"/>
        <v>20</v>
      </c>
      <c r="J109" s="2524"/>
      <c r="K109" s="2524">
        <v>20</v>
      </c>
      <c r="L109" s="2524"/>
      <c r="M109" s="2531">
        <f>H109-K109</f>
        <v>0</v>
      </c>
      <c r="N109" s="2524"/>
      <c r="O109" s="2524"/>
      <c r="P109" s="2524"/>
      <c r="Q109" s="2524"/>
      <c r="R109" s="2524"/>
      <c r="S109" s="2524"/>
      <c r="T109" s="2524"/>
      <c r="U109" s="2524"/>
      <c r="V109" s="2524"/>
      <c r="W109" s="2698">
        <f t="shared" si="33"/>
        <v>0</v>
      </c>
    </row>
    <row r="110" spans="1:23" s="2295" customFormat="1" ht="24" customHeight="1" x14ac:dyDescent="0.25">
      <c r="A110" s="2490">
        <v>7</v>
      </c>
      <c r="B110" s="2522" t="s">
        <v>2609</v>
      </c>
      <c r="C110" s="2523"/>
      <c r="D110" s="2523"/>
      <c r="E110" s="2492">
        <f t="shared" si="31"/>
        <v>0</v>
      </c>
      <c r="F110" s="2456">
        <f t="shared" si="34"/>
        <v>20</v>
      </c>
      <c r="G110" s="2524"/>
      <c r="H110" s="2699">
        <v>20</v>
      </c>
      <c r="I110" s="2524">
        <f t="shared" si="25"/>
        <v>20</v>
      </c>
      <c r="J110" s="2524"/>
      <c r="K110" s="2524">
        <v>20</v>
      </c>
      <c r="L110" s="2524"/>
      <c r="M110" s="2531">
        <f t="shared" si="32"/>
        <v>0</v>
      </c>
      <c r="N110" s="2524"/>
      <c r="O110" s="2524"/>
      <c r="P110" s="2524"/>
      <c r="Q110" s="2524"/>
      <c r="R110" s="2524"/>
      <c r="S110" s="2524"/>
      <c r="T110" s="2524"/>
      <c r="U110" s="2524"/>
      <c r="V110" s="2524"/>
      <c r="W110" s="2698">
        <f t="shared" si="33"/>
        <v>0</v>
      </c>
    </row>
    <row r="111" spans="1:23" s="2295" customFormat="1" ht="24" customHeight="1" x14ac:dyDescent="0.25">
      <c r="A111" s="2521">
        <v>8</v>
      </c>
      <c r="B111" s="2522" t="s">
        <v>2610</v>
      </c>
      <c r="C111" s="2523"/>
      <c r="D111" s="2523"/>
      <c r="E111" s="2492">
        <f t="shared" si="31"/>
        <v>0</v>
      </c>
      <c r="F111" s="2456">
        <f t="shared" si="34"/>
        <v>20</v>
      </c>
      <c r="G111" s="2524"/>
      <c r="H111" s="2699">
        <v>20</v>
      </c>
      <c r="I111" s="2524">
        <f t="shared" si="25"/>
        <v>20</v>
      </c>
      <c r="J111" s="2524"/>
      <c r="K111" s="2524">
        <v>20</v>
      </c>
      <c r="L111" s="2524"/>
      <c r="M111" s="2531">
        <f t="shared" si="32"/>
        <v>0</v>
      </c>
      <c r="N111" s="2524"/>
      <c r="O111" s="2524"/>
      <c r="P111" s="2524"/>
      <c r="Q111" s="2524"/>
      <c r="R111" s="2524"/>
      <c r="S111" s="2524"/>
      <c r="T111" s="2524"/>
      <c r="U111" s="2524"/>
      <c r="V111" s="2524"/>
      <c r="W111" s="2698">
        <f t="shared" si="33"/>
        <v>0</v>
      </c>
    </row>
    <row r="112" spans="1:23" s="2520" customFormat="1" ht="24" customHeight="1" x14ac:dyDescent="0.25">
      <c r="A112" s="2468">
        <v>9</v>
      </c>
      <c r="B112" s="2516" t="s">
        <v>2611</v>
      </c>
      <c r="C112" s="2517"/>
      <c r="D112" s="2517"/>
      <c r="E112" s="2470">
        <f t="shared" si="31"/>
        <v>0</v>
      </c>
      <c r="F112" s="2455">
        <f t="shared" si="34"/>
        <v>25</v>
      </c>
      <c r="G112" s="2518"/>
      <c r="H112" s="2519">
        <v>25</v>
      </c>
      <c r="I112" s="2518">
        <f t="shared" si="25"/>
        <v>25</v>
      </c>
      <c r="J112" s="2518"/>
      <c r="K112" s="2518">
        <v>25</v>
      </c>
      <c r="L112" s="2518"/>
      <c r="M112" s="2457">
        <f t="shared" si="32"/>
        <v>0</v>
      </c>
      <c r="N112" s="2518"/>
      <c r="O112" s="2518"/>
      <c r="P112" s="2518"/>
      <c r="Q112" s="2518"/>
      <c r="R112" s="2518"/>
      <c r="S112" s="2518"/>
      <c r="T112" s="2518"/>
      <c r="U112" s="2518"/>
      <c r="V112" s="2518"/>
      <c r="W112" s="2514">
        <f t="shared" si="33"/>
        <v>0</v>
      </c>
    </row>
    <row r="113" spans="1:24" s="2295" customFormat="1" ht="24" customHeight="1" x14ac:dyDescent="0.25">
      <c r="A113" s="2490">
        <v>10</v>
      </c>
      <c r="B113" s="2522" t="s">
        <v>2612</v>
      </c>
      <c r="C113" s="2523"/>
      <c r="D113" s="2523"/>
      <c r="E113" s="2492">
        <f t="shared" si="31"/>
        <v>0</v>
      </c>
      <c r="F113" s="2456">
        <f t="shared" si="34"/>
        <v>20</v>
      </c>
      <c r="G113" s="2524"/>
      <c r="H113" s="2699">
        <v>20</v>
      </c>
      <c r="I113" s="2524">
        <f t="shared" si="25"/>
        <v>17.256</v>
      </c>
      <c r="J113" s="2524"/>
      <c r="K113" s="2700">
        <v>17.256</v>
      </c>
      <c r="L113" s="2524"/>
      <c r="M113" s="2531">
        <v>0</v>
      </c>
      <c r="N113" s="2524">
        <f>T113</f>
        <v>2.7439999999999998</v>
      </c>
      <c r="O113" s="2524"/>
      <c r="P113" s="2524"/>
      <c r="Q113" s="2524"/>
      <c r="R113" s="2524"/>
      <c r="S113" s="2524"/>
      <c r="T113" s="2524">
        <f>F113-K113</f>
        <v>2.7439999999999998</v>
      </c>
      <c r="U113" s="2524"/>
      <c r="V113" s="2524"/>
      <c r="W113" s="2698"/>
    </row>
    <row r="114" spans="1:24" s="182" customFormat="1" ht="24" customHeight="1" x14ac:dyDescent="0.25">
      <c r="A114" s="2521">
        <v>11</v>
      </c>
      <c r="B114" s="2491" t="s">
        <v>2613</v>
      </c>
      <c r="C114" s="2492"/>
      <c r="D114" s="2492"/>
      <c r="E114" s="2492">
        <f t="shared" si="31"/>
        <v>0</v>
      </c>
      <c r="F114" s="2456">
        <f t="shared" si="34"/>
        <v>20</v>
      </c>
      <c r="G114" s="2456"/>
      <c r="H114" s="2697">
        <v>20</v>
      </c>
      <c r="I114" s="2456">
        <f t="shared" si="25"/>
        <v>20</v>
      </c>
      <c r="J114" s="2456"/>
      <c r="K114" s="2456">
        <v>20</v>
      </c>
      <c r="L114" s="2456"/>
      <c r="M114" s="2531">
        <f t="shared" si="32"/>
        <v>0</v>
      </c>
      <c r="N114" s="2456"/>
      <c r="O114" s="2456"/>
      <c r="P114" s="2456"/>
      <c r="Q114" s="2456"/>
      <c r="R114" s="2456"/>
      <c r="S114" s="2456"/>
      <c r="T114" s="2456"/>
      <c r="U114" s="2456"/>
      <c r="V114" s="2456"/>
      <c r="W114" s="2698">
        <f t="shared" si="33"/>
        <v>0</v>
      </c>
    </row>
    <row r="115" spans="1:24" s="182" customFormat="1" ht="24" customHeight="1" x14ac:dyDescent="0.25">
      <c r="A115" s="2490">
        <v>12</v>
      </c>
      <c r="B115" s="2491" t="s">
        <v>2614</v>
      </c>
      <c r="C115" s="2492"/>
      <c r="D115" s="2492"/>
      <c r="E115" s="2492">
        <f t="shared" si="31"/>
        <v>0</v>
      </c>
      <c r="F115" s="2456">
        <f t="shared" si="34"/>
        <v>20</v>
      </c>
      <c r="G115" s="2456"/>
      <c r="H115" s="2456">
        <v>20</v>
      </c>
      <c r="I115" s="2456">
        <f t="shared" si="25"/>
        <v>19.989419999999999</v>
      </c>
      <c r="J115" s="2456"/>
      <c r="K115" s="2701">
        <v>19.989419999999999</v>
      </c>
      <c r="L115" s="2456"/>
      <c r="M115" s="2531">
        <v>0</v>
      </c>
      <c r="N115" s="2456"/>
      <c r="O115" s="2456"/>
      <c r="P115" s="2456"/>
      <c r="Q115" s="2456"/>
      <c r="R115" s="2456"/>
      <c r="S115" s="2456"/>
      <c r="T115" s="2456"/>
      <c r="U115" s="2456"/>
      <c r="V115" s="2456"/>
      <c r="W115" s="2698">
        <f t="shared" si="33"/>
        <v>1.0580000000000922E-2</v>
      </c>
    </row>
    <row r="116" spans="1:24" s="182" customFormat="1" ht="24" customHeight="1" x14ac:dyDescent="0.25">
      <c r="A116" s="2490">
        <v>13</v>
      </c>
      <c r="B116" s="2491" t="s">
        <v>2615</v>
      </c>
      <c r="C116" s="2492"/>
      <c r="D116" s="2492"/>
      <c r="E116" s="2492">
        <f>F116-H116</f>
        <v>0</v>
      </c>
      <c r="F116" s="2456">
        <f t="shared" si="34"/>
        <v>20</v>
      </c>
      <c r="G116" s="2456"/>
      <c r="H116" s="2456">
        <v>20</v>
      </c>
      <c r="I116" s="2456">
        <f t="shared" si="25"/>
        <v>20</v>
      </c>
      <c r="J116" s="2456"/>
      <c r="K116" s="2701">
        <v>20</v>
      </c>
      <c r="L116" s="2456"/>
      <c r="M116" s="2531">
        <f t="shared" si="32"/>
        <v>0</v>
      </c>
      <c r="N116" s="2456"/>
      <c r="O116" s="2456"/>
      <c r="P116" s="2456"/>
      <c r="Q116" s="2456"/>
      <c r="R116" s="2456"/>
      <c r="S116" s="2456"/>
      <c r="T116" s="2456"/>
      <c r="U116" s="2456"/>
      <c r="V116" s="2456"/>
      <c r="W116" s="2698">
        <f t="shared" si="33"/>
        <v>0</v>
      </c>
    </row>
    <row r="117" spans="1:24" s="1781" customFormat="1" ht="24" customHeight="1" x14ac:dyDescent="0.25">
      <c r="A117" s="2515">
        <v>14</v>
      </c>
      <c r="B117" s="2505" t="s">
        <v>2616</v>
      </c>
      <c r="C117" s="2470"/>
      <c r="D117" s="2470"/>
      <c r="E117" s="2470">
        <f t="shared" si="31"/>
        <v>0</v>
      </c>
      <c r="F117" s="2455">
        <f t="shared" si="34"/>
        <v>25</v>
      </c>
      <c r="G117" s="2455"/>
      <c r="H117" s="2455">
        <v>25</v>
      </c>
      <c r="I117" s="2455">
        <f t="shared" si="25"/>
        <v>25</v>
      </c>
      <c r="J117" s="2455"/>
      <c r="K117" s="2455">
        <v>25</v>
      </c>
      <c r="L117" s="2455"/>
      <c r="M117" s="2457">
        <f t="shared" si="32"/>
        <v>0</v>
      </c>
      <c r="N117" s="2455"/>
      <c r="O117" s="2455"/>
      <c r="P117" s="2455"/>
      <c r="Q117" s="2455"/>
      <c r="R117" s="2455"/>
      <c r="S117" s="2455"/>
      <c r="T117" s="2455"/>
      <c r="U117" s="2455"/>
      <c r="V117" s="2455"/>
      <c r="W117" s="2514">
        <f t="shared" si="33"/>
        <v>0</v>
      </c>
    </row>
    <row r="118" spans="1:24" s="182" customFormat="1" ht="24" customHeight="1" x14ac:dyDescent="0.25">
      <c r="A118" s="2490">
        <v>15</v>
      </c>
      <c r="B118" s="2491" t="s">
        <v>2617</v>
      </c>
      <c r="C118" s="2492"/>
      <c r="D118" s="2492"/>
      <c r="E118" s="2492">
        <f t="shared" si="31"/>
        <v>0</v>
      </c>
      <c r="F118" s="2456">
        <f t="shared" si="34"/>
        <v>20</v>
      </c>
      <c r="G118" s="2456"/>
      <c r="H118" s="2456">
        <v>20</v>
      </c>
      <c r="I118" s="2456">
        <f t="shared" si="25"/>
        <v>20</v>
      </c>
      <c r="J118" s="2456"/>
      <c r="K118" s="2456">
        <v>20</v>
      </c>
      <c r="L118" s="2456"/>
      <c r="M118" s="2531">
        <f t="shared" si="32"/>
        <v>0</v>
      </c>
      <c r="N118" s="2456"/>
      <c r="O118" s="2456"/>
      <c r="P118" s="2456"/>
      <c r="Q118" s="2456"/>
      <c r="R118" s="2456"/>
      <c r="S118" s="2456"/>
      <c r="T118" s="2456"/>
      <c r="U118" s="2456"/>
      <c r="V118" s="2456"/>
      <c r="W118" s="2698">
        <f t="shared" si="33"/>
        <v>0</v>
      </c>
    </row>
    <row r="119" spans="1:24" s="1781" customFormat="1" ht="24" customHeight="1" x14ac:dyDescent="0.25">
      <c r="A119" s="2468">
        <v>16</v>
      </c>
      <c r="B119" s="2505" t="s">
        <v>2618</v>
      </c>
      <c r="C119" s="2470"/>
      <c r="D119" s="2470"/>
      <c r="E119" s="2470">
        <f t="shared" si="31"/>
        <v>0</v>
      </c>
      <c r="F119" s="2455">
        <f t="shared" si="34"/>
        <v>25</v>
      </c>
      <c r="G119" s="2455"/>
      <c r="H119" s="2455">
        <v>25</v>
      </c>
      <c r="I119" s="2455">
        <f t="shared" si="25"/>
        <v>21.657299999999999</v>
      </c>
      <c r="J119" s="2455"/>
      <c r="K119" s="2455">
        <v>21.657299999999999</v>
      </c>
      <c r="L119" s="2455"/>
      <c r="M119" s="2457">
        <v>0</v>
      </c>
      <c r="N119" s="2455"/>
      <c r="O119" s="2455"/>
      <c r="P119" s="2455"/>
      <c r="Q119" s="2455"/>
      <c r="R119" s="2455"/>
      <c r="S119" s="2455"/>
      <c r="T119" s="2455"/>
      <c r="U119" s="2455"/>
      <c r="V119" s="2455"/>
      <c r="W119" s="2514">
        <f t="shared" si="33"/>
        <v>3.3427000000000007</v>
      </c>
    </row>
    <row r="120" spans="1:24" s="1781" customFormat="1" ht="24" customHeight="1" x14ac:dyDescent="0.25">
      <c r="A120" s="2515">
        <v>17</v>
      </c>
      <c r="B120" s="2505" t="s">
        <v>2619</v>
      </c>
      <c r="C120" s="2470"/>
      <c r="D120" s="2470"/>
      <c r="E120" s="2470">
        <f t="shared" si="31"/>
        <v>0</v>
      </c>
      <c r="F120" s="2455">
        <f t="shared" si="34"/>
        <v>25</v>
      </c>
      <c r="G120" s="2455"/>
      <c r="H120" s="2455">
        <v>25</v>
      </c>
      <c r="I120" s="2455">
        <f t="shared" si="25"/>
        <v>25</v>
      </c>
      <c r="J120" s="2455"/>
      <c r="K120" s="2455">
        <v>25</v>
      </c>
      <c r="L120" s="2455"/>
      <c r="M120" s="2457">
        <f t="shared" si="32"/>
        <v>0</v>
      </c>
      <c r="N120" s="2455"/>
      <c r="O120" s="2455"/>
      <c r="P120" s="2455"/>
      <c r="Q120" s="2455"/>
      <c r="R120" s="2455"/>
      <c r="S120" s="2455"/>
      <c r="T120" s="2455"/>
      <c r="U120" s="2455"/>
      <c r="V120" s="2455"/>
      <c r="W120" s="2514">
        <f t="shared" si="33"/>
        <v>0</v>
      </c>
    </row>
    <row r="121" spans="1:24" s="1781" customFormat="1" ht="24" customHeight="1" x14ac:dyDescent="0.25">
      <c r="A121" s="2468">
        <v>18</v>
      </c>
      <c r="B121" s="2505" t="s">
        <v>2620</v>
      </c>
      <c r="C121" s="2470"/>
      <c r="D121" s="2470"/>
      <c r="E121" s="2470">
        <f t="shared" si="31"/>
        <v>0</v>
      </c>
      <c r="F121" s="2455">
        <f>G121+H121</f>
        <v>25</v>
      </c>
      <c r="G121" s="2455"/>
      <c r="H121" s="2455">
        <v>25</v>
      </c>
      <c r="I121" s="2455">
        <f t="shared" si="25"/>
        <v>25</v>
      </c>
      <c r="J121" s="2455"/>
      <c r="K121" s="2455">
        <v>25</v>
      </c>
      <c r="L121" s="2455"/>
      <c r="M121" s="2457">
        <f t="shared" si="32"/>
        <v>0</v>
      </c>
      <c r="N121" s="2455"/>
      <c r="O121" s="2455"/>
      <c r="P121" s="2455"/>
      <c r="Q121" s="2455"/>
      <c r="R121" s="2455"/>
      <c r="S121" s="2455"/>
      <c r="T121" s="2455"/>
      <c r="U121" s="2455"/>
      <c r="V121" s="2455"/>
      <c r="W121" s="2514">
        <f t="shared" si="33"/>
        <v>0</v>
      </c>
    </row>
    <row r="122" spans="1:24" s="182" customFormat="1" ht="24" customHeight="1" x14ac:dyDescent="0.25">
      <c r="A122" s="2490">
        <v>19</v>
      </c>
      <c r="B122" s="2491" t="s">
        <v>2621</v>
      </c>
      <c r="C122" s="2492"/>
      <c r="D122" s="2492"/>
      <c r="E122" s="2492">
        <f t="shared" si="31"/>
        <v>0</v>
      </c>
      <c r="F122" s="2456">
        <f>G122+H122</f>
        <v>20</v>
      </c>
      <c r="G122" s="2456"/>
      <c r="H122" s="2456">
        <v>20</v>
      </c>
      <c r="I122" s="2456">
        <f t="shared" si="25"/>
        <v>20</v>
      </c>
      <c r="J122" s="2456"/>
      <c r="K122" s="2456">
        <v>20</v>
      </c>
      <c r="L122" s="2456"/>
      <c r="M122" s="2531">
        <f t="shared" si="32"/>
        <v>0</v>
      </c>
      <c r="N122" s="2456"/>
      <c r="O122" s="2456"/>
      <c r="P122" s="2456"/>
      <c r="Q122" s="2456"/>
      <c r="R122" s="2456"/>
      <c r="S122" s="2456"/>
      <c r="T122" s="2456"/>
      <c r="U122" s="2456"/>
      <c r="V122" s="2456"/>
      <c r="W122" s="2698">
        <f t="shared" si="33"/>
        <v>0</v>
      </c>
    </row>
    <row r="123" spans="1:24" s="182" customFormat="1" ht="24" customHeight="1" x14ac:dyDescent="0.25">
      <c r="A123" s="2521">
        <v>20</v>
      </c>
      <c r="B123" s="2491" t="s">
        <v>2622</v>
      </c>
      <c r="C123" s="2492"/>
      <c r="D123" s="2492"/>
      <c r="E123" s="2492">
        <f t="shared" si="31"/>
        <v>0</v>
      </c>
      <c r="F123" s="2456">
        <f>G123+H123</f>
        <v>20</v>
      </c>
      <c r="G123" s="2456"/>
      <c r="H123" s="2456">
        <v>20</v>
      </c>
      <c r="I123" s="2456">
        <f t="shared" si="25"/>
        <v>19.933399999999999</v>
      </c>
      <c r="J123" s="2456"/>
      <c r="K123" s="2456">
        <v>19.933399999999999</v>
      </c>
      <c r="L123" s="2456"/>
      <c r="M123" s="2531">
        <v>0</v>
      </c>
      <c r="N123" s="2456"/>
      <c r="O123" s="2456"/>
      <c r="P123" s="2456"/>
      <c r="Q123" s="2456"/>
      <c r="R123" s="2456"/>
      <c r="S123" s="2456"/>
      <c r="T123" s="2456"/>
      <c r="U123" s="2456"/>
      <c r="V123" s="2456"/>
      <c r="W123" s="2698">
        <f>H123-K123-M123</f>
        <v>6.6600000000001103E-2</v>
      </c>
    </row>
    <row r="124" spans="1:24" s="2504" customFormat="1" x14ac:dyDescent="0.25">
      <c r="A124" s="2497">
        <v>2</v>
      </c>
      <c r="B124" s="2498" t="s">
        <v>2340</v>
      </c>
      <c r="C124" s="2500">
        <f>C125</f>
        <v>0</v>
      </c>
      <c r="D124" s="2500">
        <f>D125</f>
        <v>0</v>
      </c>
      <c r="E124" s="2500">
        <f>E125</f>
        <v>0</v>
      </c>
      <c r="F124" s="2500">
        <f>F125</f>
        <v>32.18</v>
      </c>
      <c r="G124" s="2500">
        <f>G125</f>
        <v>0</v>
      </c>
      <c r="H124" s="2501">
        <f t="shared" ref="H124:V124" si="35">H125</f>
        <v>32.18</v>
      </c>
      <c r="I124" s="2456">
        <f t="shared" si="25"/>
        <v>19.310400000000001</v>
      </c>
      <c r="J124" s="2500">
        <f t="shared" si="35"/>
        <v>0</v>
      </c>
      <c r="K124" s="2501">
        <f t="shared" si="35"/>
        <v>19.310400000000001</v>
      </c>
      <c r="L124" s="2526">
        <f t="shared" si="35"/>
        <v>0</v>
      </c>
      <c r="M124" s="2502">
        <f t="shared" si="35"/>
        <v>0</v>
      </c>
      <c r="N124" s="2500">
        <f t="shared" si="35"/>
        <v>0</v>
      </c>
      <c r="O124" s="2500">
        <f t="shared" si="35"/>
        <v>0</v>
      </c>
      <c r="P124" s="2500">
        <f t="shared" si="35"/>
        <v>0</v>
      </c>
      <c r="Q124" s="2500">
        <f t="shared" si="35"/>
        <v>0</v>
      </c>
      <c r="R124" s="2500">
        <f t="shared" si="35"/>
        <v>0</v>
      </c>
      <c r="S124" s="2526">
        <f t="shared" si="35"/>
        <v>0</v>
      </c>
      <c r="T124" s="2500">
        <f t="shared" si="35"/>
        <v>0</v>
      </c>
      <c r="U124" s="2500">
        <f t="shared" si="35"/>
        <v>0</v>
      </c>
      <c r="V124" s="2500">
        <f t="shared" si="35"/>
        <v>0</v>
      </c>
      <c r="W124" s="2503">
        <f>W125</f>
        <v>12.869599999999998</v>
      </c>
    </row>
    <row r="125" spans="1:24" s="589" customFormat="1" x14ac:dyDescent="0.25">
      <c r="A125" s="2451"/>
      <c r="B125" s="2472" t="s">
        <v>398</v>
      </c>
      <c r="C125" s="2453"/>
      <c r="D125" s="2453"/>
      <c r="E125" s="2453"/>
      <c r="F125" s="2454">
        <f>G125+H125</f>
        <v>32.18</v>
      </c>
      <c r="G125" s="2454"/>
      <c r="H125" s="2455">
        <v>32.18</v>
      </c>
      <c r="I125" s="2456">
        <f t="shared" si="25"/>
        <v>19.310400000000001</v>
      </c>
      <c r="J125" s="2454"/>
      <c r="K125" s="2455">
        <v>19.310400000000001</v>
      </c>
      <c r="L125" s="2456"/>
      <c r="M125" s="2457">
        <v>0</v>
      </c>
      <c r="N125" s="2454"/>
      <c r="O125" s="2454"/>
      <c r="P125" s="2454"/>
      <c r="Q125" s="2454"/>
      <c r="R125" s="2454"/>
      <c r="S125" s="2456"/>
      <c r="T125" s="2454"/>
      <c r="U125" s="2454"/>
      <c r="V125" s="2454"/>
      <c r="W125" s="2458">
        <f>H125-K125</f>
        <v>12.869599999999998</v>
      </c>
    </row>
    <row r="126" spans="1:24" s="2508" customFormat="1" ht="31.5" x14ac:dyDescent="0.25">
      <c r="A126" s="2484" t="s">
        <v>872</v>
      </c>
      <c r="B126" s="2506" t="s">
        <v>2345</v>
      </c>
      <c r="C126" s="2485">
        <f t="shared" ref="C126:V126" si="36">C127+C148+C169+C190+C215</f>
        <v>0</v>
      </c>
      <c r="D126" s="2485">
        <f t="shared" si="36"/>
        <v>0</v>
      </c>
      <c r="E126" s="2485">
        <f t="shared" si="36"/>
        <v>0</v>
      </c>
      <c r="F126" s="2485">
        <f>F127+F148+F169+F190+F194+F215</f>
        <v>11914.494879000002</v>
      </c>
      <c r="G126" s="2485">
        <f t="shared" si="36"/>
        <v>0</v>
      </c>
      <c r="H126" s="2485">
        <f t="shared" si="36"/>
        <v>11814.494879000002</v>
      </c>
      <c r="I126" s="2485">
        <f t="shared" si="36"/>
        <v>11054.440517000001</v>
      </c>
      <c r="J126" s="2485">
        <f t="shared" si="36"/>
        <v>0</v>
      </c>
      <c r="K126" s="2485">
        <f t="shared" si="36"/>
        <v>11088.134032000002</v>
      </c>
      <c r="L126" s="2485">
        <f t="shared" si="36"/>
        <v>0</v>
      </c>
      <c r="M126" s="2487">
        <f>M127+M148+M169+M190+M215</f>
        <v>431.512</v>
      </c>
      <c r="N126" s="2485">
        <f t="shared" si="36"/>
        <v>0</v>
      </c>
      <c r="O126" s="2485">
        <f t="shared" si="36"/>
        <v>0</v>
      </c>
      <c r="P126" s="2485">
        <f t="shared" si="36"/>
        <v>0</v>
      </c>
      <c r="Q126" s="2485">
        <f t="shared" si="36"/>
        <v>0</v>
      </c>
      <c r="R126" s="2485">
        <f t="shared" si="36"/>
        <v>0</v>
      </c>
      <c r="S126" s="2485">
        <f t="shared" si="36"/>
        <v>0</v>
      </c>
      <c r="T126" s="2485">
        <f t="shared" si="36"/>
        <v>7.3949999999999987</v>
      </c>
      <c r="U126" s="2485">
        <f t="shared" si="36"/>
        <v>0</v>
      </c>
      <c r="V126" s="2485">
        <f t="shared" si="36"/>
        <v>0</v>
      </c>
      <c r="W126" s="2488">
        <f>W127+W148+W169+W190+W194+W215</f>
        <v>312.94134700000006</v>
      </c>
      <c r="X126" s="2596">
        <f>W126-W127-W148-W169-W289</f>
        <v>284.82135800000009</v>
      </c>
    </row>
    <row r="127" spans="1:24" s="2504" customFormat="1" ht="31.5" x14ac:dyDescent="0.25">
      <c r="A127" s="2497">
        <v>1</v>
      </c>
      <c r="B127" s="2510" t="s">
        <v>3417</v>
      </c>
      <c r="C127" s="2499"/>
      <c r="D127" s="2499"/>
      <c r="E127" s="2499"/>
      <c r="F127" s="2454">
        <f>G127+H127</f>
        <v>557.16199999999981</v>
      </c>
      <c r="G127" s="2500">
        <f t="shared" ref="G127:S127" si="37">SUM(G128:G147)</f>
        <v>0</v>
      </c>
      <c r="H127" s="2501">
        <f>SUM(H128:H147)</f>
        <v>557.16199999999981</v>
      </c>
      <c r="I127" s="2456">
        <f>J127+K127</f>
        <v>540.09602400000006</v>
      </c>
      <c r="J127" s="2500">
        <f>SUM(J128:J147)</f>
        <v>0</v>
      </c>
      <c r="K127" s="2501">
        <f>SUM(K128:K147)</f>
        <v>540.09602400000006</v>
      </c>
      <c r="L127" s="2526">
        <f t="shared" si="37"/>
        <v>0</v>
      </c>
      <c r="M127" s="2502">
        <f>SUM(M128:M147)</f>
        <v>11.76</v>
      </c>
      <c r="N127" s="2500">
        <f>SUM(N128:N147)</f>
        <v>0</v>
      </c>
      <c r="O127" s="2500">
        <f t="shared" si="37"/>
        <v>0</v>
      </c>
      <c r="P127" s="2500">
        <f t="shared" si="37"/>
        <v>0</v>
      </c>
      <c r="Q127" s="2500">
        <f t="shared" si="37"/>
        <v>0</v>
      </c>
      <c r="R127" s="2500">
        <f t="shared" si="37"/>
        <v>0</v>
      </c>
      <c r="S127" s="2500">
        <f t="shared" si="37"/>
        <v>0</v>
      </c>
      <c r="T127" s="2500">
        <f>SUM(T128:T147)</f>
        <v>0</v>
      </c>
      <c r="U127" s="2500">
        <f>SUM(U128:U147)</f>
        <v>0</v>
      </c>
      <c r="V127" s="2500">
        <f>SUM(V128:V147)</f>
        <v>0</v>
      </c>
      <c r="W127" s="2503">
        <f>SUM(W128:W147)</f>
        <v>5.3059759999999958</v>
      </c>
    </row>
    <row r="128" spans="1:24" s="589" customFormat="1" ht="16.5" x14ac:dyDescent="0.25">
      <c r="A128" s="2451"/>
      <c r="B128" s="2525" t="s">
        <v>2603</v>
      </c>
      <c r="C128" s="2453"/>
      <c r="D128" s="2453"/>
      <c r="E128" s="2453"/>
      <c r="F128" s="2454">
        <f>G128+H128</f>
        <v>58.8</v>
      </c>
      <c r="G128" s="2454"/>
      <c r="H128" s="2527">
        <v>58.8</v>
      </c>
      <c r="I128" s="2456">
        <f t="shared" ref="I128:I189" si="38">J128+K128</f>
        <v>58.369881999999997</v>
      </c>
      <c r="J128" s="2454"/>
      <c r="K128" s="2455">
        <v>58.369881999999997</v>
      </c>
      <c r="L128" s="2456"/>
      <c r="M128" s="2457"/>
      <c r="N128" s="2454"/>
      <c r="O128" s="2454"/>
      <c r="P128" s="2454"/>
      <c r="Q128" s="2454"/>
      <c r="R128" s="2454"/>
      <c r="S128" s="2456"/>
      <c r="T128" s="2454"/>
      <c r="U128" s="2454"/>
      <c r="V128" s="2454"/>
      <c r="W128" s="2458">
        <f>F128-I128-M128</f>
        <v>0.43011800000000022</v>
      </c>
    </row>
    <row r="129" spans="1:23" s="589" customFormat="1" ht="16.5" x14ac:dyDescent="0.25">
      <c r="A129" s="2451"/>
      <c r="B129" s="2525" t="s">
        <v>2604</v>
      </c>
      <c r="C129" s="2453"/>
      <c r="D129" s="2453"/>
      <c r="E129" s="2453"/>
      <c r="F129" s="2454">
        <f t="shared" ref="F129:F189" si="39">G129+H129</f>
        <v>34.65</v>
      </c>
      <c r="G129" s="2454"/>
      <c r="H129" s="2528">
        <v>34.65</v>
      </c>
      <c r="I129" s="2456">
        <f t="shared" si="38"/>
        <v>34.003081999999999</v>
      </c>
      <c r="J129" s="2454"/>
      <c r="K129" s="2455">
        <v>34.003081999999999</v>
      </c>
      <c r="L129" s="2456"/>
      <c r="M129" s="2457">
        <v>0</v>
      </c>
      <c r="N129" s="2454"/>
      <c r="O129" s="2454"/>
      <c r="P129" s="2454"/>
      <c r="Q129" s="2454"/>
      <c r="R129" s="2454"/>
      <c r="S129" s="2456"/>
      <c r="T129" s="2454"/>
      <c r="U129" s="2454"/>
      <c r="V129" s="2454"/>
      <c r="W129" s="2458">
        <f t="shared" ref="W129:W147" si="40">F129-I129-M129</f>
        <v>0.64691799999999944</v>
      </c>
    </row>
    <row r="130" spans="1:23" s="589" customFormat="1" ht="16.5" x14ac:dyDescent="0.25">
      <c r="A130" s="2451"/>
      <c r="B130" s="2525" t="s">
        <v>2605</v>
      </c>
      <c r="C130" s="2453"/>
      <c r="D130" s="2453"/>
      <c r="E130" s="2453"/>
      <c r="F130" s="2454">
        <f t="shared" si="39"/>
        <v>29.82</v>
      </c>
      <c r="G130" s="2454"/>
      <c r="H130" s="2528">
        <v>29.82</v>
      </c>
      <c r="I130" s="2456">
        <f t="shared" si="38"/>
        <v>28.370683</v>
      </c>
      <c r="J130" s="2454"/>
      <c r="K130" s="2455">
        <v>28.370683</v>
      </c>
      <c r="L130" s="2456"/>
      <c r="M130" s="2457">
        <v>0</v>
      </c>
      <c r="N130" s="2454"/>
      <c r="O130" s="2454"/>
      <c r="P130" s="2454"/>
      <c r="Q130" s="2454"/>
      <c r="R130" s="2454"/>
      <c r="S130" s="2456"/>
      <c r="T130" s="2454"/>
      <c r="U130" s="2454"/>
      <c r="V130" s="2454"/>
      <c r="W130" s="2458">
        <f t="shared" si="40"/>
        <v>1.4493170000000006</v>
      </c>
    </row>
    <row r="131" spans="1:23" s="589" customFormat="1" ht="16.5" x14ac:dyDescent="0.25">
      <c r="A131" s="2451"/>
      <c r="B131" s="2525" t="s">
        <v>2606</v>
      </c>
      <c r="C131" s="2453"/>
      <c r="D131" s="2453"/>
      <c r="E131" s="2453"/>
      <c r="F131" s="2454">
        <f t="shared" si="39"/>
        <v>47.45</v>
      </c>
      <c r="G131" s="2454"/>
      <c r="H131" s="2528">
        <v>47.45</v>
      </c>
      <c r="I131" s="2494">
        <f t="shared" si="38"/>
        <v>47.445656999999997</v>
      </c>
      <c r="J131" s="2529"/>
      <c r="K131" s="2530">
        <v>47.445656999999997</v>
      </c>
      <c r="L131" s="2456"/>
      <c r="M131" s="2457">
        <v>0</v>
      </c>
      <c r="N131" s="2454"/>
      <c r="O131" s="2454"/>
      <c r="P131" s="2454"/>
      <c r="Q131" s="2454"/>
      <c r="R131" s="2454"/>
      <c r="S131" s="2456"/>
      <c r="T131" s="2454"/>
      <c r="U131" s="2454"/>
      <c r="V131" s="2454"/>
      <c r="W131" s="2458">
        <f t="shared" si="40"/>
        <v>4.3430000000057589E-3</v>
      </c>
    </row>
    <row r="132" spans="1:23" s="182" customFormat="1" ht="16.5" x14ac:dyDescent="0.25">
      <c r="A132" s="2490"/>
      <c r="B132" s="2491" t="s">
        <v>2607</v>
      </c>
      <c r="C132" s="2492"/>
      <c r="D132" s="2492"/>
      <c r="E132" s="2492"/>
      <c r="F132" s="2454">
        <f t="shared" si="39"/>
        <v>10.92</v>
      </c>
      <c r="G132" s="2456"/>
      <c r="H132" s="2528">
        <v>10.92</v>
      </c>
      <c r="I132" s="2456">
        <f t="shared" si="38"/>
        <v>10.836</v>
      </c>
      <c r="J132" s="2456"/>
      <c r="K132" s="2455">
        <v>10.836</v>
      </c>
      <c r="L132" s="2456"/>
      <c r="M132" s="2457"/>
      <c r="N132" s="2456"/>
      <c r="O132" s="2456"/>
      <c r="P132" s="2456"/>
      <c r="Q132" s="2456"/>
      <c r="R132" s="2456"/>
      <c r="S132" s="2456"/>
      <c r="T132" s="2456"/>
      <c r="U132" s="2456"/>
      <c r="V132" s="2456"/>
      <c r="W132" s="2458">
        <f t="shared" si="40"/>
        <v>8.3999999999999631E-2</v>
      </c>
    </row>
    <row r="133" spans="1:23" s="589" customFormat="1" ht="16.5" x14ac:dyDescent="0.25">
      <c r="A133" s="2451"/>
      <c r="B133" s="2525" t="s">
        <v>2608</v>
      </c>
      <c r="C133" s="2453"/>
      <c r="D133" s="2453"/>
      <c r="E133" s="2453"/>
      <c r="F133" s="2454">
        <f t="shared" si="39"/>
        <v>11.76</v>
      </c>
      <c r="G133" s="2454"/>
      <c r="H133" s="2528">
        <v>11.76</v>
      </c>
      <c r="I133" s="2456">
        <f t="shared" si="38"/>
        <v>0</v>
      </c>
      <c r="J133" s="2454"/>
      <c r="K133" s="2455">
        <v>0</v>
      </c>
      <c r="L133" s="2456"/>
      <c r="M133" s="2457">
        <f>F133-I133</f>
        <v>11.76</v>
      </c>
      <c r="N133" s="2454"/>
      <c r="O133" s="2454"/>
      <c r="P133" s="2454"/>
      <c r="Q133" s="2454"/>
      <c r="R133" s="2454"/>
      <c r="S133" s="2456"/>
      <c r="T133" s="2454"/>
      <c r="U133" s="2454"/>
      <c r="V133" s="2454"/>
      <c r="W133" s="2458">
        <f t="shared" si="40"/>
        <v>0</v>
      </c>
    </row>
    <row r="134" spans="1:23" s="589" customFormat="1" ht="16.5" x14ac:dyDescent="0.25">
      <c r="A134" s="2451"/>
      <c r="B134" s="2525" t="s">
        <v>2609</v>
      </c>
      <c r="C134" s="2453"/>
      <c r="D134" s="2453"/>
      <c r="E134" s="2453"/>
      <c r="F134" s="2454">
        <f t="shared" si="39"/>
        <v>59.85</v>
      </c>
      <c r="G134" s="2454"/>
      <c r="H134" s="2528">
        <v>59.85</v>
      </c>
      <c r="I134" s="2456">
        <f t="shared" si="38"/>
        <v>59.495578999999999</v>
      </c>
      <c r="J134" s="2454"/>
      <c r="K134" s="2455">
        <v>59.495578999999999</v>
      </c>
      <c r="L134" s="2456"/>
      <c r="M134" s="2457">
        <v>0</v>
      </c>
      <c r="N134" s="2454"/>
      <c r="O134" s="2454"/>
      <c r="P134" s="2454"/>
      <c r="Q134" s="2454"/>
      <c r="R134" s="2454"/>
      <c r="S134" s="2456"/>
      <c r="T134" s="2454"/>
      <c r="U134" s="2454"/>
      <c r="V134" s="2454"/>
      <c r="W134" s="2458">
        <f t="shared" si="40"/>
        <v>0.3544210000000021</v>
      </c>
    </row>
    <row r="135" spans="1:23" s="1781" customFormat="1" ht="16.5" x14ac:dyDescent="0.25">
      <c r="A135" s="2468"/>
      <c r="B135" s="2505" t="s">
        <v>2610</v>
      </c>
      <c r="C135" s="2470"/>
      <c r="D135" s="2470"/>
      <c r="E135" s="2470"/>
      <c r="F135" s="2455">
        <f t="shared" si="39"/>
        <v>42.21</v>
      </c>
      <c r="G135" s="2455"/>
      <c r="H135" s="2528">
        <v>42.21</v>
      </c>
      <c r="I135" s="2455">
        <f t="shared" si="38"/>
        <v>41.932698000000002</v>
      </c>
      <c r="J135" s="2455"/>
      <c r="K135" s="2455">
        <v>41.932698000000002</v>
      </c>
      <c r="L135" s="2455"/>
      <c r="M135" s="2457"/>
      <c r="N135" s="2455"/>
      <c r="O135" s="2455"/>
      <c r="P135" s="2455"/>
      <c r="Q135" s="2455"/>
      <c r="R135" s="2455"/>
      <c r="S135" s="2455"/>
      <c r="T135" s="2455"/>
      <c r="U135" s="2455"/>
      <c r="V135" s="2455"/>
      <c r="W135" s="2458">
        <f t="shared" si="40"/>
        <v>0.27730199999999883</v>
      </c>
    </row>
    <row r="136" spans="1:23" s="589" customFormat="1" ht="16.5" x14ac:dyDescent="0.25">
      <c r="A136" s="2451"/>
      <c r="B136" s="2525" t="s">
        <v>2611</v>
      </c>
      <c r="C136" s="2453"/>
      <c r="D136" s="2453"/>
      <c r="E136" s="2453"/>
      <c r="F136" s="2454">
        <f t="shared" si="39"/>
        <v>22.68</v>
      </c>
      <c r="G136" s="2454"/>
      <c r="H136" s="2528">
        <v>22.68</v>
      </c>
      <c r="I136" s="2456">
        <f t="shared" si="38"/>
        <v>22.68</v>
      </c>
      <c r="J136" s="2454"/>
      <c r="K136" s="2455">
        <v>22.68</v>
      </c>
      <c r="L136" s="2456"/>
      <c r="M136" s="2457">
        <f>F136-I136</f>
        <v>0</v>
      </c>
      <c r="N136" s="2454"/>
      <c r="O136" s="2454"/>
      <c r="P136" s="2454"/>
      <c r="Q136" s="2454"/>
      <c r="R136" s="2454"/>
      <c r="S136" s="2456"/>
      <c r="T136" s="2454"/>
      <c r="U136" s="2454"/>
      <c r="V136" s="2454"/>
      <c r="W136" s="2458">
        <f t="shared" si="40"/>
        <v>0</v>
      </c>
    </row>
    <row r="137" spans="1:23" s="589" customFormat="1" ht="16.5" x14ac:dyDescent="0.25">
      <c r="A137" s="2451"/>
      <c r="B137" s="2525" t="s">
        <v>2612</v>
      </c>
      <c r="C137" s="2453"/>
      <c r="D137" s="2453"/>
      <c r="E137" s="2453"/>
      <c r="F137" s="2454">
        <f t="shared" si="39"/>
        <v>14.7</v>
      </c>
      <c r="G137" s="2454"/>
      <c r="H137" s="2528">
        <v>14.7</v>
      </c>
      <c r="I137" s="2456">
        <f t="shared" si="38"/>
        <v>14.674853000000001</v>
      </c>
      <c r="J137" s="2454"/>
      <c r="K137" s="2455">
        <v>14.674853000000001</v>
      </c>
      <c r="L137" s="2456"/>
      <c r="M137" s="2457"/>
      <c r="N137" s="2454"/>
      <c r="O137" s="2454"/>
      <c r="P137" s="2454"/>
      <c r="Q137" s="2454"/>
      <c r="R137" s="2454"/>
      <c r="S137" s="2456"/>
      <c r="T137" s="2454"/>
      <c r="U137" s="2454"/>
      <c r="V137" s="2454"/>
      <c r="W137" s="2458">
        <f t="shared" si="40"/>
        <v>2.5146999999998698E-2</v>
      </c>
    </row>
    <row r="138" spans="1:23" s="589" customFormat="1" ht="16.5" x14ac:dyDescent="0.25">
      <c r="A138" s="2451"/>
      <c r="B138" s="2525" t="s">
        <v>2613</v>
      </c>
      <c r="C138" s="2453"/>
      <c r="D138" s="2453"/>
      <c r="E138" s="2453"/>
      <c r="F138" s="2454">
        <f t="shared" si="39"/>
        <v>9.9120000000000008</v>
      </c>
      <c r="G138" s="2454"/>
      <c r="H138" s="2528">
        <v>9.9120000000000008</v>
      </c>
      <c r="I138" s="2531">
        <f t="shared" si="38"/>
        <v>9.9112620000000007</v>
      </c>
      <c r="J138" s="2532"/>
      <c r="K138" s="2457">
        <v>9.9112620000000007</v>
      </c>
      <c r="L138" s="2456"/>
      <c r="M138" s="2457"/>
      <c r="N138" s="2454"/>
      <c r="O138" s="2454"/>
      <c r="P138" s="2454"/>
      <c r="Q138" s="2454"/>
      <c r="R138" s="2454"/>
      <c r="S138" s="2456"/>
      <c r="T138" s="2454"/>
      <c r="U138" s="2454"/>
      <c r="V138" s="2454"/>
      <c r="W138" s="2458">
        <f t="shared" si="40"/>
        <v>7.3800000000012744E-4</v>
      </c>
    </row>
    <row r="139" spans="1:23" s="589" customFormat="1" ht="16.5" x14ac:dyDescent="0.25">
      <c r="A139" s="2451"/>
      <c r="B139" s="2525" t="s">
        <v>2614</v>
      </c>
      <c r="C139" s="2453"/>
      <c r="D139" s="2453"/>
      <c r="E139" s="2453"/>
      <c r="F139" s="2454">
        <f t="shared" si="39"/>
        <v>25.2</v>
      </c>
      <c r="G139" s="2454"/>
      <c r="H139" s="2528">
        <v>25.2</v>
      </c>
      <c r="I139" s="2533">
        <f t="shared" si="38"/>
        <v>25.008600000000001</v>
      </c>
      <c r="J139" s="2534"/>
      <c r="K139" s="2457">
        <v>25.008600000000001</v>
      </c>
      <c r="L139" s="2533"/>
      <c r="M139" s="2457"/>
      <c r="N139" s="2454"/>
      <c r="O139" s="2454"/>
      <c r="P139" s="2454"/>
      <c r="Q139" s="2454"/>
      <c r="R139" s="2454"/>
      <c r="S139" s="2456"/>
      <c r="T139" s="2454"/>
      <c r="U139" s="2454"/>
      <c r="V139" s="2454"/>
      <c r="W139" s="2458">
        <f t="shared" si="40"/>
        <v>0.19139999999999802</v>
      </c>
    </row>
    <row r="140" spans="1:23" s="589" customFormat="1" ht="16.5" x14ac:dyDescent="0.25">
      <c r="A140" s="2451"/>
      <c r="B140" s="2525" t="s">
        <v>2615</v>
      </c>
      <c r="C140" s="2453"/>
      <c r="D140" s="2453"/>
      <c r="E140" s="2453"/>
      <c r="F140" s="2454">
        <f t="shared" si="39"/>
        <v>14.7</v>
      </c>
      <c r="G140" s="2454"/>
      <c r="H140" s="2528">
        <v>14.7</v>
      </c>
      <c r="I140" s="2456">
        <f t="shared" si="38"/>
        <v>14.7</v>
      </c>
      <c r="J140" s="2454"/>
      <c r="K140" s="2455">
        <v>14.7</v>
      </c>
      <c r="L140" s="2456"/>
      <c r="M140" s="2457">
        <f>F140-I140</f>
        <v>0</v>
      </c>
      <c r="N140" s="2454"/>
      <c r="O140" s="2454"/>
      <c r="P140" s="2454"/>
      <c r="Q140" s="2454"/>
      <c r="R140" s="2454"/>
      <c r="S140" s="2456"/>
      <c r="T140" s="2454"/>
      <c r="U140" s="2454"/>
      <c r="V140" s="2454"/>
      <c r="W140" s="2458">
        <f t="shared" si="40"/>
        <v>0</v>
      </c>
    </row>
    <row r="141" spans="1:23" s="589" customFormat="1" ht="16.5" x14ac:dyDescent="0.25">
      <c r="A141" s="2451"/>
      <c r="B141" s="2525" t="s">
        <v>2616</v>
      </c>
      <c r="C141" s="2453"/>
      <c r="D141" s="2453"/>
      <c r="E141" s="2453"/>
      <c r="F141" s="2454">
        <f t="shared" si="39"/>
        <v>13.44</v>
      </c>
      <c r="G141" s="2454"/>
      <c r="H141" s="2528">
        <v>13.44</v>
      </c>
      <c r="I141" s="2533">
        <f t="shared" si="38"/>
        <v>13.398304</v>
      </c>
      <c r="J141" s="2534"/>
      <c r="K141" s="2535">
        <v>13.398304</v>
      </c>
      <c r="L141" s="2456"/>
      <c r="M141" s="2457"/>
      <c r="N141" s="2454"/>
      <c r="O141" s="2454"/>
      <c r="P141" s="2454"/>
      <c r="Q141" s="2454"/>
      <c r="R141" s="2454"/>
      <c r="S141" s="2456"/>
      <c r="T141" s="2454"/>
      <c r="U141" s="2454"/>
      <c r="V141" s="2454"/>
      <c r="W141" s="2458">
        <f t="shared" si="40"/>
        <v>4.1695999999999955E-2</v>
      </c>
    </row>
    <row r="142" spans="1:23" s="589" customFormat="1" ht="16.5" x14ac:dyDescent="0.25">
      <c r="A142" s="2451"/>
      <c r="B142" s="2525" t="s">
        <v>2617</v>
      </c>
      <c r="C142" s="2453"/>
      <c r="D142" s="2453"/>
      <c r="E142" s="2453"/>
      <c r="F142" s="2454">
        <f t="shared" si="39"/>
        <v>0</v>
      </c>
      <c r="G142" s="2454"/>
      <c r="H142" s="2528">
        <v>0</v>
      </c>
      <c r="I142" s="2456">
        <f t="shared" si="38"/>
        <v>0</v>
      </c>
      <c r="J142" s="2454"/>
      <c r="K142" s="2455"/>
      <c r="L142" s="2456"/>
      <c r="M142" s="2457">
        <f>F142-I142</f>
        <v>0</v>
      </c>
      <c r="N142" s="2454"/>
      <c r="O142" s="2454"/>
      <c r="P142" s="2454"/>
      <c r="Q142" s="2454"/>
      <c r="R142" s="2454"/>
      <c r="S142" s="2456"/>
      <c r="T142" s="2454"/>
      <c r="U142" s="2454"/>
      <c r="V142" s="2454"/>
      <c r="W142" s="2458">
        <f t="shared" si="40"/>
        <v>0</v>
      </c>
    </row>
    <row r="143" spans="1:23" s="182" customFormat="1" ht="16.5" x14ac:dyDescent="0.25">
      <c r="A143" s="2490"/>
      <c r="B143" s="2491" t="s">
        <v>2618</v>
      </c>
      <c r="C143" s="2492"/>
      <c r="D143" s="2492"/>
      <c r="E143" s="2492"/>
      <c r="F143" s="2454">
        <f t="shared" si="39"/>
        <v>35.700000000000003</v>
      </c>
      <c r="G143" s="2456"/>
      <c r="H143" s="2528">
        <v>35.700000000000003</v>
      </c>
      <c r="I143" s="2456">
        <f t="shared" si="38"/>
        <v>35.492541000000003</v>
      </c>
      <c r="J143" s="2456"/>
      <c r="K143" s="2455">
        <v>35.492541000000003</v>
      </c>
      <c r="L143" s="2456"/>
      <c r="M143" s="2457">
        <v>0</v>
      </c>
      <c r="N143" s="2456"/>
      <c r="O143" s="2456"/>
      <c r="P143" s="2456"/>
      <c r="Q143" s="2456"/>
      <c r="R143" s="2456"/>
      <c r="S143" s="2456"/>
      <c r="T143" s="2456"/>
      <c r="U143" s="2456"/>
      <c r="V143" s="2456"/>
      <c r="W143" s="2458">
        <f t="shared" si="40"/>
        <v>0.20745900000000006</v>
      </c>
    </row>
    <row r="144" spans="1:23" s="589" customFormat="1" ht="16.5" x14ac:dyDescent="0.25">
      <c r="A144" s="2451"/>
      <c r="B144" s="2525" t="s">
        <v>2619</v>
      </c>
      <c r="C144" s="2453"/>
      <c r="D144" s="2453"/>
      <c r="E144" s="2453"/>
      <c r="F144" s="2454">
        <f t="shared" si="39"/>
        <v>10.92</v>
      </c>
      <c r="G144" s="2454"/>
      <c r="H144" s="2528">
        <v>10.92</v>
      </c>
      <c r="I144" s="2456">
        <f t="shared" si="38"/>
        <v>10.92</v>
      </c>
      <c r="J144" s="2454"/>
      <c r="K144" s="2455">
        <v>10.92</v>
      </c>
      <c r="L144" s="2456"/>
      <c r="M144" s="2457">
        <f>F144-I144</f>
        <v>0</v>
      </c>
      <c r="N144" s="2454"/>
      <c r="O144" s="2454"/>
      <c r="P144" s="2454"/>
      <c r="Q144" s="2454"/>
      <c r="R144" s="2454"/>
      <c r="S144" s="2456"/>
      <c r="T144" s="2454"/>
      <c r="U144" s="2454"/>
      <c r="V144" s="2454"/>
      <c r="W144" s="2458">
        <f t="shared" si="40"/>
        <v>0</v>
      </c>
    </row>
    <row r="145" spans="1:23" s="589" customFormat="1" ht="16.5" x14ac:dyDescent="0.25">
      <c r="A145" s="2451"/>
      <c r="B145" s="2525" t="s">
        <v>2620</v>
      </c>
      <c r="C145" s="2453"/>
      <c r="D145" s="2453"/>
      <c r="E145" s="2453"/>
      <c r="F145" s="2454">
        <f t="shared" si="39"/>
        <v>43.26</v>
      </c>
      <c r="G145" s="2454"/>
      <c r="H145" s="2528">
        <v>43.26</v>
      </c>
      <c r="I145" s="2456">
        <f t="shared" si="38"/>
        <v>42.471572000000002</v>
      </c>
      <c r="J145" s="2454"/>
      <c r="K145" s="2455">
        <v>42.471572000000002</v>
      </c>
      <c r="L145" s="2456"/>
      <c r="M145" s="2457">
        <v>0</v>
      </c>
      <c r="N145" s="2454"/>
      <c r="O145" s="2454"/>
      <c r="P145" s="2454"/>
      <c r="Q145" s="2454"/>
      <c r="R145" s="2454"/>
      <c r="S145" s="2456"/>
      <c r="T145" s="2454"/>
      <c r="U145" s="2454"/>
      <c r="V145" s="2454"/>
      <c r="W145" s="2458">
        <f t="shared" si="40"/>
        <v>0.78842799999999613</v>
      </c>
    </row>
    <row r="146" spans="1:23" s="589" customFormat="1" ht="16.5" x14ac:dyDescent="0.25">
      <c r="A146" s="2451"/>
      <c r="B146" s="2525" t="s">
        <v>2621</v>
      </c>
      <c r="C146" s="2453"/>
      <c r="D146" s="2453"/>
      <c r="E146" s="2453"/>
      <c r="F146" s="2454">
        <f t="shared" si="39"/>
        <v>33.39</v>
      </c>
      <c r="G146" s="2454"/>
      <c r="H146" s="2528">
        <v>33.39</v>
      </c>
      <c r="I146" s="2456">
        <f t="shared" si="38"/>
        <v>33.385508000000002</v>
      </c>
      <c r="J146" s="2454"/>
      <c r="K146" s="2455">
        <v>33.385508000000002</v>
      </c>
      <c r="L146" s="2456"/>
      <c r="M146" s="2457"/>
      <c r="N146" s="2454"/>
      <c r="O146" s="2454"/>
      <c r="P146" s="2454"/>
      <c r="Q146" s="2454"/>
      <c r="R146" s="2454"/>
      <c r="S146" s="2456"/>
      <c r="T146" s="2454"/>
      <c r="U146" s="2454"/>
      <c r="V146" s="2454"/>
      <c r="W146" s="2458">
        <f t="shared" si="40"/>
        <v>4.4919999999990523E-3</v>
      </c>
    </row>
    <row r="147" spans="1:23" s="589" customFormat="1" ht="16.5" x14ac:dyDescent="0.25">
      <c r="A147" s="2451"/>
      <c r="B147" s="2525" t="s">
        <v>2622</v>
      </c>
      <c r="C147" s="2453"/>
      <c r="D147" s="2453"/>
      <c r="E147" s="2453"/>
      <c r="F147" s="2454">
        <f t="shared" si="39"/>
        <v>37.799999999999997</v>
      </c>
      <c r="G147" s="2454"/>
      <c r="H147" s="2536">
        <v>37.799999999999997</v>
      </c>
      <c r="I147" s="2456">
        <f t="shared" si="38"/>
        <v>36.999803</v>
      </c>
      <c r="J147" s="2454"/>
      <c r="K147" s="2455">
        <v>36.999803</v>
      </c>
      <c r="L147" s="2456"/>
      <c r="M147" s="2457">
        <v>0</v>
      </c>
      <c r="N147" s="2454"/>
      <c r="O147" s="2454"/>
      <c r="P147" s="2454"/>
      <c r="Q147" s="2454"/>
      <c r="R147" s="2454"/>
      <c r="S147" s="2456"/>
      <c r="T147" s="2454"/>
      <c r="U147" s="2454"/>
      <c r="V147" s="2454"/>
      <c r="W147" s="2458">
        <f t="shared" si="40"/>
        <v>0.80019699999999716</v>
      </c>
    </row>
    <row r="148" spans="1:23" s="2504" customFormat="1" ht="33.75" customHeight="1" x14ac:dyDescent="0.25">
      <c r="A148" s="2497">
        <v>2</v>
      </c>
      <c r="B148" s="2510" t="s">
        <v>3418</v>
      </c>
      <c r="C148" s="2499"/>
      <c r="D148" s="2499"/>
      <c r="E148" s="2499"/>
      <c r="F148" s="2454">
        <f t="shared" si="39"/>
        <v>636</v>
      </c>
      <c r="G148" s="2500">
        <f t="shared" ref="G148:L148" si="41">SUM(G149:G168)</f>
        <v>0</v>
      </c>
      <c r="H148" s="2501">
        <f>SUM(H149:H168)</f>
        <v>636</v>
      </c>
      <c r="I148" s="2456">
        <f t="shared" si="38"/>
        <v>631.485635</v>
      </c>
      <c r="J148" s="2500">
        <f t="shared" si="41"/>
        <v>0</v>
      </c>
      <c r="K148" s="2501">
        <f>SUM(K149:K168)</f>
        <v>631.485635</v>
      </c>
      <c r="L148" s="2526">
        <f t="shared" si="41"/>
        <v>0</v>
      </c>
      <c r="M148" s="2502">
        <f>SUM(M149:M168)</f>
        <v>0</v>
      </c>
      <c r="N148" s="2500">
        <f t="shared" ref="N148:V148" si="42">SUM(N149:N168)</f>
        <v>0</v>
      </c>
      <c r="O148" s="2500">
        <f t="shared" si="42"/>
        <v>0</v>
      </c>
      <c r="P148" s="2500">
        <f t="shared" si="42"/>
        <v>0</v>
      </c>
      <c r="Q148" s="2500">
        <f t="shared" si="42"/>
        <v>0</v>
      </c>
      <c r="R148" s="2500">
        <f t="shared" si="42"/>
        <v>0</v>
      </c>
      <c r="S148" s="2500">
        <f t="shared" si="42"/>
        <v>0</v>
      </c>
      <c r="T148" s="2500">
        <f t="shared" si="42"/>
        <v>0</v>
      </c>
      <c r="U148" s="2500">
        <f t="shared" si="42"/>
        <v>0</v>
      </c>
      <c r="V148" s="2500">
        <f t="shared" si="42"/>
        <v>0</v>
      </c>
      <c r="W148" s="2503">
        <f>SUM(W149:W168)</f>
        <v>4.514364999999998</v>
      </c>
    </row>
    <row r="149" spans="1:23" s="589" customFormat="1" ht="16.5" x14ac:dyDescent="0.25">
      <c r="A149" s="2451"/>
      <c r="B149" s="2525" t="s">
        <v>2603</v>
      </c>
      <c r="C149" s="2453"/>
      <c r="D149" s="2453"/>
      <c r="E149" s="2453"/>
      <c r="F149" s="2454">
        <f t="shared" si="39"/>
        <v>33.5</v>
      </c>
      <c r="G149" s="2454"/>
      <c r="H149" s="2537">
        <v>33.5</v>
      </c>
      <c r="I149" s="2456">
        <f t="shared" si="38"/>
        <v>31.729500000000002</v>
      </c>
      <c r="J149" s="2454"/>
      <c r="K149" s="2455">
        <v>31.729500000000002</v>
      </c>
      <c r="L149" s="2456"/>
      <c r="M149" s="2457"/>
      <c r="N149" s="2454"/>
      <c r="O149" s="2454"/>
      <c r="P149" s="2454"/>
      <c r="Q149" s="2454"/>
      <c r="R149" s="2454"/>
      <c r="S149" s="2456"/>
      <c r="T149" s="2454"/>
      <c r="U149" s="2454"/>
      <c r="V149" s="2454"/>
      <c r="W149" s="2458">
        <f>F149-I149-M149</f>
        <v>1.7704999999999984</v>
      </c>
    </row>
    <row r="150" spans="1:23" s="589" customFormat="1" ht="16.5" x14ac:dyDescent="0.25">
      <c r="A150" s="2451"/>
      <c r="B150" s="2525" t="s">
        <v>2604</v>
      </c>
      <c r="C150" s="2453"/>
      <c r="D150" s="2453"/>
      <c r="E150" s="2453"/>
      <c r="F150" s="2454">
        <f t="shared" si="39"/>
        <v>33.5</v>
      </c>
      <c r="G150" s="2454"/>
      <c r="H150" s="2538">
        <v>33.5</v>
      </c>
      <c r="I150" s="2456">
        <f t="shared" si="38"/>
        <v>33.384999999999998</v>
      </c>
      <c r="J150" s="2454"/>
      <c r="K150" s="2455">
        <v>33.384999999999998</v>
      </c>
      <c r="L150" s="2456"/>
      <c r="M150" s="2457">
        <v>0</v>
      </c>
      <c r="N150" s="2454"/>
      <c r="O150" s="2454"/>
      <c r="P150" s="2454"/>
      <c r="Q150" s="2454"/>
      <c r="R150" s="2454"/>
      <c r="S150" s="2456"/>
      <c r="T150" s="2454"/>
      <c r="U150" s="2454"/>
      <c r="V150" s="2454"/>
      <c r="W150" s="2458">
        <f t="shared" ref="W150:W168" si="43">F150-I150-M150</f>
        <v>0.11500000000000199</v>
      </c>
    </row>
    <row r="151" spans="1:23" s="589" customFormat="1" ht="16.5" x14ac:dyDescent="0.25">
      <c r="A151" s="2451"/>
      <c r="B151" s="2525" t="s">
        <v>2605</v>
      </c>
      <c r="C151" s="2453"/>
      <c r="D151" s="2453"/>
      <c r="E151" s="2453"/>
      <c r="F151" s="2454">
        <f t="shared" si="39"/>
        <v>25</v>
      </c>
      <c r="G151" s="2454"/>
      <c r="H151" s="2538">
        <v>25</v>
      </c>
      <c r="I151" s="2456">
        <f t="shared" si="38"/>
        <v>25</v>
      </c>
      <c r="J151" s="2454"/>
      <c r="K151" s="2455">
        <v>25</v>
      </c>
      <c r="L151" s="2456"/>
      <c r="M151" s="2457">
        <f t="shared" ref="M151:M168" si="44">F151-I151</f>
        <v>0</v>
      </c>
      <c r="N151" s="2454"/>
      <c r="O151" s="2454"/>
      <c r="P151" s="2454"/>
      <c r="Q151" s="2454"/>
      <c r="R151" s="2454"/>
      <c r="S151" s="2456"/>
      <c r="T151" s="2454"/>
      <c r="U151" s="2454"/>
      <c r="V151" s="2454"/>
      <c r="W151" s="2458">
        <f t="shared" si="43"/>
        <v>0</v>
      </c>
    </row>
    <row r="152" spans="1:23" s="589" customFormat="1" ht="16.5" x14ac:dyDescent="0.25">
      <c r="A152" s="2451"/>
      <c r="B152" s="2525" t="s">
        <v>2606</v>
      </c>
      <c r="C152" s="2453"/>
      <c r="D152" s="2453"/>
      <c r="E152" s="2453"/>
      <c r="F152" s="2454">
        <f t="shared" si="39"/>
        <v>25</v>
      </c>
      <c r="G152" s="2454"/>
      <c r="H152" s="2538">
        <v>25</v>
      </c>
      <c r="I152" s="2456">
        <f t="shared" si="38"/>
        <v>25</v>
      </c>
      <c r="J152" s="2454"/>
      <c r="K152" s="2455">
        <v>25</v>
      </c>
      <c r="L152" s="2456"/>
      <c r="M152" s="2457">
        <f t="shared" si="44"/>
        <v>0</v>
      </c>
      <c r="N152" s="2454"/>
      <c r="O152" s="2454"/>
      <c r="P152" s="2454"/>
      <c r="Q152" s="2454"/>
      <c r="R152" s="2454"/>
      <c r="S152" s="2456"/>
      <c r="T152" s="2454"/>
      <c r="U152" s="2454"/>
      <c r="V152" s="2454"/>
      <c r="W152" s="2458">
        <f t="shared" si="43"/>
        <v>0</v>
      </c>
    </row>
    <row r="153" spans="1:23" s="182" customFormat="1" ht="16.5" x14ac:dyDescent="0.25">
      <c r="A153" s="2490"/>
      <c r="B153" s="2491" t="s">
        <v>2607</v>
      </c>
      <c r="C153" s="2492"/>
      <c r="D153" s="2492"/>
      <c r="E153" s="2492"/>
      <c r="F153" s="2454">
        <f t="shared" si="39"/>
        <v>33.5</v>
      </c>
      <c r="G153" s="2456"/>
      <c r="H153" s="2538">
        <v>33.5</v>
      </c>
      <c r="I153" s="2456">
        <f t="shared" si="38"/>
        <v>33.5</v>
      </c>
      <c r="J153" s="2456"/>
      <c r="K153" s="2455">
        <v>33.5</v>
      </c>
      <c r="L153" s="2456"/>
      <c r="M153" s="2457">
        <f t="shared" si="44"/>
        <v>0</v>
      </c>
      <c r="N153" s="2456"/>
      <c r="O153" s="2456"/>
      <c r="P153" s="2456"/>
      <c r="Q153" s="2456"/>
      <c r="R153" s="2456"/>
      <c r="S153" s="2456"/>
      <c r="T153" s="2456"/>
      <c r="U153" s="2456"/>
      <c r="V153" s="2456"/>
      <c r="W153" s="2458">
        <f t="shared" si="43"/>
        <v>0</v>
      </c>
    </row>
    <row r="154" spans="1:23" s="589" customFormat="1" ht="16.5" x14ac:dyDescent="0.25">
      <c r="A154" s="2451"/>
      <c r="B154" s="2525" t="s">
        <v>2608</v>
      </c>
      <c r="C154" s="2453"/>
      <c r="D154" s="2453"/>
      <c r="E154" s="2453"/>
      <c r="F154" s="2454">
        <f t="shared" si="39"/>
        <v>33.5</v>
      </c>
      <c r="G154" s="2454"/>
      <c r="H154" s="2538">
        <v>33.5</v>
      </c>
      <c r="I154" s="2456">
        <f t="shared" si="38"/>
        <v>31.106000000000002</v>
      </c>
      <c r="J154" s="2454"/>
      <c r="K154" s="2455">
        <v>31.106000000000002</v>
      </c>
      <c r="L154" s="2456"/>
      <c r="M154" s="2457">
        <v>0</v>
      </c>
      <c r="N154" s="2454"/>
      <c r="O154" s="2454"/>
      <c r="P154" s="2454"/>
      <c r="Q154" s="2454"/>
      <c r="R154" s="2454"/>
      <c r="S154" s="2456"/>
      <c r="T154" s="2454"/>
      <c r="U154" s="2454"/>
      <c r="V154" s="2454"/>
      <c r="W154" s="2458">
        <f t="shared" si="43"/>
        <v>2.3939999999999984</v>
      </c>
    </row>
    <row r="155" spans="1:23" s="589" customFormat="1" ht="16.5" x14ac:dyDescent="0.25">
      <c r="A155" s="2451"/>
      <c r="B155" s="2525" t="s">
        <v>2609</v>
      </c>
      <c r="C155" s="2453"/>
      <c r="D155" s="2453"/>
      <c r="E155" s="2453"/>
      <c r="F155" s="2454">
        <f t="shared" si="39"/>
        <v>33.5</v>
      </c>
      <c r="G155" s="2454"/>
      <c r="H155" s="2538">
        <v>33.5</v>
      </c>
      <c r="I155" s="2456">
        <f t="shared" si="38"/>
        <v>33.5</v>
      </c>
      <c r="J155" s="2454"/>
      <c r="K155" s="2455">
        <v>33.5</v>
      </c>
      <c r="L155" s="2456"/>
      <c r="M155" s="2457">
        <f t="shared" si="44"/>
        <v>0</v>
      </c>
      <c r="N155" s="2454"/>
      <c r="O155" s="2454"/>
      <c r="P155" s="2454"/>
      <c r="Q155" s="2454"/>
      <c r="R155" s="2454"/>
      <c r="S155" s="2456"/>
      <c r="T155" s="2454"/>
      <c r="U155" s="2454"/>
      <c r="V155" s="2454"/>
      <c r="W155" s="2458">
        <f t="shared" si="43"/>
        <v>0</v>
      </c>
    </row>
    <row r="156" spans="1:23" s="589" customFormat="1" ht="16.5" x14ac:dyDescent="0.25">
      <c r="A156" s="2451"/>
      <c r="B156" s="2525" t="s">
        <v>2610</v>
      </c>
      <c r="C156" s="2453"/>
      <c r="D156" s="2453"/>
      <c r="E156" s="2453"/>
      <c r="F156" s="2454">
        <f t="shared" si="39"/>
        <v>33.5</v>
      </c>
      <c r="G156" s="2454"/>
      <c r="H156" s="2538">
        <v>33.5</v>
      </c>
      <c r="I156" s="2456">
        <f t="shared" si="38"/>
        <v>33.5</v>
      </c>
      <c r="J156" s="2454"/>
      <c r="K156" s="2455">
        <v>33.5</v>
      </c>
      <c r="L156" s="2456"/>
      <c r="M156" s="2457">
        <f t="shared" si="44"/>
        <v>0</v>
      </c>
      <c r="N156" s="2454"/>
      <c r="O156" s="2454"/>
      <c r="P156" s="2454"/>
      <c r="Q156" s="2454"/>
      <c r="R156" s="2454"/>
      <c r="S156" s="2456"/>
      <c r="T156" s="2454"/>
      <c r="U156" s="2454"/>
      <c r="V156" s="2454"/>
      <c r="W156" s="2458">
        <f t="shared" si="43"/>
        <v>0</v>
      </c>
    </row>
    <row r="157" spans="1:23" s="589" customFormat="1" ht="16.5" x14ac:dyDescent="0.25">
      <c r="A157" s="2451"/>
      <c r="B157" s="2525" t="s">
        <v>2611</v>
      </c>
      <c r="C157" s="2453"/>
      <c r="D157" s="2453"/>
      <c r="E157" s="2453"/>
      <c r="F157" s="2454">
        <f t="shared" si="39"/>
        <v>33.5</v>
      </c>
      <c r="G157" s="2454"/>
      <c r="H157" s="2538">
        <v>33.5</v>
      </c>
      <c r="I157" s="2456">
        <f t="shared" si="38"/>
        <v>33.5</v>
      </c>
      <c r="J157" s="2454"/>
      <c r="K157" s="2455">
        <v>33.5</v>
      </c>
      <c r="L157" s="2456"/>
      <c r="M157" s="2457">
        <f t="shared" si="44"/>
        <v>0</v>
      </c>
      <c r="N157" s="2454"/>
      <c r="O157" s="2454"/>
      <c r="P157" s="2454"/>
      <c r="Q157" s="2454"/>
      <c r="R157" s="2454"/>
      <c r="S157" s="2456"/>
      <c r="T157" s="2454"/>
      <c r="U157" s="2454"/>
      <c r="V157" s="2454"/>
      <c r="W157" s="2458">
        <f t="shared" si="43"/>
        <v>0</v>
      </c>
    </row>
    <row r="158" spans="1:23" s="589" customFormat="1" ht="16.5" x14ac:dyDescent="0.25">
      <c r="A158" s="2451"/>
      <c r="B158" s="2525" t="s">
        <v>2612</v>
      </c>
      <c r="C158" s="2453"/>
      <c r="D158" s="2453"/>
      <c r="E158" s="2453"/>
      <c r="F158" s="2454">
        <f t="shared" si="39"/>
        <v>33.5</v>
      </c>
      <c r="G158" s="2454"/>
      <c r="H158" s="2538">
        <v>33.5</v>
      </c>
      <c r="I158" s="2456">
        <f t="shared" si="38"/>
        <v>33.5</v>
      </c>
      <c r="J158" s="2454"/>
      <c r="K158" s="2455">
        <v>33.5</v>
      </c>
      <c r="L158" s="2456"/>
      <c r="M158" s="2457">
        <f t="shared" si="44"/>
        <v>0</v>
      </c>
      <c r="N158" s="2454"/>
      <c r="O158" s="2454"/>
      <c r="P158" s="2454"/>
      <c r="Q158" s="2454"/>
      <c r="R158" s="2454"/>
      <c r="S158" s="2456"/>
      <c r="T158" s="2454"/>
      <c r="U158" s="2454"/>
      <c r="V158" s="2454"/>
      <c r="W158" s="2458">
        <f t="shared" si="43"/>
        <v>0</v>
      </c>
    </row>
    <row r="159" spans="1:23" s="589" customFormat="1" ht="16.5" x14ac:dyDescent="0.25">
      <c r="A159" s="2451"/>
      <c r="B159" s="2525" t="s">
        <v>2613</v>
      </c>
      <c r="C159" s="2453"/>
      <c r="D159" s="2453"/>
      <c r="E159" s="2453"/>
      <c r="F159" s="2454">
        <f t="shared" si="39"/>
        <v>33.5</v>
      </c>
      <c r="G159" s="2454"/>
      <c r="H159" s="2538">
        <v>33.5</v>
      </c>
      <c r="I159" s="2531">
        <f t="shared" si="38"/>
        <v>33.451635000000003</v>
      </c>
      <c r="J159" s="2532"/>
      <c r="K159" s="2457">
        <v>33.451635000000003</v>
      </c>
      <c r="L159" s="2531"/>
      <c r="M159" s="2457"/>
      <c r="N159" s="2454"/>
      <c r="O159" s="2454"/>
      <c r="P159" s="2454"/>
      <c r="Q159" s="2454"/>
      <c r="R159" s="2454"/>
      <c r="S159" s="2456"/>
      <c r="T159" s="2454"/>
      <c r="U159" s="2454"/>
      <c r="V159" s="2454"/>
      <c r="W159" s="2458">
        <f t="shared" si="43"/>
        <v>4.8364999999996883E-2</v>
      </c>
    </row>
    <row r="160" spans="1:23" s="589" customFormat="1" ht="16.5" x14ac:dyDescent="0.25">
      <c r="A160" s="2451"/>
      <c r="B160" s="2525" t="s">
        <v>2614</v>
      </c>
      <c r="C160" s="2453"/>
      <c r="D160" s="2453"/>
      <c r="E160" s="2453"/>
      <c r="F160" s="2454">
        <f t="shared" si="39"/>
        <v>33.5</v>
      </c>
      <c r="G160" s="2454"/>
      <c r="H160" s="2538">
        <v>33.5</v>
      </c>
      <c r="I160" s="2456">
        <f t="shared" si="38"/>
        <v>33.5</v>
      </c>
      <c r="J160" s="2454"/>
      <c r="K160" s="2455">
        <v>33.5</v>
      </c>
      <c r="L160" s="2456"/>
      <c r="M160" s="2457">
        <f t="shared" si="44"/>
        <v>0</v>
      </c>
      <c r="N160" s="2454"/>
      <c r="O160" s="2454"/>
      <c r="P160" s="2454"/>
      <c r="Q160" s="2454"/>
      <c r="R160" s="2454"/>
      <c r="S160" s="2456"/>
      <c r="T160" s="2454"/>
      <c r="U160" s="2454"/>
      <c r="V160" s="2454"/>
      <c r="W160" s="2458">
        <f t="shared" si="43"/>
        <v>0</v>
      </c>
    </row>
    <row r="161" spans="1:23" s="589" customFormat="1" ht="16.5" x14ac:dyDescent="0.25">
      <c r="A161" s="2451"/>
      <c r="B161" s="2525" t="s">
        <v>2615</v>
      </c>
      <c r="C161" s="2453"/>
      <c r="D161" s="2453"/>
      <c r="E161" s="2453"/>
      <c r="F161" s="2454">
        <f t="shared" si="39"/>
        <v>33.5</v>
      </c>
      <c r="G161" s="2454"/>
      <c r="H161" s="2538">
        <v>33.5</v>
      </c>
      <c r="I161" s="2456">
        <f t="shared" si="38"/>
        <v>33.5</v>
      </c>
      <c r="J161" s="2454"/>
      <c r="K161" s="2455">
        <v>33.5</v>
      </c>
      <c r="L161" s="2456"/>
      <c r="M161" s="2457">
        <f t="shared" si="44"/>
        <v>0</v>
      </c>
      <c r="N161" s="2454"/>
      <c r="O161" s="2454"/>
      <c r="P161" s="2454"/>
      <c r="Q161" s="2454"/>
      <c r="R161" s="2454"/>
      <c r="S161" s="2456"/>
      <c r="T161" s="2454"/>
      <c r="U161" s="2454"/>
      <c r="V161" s="2454"/>
      <c r="W161" s="2458">
        <f t="shared" si="43"/>
        <v>0</v>
      </c>
    </row>
    <row r="162" spans="1:23" s="589" customFormat="1" ht="16.5" x14ac:dyDescent="0.25">
      <c r="A162" s="2451"/>
      <c r="B162" s="2525" t="s">
        <v>2616</v>
      </c>
      <c r="C162" s="2453"/>
      <c r="D162" s="2453"/>
      <c r="E162" s="2453"/>
      <c r="F162" s="2454">
        <f t="shared" si="39"/>
        <v>33.5</v>
      </c>
      <c r="G162" s="2454"/>
      <c r="H162" s="2538">
        <v>33.5</v>
      </c>
      <c r="I162" s="2456">
        <f t="shared" si="38"/>
        <v>33.5</v>
      </c>
      <c r="J162" s="2454"/>
      <c r="K162" s="2455">
        <v>33.5</v>
      </c>
      <c r="L162" s="2456"/>
      <c r="M162" s="2457">
        <f t="shared" si="44"/>
        <v>0</v>
      </c>
      <c r="N162" s="2454"/>
      <c r="O162" s="2454"/>
      <c r="P162" s="2454"/>
      <c r="Q162" s="2454"/>
      <c r="R162" s="2454"/>
      <c r="S162" s="2456"/>
      <c r="T162" s="2454"/>
      <c r="U162" s="2454"/>
      <c r="V162" s="2454"/>
      <c r="W162" s="2458">
        <f t="shared" si="43"/>
        <v>0</v>
      </c>
    </row>
    <row r="163" spans="1:23" s="589" customFormat="1" ht="16.5" x14ac:dyDescent="0.25">
      <c r="A163" s="2451"/>
      <c r="B163" s="2525" t="s">
        <v>2617</v>
      </c>
      <c r="C163" s="2453"/>
      <c r="D163" s="2453"/>
      <c r="E163" s="2453"/>
      <c r="F163" s="2454">
        <f t="shared" si="39"/>
        <v>33.5</v>
      </c>
      <c r="G163" s="2454"/>
      <c r="H163" s="2538">
        <v>33.5</v>
      </c>
      <c r="I163" s="2456">
        <f t="shared" si="38"/>
        <v>33.5</v>
      </c>
      <c r="J163" s="2454"/>
      <c r="K163" s="2455">
        <v>33.5</v>
      </c>
      <c r="L163" s="2456"/>
      <c r="M163" s="2457">
        <f t="shared" si="44"/>
        <v>0</v>
      </c>
      <c r="N163" s="2454"/>
      <c r="O163" s="2454"/>
      <c r="P163" s="2454"/>
      <c r="Q163" s="2454"/>
      <c r="R163" s="2454"/>
      <c r="S163" s="2456"/>
      <c r="T163" s="2454"/>
      <c r="U163" s="2454"/>
      <c r="V163" s="2454"/>
      <c r="W163" s="2458">
        <f t="shared" si="43"/>
        <v>0</v>
      </c>
    </row>
    <row r="164" spans="1:23" s="182" customFormat="1" ht="16.5" x14ac:dyDescent="0.25">
      <c r="A164" s="2490"/>
      <c r="B164" s="2491" t="s">
        <v>2618</v>
      </c>
      <c r="C164" s="2492"/>
      <c r="D164" s="2492"/>
      <c r="E164" s="2492"/>
      <c r="F164" s="2454">
        <f t="shared" si="39"/>
        <v>25</v>
      </c>
      <c r="G164" s="2456"/>
      <c r="H164" s="2538">
        <v>25</v>
      </c>
      <c r="I164" s="2456">
        <f t="shared" si="38"/>
        <v>25</v>
      </c>
      <c r="J164" s="2456"/>
      <c r="K164" s="2455">
        <v>25</v>
      </c>
      <c r="L164" s="2456"/>
      <c r="M164" s="2457">
        <f t="shared" si="44"/>
        <v>0</v>
      </c>
      <c r="N164" s="2456"/>
      <c r="O164" s="2456"/>
      <c r="P164" s="2456"/>
      <c r="Q164" s="2456"/>
      <c r="R164" s="2456"/>
      <c r="S164" s="2456"/>
      <c r="T164" s="2456"/>
      <c r="U164" s="2456"/>
      <c r="V164" s="2456"/>
      <c r="W164" s="2458">
        <f t="shared" si="43"/>
        <v>0</v>
      </c>
    </row>
    <row r="165" spans="1:23" s="589" customFormat="1" ht="16.5" x14ac:dyDescent="0.25">
      <c r="A165" s="2451"/>
      <c r="B165" s="2525" t="s">
        <v>2619</v>
      </c>
      <c r="C165" s="2453"/>
      <c r="D165" s="2453"/>
      <c r="E165" s="2453"/>
      <c r="F165" s="2454">
        <f t="shared" si="39"/>
        <v>33.5</v>
      </c>
      <c r="G165" s="2454"/>
      <c r="H165" s="2538">
        <v>33.5</v>
      </c>
      <c r="I165" s="2456">
        <f t="shared" si="38"/>
        <v>33.5</v>
      </c>
      <c r="J165" s="2454"/>
      <c r="K165" s="2455">
        <v>33.5</v>
      </c>
      <c r="L165" s="2456"/>
      <c r="M165" s="2457">
        <f t="shared" si="44"/>
        <v>0</v>
      </c>
      <c r="N165" s="2454"/>
      <c r="O165" s="2454"/>
      <c r="P165" s="2454"/>
      <c r="Q165" s="2454"/>
      <c r="R165" s="2454"/>
      <c r="S165" s="2456"/>
      <c r="T165" s="2454"/>
      <c r="U165" s="2454"/>
      <c r="V165" s="2454"/>
      <c r="W165" s="2458">
        <f t="shared" si="43"/>
        <v>0</v>
      </c>
    </row>
    <row r="166" spans="1:23" s="589" customFormat="1" ht="16.5" x14ac:dyDescent="0.25">
      <c r="A166" s="2451"/>
      <c r="B166" s="2525" t="s">
        <v>2620</v>
      </c>
      <c r="C166" s="2453"/>
      <c r="D166" s="2453"/>
      <c r="E166" s="2453"/>
      <c r="F166" s="2454">
        <f t="shared" si="39"/>
        <v>25</v>
      </c>
      <c r="G166" s="2454"/>
      <c r="H166" s="2538">
        <v>25</v>
      </c>
      <c r="I166" s="2456">
        <f t="shared" si="38"/>
        <v>25</v>
      </c>
      <c r="J166" s="2454"/>
      <c r="K166" s="2455">
        <v>25</v>
      </c>
      <c r="L166" s="2456"/>
      <c r="M166" s="2457">
        <f t="shared" si="44"/>
        <v>0</v>
      </c>
      <c r="N166" s="2454"/>
      <c r="O166" s="2454"/>
      <c r="P166" s="2454"/>
      <c r="Q166" s="2454"/>
      <c r="R166" s="2454"/>
      <c r="S166" s="2456"/>
      <c r="T166" s="2454"/>
      <c r="U166" s="2454"/>
      <c r="V166" s="2454"/>
      <c r="W166" s="2458">
        <f t="shared" si="43"/>
        <v>0</v>
      </c>
    </row>
    <row r="167" spans="1:23" s="589" customFormat="1" ht="16.5" x14ac:dyDescent="0.25">
      <c r="A167" s="2451"/>
      <c r="B167" s="2525" t="s">
        <v>2621</v>
      </c>
      <c r="C167" s="2453"/>
      <c r="D167" s="2453"/>
      <c r="E167" s="2453"/>
      <c r="F167" s="2454">
        <f t="shared" si="39"/>
        <v>33.5</v>
      </c>
      <c r="G167" s="2454"/>
      <c r="H167" s="2538">
        <v>33.5</v>
      </c>
      <c r="I167" s="2456">
        <f t="shared" si="38"/>
        <v>33.313499999999998</v>
      </c>
      <c r="J167" s="2454"/>
      <c r="K167" s="2455">
        <v>33.313499999999998</v>
      </c>
      <c r="L167" s="2456"/>
      <c r="M167" s="2457"/>
      <c r="N167" s="2454"/>
      <c r="O167" s="2454"/>
      <c r="P167" s="2454"/>
      <c r="Q167" s="2454"/>
      <c r="R167" s="2454"/>
      <c r="S167" s="2456"/>
      <c r="T167" s="2454"/>
      <c r="U167" s="2454"/>
      <c r="V167" s="2454"/>
      <c r="W167" s="2458">
        <f t="shared" si="43"/>
        <v>0.18650000000000233</v>
      </c>
    </row>
    <row r="168" spans="1:23" s="589" customFormat="1" ht="16.5" x14ac:dyDescent="0.25">
      <c r="A168" s="2451"/>
      <c r="B168" s="2525" t="s">
        <v>2622</v>
      </c>
      <c r="C168" s="2453"/>
      <c r="D168" s="2453"/>
      <c r="E168" s="2453"/>
      <c r="F168" s="2454">
        <f t="shared" si="39"/>
        <v>33.5</v>
      </c>
      <c r="G168" s="2454"/>
      <c r="H168" s="2538">
        <v>33.5</v>
      </c>
      <c r="I168" s="2456">
        <f t="shared" si="38"/>
        <v>33.5</v>
      </c>
      <c r="J168" s="2454"/>
      <c r="K168" s="2455">
        <v>33.5</v>
      </c>
      <c r="L168" s="2456"/>
      <c r="M168" s="2457">
        <f t="shared" si="44"/>
        <v>0</v>
      </c>
      <c r="N168" s="2454"/>
      <c r="O168" s="2454"/>
      <c r="P168" s="2454"/>
      <c r="Q168" s="2454"/>
      <c r="R168" s="2454"/>
      <c r="S168" s="2456"/>
      <c r="T168" s="2454"/>
      <c r="U168" s="2454"/>
      <c r="V168" s="2454"/>
      <c r="W168" s="2458">
        <f t="shared" si="43"/>
        <v>0</v>
      </c>
    </row>
    <row r="169" spans="1:23" s="2504" customFormat="1" x14ac:dyDescent="0.25">
      <c r="A169" s="2497">
        <v>3</v>
      </c>
      <c r="B169" s="2510" t="s">
        <v>3428</v>
      </c>
      <c r="C169" s="2499"/>
      <c r="D169" s="2499"/>
      <c r="E169" s="2499"/>
      <c r="F169" s="2454">
        <f>G169+H169</f>
        <v>900</v>
      </c>
      <c r="G169" s="2500">
        <f t="shared" ref="G169:L169" si="45">SUM(G170:G189)</f>
        <v>0</v>
      </c>
      <c r="H169" s="2501">
        <f>SUM(H170:H189)</f>
        <v>900</v>
      </c>
      <c r="I169" s="2456">
        <f t="shared" si="38"/>
        <v>889.29237000000001</v>
      </c>
      <c r="J169" s="2500">
        <f t="shared" si="45"/>
        <v>0</v>
      </c>
      <c r="K169" s="2501">
        <f>SUM(K170:K189)</f>
        <v>889.29237000000001</v>
      </c>
      <c r="L169" s="2526">
        <f t="shared" si="45"/>
        <v>0</v>
      </c>
      <c r="M169" s="2502">
        <f>SUM(M170:M189)</f>
        <v>0</v>
      </c>
      <c r="N169" s="2500">
        <f t="shared" ref="N169:V169" si="46">SUM(N170:N189)</f>
        <v>0</v>
      </c>
      <c r="O169" s="2500">
        <f t="shared" si="46"/>
        <v>0</v>
      </c>
      <c r="P169" s="2500">
        <f t="shared" si="46"/>
        <v>0</v>
      </c>
      <c r="Q169" s="2500">
        <f t="shared" si="46"/>
        <v>0</v>
      </c>
      <c r="R169" s="2500">
        <f t="shared" si="46"/>
        <v>0</v>
      </c>
      <c r="S169" s="2500">
        <f t="shared" si="46"/>
        <v>0</v>
      </c>
      <c r="T169" s="2500">
        <f t="shared" si="46"/>
        <v>0</v>
      </c>
      <c r="U169" s="2500">
        <f t="shared" si="46"/>
        <v>0</v>
      </c>
      <c r="V169" s="2500">
        <f t="shared" si="46"/>
        <v>0</v>
      </c>
      <c r="W169" s="2503">
        <f>SUM(W170:W189)</f>
        <v>10.707629999999988</v>
      </c>
    </row>
    <row r="170" spans="1:23" s="589" customFormat="1" ht="16.5" x14ac:dyDescent="0.25">
      <c r="A170" s="2451"/>
      <c r="B170" s="2525" t="s">
        <v>2603</v>
      </c>
      <c r="C170" s="2453"/>
      <c r="D170" s="2453"/>
      <c r="E170" s="2453"/>
      <c r="F170" s="2454">
        <f t="shared" si="39"/>
        <v>45</v>
      </c>
      <c r="G170" s="2454"/>
      <c r="H170" s="2539">
        <v>45</v>
      </c>
      <c r="I170" s="2456">
        <f t="shared" si="38"/>
        <v>45</v>
      </c>
      <c r="J170" s="2454"/>
      <c r="K170" s="2455">
        <v>45</v>
      </c>
      <c r="L170" s="2456"/>
      <c r="M170" s="2457">
        <f>F170-I170</f>
        <v>0</v>
      </c>
      <c r="N170" s="2454"/>
      <c r="O170" s="2454"/>
      <c r="P170" s="2454"/>
      <c r="Q170" s="2454"/>
      <c r="R170" s="2454"/>
      <c r="S170" s="2456"/>
      <c r="T170" s="2454"/>
      <c r="U170" s="2454"/>
      <c r="V170" s="2454"/>
      <c r="W170" s="2458">
        <f>H170-K170-M170</f>
        <v>0</v>
      </c>
    </row>
    <row r="171" spans="1:23" s="589" customFormat="1" ht="16.5" x14ac:dyDescent="0.25">
      <c r="A171" s="2451"/>
      <c r="B171" s="2525" t="s">
        <v>2604</v>
      </c>
      <c r="C171" s="2453"/>
      <c r="D171" s="2453"/>
      <c r="E171" s="2453"/>
      <c r="F171" s="2454">
        <f t="shared" si="39"/>
        <v>45</v>
      </c>
      <c r="G171" s="2454"/>
      <c r="H171" s="2540">
        <v>45</v>
      </c>
      <c r="I171" s="2456">
        <f t="shared" si="38"/>
        <v>45</v>
      </c>
      <c r="J171" s="2454"/>
      <c r="K171" s="2455">
        <v>45</v>
      </c>
      <c r="L171" s="2456"/>
      <c r="M171" s="2457">
        <f>F171-I171</f>
        <v>0</v>
      </c>
      <c r="N171" s="2454"/>
      <c r="O171" s="2454"/>
      <c r="P171" s="2454"/>
      <c r="Q171" s="2454"/>
      <c r="R171" s="2454"/>
      <c r="S171" s="2456"/>
      <c r="T171" s="2454"/>
      <c r="U171" s="2454"/>
      <c r="V171" s="2454"/>
      <c r="W171" s="2458">
        <f>H171-K171-M171</f>
        <v>0</v>
      </c>
    </row>
    <row r="172" spans="1:23" s="589" customFormat="1" ht="16.5" x14ac:dyDescent="0.25">
      <c r="A172" s="2451"/>
      <c r="B172" s="2525" t="s">
        <v>2605</v>
      </c>
      <c r="C172" s="2453"/>
      <c r="D172" s="2453"/>
      <c r="E172" s="2453"/>
      <c r="F172" s="2454">
        <f t="shared" si="39"/>
        <v>45</v>
      </c>
      <c r="G172" s="2454"/>
      <c r="H172" s="2540">
        <v>45</v>
      </c>
      <c r="I172" s="2456">
        <f t="shared" si="38"/>
        <v>45</v>
      </c>
      <c r="J172" s="2454"/>
      <c r="K172" s="2455">
        <v>45</v>
      </c>
      <c r="L172" s="2456"/>
      <c r="M172" s="2457">
        <f>F172-I172</f>
        <v>0</v>
      </c>
      <c r="N172" s="2454"/>
      <c r="O172" s="2454"/>
      <c r="P172" s="2454"/>
      <c r="Q172" s="2454"/>
      <c r="R172" s="2454"/>
      <c r="S172" s="2456"/>
      <c r="T172" s="2454"/>
      <c r="U172" s="2454"/>
      <c r="V172" s="2454"/>
      <c r="W172" s="2458">
        <f>H172-K172-M172</f>
        <v>0</v>
      </c>
    </row>
    <row r="173" spans="1:23" s="589" customFormat="1" ht="16.5" x14ac:dyDescent="0.25">
      <c r="A173" s="2451"/>
      <c r="B173" s="2525" t="s">
        <v>2606</v>
      </c>
      <c r="C173" s="2453"/>
      <c r="D173" s="2453"/>
      <c r="E173" s="2453"/>
      <c r="F173" s="2454">
        <f t="shared" si="39"/>
        <v>45</v>
      </c>
      <c r="G173" s="2454"/>
      <c r="H173" s="2540">
        <v>45</v>
      </c>
      <c r="I173" s="2456">
        <f t="shared" si="38"/>
        <v>45</v>
      </c>
      <c r="J173" s="2454"/>
      <c r="K173" s="2455">
        <v>45</v>
      </c>
      <c r="L173" s="2456"/>
      <c r="M173" s="2457">
        <f>F173-I173</f>
        <v>0</v>
      </c>
      <c r="N173" s="2454"/>
      <c r="O173" s="2454"/>
      <c r="P173" s="2454"/>
      <c r="Q173" s="2454"/>
      <c r="R173" s="2454"/>
      <c r="S173" s="2456"/>
      <c r="T173" s="2454"/>
      <c r="U173" s="2454"/>
      <c r="V173" s="2454"/>
      <c r="W173" s="2458">
        <f>H173-K173-M173</f>
        <v>0</v>
      </c>
    </row>
    <row r="174" spans="1:23" s="182" customFormat="1" ht="16.5" x14ac:dyDescent="0.25">
      <c r="A174" s="2490"/>
      <c r="B174" s="2491" t="s">
        <v>2607</v>
      </c>
      <c r="C174" s="2492"/>
      <c r="D174" s="2492"/>
      <c r="E174" s="2492"/>
      <c r="F174" s="2454">
        <f t="shared" si="39"/>
        <v>45</v>
      </c>
      <c r="G174" s="2456"/>
      <c r="H174" s="2540">
        <v>45</v>
      </c>
      <c r="I174" s="2456">
        <f t="shared" si="38"/>
        <v>40.323556000000004</v>
      </c>
      <c r="J174" s="2456"/>
      <c r="K174" s="2455">
        <v>40.323556000000004</v>
      </c>
      <c r="L174" s="2456"/>
      <c r="M174" s="2457"/>
      <c r="N174" s="2456"/>
      <c r="O174" s="2456"/>
      <c r="P174" s="2456"/>
      <c r="Q174" s="2456"/>
      <c r="R174" s="2456"/>
      <c r="S174" s="2456"/>
      <c r="T174" s="2456"/>
      <c r="U174" s="2456"/>
      <c r="V174" s="2456"/>
      <c r="W174" s="2458">
        <f>H174-K174-M174</f>
        <v>4.6764439999999965</v>
      </c>
    </row>
    <row r="175" spans="1:23" s="1781" customFormat="1" ht="16.5" x14ac:dyDescent="0.25">
      <c r="A175" s="2468"/>
      <c r="B175" s="2505" t="s">
        <v>2608</v>
      </c>
      <c r="C175" s="2470"/>
      <c r="D175" s="2470"/>
      <c r="E175" s="2470"/>
      <c r="F175" s="2455">
        <f t="shared" si="39"/>
        <v>45</v>
      </c>
      <c r="G175" s="2455"/>
      <c r="H175" s="2540">
        <v>45</v>
      </c>
      <c r="I175" s="2455">
        <f t="shared" si="38"/>
        <v>44.889000000000003</v>
      </c>
      <c r="J175" s="2455"/>
      <c r="K175" s="2455">
        <v>44.889000000000003</v>
      </c>
      <c r="L175" s="2455"/>
      <c r="M175" s="2457">
        <v>0</v>
      </c>
      <c r="N175" s="2455"/>
      <c r="O175" s="2455"/>
      <c r="P175" s="2455"/>
      <c r="Q175" s="2455"/>
      <c r="R175" s="2455"/>
      <c r="S175" s="2455"/>
      <c r="T175" s="2455"/>
      <c r="U175" s="2455"/>
      <c r="V175" s="2455"/>
      <c r="W175" s="2458">
        <f t="shared" ref="W175:W189" si="47">H175-K175-M175</f>
        <v>0.1109999999999971</v>
      </c>
    </row>
    <row r="176" spans="1:23" s="589" customFormat="1" ht="16.5" x14ac:dyDescent="0.25">
      <c r="A176" s="2451"/>
      <c r="B176" s="2525" t="s">
        <v>2609</v>
      </c>
      <c r="C176" s="2453"/>
      <c r="D176" s="2453"/>
      <c r="E176" s="2453"/>
      <c r="F176" s="2454">
        <f t="shared" si="39"/>
        <v>45</v>
      </c>
      <c r="G176" s="2454"/>
      <c r="H176" s="2540">
        <v>45</v>
      </c>
      <c r="I176" s="2456">
        <f t="shared" si="38"/>
        <v>44.967840000000002</v>
      </c>
      <c r="J176" s="2454"/>
      <c r="K176" s="2455">
        <v>44.967840000000002</v>
      </c>
      <c r="L176" s="2456"/>
      <c r="M176" s="2457"/>
      <c r="N176" s="2454"/>
      <c r="O176" s="2454"/>
      <c r="P176" s="2454"/>
      <c r="Q176" s="2454"/>
      <c r="R176" s="2454"/>
      <c r="S176" s="2456"/>
      <c r="T176" s="2454"/>
      <c r="U176" s="2454"/>
      <c r="V176" s="2454"/>
      <c r="W176" s="2458">
        <f t="shared" si="47"/>
        <v>3.2159999999997524E-2</v>
      </c>
    </row>
    <row r="177" spans="1:23" s="589" customFormat="1" ht="16.5" x14ac:dyDescent="0.25">
      <c r="A177" s="2451"/>
      <c r="B177" s="2525" t="s">
        <v>2610</v>
      </c>
      <c r="C177" s="2453"/>
      <c r="D177" s="2453"/>
      <c r="E177" s="2453"/>
      <c r="F177" s="2454">
        <f t="shared" si="39"/>
        <v>45</v>
      </c>
      <c r="G177" s="2454"/>
      <c r="H177" s="2540">
        <v>45</v>
      </c>
      <c r="I177" s="2456">
        <f t="shared" si="38"/>
        <v>43.767997999999999</v>
      </c>
      <c r="J177" s="2454"/>
      <c r="K177" s="2455">
        <v>43.767997999999999</v>
      </c>
      <c r="L177" s="2456"/>
      <c r="M177" s="2457">
        <v>0</v>
      </c>
      <c r="N177" s="2454"/>
      <c r="O177" s="2454"/>
      <c r="P177" s="2454"/>
      <c r="Q177" s="2454"/>
      <c r="R177" s="2454"/>
      <c r="S177" s="2456"/>
      <c r="T177" s="2454"/>
      <c r="U177" s="2454"/>
      <c r="V177" s="2454"/>
      <c r="W177" s="2458">
        <f t="shared" si="47"/>
        <v>1.2320020000000014</v>
      </c>
    </row>
    <row r="178" spans="1:23" s="589" customFormat="1" ht="16.5" x14ac:dyDescent="0.25">
      <c r="A178" s="2451"/>
      <c r="B178" s="2525" t="s">
        <v>2611</v>
      </c>
      <c r="C178" s="2453"/>
      <c r="D178" s="2453"/>
      <c r="E178" s="2453"/>
      <c r="F178" s="2454">
        <f t="shared" si="39"/>
        <v>45</v>
      </c>
      <c r="G178" s="2454"/>
      <c r="H178" s="2540">
        <v>45</v>
      </c>
      <c r="I178" s="2456">
        <f t="shared" si="38"/>
        <v>44.565480000000001</v>
      </c>
      <c r="J178" s="2454"/>
      <c r="K178" s="2455">
        <v>44.565480000000001</v>
      </c>
      <c r="L178" s="2456"/>
      <c r="M178" s="2457">
        <v>0</v>
      </c>
      <c r="N178" s="2454"/>
      <c r="O178" s="2454"/>
      <c r="P178" s="2454"/>
      <c r="Q178" s="2454"/>
      <c r="R178" s="2454"/>
      <c r="S178" s="2456"/>
      <c r="T178" s="2454"/>
      <c r="U178" s="2454"/>
      <c r="V178" s="2454"/>
      <c r="W178" s="2458">
        <f t="shared" si="47"/>
        <v>0.43451999999999913</v>
      </c>
    </row>
    <row r="179" spans="1:23" s="589" customFormat="1" ht="16.5" x14ac:dyDescent="0.25">
      <c r="A179" s="2451"/>
      <c r="B179" s="2525" t="s">
        <v>2612</v>
      </c>
      <c r="C179" s="2453"/>
      <c r="D179" s="2453"/>
      <c r="E179" s="2453"/>
      <c r="F179" s="2454">
        <f t="shared" si="39"/>
        <v>45</v>
      </c>
      <c r="G179" s="2454"/>
      <c r="H179" s="2540">
        <v>45</v>
      </c>
      <c r="I179" s="2456">
        <f t="shared" si="38"/>
        <v>45</v>
      </c>
      <c r="J179" s="2454"/>
      <c r="K179" s="2455">
        <v>45</v>
      </c>
      <c r="L179" s="2456"/>
      <c r="M179" s="2457">
        <f>F179-I179</f>
        <v>0</v>
      </c>
      <c r="N179" s="2454"/>
      <c r="O179" s="2454"/>
      <c r="P179" s="2454"/>
      <c r="Q179" s="2454"/>
      <c r="R179" s="2454"/>
      <c r="S179" s="2456"/>
      <c r="T179" s="2454"/>
      <c r="U179" s="2454"/>
      <c r="V179" s="2454"/>
      <c r="W179" s="2458">
        <f t="shared" si="47"/>
        <v>0</v>
      </c>
    </row>
    <row r="180" spans="1:23" s="589" customFormat="1" ht="16.5" x14ac:dyDescent="0.25">
      <c r="A180" s="2451"/>
      <c r="B180" s="2525" t="s">
        <v>2613</v>
      </c>
      <c r="C180" s="2453"/>
      <c r="D180" s="2453"/>
      <c r="E180" s="2453"/>
      <c r="F180" s="2454">
        <f t="shared" si="39"/>
        <v>45</v>
      </c>
      <c r="G180" s="2454"/>
      <c r="H180" s="2540">
        <v>45</v>
      </c>
      <c r="I180" s="2541">
        <f t="shared" si="38"/>
        <v>44.64</v>
      </c>
      <c r="J180" s="2542"/>
      <c r="K180" s="2543">
        <v>44.64</v>
      </c>
      <c r="L180" s="2541"/>
      <c r="M180" s="2457">
        <v>0</v>
      </c>
      <c r="N180" s="2454"/>
      <c r="O180" s="2454"/>
      <c r="P180" s="2454"/>
      <c r="Q180" s="2454"/>
      <c r="R180" s="2454"/>
      <c r="S180" s="2456"/>
      <c r="T180" s="2454"/>
      <c r="U180" s="2454"/>
      <c r="V180" s="2454"/>
      <c r="W180" s="2458">
        <f t="shared" si="47"/>
        <v>0.35999999999999943</v>
      </c>
    </row>
    <row r="181" spans="1:23" s="589" customFormat="1" ht="16.5" x14ac:dyDescent="0.25">
      <c r="A181" s="2451"/>
      <c r="B181" s="2525" t="s">
        <v>2614</v>
      </c>
      <c r="C181" s="2453"/>
      <c r="D181" s="2453"/>
      <c r="E181" s="2453"/>
      <c r="F181" s="2454">
        <f t="shared" si="39"/>
        <v>45</v>
      </c>
      <c r="G181" s="2454"/>
      <c r="H181" s="2540">
        <v>45</v>
      </c>
      <c r="I181" s="2456">
        <f t="shared" si="38"/>
        <v>44.160200000000003</v>
      </c>
      <c r="J181" s="2454"/>
      <c r="K181" s="2455">
        <v>44.160200000000003</v>
      </c>
      <c r="L181" s="2456"/>
      <c r="M181" s="2457"/>
      <c r="N181" s="2454"/>
      <c r="O181" s="2454"/>
      <c r="P181" s="2454"/>
      <c r="Q181" s="2454"/>
      <c r="R181" s="2454"/>
      <c r="S181" s="2456"/>
      <c r="T181" s="2454"/>
      <c r="U181" s="2454"/>
      <c r="V181" s="2454"/>
      <c r="W181" s="2458">
        <f t="shared" si="47"/>
        <v>0.83979999999999677</v>
      </c>
    </row>
    <row r="182" spans="1:23" s="589" customFormat="1" ht="16.5" x14ac:dyDescent="0.25">
      <c r="A182" s="2451"/>
      <c r="B182" s="2525" t="s">
        <v>2615</v>
      </c>
      <c r="C182" s="2453"/>
      <c r="D182" s="2453"/>
      <c r="E182" s="2453"/>
      <c r="F182" s="2454">
        <f t="shared" si="39"/>
        <v>45</v>
      </c>
      <c r="G182" s="2454"/>
      <c r="H182" s="2540">
        <v>45</v>
      </c>
      <c r="I182" s="2456">
        <f t="shared" si="38"/>
        <v>44.721299999999999</v>
      </c>
      <c r="J182" s="2454"/>
      <c r="K182" s="2455">
        <v>44.721299999999999</v>
      </c>
      <c r="L182" s="2456"/>
      <c r="M182" s="2457"/>
      <c r="N182" s="2454"/>
      <c r="O182" s="2454"/>
      <c r="P182" s="2454"/>
      <c r="Q182" s="2454"/>
      <c r="R182" s="2454"/>
      <c r="S182" s="2456"/>
      <c r="T182" s="2454"/>
      <c r="U182" s="2454"/>
      <c r="V182" s="2454"/>
      <c r="W182" s="2458">
        <f t="shared" si="47"/>
        <v>0.27870000000000061</v>
      </c>
    </row>
    <row r="183" spans="1:23" s="589" customFormat="1" ht="16.5" x14ac:dyDescent="0.25">
      <c r="A183" s="2451"/>
      <c r="B183" s="2525" t="s">
        <v>2616</v>
      </c>
      <c r="C183" s="2453"/>
      <c r="D183" s="2453"/>
      <c r="E183" s="2453"/>
      <c r="F183" s="2454">
        <f t="shared" si="39"/>
        <v>45</v>
      </c>
      <c r="G183" s="2454"/>
      <c r="H183" s="2540">
        <v>45</v>
      </c>
      <c r="I183" s="2456">
        <f t="shared" si="38"/>
        <v>45</v>
      </c>
      <c r="J183" s="2454"/>
      <c r="K183" s="2455">
        <v>45</v>
      </c>
      <c r="L183" s="2456"/>
      <c r="M183" s="2457">
        <f>F183-I183</f>
        <v>0</v>
      </c>
      <c r="N183" s="2454"/>
      <c r="O183" s="2454"/>
      <c r="P183" s="2454"/>
      <c r="Q183" s="2454"/>
      <c r="R183" s="2454"/>
      <c r="S183" s="2456"/>
      <c r="T183" s="2454"/>
      <c r="U183" s="2454"/>
      <c r="V183" s="2454"/>
      <c r="W183" s="2458">
        <f t="shared" si="47"/>
        <v>0</v>
      </c>
    </row>
    <row r="184" spans="1:23" s="589" customFormat="1" ht="16.5" x14ac:dyDescent="0.25">
      <c r="A184" s="2451"/>
      <c r="B184" s="2525" t="s">
        <v>2617</v>
      </c>
      <c r="C184" s="2453"/>
      <c r="D184" s="2453"/>
      <c r="E184" s="2453"/>
      <c r="F184" s="2454">
        <f t="shared" si="39"/>
        <v>45</v>
      </c>
      <c r="G184" s="2454"/>
      <c r="H184" s="2540">
        <v>45</v>
      </c>
      <c r="I184" s="2456">
        <f t="shared" si="38"/>
        <v>45</v>
      </c>
      <c r="J184" s="2454"/>
      <c r="K184" s="2455">
        <v>45</v>
      </c>
      <c r="L184" s="2456"/>
      <c r="M184" s="2457">
        <f>F184-I184</f>
        <v>0</v>
      </c>
      <c r="N184" s="2454"/>
      <c r="O184" s="2454"/>
      <c r="P184" s="2454"/>
      <c r="Q184" s="2454"/>
      <c r="R184" s="2454"/>
      <c r="S184" s="2456"/>
      <c r="T184" s="2454"/>
      <c r="U184" s="2454"/>
      <c r="V184" s="2454"/>
      <c r="W184" s="2458">
        <f t="shared" si="47"/>
        <v>0</v>
      </c>
    </row>
    <row r="185" spans="1:23" s="182" customFormat="1" ht="16.5" x14ac:dyDescent="0.25">
      <c r="A185" s="2490"/>
      <c r="B185" s="2491" t="s">
        <v>2618</v>
      </c>
      <c r="C185" s="2492"/>
      <c r="D185" s="2492"/>
      <c r="E185" s="2492"/>
      <c r="F185" s="2454">
        <f t="shared" si="39"/>
        <v>45</v>
      </c>
      <c r="G185" s="2456"/>
      <c r="H185" s="2540">
        <v>45</v>
      </c>
      <c r="I185" s="2456">
        <f t="shared" si="38"/>
        <v>44.756521999999997</v>
      </c>
      <c r="J185" s="2456"/>
      <c r="K185" s="2455">
        <v>44.756521999999997</v>
      </c>
      <c r="L185" s="2456"/>
      <c r="M185" s="2457">
        <v>0</v>
      </c>
      <c r="N185" s="2456"/>
      <c r="O185" s="2456"/>
      <c r="P185" s="2456"/>
      <c r="Q185" s="2456"/>
      <c r="R185" s="2456"/>
      <c r="S185" s="2456"/>
      <c r="T185" s="2456"/>
      <c r="U185" s="2456"/>
      <c r="V185" s="2456"/>
      <c r="W185" s="2458">
        <f t="shared" si="47"/>
        <v>0.24347800000000319</v>
      </c>
    </row>
    <row r="186" spans="1:23" s="589" customFormat="1" ht="16.5" x14ac:dyDescent="0.25">
      <c r="A186" s="2451"/>
      <c r="B186" s="2525" t="s">
        <v>2619</v>
      </c>
      <c r="C186" s="2453"/>
      <c r="D186" s="2453"/>
      <c r="E186" s="2453"/>
      <c r="F186" s="2454">
        <f t="shared" si="39"/>
        <v>45</v>
      </c>
      <c r="G186" s="2454"/>
      <c r="H186" s="2540">
        <v>45</v>
      </c>
      <c r="I186" s="2456">
        <f t="shared" si="38"/>
        <v>45</v>
      </c>
      <c r="J186" s="2454"/>
      <c r="K186" s="2455">
        <v>45</v>
      </c>
      <c r="L186" s="2456"/>
      <c r="M186" s="2457">
        <f>F186-I186</f>
        <v>0</v>
      </c>
      <c r="N186" s="2454"/>
      <c r="O186" s="2454"/>
      <c r="P186" s="2454"/>
      <c r="Q186" s="2454"/>
      <c r="R186" s="2454"/>
      <c r="S186" s="2456"/>
      <c r="T186" s="2454"/>
      <c r="U186" s="2454"/>
      <c r="V186" s="2454"/>
      <c r="W186" s="2458">
        <f t="shared" si="47"/>
        <v>0</v>
      </c>
    </row>
    <row r="187" spans="1:23" s="589" customFormat="1" ht="16.5" x14ac:dyDescent="0.25">
      <c r="A187" s="2451"/>
      <c r="B187" s="2525" t="s">
        <v>2620</v>
      </c>
      <c r="C187" s="2453"/>
      <c r="D187" s="2453"/>
      <c r="E187" s="2453"/>
      <c r="F187" s="2454">
        <f t="shared" si="39"/>
        <v>45</v>
      </c>
      <c r="G187" s="2454"/>
      <c r="H187" s="2540">
        <v>45</v>
      </c>
      <c r="I187" s="2456">
        <f t="shared" si="38"/>
        <v>45</v>
      </c>
      <c r="J187" s="2454"/>
      <c r="K187" s="2455">
        <v>45</v>
      </c>
      <c r="L187" s="2456"/>
      <c r="M187" s="2457">
        <f>F187-I187</f>
        <v>0</v>
      </c>
      <c r="N187" s="2454"/>
      <c r="O187" s="2454"/>
      <c r="P187" s="2454"/>
      <c r="Q187" s="2454"/>
      <c r="R187" s="2454"/>
      <c r="S187" s="2456"/>
      <c r="T187" s="2454"/>
      <c r="U187" s="2454"/>
      <c r="V187" s="2454"/>
      <c r="W187" s="2458">
        <f t="shared" si="47"/>
        <v>0</v>
      </c>
    </row>
    <row r="188" spans="1:23" s="589" customFormat="1" ht="16.5" x14ac:dyDescent="0.25">
      <c r="A188" s="2451"/>
      <c r="B188" s="2525" t="s">
        <v>2621</v>
      </c>
      <c r="C188" s="2453"/>
      <c r="D188" s="2453"/>
      <c r="E188" s="2453"/>
      <c r="F188" s="2454">
        <f t="shared" si="39"/>
        <v>45</v>
      </c>
      <c r="G188" s="2454"/>
      <c r="H188" s="2540">
        <v>45</v>
      </c>
      <c r="I188" s="2456">
        <f t="shared" si="38"/>
        <v>44.992400000000004</v>
      </c>
      <c r="J188" s="2454"/>
      <c r="K188" s="2455">
        <v>44.992400000000004</v>
      </c>
      <c r="L188" s="2456"/>
      <c r="M188" s="2457"/>
      <c r="N188" s="2454"/>
      <c r="O188" s="2454"/>
      <c r="P188" s="2454"/>
      <c r="Q188" s="2454"/>
      <c r="R188" s="2454"/>
      <c r="S188" s="2456"/>
      <c r="T188" s="2454"/>
      <c r="U188" s="2454"/>
      <c r="V188" s="2454"/>
      <c r="W188" s="2458">
        <f t="shared" si="47"/>
        <v>7.5999999999964984E-3</v>
      </c>
    </row>
    <row r="189" spans="1:23" s="589" customFormat="1" ht="16.5" x14ac:dyDescent="0.25">
      <c r="A189" s="2451"/>
      <c r="B189" s="2525" t="s">
        <v>2622</v>
      </c>
      <c r="C189" s="2453"/>
      <c r="D189" s="2453"/>
      <c r="E189" s="2453"/>
      <c r="F189" s="2454">
        <f t="shared" si="39"/>
        <v>45</v>
      </c>
      <c r="G189" s="2454"/>
      <c r="H189" s="2540">
        <v>45</v>
      </c>
      <c r="I189" s="2456">
        <f t="shared" si="38"/>
        <v>42.508074000000001</v>
      </c>
      <c r="J189" s="2454"/>
      <c r="K189" s="2455">
        <v>42.508074000000001</v>
      </c>
      <c r="L189" s="2456"/>
      <c r="M189" s="2457">
        <v>0</v>
      </c>
      <c r="N189" s="2454"/>
      <c r="O189" s="2454"/>
      <c r="P189" s="2454"/>
      <c r="Q189" s="2454"/>
      <c r="R189" s="2454"/>
      <c r="S189" s="2456"/>
      <c r="T189" s="2454"/>
      <c r="U189" s="2454"/>
      <c r="V189" s="2454"/>
      <c r="W189" s="2458">
        <f t="shared" si="47"/>
        <v>2.4919259999999994</v>
      </c>
    </row>
    <row r="190" spans="1:23" s="2504" customFormat="1" x14ac:dyDescent="0.25">
      <c r="A190" s="2497">
        <v>4</v>
      </c>
      <c r="B190" s="2510" t="s">
        <v>3429</v>
      </c>
      <c r="C190" s="2501">
        <f>SUM(C191:C193)</f>
        <v>0</v>
      </c>
      <c r="D190" s="2501">
        <f>SUM(D191:D193)</f>
        <v>0</v>
      </c>
      <c r="E190" s="2501">
        <f>SUM(E191:E193)</f>
        <v>0</v>
      </c>
      <c r="F190" s="2501">
        <f>G190+H190</f>
        <v>396.6</v>
      </c>
      <c r="G190" s="2501">
        <f>SUM(G191:G193)</f>
        <v>0</v>
      </c>
      <c r="H190" s="2501">
        <f>SUM(H191:H193)</f>
        <v>396.6</v>
      </c>
      <c r="I190" s="2501">
        <f>J190+K190</f>
        <v>295.29511300000001</v>
      </c>
      <c r="J190" s="2501">
        <f t="shared" ref="J190:V190" si="48">SUM(J191:J193)</f>
        <v>0</v>
      </c>
      <c r="K190" s="2501">
        <f t="shared" si="48"/>
        <v>295.29511300000001</v>
      </c>
      <c r="L190" s="2501">
        <f t="shared" si="48"/>
        <v>0</v>
      </c>
      <c r="M190" s="2502">
        <f t="shared" si="48"/>
        <v>50</v>
      </c>
      <c r="N190" s="2501">
        <f t="shared" si="48"/>
        <v>0</v>
      </c>
      <c r="O190" s="2501">
        <f t="shared" si="48"/>
        <v>0</v>
      </c>
      <c r="P190" s="2501">
        <f t="shared" si="48"/>
        <v>0</v>
      </c>
      <c r="Q190" s="2501">
        <f t="shared" si="48"/>
        <v>0</v>
      </c>
      <c r="R190" s="2501">
        <f t="shared" si="48"/>
        <v>0</v>
      </c>
      <c r="S190" s="2501">
        <f t="shared" si="48"/>
        <v>0</v>
      </c>
      <c r="T190" s="2501">
        <f t="shared" si="48"/>
        <v>0</v>
      </c>
      <c r="U190" s="2501">
        <f t="shared" si="48"/>
        <v>0</v>
      </c>
      <c r="V190" s="2501">
        <f t="shared" si="48"/>
        <v>0</v>
      </c>
      <c r="W190" s="2503">
        <f>SUM(W191:W193)</f>
        <v>51.304887000000036</v>
      </c>
    </row>
    <row r="191" spans="1:23" s="589" customFormat="1" ht="33" x14ac:dyDescent="0.25">
      <c r="A191" s="2451"/>
      <c r="B191" s="2525" t="s">
        <v>3430</v>
      </c>
      <c r="C191" s="2453"/>
      <c r="D191" s="2453"/>
      <c r="E191" s="2453"/>
      <c r="F191" s="2454">
        <f>G191+H191</f>
        <v>50</v>
      </c>
      <c r="G191" s="2454"/>
      <c r="H191" s="2455">
        <v>50</v>
      </c>
      <c r="I191" s="2456">
        <f>J191+K191</f>
        <v>50</v>
      </c>
      <c r="J191" s="2454"/>
      <c r="K191" s="2455">
        <v>50</v>
      </c>
      <c r="L191" s="2456"/>
      <c r="M191" s="2457">
        <f>F191-I191</f>
        <v>0</v>
      </c>
      <c r="N191" s="2454"/>
      <c r="O191" s="2454"/>
      <c r="P191" s="2454"/>
      <c r="Q191" s="2454"/>
      <c r="R191" s="2454"/>
      <c r="S191" s="2456"/>
      <c r="T191" s="2454"/>
      <c r="U191" s="2454"/>
      <c r="V191" s="2454"/>
      <c r="W191" s="2458">
        <f>H191-K191-M191</f>
        <v>0</v>
      </c>
    </row>
    <row r="192" spans="1:23" s="589" customFormat="1" ht="16.5" x14ac:dyDescent="0.25">
      <c r="A192" s="2451"/>
      <c r="B192" s="2525" t="s">
        <v>2617</v>
      </c>
      <c r="C192" s="2453"/>
      <c r="D192" s="2453"/>
      <c r="E192" s="2453"/>
      <c r="F192" s="2454">
        <f>G192+H192</f>
        <v>296.60000000000002</v>
      </c>
      <c r="G192" s="2454"/>
      <c r="H192" s="2455">
        <v>296.60000000000002</v>
      </c>
      <c r="I192" s="2456">
        <f t="shared" ref="I192:I214" si="49">J192+K192</f>
        <v>245.29511299999999</v>
      </c>
      <c r="J192" s="2454"/>
      <c r="K192" s="2455">
        <v>245.29511299999999</v>
      </c>
      <c r="L192" s="2456"/>
      <c r="M192" s="2457"/>
      <c r="N192" s="2454"/>
      <c r="O192" s="2454"/>
      <c r="P192" s="2454"/>
      <c r="Q192" s="2454"/>
      <c r="R192" s="2454"/>
      <c r="S192" s="2456"/>
      <c r="T192" s="2454"/>
      <c r="U192" s="2454"/>
      <c r="V192" s="2454"/>
      <c r="W192" s="2458">
        <f>H192-K192-M192</f>
        <v>51.304887000000036</v>
      </c>
    </row>
    <row r="193" spans="1:23" s="589" customFormat="1" ht="33" x14ac:dyDescent="0.25">
      <c r="A193" s="2451"/>
      <c r="B193" s="2525" t="s">
        <v>3431</v>
      </c>
      <c r="C193" s="2453"/>
      <c r="D193" s="2453"/>
      <c r="E193" s="2453"/>
      <c r="F193" s="2454">
        <f>G193+H193</f>
        <v>50</v>
      </c>
      <c r="G193" s="2454"/>
      <c r="H193" s="2455">
        <v>50</v>
      </c>
      <c r="I193" s="2456">
        <f t="shared" si="49"/>
        <v>0</v>
      </c>
      <c r="J193" s="2454"/>
      <c r="K193" s="2455">
        <v>0</v>
      </c>
      <c r="L193" s="2456"/>
      <c r="M193" s="2457">
        <f>F193-I193</f>
        <v>50</v>
      </c>
      <c r="N193" s="2454"/>
      <c r="O193" s="2454"/>
      <c r="P193" s="2454"/>
      <c r="Q193" s="2454"/>
      <c r="R193" s="2454"/>
      <c r="S193" s="2456"/>
      <c r="T193" s="2454"/>
      <c r="U193" s="2454"/>
      <c r="V193" s="2454"/>
      <c r="W193" s="2458">
        <f>H193-K193-M193</f>
        <v>0</v>
      </c>
    </row>
    <row r="194" spans="1:23" s="2504" customFormat="1" x14ac:dyDescent="0.25">
      <c r="A194" s="2497">
        <v>5</v>
      </c>
      <c r="B194" s="2510" t="s">
        <v>3432</v>
      </c>
      <c r="C194" s="2499"/>
      <c r="D194" s="2499"/>
      <c r="E194" s="2499"/>
      <c r="F194" s="2454">
        <f>G194+H194</f>
        <v>100</v>
      </c>
      <c r="G194" s="2500">
        <f>SUM(G195:G214)</f>
        <v>0</v>
      </c>
      <c r="H194" s="2501">
        <f>SUM(H195:H214)</f>
        <v>100</v>
      </c>
      <c r="I194" s="2456">
        <f t="shared" si="49"/>
        <v>55.948039999999999</v>
      </c>
      <c r="J194" s="2500">
        <f>SUM(J195:J214)</f>
        <v>0</v>
      </c>
      <c r="K194" s="2501">
        <f>SUM(K195:K214)</f>
        <v>55.948039999999999</v>
      </c>
      <c r="L194" s="2526">
        <f>SUM(L195:L214)</f>
        <v>0</v>
      </c>
      <c r="M194" s="2502">
        <f>SUM(M195:M214)</f>
        <v>19.051960000000001</v>
      </c>
      <c r="N194" s="2500">
        <f t="shared" ref="N194:V194" si="50">SUM(N195:N214)</f>
        <v>0</v>
      </c>
      <c r="O194" s="2500">
        <f t="shared" si="50"/>
        <v>0</v>
      </c>
      <c r="P194" s="2500">
        <f t="shared" si="50"/>
        <v>0</v>
      </c>
      <c r="Q194" s="2500">
        <f t="shared" si="50"/>
        <v>0</v>
      </c>
      <c r="R194" s="2500">
        <f t="shared" si="50"/>
        <v>0</v>
      </c>
      <c r="S194" s="2500">
        <f t="shared" si="50"/>
        <v>0</v>
      </c>
      <c r="T194" s="2500">
        <f t="shared" si="50"/>
        <v>0</v>
      </c>
      <c r="U194" s="2500">
        <f t="shared" si="50"/>
        <v>0</v>
      </c>
      <c r="V194" s="2500">
        <f t="shared" si="50"/>
        <v>0</v>
      </c>
      <c r="W194" s="2503">
        <f>SUM(W195:W214)</f>
        <v>25</v>
      </c>
    </row>
    <row r="195" spans="1:23" s="182" customFormat="1" ht="16.5" x14ac:dyDescent="0.25">
      <c r="A195" s="2490"/>
      <c r="B195" s="2491" t="s">
        <v>2603</v>
      </c>
      <c r="C195" s="2492"/>
      <c r="D195" s="2492"/>
      <c r="E195" s="2492"/>
      <c r="F195" s="2456">
        <f t="shared" ref="F195:F214" si="51">G195+H195</f>
        <v>5</v>
      </c>
      <c r="G195" s="2456"/>
      <c r="H195" s="2544">
        <v>5</v>
      </c>
      <c r="I195" s="2456">
        <f t="shared" si="49"/>
        <v>4.5</v>
      </c>
      <c r="J195" s="2456"/>
      <c r="K195" s="2456">
        <v>4.5</v>
      </c>
      <c r="L195" s="2456"/>
      <c r="M195" s="2531">
        <f>F195-I195</f>
        <v>0.5</v>
      </c>
      <c r="N195" s="2456"/>
      <c r="O195" s="2456"/>
      <c r="P195" s="2456"/>
      <c r="Q195" s="2456"/>
      <c r="R195" s="2456"/>
      <c r="S195" s="2456"/>
      <c r="T195" s="2456"/>
      <c r="U195" s="2456"/>
      <c r="V195" s="2456"/>
      <c r="W195" s="2495">
        <f>H195-K195-M195</f>
        <v>0</v>
      </c>
    </row>
    <row r="196" spans="1:23" s="182" customFormat="1" ht="16.5" x14ac:dyDescent="0.25">
      <c r="A196" s="2490"/>
      <c r="B196" s="2491" t="s">
        <v>2604</v>
      </c>
      <c r="C196" s="2492"/>
      <c r="D196" s="2492"/>
      <c r="E196" s="2492"/>
      <c r="F196" s="2456">
        <f t="shared" si="51"/>
        <v>5</v>
      </c>
      <c r="G196" s="2456"/>
      <c r="H196" s="2544">
        <v>5</v>
      </c>
      <c r="I196" s="2456">
        <f t="shared" si="49"/>
        <v>5</v>
      </c>
      <c r="J196" s="2456"/>
      <c r="K196" s="2456">
        <v>5</v>
      </c>
      <c r="L196" s="2456"/>
      <c r="M196" s="2531">
        <f>F196-I196</f>
        <v>0</v>
      </c>
      <c r="N196" s="2456"/>
      <c r="O196" s="2456"/>
      <c r="P196" s="2456"/>
      <c r="Q196" s="2456"/>
      <c r="R196" s="2456"/>
      <c r="S196" s="2456"/>
      <c r="T196" s="2456"/>
      <c r="U196" s="2456"/>
      <c r="V196" s="2456"/>
      <c r="W196" s="2495">
        <f>H196-K196-M196</f>
        <v>0</v>
      </c>
    </row>
    <row r="197" spans="1:23" s="182" customFormat="1" ht="16.5" x14ac:dyDescent="0.25">
      <c r="A197" s="2490"/>
      <c r="B197" s="2491" t="s">
        <v>2605</v>
      </c>
      <c r="C197" s="2492"/>
      <c r="D197" s="2492"/>
      <c r="E197" s="2492"/>
      <c r="F197" s="2456">
        <f t="shared" si="51"/>
        <v>5</v>
      </c>
      <c r="G197" s="2456"/>
      <c r="H197" s="2544">
        <v>5</v>
      </c>
      <c r="I197" s="2456">
        <f t="shared" si="49"/>
        <v>5</v>
      </c>
      <c r="J197" s="2456"/>
      <c r="K197" s="2456">
        <v>5</v>
      </c>
      <c r="L197" s="2456"/>
      <c r="M197" s="2531">
        <f>F197-I197</f>
        <v>0</v>
      </c>
      <c r="N197" s="2456"/>
      <c r="O197" s="2456"/>
      <c r="P197" s="2456"/>
      <c r="Q197" s="2456"/>
      <c r="R197" s="2456"/>
      <c r="S197" s="2456"/>
      <c r="T197" s="2456"/>
      <c r="U197" s="2456"/>
      <c r="V197" s="2456"/>
      <c r="W197" s="2495">
        <f>H197-K197-M197</f>
        <v>0</v>
      </c>
    </row>
    <row r="198" spans="1:23" s="182" customFormat="1" ht="16.5" x14ac:dyDescent="0.25">
      <c r="A198" s="2490"/>
      <c r="B198" s="2491" t="s">
        <v>2606</v>
      </c>
      <c r="C198" s="2492"/>
      <c r="D198" s="2492"/>
      <c r="E198" s="2492"/>
      <c r="F198" s="2456">
        <f t="shared" si="51"/>
        <v>5</v>
      </c>
      <c r="G198" s="2456"/>
      <c r="H198" s="2544">
        <v>5</v>
      </c>
      <c r="I198" s="2456">
        <f t="shared" si="49"/>
        <v>5</v>
      </c>
      <c r="J198" s="2456"/>
      <c r="K198" s="2456">
        <v>5</v>
      </c>
      <c r="L198" s="2456"/>
      <c r="M198" s="2531">
        <f>F198-I198</f>
        <v>0</v>
      </c>
      <c r="N198" s="2456"/>
      <c r="O198" s="2456"/>
      <c r="P198" s="2456"/>
      <c r="Q198" s="2456"/>
      <c r="R198" s="2456"/>
      <c r="S198" s="2456"/>
      <c r="T198" s="2456"/>
      <c r="U198" s="2456"/>
      <c r="V198" s="2456"/>
      <c r="W198" s="2495">
        <f>H198-K198-M198</f>
        <v>0</v>
      </c>
    </row>
    <row r="199" spans="1:23" s="1781" customFormat="1" ht="16.5" x14ac:dyDescent="0.25">
      <c r="A199" s="2468"/>
      <c r="B199" s="2505" t="s">
        <v>2607</v>
      </c>
      <c r="C199" s="2470"/>
      <c r="D199" s="2470"/>
      <c r="E199" s="2470"/>
      <c r="F199" s="2455">
        <f t="shared" si="51"/>
        <v>5</v>
      </c>
      <c r="G199" s="2455"/>
      <c r="H199" s="2539">
        <v>5</v>
      </c>
      <c r="I199" s="2455">
        <f t="shared" si="49"/>
        <v>0</v>
      </c>
      <c r="J199" s="2455"/>
      <c r="K199" s="2455"/>
      <c r="L199" s="2455"/>
      <c r="M199" s="2457"/>
      <c r="N199" s="2455"/>
      <c r="O199" s="2455"/>
      <c r="P199" s="2455"/>
      <c r="Q199" s="2455"/>
      <c r="R199" s="2455"/>
      <c r="S199" s="2455"/>
      <c r="T199" s="2455"/>
      <c r="U199" s="2455"/>
      <c r="V199" s="2455"/>
      <c r="W199" s="2458">
        <f>H199-K199-M199</f>
        <v>5</v>
      </c>
    </row>
    <row r="200" spans="1:23" s="182" customFormat="1" ht="16.5" x14ac:dyDescent="0.25">
      <c r="A200" s="2490"/>
      <c r="B200" s="2491" t="s">
        <v>2608</v>
      </c>
      <c r="C200" s="2492"/>
      <c r="D200" s="2492"/>
      <c r="E200" s="2492"/>
      <c r="F200" s="2456">
        <f t="shared" si="51"/>
        <v>5</v>
      </c>
      <c r="G200" s="2456"/>
      <c r="H200" s="2544">
        <v>5</v>
      </c>
      <c r="I200" s="2456">
        <f t="shared" si="49"/>
        <v>0</v>
      </c>
      <c r="J200" s="2456"/>
      <c r="K200" s="2456">
        <v>0</v>
      </c>
      <c r="L200" s="2456"/>
      <c r="M200" s="2531">
        <v>5</v>
      </c>
      <c r="N200" s="2456"/>
      <c r="O200" s="2456"/>
      <c r="P200" s="2456"/>
      <c r="Q200" s="2456"/>
      <c r="R200" s="2456"/>
      <c r="S200" s="2456"/>
      <c r="T200" s="2456"/>
      <c r="U200" s="2456"/>
      <c r="V200" s="2456"/>
      <c r="W200" s="2495">
        <f t="shared" ref="W200:W214" si="52">H200-K200-M200</f>
        <v>0</v>
      </c>
    </row>
    <row r="201" spans="1:23" s="182" customFormat="1" ht="16.5" x14ac:dyDescent="0.25">
      <c r="A201" s="2490"/>
      <c r="B201" s="2491" t="s">
        <v>2609</v>
      </c>
      <c r="C201" s="2492"/>
      <c r="D201" s="2492"/>
      <c r="E201" s="2492"/>
      <c r="F201" s="2456">
        <f t="shared" si="51"/>
        <v>5</v>
      </c>
      <c r="G201" s="2456"/>
      <c r="H201" s="2544">
        <v>5</v>
      </c>
      <c r="I201" s="2456">
        <f t="shared" si="49"/>
        <v>5</v>
      </c>
      <c r="J201" s="2456"/>
      <c r="K201" s="2456">
        <v>5</v>
      </c>
      <c r="L201" s="2456"/>
      <c r="M201" s="2531"/>
      <c r="N201" s="2456"/>
      <c r="O201" s="2456"/>
      <c r="P201" s="2456"/>
      <c r="Q201" s="2456"/>
      <c r="R201" s="2456"/>
      <c r="S201" s="2456"/>
      <c r="T201" s="2456"/>
      <c r="U201" s="2456"/>
      <c r="V201" s="2456"/>
      <c r="W201" s="2495">
        <f t="shared" si="52"/>
        <v>0</v>
      </c>
    </row>
    <row r="202" spans="1:23" s="1781" customFormat="1" ht="16.5" x14ac:dyDescent="0.25">
      <c r="A202" s="2468"/>
      <c r="B202" s="2505" t="s">
        <v>2610</v>
      </c>
      <c r="C202" s="2470"/>
      <c r="D202" s="2470"/>
      <c r="E202" s="2470"/>
      <c r="F202" s="2455">
        <f t="shared" si="51"/>
        <v>5</v>
      </c>
      <c r="G202" s="2455"/>
      <c r="H202" s="2539">
        <v>5</v>
      </c>
      <c r="I202" s="2455">
        <f t="shared" si="49"/>
        <v>0.6</v>
      </c>
      <c r="J202" s="2455"/>
      <c r="K202" s="2455">
        <v>0.6</v>
      </c>
      <c r="L202" s="2455"/>
      <c r="M202" s="2457">
        <f>F202-I202</f>
        <v>4.4000000000000004</v>
      </c>
      <c r="N202" s="2455"/>
      <c r="O202" s="2455"/>
      <c r="P202" s="2455"/>
      <c r="Q202" s="2455"/>
      <c r="R202" s="2455"/>
      <c r="S202" s="2455"/>
      <c r="T202" s="2455"/>
      <c r="U202" s="2455"/>
      <c r="V202" s="2455"/>
      <c r="W202" s="2458">
        <f t="shared" si="52"/>
        <v>0</v>
      </c>
    </row>
    <row r="203" spans="1:23" s="1781" customFormat="1" ht="16.5" x14ac:dyDescent="0.25">
      <c r="A203" s="2468"/>
      <c r="B203" s="2505" t="s">
        <v>2611</v>
      </c>
      <c r="C203" s="2470"/>
      <c r="D203" s="2470"/>
      <c r="E203" s="2470"/>
      <c r="F203" s="2455">
        <f t="shared" si="51"/>
        <v>5</v>
      </c>
      <c r="G203" s="2455"/>
      <c r="H203" s="2539">
        <v>5</v>
      </c>
      <c r="I203" s="2455">
        <f t="shared" si="49"/>
        <v>3.1380400000000002</v>
      </c>
      <c r="J203" s="2455"/>
      <c r="K203" s="2455">
        <v>3.1380400000000002</v>
      </c>
      <c r="L203" s="2455"/>
      <c r="M203" s="2457">
        <f>F203-I203</f>
        <v>1.8619599999999998</v>
      </c>
      <c r="N203" s="2455"/>
      <c r="O203" s="2455"/>
      <c r="P203" s="2455"/>
      <c r="Q203" s="2455"/>
      <c r="R203" s="2455"/>
      <c r="S203" s="2455"/>
      <c r="T203" s="2455"/>
      <c r="U203" s="2455"/>
      <c r="V203" s="2455"/>
      <c r="W203" s="2458">
        <f t="shared" si="52"/>
        <v>0</v>
      </c>
    </row>
    <row r="204" spans="1:23" s="1781" customFormat="1" ht="16.5" x14ac:dyDescent="0.25">
      <c r="A204" s="2468"/>
      <c r="B204" s="2505" t="s">
        <v>2612</v>
      </c>
      <c r="C204" s="2470"/>
      <c r="D204" s="2470"/>
      <c r="E204" s="2470"/>
      <c r="F204" s="2455">
        <f t="shared" si="51"/>
        <v>5</v>
      </c>
      <c r="G204" s="2455"/>
      <c r="H204" s="2539">
        <v>5</v>
      </c>
      <c r="I204" s="2455">
        <f t="shared" si="49"/>
        <v>0</v>
      </c>
      <c r="J204" s="2455"/>
      <c r="K204" s="2455"/>
      <c r="L204" s="2455"/>
      <c r="M204" s="2457">
        <f>F204-I204</f>
        <v>5</v>
      </c>
      <c r="N204" s="2455"/>
      <c r="O204" s="2455"/>
      <c r="P204" s="2455"/>
      <c r="Q204" s="2455"/>
      <c r="R204" s="2455"/>
      <c r="S204" s="2455"/>
      <c r="T204" s="2455"/>
      <c r="U204" s="2455"/>
      <c r="V204" s="2455"/>
      <c r="W204" s="2458">
        <f t="shared" si="52"/>
        <v>0</v>
      </c>
    </row>
    <row r="205" spans="1:23" s="182" customFormat="1" ht="16.5" x14ac:dyDescent="0.25">
      <c r="A205" s="2490"/>
      <c r="B205" s="2491" t="s">
        <v>2613</v>
      </c>
      <c r="C205" s="2492"/>
      <c r="D205" s="2492"/>
      <c r="E205" s="2492"/>
      <c r="F205" s="2456">
        <f t="shared" si="51"/>
        <v>5</v>
      </c>
      <c r="G205" s="2456"/>
      <c r="H205" s="2544">
        <v>5</v>
      </c>
      <c r="I205" s="2541">
        <f t="shared" si="49"/>
        <v>5</v>
      </c>
      <c r="J205" s="2541"/>
      <c r="K205" s="2541">
        <v>5</v>
      </c>
      <c r="L205" s="2541"/>
      <c r="M205" s="2531">
        <v>0</v>
      </c>
      <c r="N205" s="2456"/>
      <c r="O205" s="2456"/>
      <c r="P205" s="2456"/>
      <c r="Q205" s="2456"/>
      <c r="R205" s="2456"/>
      <c r="S205" s="2456"/>
      <c r="T205" s="2456"/>
      <c r="U205" s="2456"/>
      <c r="V205" s="2456"/>
      <c r="W205" s="2495">
        <f t="shared" si="52"/>
        <v>0</v>
      </c>
    </row>
    <row r="206" spans="1:23" s="182" customFormat="1" ht="16.5" x14ac:dyDescent="0.25">
      <c r="A206" s="2490"/>
      <c r="B206" s="2491" t="s">
        <v>2614</v>
      </c>
      <c r="C206" s="2492"/>
      <c r="D206" s="2492"/>
      <c r="E206" s="2492"/>
      <c r="F206" s="2456">
        <f t="shared" si="51"/>
        <v>5</v>
      </c>
      <c r="G206" s="2456"/>
      <c r="H206" s="2544">
        <v>5</v>
      </c>
      <c r="I206" s="2456">
        <f t="shared" si="49"/>
        <v>0</v>
      </c>
      <c r="J206" s="2456"/>
      <c r="K206" s="2456">
        <v>0</v>
      </c>
      <c r="L206" s="2456"/>
      <c r="M206" s="2531"/>
      <c r="N206" s="2456"/>
      <c r="O206" s="2456"/>
      <c r="P206" s="2456"/>
      <c r="Q206" s="2456"/>
      <c r="R206" s="2456"/>
      <c r="S206" s="2456"/>
      <c r="T206" s="2456"/>
      <c r="U206" s="2456"/>
      <c r="V206" s="2456"/>
      <c r="W206" s="2495">
        <f t="shared" si="52"/>
        <v>5</v>
      </c>
    </row>
    <row r="207" spans="1:23" s="1781" customFormat="1" ht="16.5" x14ac:dyDescent="0.25">
      <c r="A207" s="2468"/>
      <c r="B207" s="2505" t="s">
        <v>2615</v>
      </c>
      <c r="C207" s="2470"/>
      <c r="D207" s="2470"/>
      <c r="E207" s="2470"/>
      <c r="F207" s="2455">
        <f t="shared" si="51"/>
        <v>5</v>
      </c>
      <c r="G207" s="2455"/>
      <c r="H207" s="2539">
        <v>5</v>
      </c>
      <c r="I207" s="2455">
        <f t="shared" si="49"/>
        <v>2.71</v>
      </c>
      <c r="J207" s="2455"/>
      <c r="K207" s="2455">
        <v>2.71</v>
      </c>
      <c r="L207" s="2455"/>
      <c r="M207" s="2457">
        <f>F207-I207</f>
        <v>2.29</v>
      </c>
      <c r="N207" s="2455"/>
      <c r="O207" s="2455"/>
      <c r="P207" s="2455"/>
      <c r="Q207" s="2455"/>
      <c r="R207" s="2455"/>
      <c r="S207" s="2455"/>
      <c r="T207" s="2455"/>
      <c r="U207" s="2455"/>
      <c r="V207" s="2455"/>
      <c r="W207" s="2458">
        <f t="shared" si="52"/>
        <v>0</v>
      </c>
    </row>
    <row r="208" spans="1:23" s="182" customFormat="1" ht="16.5" x14ac:dyDescent="0.25">
      <c r="A208" s="2490"/>
      <c r="B208" s="2491" t="s">
        <v>2616</v>
      </c>
      <c r="C208" s="2492"/>
      <c r="D208" s="2492"/>
      <c r="E208" s="2492"/>
      <c r="F208" s="2456">
        <f t="shared" si="51"/>
        <v>5</v>
      </c>
      <c r="G208" s="2456"/>
      <c r="H208" s="2544">
        <v>5</v>
      </c>
      <c r="I208" s="2456">
        <f t="shared" si="49"/>
        <v>0</v>
      </c>
      <c r="J208" s="2456"/>
      <c r="K208" s="2456">
        <v>0</v>
      </c>
      <c r="L208" s="2456"/>
      <c r="M208" s="2531">
        <v>0</v>
      </c>
      <c r="N208" s="2456"/>
      <c r="O208" s="2456"/>
      <c r="P208" s="2456"/>
      <c r="Q208" s="2456"/>
      <c r="R208" s="2456"/>
      <c r="S208" s="2456"/>
      <c r="T208" s="2456"/>
      <c r="U208" s="2456"/>
      <c r="V208" s="2456"/>
      <c r="W208" s="2495">
        <f t="shared" si="52"/>
        <v>5</v>
      </c>
    </row>
    <row r="209" spans="1:24" s="1781" customFormat="1" ht="16.5" x14ac:dyDescent="0.25">
      <c r="A209" s="2468"/>
      <c r="B209" s="2505" t="s">
        <v>2617</v>
      </c>
      <c r="C209" s="2470"/>
      <c r="D209" s="2470"/>
      <c r="E209" s="2470"/>
      <c r="F209" s="2455">
        <f t="shared" si="51"/>
        <v>5</v>
      </c>
      <c r="G209" s="2455"/>
      <c r="H209" s="2539">
        <v>5</v>
      </c>
      <c r="I209" s="2455">
        <f t="shared" si="49"/>
        <v>0</v>
      </c>
      <c r="J209" s="2455"/>
      <c r="K209" s="2455">
        <v>0</v>
      </c>
      <c r="L209" s="2455"/>
      <c r="M209" s="2457">
        <v>0</v>
      </c>
      <c r="N209" s="2455"/>
      <c r="O209" s="2455"/>
      <c r="P209" s="2455"/>
      <c r="Q209" s="2455"/>
      <c r="R209" s="2455"/>
      <c r="S209" s="2455"/>
      <c r="T209" s="2455"/>
      <c r="U209" s="2455"/>
      <c r="V209" s="2455"/>
      <c r="W209" s="2458">
        <f t="shared" si="52"/>
        <v>5</v>
      </c>
    </row>
    <row r="210" spans="1:24" s="182" customFormat="1" ht="16.5" x14ac:dyDescent="0.25">
      <c r="A210" s="2490"/>
      <c r="B210" s="2491" t="s">
        <v>2618</v>
      </c>
      <c r="C210" s="2492"/>
      <c r="D210" s="2492"/>
      <c r="E210" s="2492"/>
      <c r="F210" s="2456">
        <f t="shared" si="51"/>
        <v>5</v>
      </c>
      <c r="G210" s="2456"/>
      <c r="H210" s="2544">
        <v>5</v>
      </c>
      <c r="I210" s="2456">
        <f t="shared" si="49"/>
        <v>0</v>
      </c>
      <c r="J210" s="2456"/>
      <c r="K210" s="2456">
        <v>0</v>
      </c>
      <c r="L210" s="2456"/>
      <c r="M210" s="2531">
        <v>0</v>
      </c>
      <c r="N210" s="2456"/>
      <c r="O210" s="2456"/>
      <c r="P210" s="2456"/>
      <c r="Q210" s="2456"/>
      <c r="R210" s="2456"/>
      <c r="S210" s="2456"/>
      <c r="T210" s="2456"/>
      <c r="U210" s="2456"/>
      <c r="V210" s="2456"/>
      <c r="W210" s="2495">
        <f t="shared" si="52"/>
        <v>5</v>
      </c>
    </row>
    <row r="211" spans="1:24" s="182" customFormat="1" ht="16.5" x14ac:dyDescent="0.25">
      <c r="A211" s="2490"/>
      <c r="B211" s="2491" t="s">
        <v>2619</v>
      </c>
      <c r="C211" s="2492"/>
      <c r="D211" s="2492"/>
      <c r="E211" s="2492"/>
      <c r="F211" s="2456">
        <f t="shared" si="51"/>
        <v>5</v>
      </c>
      <c r="G211" s="2456"/>
      <c r="H211" s="2544">
        <v>5</v>
      </c>
      <c r="I211" s="2456">
        <f t="shared" si="49"/>
        <v>5</v>
      </c>
      <c r="J211" s="2456"/>
      <c r="K211" s="2456">
        <v>5</v>
      </c>
      <c r="L211" s="2456"/>
      <c r="M211" s="2531">
        <f>F211-I211</f>
        <v>0</v>
      </c>
      <c r="N211" s="2456"/>
      <c r="O211" s="2456"/>
      <c r="P211" s="2456"/>
      <c r="Q211" s="2456"/>
      <c r="R211" s="2456"/>
      <c r="S211" s="2456"/>
      <c r="T211" s="2456"/>
      <c r="U211" s="2456"/>
      <c r="V211" s="2456"/>
      <c r="W211" s="2495">
        <f t="shared" si="52"/>
        <v>0</v>
      </c>
    </row>
    <row r="212" spans="1:24" s="182" customFormat="1" ht="16.5" x14ac:dyDescent="0.25">
      <c r="A212" s="2490"/>
      <c r="B212" s="2491" t="s">
        <v>2620</v>
      </c>
      <c r="C212" s="2492"/>
      <c r="D212" s="2492"/>
      <c r="E212" s="2492"/>
      <c r="F212" s="2456">
        <f t="shared" si="51"/>
        <v>5</v>
      </c>
      <c r="G212" s="2456"/>
      <c r="H212" s="2544">
        <v>5</v>
      </c>
      <c r="I212" s="2456">
        <f t="shared" si="49"/>
        <v>5</v>
      </c>
      <c r="J212" s="2456"/>
      <c r="K212" s="2456">
        <v>5</v>
      </c>
      <c r="L212" s="2456"/>
      <c r="M212" s="2531">
        <f>F212-I212</f>
        <v>0</v>
      </c>
      <c r="N212" s="2456"/>
      <c r="O212" s="2456"/>
      <c r="P212" s="2456"/>
      <c r="Q212" s="2456"/>
      <c r="R212" s="2456"/>
      <c r="S212" s="2456"/>
      <c r="T212" s="2456"/>
      <c r="U212" s="2456"/>
      <c r="V212" s="2456"/>
      <c r="W212" s="2495">
        <f t="shared" si="52"/>
        <v>0</v>
      </c>
    </row>
    <row r="213" spans="1:24" s="182" customFormat="1" ht="16.5" x14ac:dyDescent="0.25">
      <c r="A213" s="2490"/>
      <c r="B213" s="2491" t="s">
        <v>2621</v>
      </c>
      <c r="C213" s="2492"/>
      <c r="D213" s="2492"/>
      <c r="E213" s="2492"/>
      <c r="F213" s="2456">
        <f t="shared" si="51"/>
        <v>5</v>
      </c>
      <c r="G213" s="2456"/>
      <c r="H213" s="2544">
        <v>5</v>
      </c>
      <c r="I213" s="2456">
        <f t="shared" si="49"/>
        <v>5</v>
      </c>
      <c r="J213" s="2456"/>
      <c r="K213" s="2456">
        <v>5</v>
      </c>
      <c r="L213" s="2456"/>
      <c r="M213" s="2531"/>
      <c r="N213" s="2456"/>
      <c r="O213" s="2456"/>
      <c r="P213" s="2456"/>
      <c r="Q213" s="2456"/>
      <c r="R213" s="2456"/>
      <c r="S213" s="2456"/>
      <c r="T213" s="2456"/>
      <c r="U213" s="2456"/>
      <c r="V213" s="2456"/>
      <c r="W213" s="2495">
        <f t="shared" si="52"/>
        <v>0</v>
      </c>
    </row>
    <row r="214" spans="1:24" s="182" customFormat="1" ht="16.5" x14ac:dyDescent="0.25">
      <c r="A214" s="2490"/>
      <c r="B214" s="2491" t="s">
        <v>2622</v>
      </c>
      <c r="C214" s="2492"/>
      <c r="D214" s="2492"/>
      <c r="E214" s="2492"/>
      <c r="F214" s="2456">
        <f t="shared" si="51"/>
        <v>5</v>
      </c>
      <c r="G214" s="2456"/>
      <c r="H214" s="2544">
        <v>5</v>
      </c>
      <c r="I214" s="2456">
        <f t="shared" si="49"/>
        <v>5</v>
      </c>
      <c r="J214" s="2456"/>
      <c r="K214" s="2456">
        <v>5</v>
      </c>
      <c r="L214" s="2456"/>
      <c r="M214" s="2531">
        <v>0</v>
      </c>
      <c r="N214" s="2456"/>
      <c r="O214" s="2456"/>
      <c r="P214" s="2456"/>
      <c r="Q214" s="2456"/>
      <c r="R214" s="2456"/>
      <c r="S214" s="2456"/>
      <c r="T214" s="2456"/>
      <c r="U214" s="2456"/>
      <c r="V214" s="2456"/>
      <c r="W214" s="2495">
        <f t="shared" si="52"/>
        <v>0</v>
      </c>
      <c r="X214" s="2594">
        <f>W127+W148+W169</f>
        <v>20.52797099999998</v>
      </c>
    </row>
    <row r="215" spans="1:24" s="583" customFormat="1" ht="16.5" x14ac:dyDescent="0.25">
      <c r="A215" s="2443">
        <v>6</v>
      </c>
      <c r="B215" s="2545" t="s">
        <v>3433</v>
      </c>
      <c r="C215" s="2444">
        <f t="shared" ref="C215:W215" si="53">C216+C223+C230+C238+C246+C253+C260+C267+C274+C283+C289+C296+C304+C314+C322+C329+C337+C342+C349+C357</f>
        <v>0</v>
      </c>
      <c r="D215" s="2444">
        <f t="shared" si="53"/>
        <v>0</v>
      </c>
      <c r="E215" s="2444">
        <f t="shared" si="53"/>
        <v>0</v>
      </c>
      <c r="F215" s="2444">
        <f t="shared" si="53"/>
        <v>9324.732879000001</v>
      </c>
      <c r="G215" s="2444">
        <f t="shared" si="53"/>
        <v>0</v>
      </c>
      <c r="H215" s="2546">
        <f t="shared" si="53"/>
        <v>9324.732879000001</v>
      </c>
      <c r="I215" s="2444">
        <f t="shared" si="53"/>
        <v>8698.2713750000003</v>
      </c>
      <c r="J215" s="2444">
        <f t="shared" si="53"/>
        <v>0</v>
      </c>
      <c r="K215" s="2546">
        <f t="shared" si="53"/>
        <v>8731.9648900000011</v>
      </c>
      <c r="L215" s="2444">
        <f t="shared" si="53"/>
        <v>0</v>
      </c>
      <c r="M215" s="2448">
        <f t="shared" si="53"/>
        <v>369.75200000000001</v>
      </c>
      <c r="N215" s="2444">
        <f t="shared" si="53"/>
        <v>0</v>
      </c>
      <c r="O215" s="2444">
        <f t="shared" si="53"/>
        <v>0</v>
      </c>
      <c r="P215" s="2444">
        <f t="shared" si="53"/>
        <v>0</v>
      </c>
      <c r="Q215" s="2444">
        <f t="shared" si="53"/>
        <v>0</v>
      </c>
      <c r="R215" s="2444">
        <f t="shared" si="53"/>
        <v>0</v>
      </c>
      <c r="S215" s="2444">
        <f t="shared" si="53"/>
        <v>0</v>
      </c>
      <c r="T215" s="2444">
        <f t="shared" si="53"/>
        <v>7.3949999999999987</v>
      </c>
      <c r="U215" s="2444">
        <f t="shared" si="53"/>
        <v>0</v>
      </c>
      <c r="V215" s="2444">
        <f t="shared" si="53"/>
        <v>0</v>
      </c>
      <c r="W215" s="2547">
        <f t="shared" si="53"/>
        <v>216.10848900000002</v>
      </c>
      <c r="X215" s="2593">
        <f>W215+W194+W190</f>
        <v>292.41337600000008</v>
      </c>
    </row>
    <row r="216" spans="1:24" s="583" customFormat="1" ht="16.5" x14ac:dyDescent="0.25">
      <c r="A216" s="2443">
        <v>1</v>
      </c>
      <c r="B216" s="2545" t="s">
        <v>3434</v>
      </c>
      <c r="C216" s="2444"/>
      <c r="D216" s="2444"/>
      <c r="E216" s="2444"/>
      <c r="F216" s="2445">
        <f t="shared" ref="F216:F221" si="54">G216+H216</f>
        <v>889.77735799999994</v>
      </c>
      <c r="G216" s="2445">
        <f>SUM(G217:G222)</f>
        <v>0</v>
      </c>
      <c r="H216" s="2446">
        <f>SUM(H217:H222)</f>
        <v>889.77735799999994</v>
      </c>
      <c r="I216" s="2445">
        <f t="shared" ref="I216:V216" si="55">SUM(I217:I222)</f>
        <v>880.92295799999999</v>
      </c>
      <c r="J216" s="2445">
        <f t="shared" si="55"/>
        <v>0</v>
      </c>
      <c r="K216" s="2446">
        <f>SUM(K217:K222)</f>
        <v>880.92295799999999</v>
      </c>
      <c r="L216" s="2445">
        <f t="shared" si="55"/>
        <v>0</v>
      </c>
      <c r="M216" s="2448">
        <f>SUM(M217:M222)</f>
        <v>0</v>
      </c>
      <c r="N216" s="2445">
        <f t="shared" si="55"/>
        <v>0</v>
      </c>
      <c r="O216" s="2445">
        <f t="shared" si="55"/>
        <v>0</v>
      </c>
      <c r="P216" s="2445">
        <f t="shared" si="55"/>
        <v>0</v>
      </c>
      <c r="Q216" s="2445">
        <f t="shared" si="55"/>
        <v>0</v>
      </c>
      <c r="R216" s="2445">
        <f t="shared" si="55"/>
        <v>0</v>
      </c>
      <c r="S216" s="2445">
        <f t="shared" si="55"/>
        <v>0</v>
      </c>
      <c r="T216" s="2445">
        <f t="shared" si="55"/>
        <v>0</v>
      </c>
      <c r="U216" s="2445">
        <f t="shared" si="55"/>
        <v>0</v>
      </c>
      <c r="V216" s="2445">
        <f t="shared" si="55"/>
        <v>0</v>
      </c>
      <c r="W216" s="2449">
        <f>SUM(W217:W222)</f>
        <v>8.8543999999999414</v>
      </c>
    </row>
    <row r="217" spans="1:24" s="2395" customFormat="1" ht="33" x14ac:dyDescent="0.25">
      <c r="A217" s="2548"/>
      <c r="B217" s="2549" t="s">
        <v>3435</v>
      </c>
      <c r="C217" s="2550"/>
      <c r="D217" s="2550"/>
      <c r="E217" s="2550"/>
      <c r="F217" s="2551">
        <f t="shared" si="54"/>
        <v>751.17449999999997</v>
      </c>
      <c r="G217" s="2551"/>
      <c r="H217" s="2552">
        <v>751.17449999999997</v>
      </c>
      <c r="I217" s="2553">
        <f t="shared" ref="I217:I222" si="56">J217+K217</f>
        <v>742.32010000000002</v>
      </c>
      <c r="J217" s="2551"/>
      <c r="K217" s="2552">
        <v>742.32010000000002</v>
      </c>
      <c r="L217" s="2553"/>
      <c r="M217" s="2554">
        <v>0</v>
      </c>
      <c r="N217" s="2551"/>
      <c r="O217" s="2551"/>
      <c r="P217" s="2551"/>
      <c r="Q217" s="2551"/>
      <c r="R217" s="2551"/>
      <c r="S217" s="2553"/>
      <c r="T217" s="2551"/>
      <c r="U217" s="2551"/>
      <c r="V217" s="2551"/>
      <c r="W217" s="2555">
        <f t="shared" ref="W217:W222" si="57">H217-K217-M217</f>
        <v>8.8543999999999414</v>
      </c>
      <c r="X217" s="2595">
        <f>X214+X215</f>
        <v>312.94134700000006</v>
      </c>
    </row>
    <row r="218" spans="1:24" s="2395" customFormat="1" x14ac:dyDescent="0.25">
      <c r="A218" s="2548"/>
      <c r="B218" s="2556" t="s">
        <v>3436</v>
      </c>
      <c r="C218" s="2550"/>
      <c r="D218" s="2550"/>
      <c r="E218" s="2550"/>
      <c r="F218" s="2557">
        <f t="shared" si="54"/>
        <v>17.43</v>
      </c>
      <c r="G218" s="2557"/>
      <c r="H218" s="2558">
        <f>16.38+1.05</f>
        <v>17.43</v>
      </c>
      <c r="I218" s="2553">
        <f t="shared" si="56"/>
        <v>17.43</v>
      </c>
      <c r="J218" s="2557"/>
      <c r="K218" s="2554">
        <v>17.43</v>
      </c>
      <c r="L218" s="2559"/>
      <c r="M218" s="2554">
        <f>F218-I218</f>
        <v>0</v>
      </c>
      <c r="N218" s="2560"/>
      <c r="O218" s="2560"/>
      <c r="P218" s="2560"/>
      <c r="Q218" s="2560"/>
      <c r="R218" s="2560"/>
      <c r="S218" s="2561"/>
      <c r="T218" s="2560"/>
      <c r="U218" s="2560"/>
      <c r="V218" s="2560"/>
      <c r="W218" s="2555">
        <f t="shared" si="57"/>
        <v>0</v>
      </c>
      <c r="X218" s="2595">
        <f>X217-W289</f>
        <v>305.34932900000007</v>
      </c>
    </row>
    <row r="219" spans="1:24" s="2395" customFormat="1" ht="31.5" x14ac:dyDescent="0.25">
      <c r="A219" s="2548"/>
      <c r="B219" s="2556" t="s">
        <v>3437</v>
      </c>
      <c r="C219" s="2550"/>
      <c r="D219" s="2550"/>
      <c r="E219" s="2550"/>
      <c r="F219" s="2557">
        <f t="shared" si="54"/>
        <v>27.7</v>
      </c>
      <c r="G219" s="2557"/>
      <c r="H219" s="2558">
        <v>27.7</v>
      </c>
      <c r="I219" s="2553">
        <f t="shared" si="56"/>
        <v>27.7</v>
      </c>
      <c r="J219" s="2557"/>
      <c r="K219" s="2554">
        <v>27.7</v>
      </c>
      <c r="L219" s="2559"/>
      <c r="M219" s="2554">
        <f>F219-I219</f>
        <v>0</v>
      </c>
      <c r="N219" s="2557"/>
      <c r="O219" s="2557"/>
      <c r="P219" s="2557"/>
      <c r="Q219" s="2557"/>
      <c r="R219" s="2557"/>
      <c r="S219" s="2559"/>
      <c r="T219" s="2557"/>
      <c r="U219" s="2557"/>
      <c r="V219" s="2557"/>
      <c r="W219" s="2555">
        <f t="shared" si="57"/>
        <v>0</v>
      </c>
    </row>
    <row r="220" spans="1:24" s="2395" customFormat="1" ht="31.5" x14ac:dyDescent="0.25">
      <c r="A220" s="2548"/>
      <c r="B220" s="2556" t="s">
        <v>3438</v>
      </c>
      <c r="C220" s="2550"/>
      <c r="D220" s="2550"/>
      <c r="E220" s="2550"/>
      <c r="F220" s="2557">
        <f t="shared" si="54"/>
        <v>81.905857999999995</v>
      </c>
      <c r="G220" s="2557"/>
      <c r="H220" s="2558">
        <v>81.905857999999995</v>
      </c>
      <c r="I220" s="2553">
        <f t="shared" si="56"/>
        <v>81.905857999999995</v>
      </c>
      <c r="J220" s="2557"/>
      <c r="K220" s="2554">
        <v>81.905857999999995</v>
      </c>
      <c r="L220" s="2559"/>
      <c r="M220" s="2554">
        <f>F220-I220</f>
        <v>0</v>
      </c>
      <c r="N220" s="2557"/>
      <c r="O220" s="2557"/>
      <c r="P220" s="2557"/>
      <c r="Q220" s="2557"/>
      <c r="R220" s="2557"/>
      <c r="S220" s="2559"/>
      <c r="T220" s="2557"/>
      <c r="U220" s="2557"/>
      <c r="V220" s="2557"/>
      <c r="W220" s="2555">
        <f t="shared" si="57"/>
        <v>0</v>
      </c>
    </row>
    <row r="221" spans="1:24" s="2395" customFormat="1" ht="31.5" x14ac:dyDescent="0.25">
      <c r="A221" s="2548"/>
      <c r="B221" s="2556" t="s">
        <v>3439</v>
      </c>
      <c r="C221" s="2550"/>
      <c r="D221" s="2550"/>
      <c r="E221" s="2550"/>
      <c r="F221" s="2557">
        <f t="shared" si="54"/>
        <v>4.0919999999999996</v>
      </c>
      <c r="G221" s="2557"/>
      <c r="H221" s="2558">
        <v>4.0919999999999996</v>
      </c>
      <c r="I221" s="2553">
        <f t="shared" si="56"/>
        <v>4.0919999999999996</v>
      </c>
      <c r="J221" s="2557"/>
      <c r="K221" s="2554">
        <v>4.0919999999999996</v>
      </c>
      <c r="L221" s="2559"/>
      <c r="M221" s="2554">
        <f>F221-I221</f>
        <v>0</v>
      </c>
      <c r="N221" s="2557"/>
      <c r="O221" s="2557"/>
      <c r="P221" s="2557"/>
      <c r="Q221" s="2557"/>
      <c r="R221" s="2557"/>
      <c r="S221" s="2559"/>
      <c r="T221" s="2557"/>
      <c r="U221" s="2557"/>
      <c r="V221" s="2557"/>
      <c r="W221" s="2555">
        <f t="shared" si="57"/>
        <v>0</v>
      </c>
    </row>
    <row r="222" spans="1:24" s="2395" customFormat="1" x14ac:dyDescent="0.25">
      <c r="A222" s="2548"/>
      <c r="B222" s="2556" t="s">
        <v>3440</v>
      </c>
      <c r="C222" s="2550"/>
      <c r="D222" s="2550"/>
      <c r="E222" s="2550"/>
      <c r="F222" s="2557">
        <v>7.4749999999999996</v>
      </c>
      <c r="G222" s="2557"/>
      <c r="H222" s="2558">
        <v>7.4749999999999996</v>
      </c>
      <c r="I222" s="2553">
        <f t="shared" si="56"/>
        <v>7.4749999999999996</v>
      </c>
      <c r="J222" s="2557"/>
      <c r="K222" s="2554">
        <v>7.4749999999999996</v>
      </c>
      <c r="L222" s="2559"/>
      <c r="M222" s="2554">
        <f>F222-I222</f>
        <v>0</v>
      </c>
      <c r="N222" s="2557"/>
      <c r="O222" s="2557"/>
      <c r="P222" s="2557"/>
      <c r="Q222" s="2557"/>
      <c r="R222" s="2557"/>
      <c r="S222" s="2559"/>
      <c r="T222" s="2557"/>
      <c r="U222" s="2557"/>
      <c r="V222" s="2557"/>
      <c r="W222" s="2555">
        <f t="shared" si="57"/>
        <v>0</v>
      </c>
    </row>
    <row r="223" spans="1:24" s="583" customFormat="1" ht="16.5" x14ac:dyDescent="0.25">
      <c r="A223" s="2443">
        <v>2</v>
      </c>
      <c r="B223" s="2545" t="s">
        <v>3128</v>
      </c>
      <c r="C223" s="2444"/>
      <c r="D223" s="2444"/>
      <c r="E223" s="2444"/>
      <c r="F223" s="2445">
        <f t="shared" ref="F223:F229" si="58">G223+H223</f>
        <v>111.72599999999998</v>
      </c>
      <c r="G223" s="2445">
        <f>SUM(G224:G229)</f>
        <v>0</v>
      </c>
      <c r="H223" s="2446">
        <f>SUM(H224:H229)</f>
        <v>111.72599999999998</v>
      </c>
      <c r="I223" s="2445">
        <f t="shared" ref="I223:V223" si="59">SUM(I224:I229)</f>
        <v>111.72599999999998</v>
      </c>
      <c r="J223" s="2445">
        <f t="shared" si="59"/>
        <v>0</v>
      </c>
      <c r="K223" s="2446">
        <f>SUM(K224:K229)</f>
        <v>111.72599999999998</v>
      </c>
      <c r="L223" s="2445">
        <f t="shared" si="59"/>
        <v>0</v>
      </c>
      <c r="M223" s="2448">
        <f t="shared" si="59"/>
        <v>0</v>
      </c>
      <c r="N223" s="2445">
        <f t="shared" si="59"/>
        <v>0</v>
      </c>
      <c r="O223" s="2445">
        <f t="shared" si="59"/>
        <v>0</v>
      </c>
      <c r="P223" s="2445">
        <f t="shared" si="59"/>
        <v>0</v>
      </c>
      <c r="Q223" s="2445">
        <f t="shared" si="59"/>
        <v>0</v>
      </c>
      <c r="R223" s="2445">
        <f t="shared" si="59"/>
        <v>0</v>
      </c>
      <c r="S223" s="2445">
        <f t="shared" si="59"/>
        <v>0</v>
      </c>
      <c r="T223" s="2445">
        <f t="shared" si="59"/>
        <v>0</v>
      </c>
      <c r="U223" s="2445">
        <f t="shared" si="59"/>
        <v>0</v>
      </c>
      <c r="V223" s="2445">
        <f t="shared" si="59"/>
        <v>0</v>
      </c>
      <c r="W223" s="2449">
        <f>SUM(W224:W229)</f>
        <v>0</v>
      </c>
    </row>
    <row r="224" spans="1:24" s="2395" customFormat="1" x14ac:dyDescent="0.25">
      <c r="A224" s="2548"/>
      <c r="B224" s="2556" t="s">
        <v>3436</v>
      </c>
      <c r="C224" s="2550"/>
      <c r="D224" s="2550"/>
      <c r="E224" s="2550"/>
      <c r="F224" s="2560">
        <f t="shared" si="58"/>
        <v>17.408999999999999</v>
      </c>
      <c r="G224" s="2560"/>
      <c r="H224" s="2562">
        <v>17.408999999999999</v>
      </c>
      <c r="I224" s="2561">
        <f t="shared" ref="I224:I229" si="60">J224+K224</f>
        <v>17.408999999999999</v>
      </c>
      <c r="J224" s="2560"/>
      <c r="K224" s="2562">
        <f t="shared" ref="K224:K229" si="61">H224</f>
        <v>17.408999999999999</v>
      </c>
      <c r="L224" s="2561"/>
      <c r="M224" s="2554">
        <f t="shared" ref="M224:M229" si="62">F224-I224</f>
        <v>0</v>
      </c>
      <c r="N224" s="2560"/>
      <c r="O224" s="2560"/>
      <c r="P224" s="2560"/>
      <c r="Q224" s="2560"/>
      <c r="R224" s="2560"/>
      <c r="S224" s="2561"/>
      <c r="T224" s="2560"/>
      <c r="U224" s="2560"/>
      <c r="V224" s="2560"/>
      <c r="W224" s="2555">
        <f t="shared" ref="W224:W229" si="63">H224-K224-M224</f>
        <v>0</v>
      </c>
    </row>
    <row r="225" spans="1:23" s="2395" customFormat="1" ht="31.5" x14ac:dyDescent="0.25">
      <c r="A225" s="2548"/>
      <c r="B225" s="2556" t="s">
        <v>3441</v>
      </c>
      <c r="C225" s="2550"/>
      <c r="D225" s="2550"/>
      <c r="E225" s="2550"/>
      <c r="F225" s="2560">
        <f t="shared" si="58"/>
        <v>40</v>
      </c>
      <c r="G225" s="2560"/>
      <c r="H225" s="2562">
        <v>40</v>
      </c>
      <c r="I225" s="2561">
        <f t="shared" si="60"/>
        <v>40</v>
      </c>
      <c r="J225" s="2560"/>
      <c r="K225" s="2562">
        <f t="shared" si="61"/>
        <v>40</v>
      </c>
      <c r="L225" s="2561"/>
      <c r="M225" s="2554">
        <f t="shared" si="62"/>
        <v>0</v>
      </c>
      <c r="N225" s="2560"/>
      <c r="O225" s="2560"/>
      <c r="P225" s="2560"/>
      <c r="Q225" s="2560"/>
      <c r="R225" s="2560"/>
      <c r="S225" s="2561"/>
      <c r="T225" s="2560"/>
      <c r="U225" s="2560"/>
      <c r="V225" s="2560"/>
      <c r="W225" s="2555">
        <f t="shared" si="63"/>
        <v>0</v>
      </c>
    </row>
    <row r="226" spans="1:23" s="2395" customFormat="1" ht="31.5" x14ac:dyDescent="0.25">
      <c r="A226" s="2548"/>
      <c r="B226" s="2556" t="s">
        <v>3437</v>
      </c>
      <c r="C226" s="2550"/>
      <c r="D226" s="2550"/>
      <c r="E226" s="2550"/>
      <c r="F226" s="2557">
        <f t="shared" si="58"/>
        <v>13.395</v>
      </c>
      <c r="G226" s="2557"/>
      <c r="H226" s="2558">
        <v>13.395</v>
      </c>
      <c r="I226" s="2561">
        <f t="shared" si="60"/>
        <v>13.395</v>
      </c>
      <c r="J226" s="2557"/>
      <c r="K226" s="2562">
        <f t="shared" si="61"/>
        <v>13.395</v>
      </c>
      <c r="L226" s="2559"/>
      <c r="M226" s="2554">
        <f t="shared" si="62"/>
        <v>0</v>
      </c>
      <c r="N226" s="2557"/>
      <c r="O226" s="2557"/>
      <c r="P226" s="2557"/>
      <c r="Q226" s="2557"/>
      <c r="R226" s="2557"/>
      <c r="S226" s="2559"/>
      <c r="T226" s="2557"/>
      <c r="U226" s="2557"/>
      <c r="V226" s="2557"/>
      <c r="W226" s="2555">
        <f t="shared" si="63"/>
        <v>0</v>
      </c>
    </row>
    <row r="227" spans="1:23" s="2395" customFormat="1" x14ac:dyDescent="0.25">
      <c r="A227" s="2548"/>
      <c r="B227" s="2556" t="s">
        <v>3442</v>
      </c>
      <c r="C227" s="2550"/>
      <c r="D227" s="2550"/>
      <c r="E227" s="2550"/>
      <c r="F227" s="2557">
        <f t="shared" si="58"/>
        <v>26.975000000000001</v>
      </c>
      <c r="G227" s="2557"/>
      <c r="H227" s="2558">
        <v>26.975000000000001</v>
      </c>
      <c r="I227" s="2561">
        <f t="shared" si="60"/>
        <v>26.975000000000001</v>
      </c>
      <c r="J227" s="2557"/>
      <c r="K227" s="2562">
        <f t="shared" si="61"/>
        <v>26.975000000000001</v>
      </c>
      <c r="L227" s="2559"/>
      <c r="M227" s="2554">
        <f t="shared" si="62"/>
        <v>0</v>
      </c>
      <c r="N227" s="2557"/>
      <c r="O227" s="2557"/>
      <c r="P227" s="2557"/>
      <c r="Q227" s="2557"/>
      <c r="R227" s="2557"/>
      <c r="S227" s="2559"/>
      <c r="T227" s="2557"/>
      <c r="U227" s="2557"/>
      <c r="V227" s="2557"/>
      <c r="W227" s="2555">
        <f t="shared" si="63"/>
        <v>0</v>
      </c>
    </row>
    <row r="228" spans="1:23" s="2395" customFormat="1" ht="16.5" x14ac:dyDescent="0.25">
      <c r="A228" s="2548"/>
      <c r="B228" s="2549" t="s">
        <v>3443</v>
      </c>
      <c r="C228" s="2550"/>
      <c r="D228" s="2550"/>
      <c r="E228" s="2550"/>
      <c r="F228" s="2551">
        <f t="shared" si="58"/>
        <v>6.4720000000000004</v>
      </c>
      <c r="G228" s="2551"/>
      <c r="H228" s="2552">
        <v>6.4720000000000004</v>
      </c>
      <c r="I228" s="2561">
        <f t="shared" si="60"/>
        <v>6.4720000000000004</v>
      </c>
      <c r="J228" s="2551"/>
      <c r="K228" s="2562">
        <f t="shared" si="61"/>
        <v>6.4720000000000004</v>
      </c>
      <c r="L228" s="2553"/>
      <c r="M228" s="2554">
        <f t="shared" si="62"/>
        <v>0</v>
      </c>
      <c r="N228" s="2551"/>
      <c r="O228" s="2551"/>
      <c r="P228" s="2551"/>
      <c r="Q228" s="2551"/>
      <c r="R228" s="2551"/>
      <c r="S228" s="2553"/>
      <c r="T228" s="2551"/>
      <c r="U228" s="2551"/>
      <c r="V228" s="2551"/>
      <c r="W228" s="2555">
        <f t="shared" si="63"/>
        <v>0</v>
      </c>
    </row>
    <row r="229" spans="1:23" s="589" customFormat="1" ht="33" x14ac:dyDescent="0.25">
      <c r="A229" s="2451"/>
      <c r="B229" s="2549" t="s">
        <v>3440</v>
      </c>
      <c r="C229" s="2453"/>
      <c r="D229" s="2453"/>
      <c r="E229" s="2453"/>
      <c r="F229" s="2551">
        <f t="shared" si="58"/>
        <v>7.4749999999999996</v>
      </c>
      <c r="G229" s="2551"/>
      <c r="H229" s="2552">
        <v>7.4749999999999996</v>
      </c>
      <c r="I229" s="2561">
        <f t="shared" si="60"/>
        <v>7.4749999999999996</v>
      </c>
      <c r="J229" s="2551"/>
      <c r="K229" s="2562">
        <f t="shared" si="61"/>
        <v>7.4749999999999996</v>
      </c>
      <c r="L229" s="2553"/>
      <c r="M229" s="2554">
        <f t="shared" si="62"/>
        <v>0</v>
      </c>
      <c r="N229" s="2551"/>
      <c r="O229" s="2551"/>
      <c r="P229" s="2551"/>
      <c r="Q229" s="2551"/>
      <c r="R229" s="2551"/>
      <c r="S229" s="2553"/>
      <c r="T229" s="2551"/>
      <c r="U229" s="2551"/>
      <c r="V229" s="2551"/>
      <c r="W229" s="2555">
        <f t="shared" si="63"/>
        <v>0</v>
      </c>
    </row>
    <row r="230" spans="1:23" s="583" customFormat="1" ht="16.5" x14ac:dyDescent="0.25">
      <c r="A230" s="2443">
        <v>3</v>
      </c>
      <c r="B230" s="2545" t="s">
        <v>2391</v>
      </c>
      <c r="C230" s="2444"/>
      <c r="D230" s="2444"/>
      <c r="E230" s="2444"/>
      <c r="F230" s="2445">
        <f>SUM(F231:F237)</f>
        <v>888.06151599999998</v>
      </c>
      <c r="G230" s="2445">
        <f t="shared" ref="G230:W230" si="64">SUM(G231:G237)</f>
        <v>0</v>
      </c>
      <c r="H230" s="2445">
        <f t="shared" si="64"/>
        <v>888.06151599999998</v>
      </c>
      <c r="I230" s="2445">
        <f t="shared" si="64"/>
        <v>850.95760099999995</v>
      </c>
      <c r="J230" s="2445">
        <f t="shared" si="64"/>
        <v>0</v>
      </c>
      <c r="K230" s="2445">
        <f t="shared" si="64"/>
        <v>884.651116</v>
      </c>
      <c r="L230" s="2445">
        <f t="shared" si="64"/>
        <v>0</v>
      </c>
      <c r="M230" s="2563">
        <f t="shared" si="64"/>
        <v>0</v>
      </c>
      <c r="N230" s="2445">
        <f t="shared" si="64"/>
        <v>0</v>
      </c>
      <c r="O230" s="2445">
        <f t="shared" si="64"/>
        <v>0</v>
      </c>
      <c r="P230" s="2445">
        <f t="shared" si="64"/>
        <v>0</v>
      </c>
      <c r="Q230" s="2445">
        <f t="shared" si="64"/>
        <v>0</v>
      </c>
      <c r="R230" s="2445">
        <f t="shared" si="64"/>
        <v>0</v>
      </c>
      <c r="S230" s="2445">
        <f t="shared" si="64"/>
        <v>0</v>
      </c>
      <c r="T230" s="2445">
        <f t="shared" si="64"/>
        <v>0</v>
      </c>
      <c r="U230" s="2445">
        <f t="shared" si="64"/>
        <v>0</v>
      </c>
      <c r="V230" s="2445">
        <f t="shared" si="64"/>
        <v>0</v>
      </c>
      <c r="W230" s="2547">
        <f t="shared" si="64"/>
        <v>3.4103999999999992</v>
      </c>
    </row>
    <row r="231" spans="1:23" s="2395" customFormat="1" x14ac:dyDescent="0.25">
      <c r="A231" s="2548"/>
      <c r="B231" s="2556" t="s">
        <v>3436</v>
      </c>
      <c r="C231" s="2550"/>
      <c r="D231" s="2550"/>
      <c r="E231" s="2550"/>
      <c r="F231" s="2557">
        <f t="shared" ref="F231:F237" si="65">G231+H231</f>
        <v>17.471999999999998</v>
      </c>
      <c r="G231" s="2557"/>
      <c r="H231" s="2558">
        <v>17.471999999999998</v>
      </c>
      <c r="I231" s="2559">
        <f>J231+K231</f>
        <v>16.38</v>
      </c>
      <c r="J231" s="2557"/>
      <c r="K231" s="2558">
        <v>16.38</v>
      </c>
      <c r="L231" s="2559"/>
      <c r="M231" s="2554">
        <v>0</v>
      </c>
      <c r="N231" s="2557"/>
      <c r="O231" s="2557"/>
      <c r="P231" s="2557"/>
      <c r="Q231" s="2557"/>
      <c r="R231" s="2557"/>
      <c r="S231" s="2559"/>
      <c r="T231" s="2557"/>
      <c r="U231" s="2557"/>
      <c r="V231" s="2557"/>
      <c r="W231" s="2555">
        <f>H231-K231-M231</f>
        <v>1.0919999999999987</v>
      </c>
    </row>
    <row r="232" spans="1:23" s="2395" customFormat="1" ht="31.5" x14ac:dyDescent="0.25">
      <c r="A232" s="2548"/>
      <c r="B232" s="2556" t="s">
        <v>3444</v>
      </c>
      <c r="C232" s="2550"/>
      <c r="D232" s="2550"/>
      <c r="E232" s="2550"/>
      <c r="F232" s="2560">
        <f t="shared" si="65"/>
        <v>808.49830099999997</v>
      </c>
      <c r="G232" s="2560"/>
      <c r="H232" s="2562">
        <v>808.49830099999997</v>
      </c>
      <c r="I232" s="2559">
        <f>J232+K232</f>
        <v>808.49830099999997</v>
      </c>
      <c r="J232" s="2560"/>
      <c r="K232" s="2562">
        <v>808.49830099999997</v>
      </c>
      <c r="L232" s="2561"/>
      <c r="M232" s="2554">
        <v>0</v>
      </c>
      <c r="N232" s="2560"/>
      <c r="O232" s="2560"/>
      <c r="P232" s="2560"/>
      <c r="Q232" s="2560"/>
      <c r="R232" s="2560"/>
      <c r="S232" s="2561"/>
      <c r="T232" s="2560"/>
      <c r="U232" s="2560"/>
      <c r="V232" s="2560"/>
      <c r="W232" s="2555">
        <f t="shared" ref="W232:W237" si="66">H232-K232-M232</f>
        <v>0</v>
      </c>
    </row>
    <row r="233" spans="1:23" s="2395" customFormat="1" ht="31.5" x14ac:dyDescent="0.25">
      <c r="A233" s="2548"/>
      <c r="B233" s="2556" t="s">
        <v>3438</v>
      </c>
      <c r="C233" s="2550"/>
      <c r="D233" s="2550"/>
      <c r="E233" s="2550"/>
      <c r="F233" s="2557">
        <f t="shared" si="65"/>
        <v>33.693514999999998</v>
      </c>
      <c r="G233" s="2557"/>
      <c r="H233" s="2558">
        <v>33.693514999999998</v>
      </c>
      <c r="I233" s="2559"/>
      <c r="J233" s="2557"/>
      <c r="K233" s="2558">
        <v>33.693514999999998</v>
      </c>
      <c r="L233" s="2559"/>
      <c r="M233" s="2554">
        <v>0</v>
      </c>
      <c r="N233" s="2557"/>
      <c r="O233" s="2557"/>
      <c r="P233" s="2557"/>
      <c r="Q233" s="2557"/>
      <c r="R233" s="2557"/>
      <c r="S233" s="2559"/>
      <c r="T233" s="2557"/>
      <c r="U233" s="2557"/>
      <c r="V233" s="2557"/>
      <c r="W233" s="2555">
        <f t="shared" si="66"/>
        <v>0</v>
      </c>
    </row>
    <row r="234" spans="1:23" s="2395" customFormat="1" ht="31.5" x14ac:dyDescent="0.25">
      <c r="A234" s="2548"/>
      <c r="B234" s="2556" t="s">
        <v>3439</v>
      </c>
      <c r="C234" s="2550"/>
      <c r="D234" s="2550"/>
      <c r="E234" s="2550"/>
      <c r="F234" s="2557">
        <f t="shared" si="65"/>
        <v>8.532</v>
      </c>
      <c r="G234" s="2557"/>
      <c r="H234" s="2558">
        <v>8.532</v>
      </c>
      <c r="I234" s="2559">
        <f>J234+K234</f>
        <v>6.2135999999999996</v>
      </c>
      <c r="J234" s="2557"/>
      <c r="K234" s="2558">
        <v>6.2135999999999996</v>
      </c>
      <c r="L234" s="2559"/>
      <c r="M234" s="2554">
        <v>0</v>
      </c>
      <c r="N234" s="2557"/>
      <c r="O234" s="2557"/>
      <c r="P234" s="2557"/>
      <c r="Q234" s="2557"/>
      <c r="R234" s="2557"/>
      <c r="S234" s="2559"/>
      <c r="T234" s="2557"/>
      <c r="U234" s="2557"/>
      <c r="V234" s="2557"/>
      <c r="W234" s="2555">
        <f t="shared" si="66"/>
        <v>2.3184000000000005</v>
      </c>
    </row>
    <row r="235" spans="1:23" s="589" customFormat="1" ht="16.5" x14ac:dyDescent="0.25">
      <c r="A235" s="2451"/>
      <c r="B235" s="2549" t="s">
        <v>3443</v>
      </c>
      <c r="C235" s="2453"/>
      <c r="D235" s="2453"/>
      <c r="E235" s="2453"/>
      <c r="F235" s="2551">
        <f t="shared" si="65"/>
        <v>0.42499999999999999</v>
      </c>
      <c r="G235" s="2551"/>
      <c r="H235" s="2552">
        <v>0.42499999999999999</v>
      </c>
      <c r="I235" s="2553">
        <f>J235+K235</f>
        <v>0.42499999999999999</v>
      </c>
      <c r="J235" s="2551"/>
      <c r="K235" s="2552">
        <v>0.42499999999999999</v>
      </c>
      <c r="L235" s="2553"/>
      <c r="M235" s="2554">
        <v>0</v>
      </c>
      <c r="N235" s="2551"/>
      <c r="O235" s="2551"/>
      <c r="P235" s="2551"/>
      <c r="Q235" s="2551"/>
      <c r="R235" s="2551"/>
      <c r="S235" s="2553"/>
      <c r="T235" s="2551"/>
      <c r="U235" s="2551"/>
      <c r="V235" s="2551"/>
      <c r="W235" s="2555">
        <f t="shared" si="66"/>
        <v>0</v>
      </c>
    </row>
    <row r="236" spans="1:23" s="589" customFormat="1" ht="33" x14ac:dyDescent="0.25">
      <c r="A236" s="2451"/>
      <c r="B236" s="2549" t="s">
        <v>3445</v>
      </c>
      <c r="C236" s="2453"/>
      <c r="D236" s="2453"/>
      <c r="E236" s="2453"/>
      <c r="F236" s="2551">
        <f t="shared" si="65"/>
        <v>11.9657</v>
      </c>
      <c r="G236" s="2551"/>
      <c r="H236" s="2552">
        <v>11.9657</v>
      </c>
      <c r="I236" s="2553">
        <f>J236+K236</f>
        <v>11.9657</v>
      </c>
      <c r="J236" s="2551"/>
      <c r="K236" s="2552">
        <v>11.9657</v>
      </c>
      <c r="L236" s="2553"/>
      <c r="M236" s="2554">
        <v>0</v>
      </c>
      <c r="N236" s="2551"/>
      <c r="O236" s="2551"/>
      <c r="P236" s="2551"/>
      <c r="Q236" s="2551"/>
      <c r="R236" s="2551"/>
      <c r="S236" s="2553"/>
      <c r="T236" s="2551"/>
      <c r="U236" s="2551"/>
      <c r="V236" s="2551"/>
      <c r="W236" s="2555">
        <f t="shared" si="66"/>
        <v>0</v>
      </c>
    </row>
    <row r="237" spans="1:23" s="589" customFormat="1" ht="33" x14ac:dyDescent="0.25">
      <c r="A237" s="2451"/>
      <c r="B237" s="2549" t="s">
        <v>3440</v>
      </c>
      <c r="C237" s="2453"/>
      <c r="D237" s="2453"/>
      <c r="E237" s="2453"/>
      <c r="F237" s="2551">
        <f t="shared" si="65"/>
        <v>7.4749999999999996</v>
      </c>
      <c r="G237" s="2551"/>
      <c r="H237" s="2552">
        <v>7.4749999999999996</v>
      </c>
      <c r="I237" s="2553">
        <f>J237+K237</f>
        <v>7.4749999999999996</v>
      </c>
      <c r="J237" s="2551"/>
      <c r="K237" s="2552">
        <v>7.4749999999999996</v>
      </c>
      <c r="L237" s="2553"/>
      <c r="M237" s="2554">
        <v>0</v>
      </c>
      <c r="N237" s="2551"/>
      <c r="O237" s="2551"/>
      <c r="P237" s="2551"/>
      <c r="Q237" s="2551"/>
      <c r="R237" s="2551"/>
      <c r="S237" s="2553"/>
      <c r="T237" s="2551"/>
      <c r="U237" s="2551"/>
      <c r="V237" s="2551"/>
      <c r="W237" s="2555">
        <f t="shared" si="66"/>
        <v>0</v>
      </c>
    </row>
    <row r="238" spans="1:23" s="583" customFormat="1" x14ac:dyDescent="0.25">
      <c r="A238" s="2443">
        <v>4</v>
      </c>
      <c r="B238" s="2564" t="s">
        <v>2401</v>
      </c>
      <c r="C238" s="2444"/>
      <c r="D238" s="2444"/>
      <c r="E238" s="2444"/>
      <c r="F238" s="2446">
        <f>SUM(F239:F245)</f>
        <v>831.71755200000007</v>
      </c>
      <c r="G238" s="2446">
        <f t="shared" ref="G238:W238" si="67">SUM(G239:G245)</f>
        <v>0</v>
      </c>
      <c r="H238" s="2446">
        <f t="shared" si="67"/>
        <v>831.71755200000007</v>
      </c>
      <c r="I238" s="2446">
        <f t="shared" si="67"/>
        <v>831.71755200000007</v>
      </c>
      <c r="J238" s="2446">
        <f t="shared" si="67"/>
        <v>0</v>
      </c>
      <c r="K238" s="2446">
        <f t="shared" si="67"/>
        <v>831.71755200000007</v>
      </c>
      <c r="L238" s="2446">
        <f t="shared" si="67"/>
        <v>0</v>
      </c>
      <c r="M238" s="2448">
        <f t="shared" si="67"/>
        <v>0</v>
      </c>
      <c r="N238" s="2446">
        <f t="shared" si="67"/>
        <v>0</v>
      </c>
      <c r="O238" s="2446">
        <f t="shared" si="67"/>
        <v>0</v>
      </c>
      <c r="P238" s="2446">
        <f t="shared" si="67"/>
        <v>0</v>
      </c>
      <c r="Q238" s="2446">
        <f t="shared" si="67"/>
        <v>0</v>
      </c>
      <c r="R238" s="2446">
        <f t="shared" si="67"/>
        <v>0</v>
      </c>
      <c r="S238" s="2446">
        <f t="shared" si="67"/>
        <v>0</v>
      </c>
      <c r="T238" s="2446">
        <f t="shared" si="67"/>
        <v>0</v>
      </c>
      <c r="U238" s="2446">
        <f t="shared" si="67"/>
        <v>0</v>
      </c>
      <c r="V238" s="2446">
        <f t="shared" si="67"/>
        <v>0</v>
      </c>
      <c r="W238" s="2449">
        <f t="shared" si="67"/>
        <v>0</v>
      </c>
    </row>
    <row r="239" spans="1:23" s="2395" customFormat="1" ht="16.5" x14ac:dyDescent="0.25">
      <c r="A239" s="2548"/>
      <c r="B239" s="2549" t="s">
        <v>3446</v>
      </c>
      <c r="C239" s="2550"/>
      <c r="D239" s="2550"/>
      <c r="E239" s="2550"/>
      <c r="F239" s="2557">
        <f>G239+H239</f>
        <v>4.08</v>
      </c>
      <c r="G239" s="2557"/>
      <c r="H239" s="2558">
        <v>4.08</v>
      </c>
      <c r="I239" s="2559">
        <f>J239+K239</f>
        <v>4.08</v>
      </c>
      <c r="J239" s="2557"/>
      <c r="K239" s="2558">
        <v>4.08</v>
      </c>
      <c r="L239" s="2559"/>
      <c r="M239" s="2554">
        <f>F239-I239</f>
        <v>0</v>
      </c>
      <c r="N239" s="2557"/>
      <c r="O239" s="2557"/>
      <c r="P239" s="2557"/>
      <c r="Q239" s="2557"/>
      <c r="R239" s="2557"/>
      <c r="S239" s="2559"/>
      <c r="T239" s="2557"/>
      <c r="U239" s="2557"/>
      <c r="V239" s="2557"/>
      <c r="W239" s="2555">
        <f>H239-K239-M239</f>
        <v>0</v>
      </c>
    </row>
    <row r="240" spans="1:23" s="2395" customFormat="1" ht="31.5" x14ac:dyDescent="0.25">
      <c r="A240" s="2548"/>
      <c r="B240" s="2556" t="s">
        <v>3444</v>
      </c>
      <c r="C240" s="2550"/>
      <c r="D240" s="2550"/>
      <c r="E240" s="2550"/>
      <c r="F240" s="2560">
        <f t="shared" ref="F240:F245" si="68">G240+H240</f>
        <v>724.82838000000004</v>
      </c>
      <c r="G240" s="2560"/>
      <c r="H240" s="2562">
        <v>724.82838000000004</v>
      </c>
      <c r="I240" s="2561">
        <f t="shared" ref="I240:I245" si="69">J240+K240</f>
        <v>724.82838000000004</v>
      </c>
      <c r="J240" s="2560"/>
      <c r="K240" s="2562">
        <v>724.82838000000004</v>
      </c>
      <c r="L240" s="2561"/>
      <c r="M240" s="2554">
        <f t="shared" ref="M240:M245" si="70">F240-I240</f>
        <v>0</v>
      </c>
      <c r="N240" s="2560"/>
      <c r="O240" s="2560"/>
      <c r="P240" s="2560"/>
      <c r="Q240" s="2560"/>
      <c r="R240" s="2560"/>
      <c r="S240" s="2561"/>
      <c r="T240" s="2560"/>
      <c r="U240" s="2560"/>
      <c r="V240" s="2560"/>
      <c r="W240" s="2555">
        <f t="shared" ref="W240:W245" si="71">H240-K240-M240</f>
        <v>0</v>
      </c>
    </row>
    <row r="241" spans="1:23" s="2395" customFormat="1" x14ac:dyDescent="0.25">
      <c r="A241" s="2548"/>
      <c r="B241" s="2556" t="s">
        <v>3436</v>
      </c>
      <c r="C241" s="2550"/>
      <c r="D241" s="2550"/>
      <c r="E241" s="2550"/>
      <c r="F241" s="2560">
        <f t="shared" si="68"/>
        <v>18.332999999999998</v>
      </c>
      <c r="G241" s="2560"/>
      <c r="H241" s="2562">
        <v>18.332999999999998</v>
      </c>
      <c r="I241" s="2561">
        <f t="shared" si="69"/>
        <v>18.332999999999998</v>
      </c>
      <c r="J241" s="2560"/>
      <c r="K241" s="2562">
        <v>18.332999999999998</v>
      </c>
      <c r="L241" s="2561"/>
      <c r="M241" s="2554">
        <f t="shared" si="70"/>
        <v>0</v>
      </c>
      <c r="N241" s="2560"/>
      <c r="O241" s="2560"/>
      <c r="P241" s="2560"/>
      <c r="Q241" s="2560"/>
      <c r="R241" s="2560"/>
      <c r="S241" s="2561"/>
      <c r="T241" s="2560"/>
      <c r="U241" s="2560"/>
      <c r="V241" s="2560"/>
      <c r="W241" s="2555">
        <f t="shared" si="71"/>
        <v>0</v>
      </c>
    </row>
    <row r="242" spans="1:23" s="2395" customFormat="1" ht="31.5" x14ac:dyDescent="0.25">
      <c r="A242" s="2548"/>
      <c r="B242" s="2556" t="s">
        <v>3438</v>
      </c>
      <c r="C242" s="2550"/>
      <c r="D242" s="2550"/>
      <c r="E242" s="2550"/>
      <c r="F242" s="2560">
        <f t="shared" si="68"/>
        <v>47.281171999999998</v>
      </c>
      <c r="G242" s="2560"/>
      <c r="H242" s="2562">
        <v>47.281171999999998</v>
      </c>
      <c r="I242" s="2561">
        <f t="shared" si="69"/>
        <v>47.281171999999998</v>
      </c>
      <c r="J242" s="2560"/>
      <c r="K242" s="2562">
        <v>47.281171999999998</v>
      </c>
      <c r="L242" s="2561"/>
      <c r="M242" s="2554">
        <f t="shared" si="70"/>
        <v>0</v>
      </c>
      <c r="N242" s="2560"/>
      <c r="O242" s="2560"/>
      <c r="P242" s="2560"/>
      <c r="Q242" s="2560"/>
      <c r="R242" s="2560"/>
      <c r="S242" s="2561"/>
      <c r="T242" s="2560"/>
      <c r="U242" s="2560"/>
      <c r="V242" s="2560"/>
      <c r="W242" s="2555">
        <f t="shared" si="71"/>
        <v>0</v>
      </c>
    </row>
    <row r="243" spans="1:23" s="589" customFormat="1" ht="16.5" x14ac:dyDescent="0.25">
      <c r="A243" s="2451"/>
      <c r="B243" s="2549" t="s">
        <v>3443</v>
      </c>
      <c r="C243" s="2453"/>
      <c r="D243" s="2453"/>
      <c r="E243" s="2453"/>
      <c r="F243" s="2557">
        <f t="shared" si="68"/>
        <v>16.07</v>
      </c>
      <c r="G243" s="2557"/>
      <c r="H243" s="2558">
        <v>16.07</v>
      </c>
      <c r="I243" s="2559">
        <f t="shared" si="69"/>
        <v>16.07</v>
      </c>
      <c r="J243" s="2557"/>
      <c r="K243" s="2558">
        <v>16.07</v>
      </c>
      <c r="L243" s="2559"/>
      <c r="M243" s="2554">
        <f t="shared" si="70"/>
        <v>0</v>
      </c>
      <c r="N243" s="2557"/>
      <c r="O243" s="2557"/>
      <c r="P243" s="2557"/>
      <c r="Q243" s="2557"/>
      <c r="R243" s="2557"/>
      <c r="S243" s="2559"/>
      <c r="T243" s="2557"/>
      <c r="U243" s="2557"/>
      <c r="V243" s="2557"/>
      <c r="W243" s="2555">
        <f t="shared" si="71"/>
        <v>0</v>
      </c>
    </row>
    <row r="244" spans="1:23" s="589" customFormat="1" ht="33" x14ac:dyDescent="0.25">
      <c r="A244" s="2451"/>
      <c r="B244" s="2549" t="s">
        <v>3440</v>
      </c>
      <c r="C244" s="2453"/>
      <c r="D244" s="2453"/>
      <c r="E244" s="2453"/>
      <c r="F244" s="2551">
        <f t="shared" si="68"/>
        <v>7.4749999999999996</v>
      </c>
      <c r="G244" s="2551"/>
      <c r="H244" s="2552">
        <v>7.4749999999999996</v>
      </c>
      <c r="I244" s="2553">
        <f t="shared" si="69"/>
        <v>7.4749999999999996</v>
      </c>
      <c r="J244" s="2551"/>
      <c r="K244" s="2552">
        <v>7.4749999999999996</v>
      </c>
      <c r="L244" s="2553"/>
      <c r="M244" s="2554">
        <f t="shared" si="70"/>
        <v>0</v>
      </c>
      <c r="N244" s="2551"/>
      <c r="O244" s="2551"/>
      <c r="P244" s="2551"/>
      <c r="Q244" s="2551"/>
      <c r="R244" s="2551"/>
      <c r="S244" s="2553"/>
      <c r="T244" s="2551"/>
      <c r="U244" s="2551"/>
      <c r="V244" s="2551"/>
      <c r="W244" s="2555">
        <f t="shared" si="71"/>
        <v>0</v>
      </c>
    </row>
    <row r="245" spans="1:23" s="2395" customFormat="1" ht="47.25" x14ac:dyDescent="0.25">
      <c r="A245" s="2548"/>
      <c r="B245" s="2556" t="s">
        <v>3447</v>
      </c>
      <c r="C245" s="2550"/>
      <c r="D245" s="2550"/>
      <c r="E245" s="2550"/>
      <c r="F245" s="2557">
        <f t="shared" si="68"/>
        <v>13.65</v>
      </c>
      <c r="G245" s="2557"/>
      <c r="H245" s="2558">
        <v>13.65</v>
      </c>
      <c r="I245" s="2559">
        <f t="shared" si="69"/>
        <v>13.65</v>
      </c>
      <c r="J245" s="2557"/>
      <c r="K245" s="2558">
        <v>13.65</v>
      </c>
      <c r="L245" s="2559"/>
      <c r="M245" s="2554">
        <f t="shared" si="70"/>
        <v>0</v>
      </c>
      <c r="N245" s="2557"/>
      <c r="O245" s="2557"/>
      <c r="P245" s="2557"/>
      <c r="Q245" s="2557"/>
      <c r="R245" s="2557"/>
      <c r="S245" s="2559"/>
      <c r="T245" s="2557"/>
      <c r="U245" s="2557"/>
      <c r="V245" s="2557"/>
      <c r="W245" s="2555">
        <f t="shared" si="71"/>
        <v>0</v>
      </c>
    </row>
    <row r="246" spans="1:23" s="583" customFormat="1" x14ac:dyDescent="0.25">
      <c r="A246" s="2443">
        <v>5</v>
      </c>
      <c r="B246" s="2564" t="s">
        <v>2402</v>
      </c>
      <c r="C246" s="2444"/>
      <c r="D246" s="2444"/>
      <c r="E246" s="2444"/>
      <c r="F246" s="2445">
        <f>SUM(F247:F252)</f>
        <v>475.12812200000002</v>
      </c>
      <c r="G246" s="2445">
        <f t="shared" ref="G246:W246" si="72">SUM(G247:G252)</f>
        <v>0</v>
      </c>
      <c r="H246" s="2445">
        <f t="shared" si="72"/>
        <v>475.12812200000002</v>
      </c>
      <c r="I246" s="2445">
        <f t="shared" si="72"/>
        <v>473.29922199999999</v>
      </c>
      <c r="J246" s="2445">
        <f t="shared" si="72"/>
        <v>0</v>
      </c>
      <c r="K246" s="2445">
        <f>SUM(K247:K252)</f>
        <v>473.29922199999999</v>
      </c>
      <c r="L246" s="2445">
        <f t="shared" si="72"/>
        <v>0</v>
      </c>
      <c r="M246" s="2563">
        <f t="shared" si="72"/>
        <v>0</v>
      </c>
      <c r="N246" s="2445">
        <f t="shared" si="72"/>
        <v>0</v>
      </c>
      <c r="O246" s="2445">
        <f t="shared" si="72"/>
        <v>0</v>
      </c>
      <c r="P246" s="2445">
        <f t="shared" si="72"/>
        <v>0</v>
      </c>
      <c r="Q246" s="2445">
        <f t="shared" si="72"/>
        <v>0</v>
      </c>
      <c r="R246" s="2445">
        <f t="shared" si="72"/>
        <v>0</v>
      </c>
      <c r="S246" s="2445">
        <f t="shared" si="72"/>
        <v>0</v>
      </c>
      <c r="T246" s="2445">
        <f t="shared" si="72"/>
        <v>0.48749999999999982</v>
      </c>
      <c r="U246" s="2445">
        <f t="shared" si="72"/>
        <v>0</v>
      </c>
      <c r="V246" s="2445">
        <f t="shared" si="72"/>
        <v>0</v>
      </c>
      <c r="W246" s="2547">
        <f t="shared" si="72"/>
        <v>1.8288999999999964</v>
      </c>
    </row>
    <row r="247" spans="1:23" s="2395" customFormat="1" x14ac:dyDescent="0.25">
      <c r="A247" s="2548"/>
      <c r="B247" s="2556" t="s">
        <v>3436</v>
      </c>
      <c r="C247" s="2550"/>
      <c r="D247" s="2550"/>
      <c r="E247" s="2550"/>
      <c r="F247" s="2557">
        <f t="shared" ref="F247:F252" si="73">G247+H247</f>
        <v>17.619</v>
      </c>
      <c r="G247" s="2557"/>
      <c r="H247" s="2558">
        <v>17.619</v>
      </c>
      <c r="I247" s="2559">
        <f t="shared" ref="I247:I252" si="74">J247+K247</f>
        <v>16.38</v>
      </c>
      <c r="J247" s="2560"/>
      <c r="K247" s="2558">
        <v>16.38</v>
      </c>
      <c r="L247" s="2559"/>
      <c r="M247" s="2554">
        <v>0</v>
      </c>
      <c r="N247" s="2557"/>
      <c r="O247" s="2557"/>
      <c r="P247" s="2557"/>
      <c r="Q247" s="2557"/>
      <c r="R247" s="2557"/>
      <c r="S247" s="2559"/>
      <c r="T247" s="2557"/>
      <c r="U247" s="2557"/>
      <c r="V247" s="2557"/>
      <c r="W247" s="2555">
        <f t="shared" ref="W247:W252" si="75">H247-K247-M247</f>
        <v>1.2390000000000008</v>
      </c>
    </row>
    <row r="248" spans="1:23" s="2395" customFormat="1" ht="31.5" x14ac:dyDescent="0.25">
      <c r="A248" s="2548"/>
      <c r="B248" s="2556" t="s">
        <v>3444</v>
      </c>
      <c r="C248" s="2550"/>
      <c r="D248" s="2550"/>
      <c r="E248" s="2550"/>
      <c r="F248" s="2557">
        <f t="shared" si="73"/>
        <v>384.98495000000003</v>
      </c>
      <c r="G248" s="2557"/>
      <c r="H248" s="2558">
        <v>384.98495000000003</v>
      </c>
      <c r="I248" s="2559">
        <f t="shared" si="74"/>
        <v>384.98495000000003</v>
      </c>
      <c r="J248" s="2557"/>
      <c r="K248" s="2558">
        <v>384.98495000000003</v>
      </c>
      <c r="L248" s="2559"/>
      <c r="M248" s="2554">
        <f>F248-I248</f>
        <v>0</v>
      </c>
      <c r="N248" s="2557"/>
      <c r="O248" s="2557"/>
      <c r="P248" s="2557"/>
      <c r="Q248" s="2557"/>
      <c r="R248" s="2557"/>
      <c r="S248" s="2559"/>
      <c r="T248" s="2557"/>
      <c r="U248" s="2557"/>
      <c r="V248" s="2557"/>
      <c r="W248" s="2555">
        <f t="shared" si="75"/>
        <v>0</v>
      </c>
    </row>
    <row r="249" spans="1:23" s="2395" customFormat="1" ht="31.5" x14ac:dyDescent="0.25">
      <c r="A249" s="2548"/>
      <c r="B249" s="2556" t="s">
        <v>3437</v>
      </c>
      <c r="C249" s="2550"/>
      <c r="D249" s="2550"/>
      <c r="E249" s="2550"/>
      <c r="F249" s="2557">
        <f t="shared" si="73"/>
        <v>1.4</v>
      </c>
      <c r="G249" s="2557"/>
      <c r="H249" s="2558">
        <v>1.4</v>
      </c>
      <c r="I249" s="2559">
        <f t="shared" si="74"/>
        <v>1.4</v>
      </c>
      <c r="J249" s="2557"/>
      <c r="K249" s="2558">
        <v>1.4</v>
      </c>
      <c r="L249" s="2559"/>
      <c r="M249" s="2554">
        <f>F249-I249</f>
        <v>0</v>
      </c>
      <c r="N249" s="2557"/>
      <c r="O249" s="2557"/>
      <c r="P249" s="2557"/>
      <c r="Q249" s="2557"/>
      <c r="R249" s="2557"/>
      <c r="S249" s="2559"/>
      <c r="T249" s="2557"/>
      <c r="U249" s="2557"/>
      <c r="V249" s="2557"/>
      <c r="W249" s="2555">
        <f t="shared" si="75"/>
        <v>0</v>
      </c>
    </row>
    <row r="250" spans="1:23" s="589" customFormat="1" ht="31.5" x14ac:dyDescent="0.25">
      <c r="A250" s="2451"/>
      <c r="B250" s="2556" t="s">
        <v>3438</v>
      </c>
      <c r="C250" s="2453"/>
      <c r="D250" s="2453"/>
      <c r="E250" s="2453"/>
      <c r="F250" s="2557">
        <f t="shared" si="73"/>
        <v>47.281171999999998</v>
      </c>
      <c r="G250" s="2557"/>
      <c r="H250" s="2558">
        <v>47.281171999999998</v>
      </c>
      <c r="I250" s="2559">
        <f t="shared" si="74"/>
        <v>47.178772000000002</v>
      </c>
      <c r="J250" s="2557"/>
      <c r="K250" s="2558">
        <v>47.178772000000002</v>
      </c>
      <c r="L250" s="2559"/>
      <c r="M250" s="2554">
        <v>0</v>
      </c>
      <c r="N250" s="2557"/>
      <c r="O250" s="2557"/>
      <c r="P250" s="2557"/>
      <c r="Q250" s="2557"/>
      <c r="R250" s="2557"/>
      <c r="S250" s="2559"/>
      <c r="T250" s="2557"/>
      <c r="U250" s="2557"/>
      <c r="V250" s="2557"/>
      <c r="W250" s="2555">
        <f t="shared" si="75"/>
        <v>0.10239999999999583</v>
      </c>
    </row>
    <row r="251" spans="1:23" s="2395" customFormat="1" ht="31.5" x14ac:dyDescent="0.25">
      <c r="A251" s="2548"/>
      <c r="B251" s="2556" t="s">
        <v>3439</v>
      </c>
      <c r="C251" s="2550"/>
      <c r="D251" s="2550"/>
      <c r="E251" s="2550"/>
      <c r="F251" s="2557">
        <f t="shared" si="73"/>
        <v>16.367999999999999</v>
      </c>
      <c r="G251" s="2557"/>
      <c r="H251" s="2558">
        <v>16.367999999999999</v>
      </c>
      <c r="I251" s="2559">
        <f t="shared" si="74"/>
        <v>16.367999999999999</v>
      </c>
      <c r="J251" s="2557"/>
      <c r="K251" s="2558">
        <v>16.367999999999999</v>
      </c>
      <c r="L251" s="2559"/>
      <c r="M251" s="2554">
        <f>F251-I251</f>
        <v>0</v>
      </c>
      <c r="N251" s="2557"/>
      <c r="O251" s="2557"/>
      <c r="P251" s="2557"/>
      <c r="Q251" s="2557"/>
      <c r="R251" s="2557"/>
      <c r="S251" s="2559"/>
      <c r="T251" s="2557"/>
      <c r="U251" s="2557"/>
      <c r="V251" s="2557"/>
      <c r="W251" s="2555">
        <f t="shared" si="75"/>
        <v>0</v>
      </c>
    </row>
    <row r="252" spans="1:23" s="589" customFormat="1" ht="33" x14ac:dyDescent="0.25">
      <c r="A252" s="2451"/>
      <c r="B252" s="2549" t="s">
        <v>3440</v>
      </c>
      <c r="C252" s="2453"/>
      <c r="D252" s="2453"/>
      <c r="E252" s="2453"/>
      <c r="F252" s="2551">
        <f t="shared" si="73"/>
        <v>7.4749999999999996</v>
      </c>
      <c r="G252" s="2551"/>
      <c r="H252" s="2552">
        <v>7.4749999999999996</v>
      </c>
      <c r="I252" s="2553">
        <f t="shared" si="74"/>
        <v>6.9874999999999998</v>
      </c>
      <c r="J252" s="2551"/>
      <c r="K252" s="2552">
        <v>6.9874999999999998</v>
      </c>
      <c r="L252" s="2553"/>
      <c r="M252" s="2554"/>
      <c r="N252" s="2551"/>
      <c r="O252" s="2551"/>
      <c r="P252" s="2551"/>
      <c r="Q252" s="2551"/>
      <c r="R252" s="2551"/>
      <c r="S252" s="2553"/>
      <c r="T252" s="2551">
        <f>F252-I252</f>
        <v>0.48749999999999982</v>
      </c>
      <c r="U252" s="2551"/>
      <c r="V252" s="2551"/>
      <c r="W252" s="2555">
        <f t="shared" si="75"/>
        <v>0.48749999999999982</v>
      </c>
    </row>
    <row r="253" spans="1:23" s="583" customFormat="1" ht="16.5" x14ac:dyDescent="0.25">
      <c r="A253" s="2443">
        <v>6</v>
      </c>
      <c r="B253" s="2545" t="s">
        <v>2398</v>
      </c>
      <c r="C253" s="2444"/>
      <c r="D253" s="2444"/>
      <c r="E253" s="2444"/>
      <c r="F253" s="2445">
        <f>SUM(F254:F259)</f>
        <v>120.27678099999999</v>
      </c>
      <c r="G253" s="2445">
        <f t="shared" ref="G253:W253" si="76">SUM(G254:G259)</f>
        <v>0</v>
      </c>
      <c r="H253" s="2445">
        <f t="shared" si="76"/>
        <v>120.27678099999999</v>
      </c>
      <c r="I253" s="2445">
        <f t="shared" si="76"/>
        <v>120.27678099999999</v>
      </c>
      <c r="J253" s="2445">
        <f t="shared" si="76"/>
        <v>0</v>
      </c>
      <c r="K253" s="2445">
        <f t="shared" si="76"/>
        <v>120.27678099999999</v>
      </c>
      <c r="L253" s="2445">
        <f t="shared" si="76"/>
        <v>0</v>
      </c>
      <c r="M253" s="2563">
        <f t="shared" si="76"/>
        <v>0</v>
      </c>
      <c r="N253" s="2445">
        <f t="shared" si="76"/>
        <v>0</v>
      </c>
      <c r="O253" s="2445">
        <f t="shared" si="76"/>
        <v>0</v>
      </c>
      <c r="P253" s="2445">
        <f t="shared" si="76"/>
        <v>0</v>
      </c>
      <c r="Q253" s="2445">
        <f t="shared" si="76"/>
        <v>0</v>
      </c>
      <c r="R253" s="2445">
        <f t="shared" si="76"/>
        <v>0</v>
      </c>
      <c r="S253" s="2445">
        <f t="shared" si="76"/>
        <v>0</v>
      </c>
      <c r="T253" s="2445">
        <f t="shared" si="76"/>
        <v>0</v>
      </c>
      <c r="U253" s="2445">
        <f t="shared" si="76"/>
        <v>0</v>
      </c>
      <c r="V253" s="2445">
        <f t="shared" si="76"/>
        <v>0</v>
      </c>
      <c r="W253" s="2547">
        <f t="shared" si="76"/>
        <v>0</v>
      </c>
    </row>
    <row r="254" spans="1:23" s="2395" customFormat="1" ht="16.5" x14ac:dyDescent="0.25">
      <c r="A254" s="2548"/>
      <c r="B254" s="2549" t="s">
        <v>3446</v>
      </c>
      <c r="C254" s="2550"/>
      <c r="D254" s="2550"/>
      <c r="E254" s="2550"/>
      <c r="F254" s="2557">
        <f t="shared" ref="F254:F259" si="77">G254+H254</f>
        <v>1.68</v>
      </c>
      <c r="G254" s="2557"/>
      <c r="H254" s="2558">
        <v>1.68</v>
      </c>
      <c r="I254" s="2561">
        <f t="shared" ref="I254:I259" si="78">J254+K254</f>
        <v>1.68</v>
      </c>
      <c r="J254" s="2560"/>
      <c r="K254" s="2562">
        <v>1.68</v>
      </c>
      <c r="L254" s="2561"/>
      <c r="M254" s="2554">
        <f t="shared" ref="M254:M259" si="79">F254-I254</f>
        <v>0</v>
      </c>
      <c r="N254" s="2560"/>
      <c r="O254" s="2560"/>
      <c r="P254" s="2560"/>
      <c r="Q254" s="2560"/>
      <c r="R254" s="2560"/>
      <c r="S254" s="2561"/>
      <c r="T254" s="2560"/>
      <c r="U254" s="2560"/>
      <c r="V254" s="2560"/>
      <c r="W254" s="2555">
        <f t="shared" ref="W254:W259" si="80">H254-K254-M254</f>
        <v>0</v>
      </c>
    </row>
    <row r="255" spans="1:23" s="2395" customFormat="1" x14ac:dyDescent="0.25">
      <c r="A255" s="2548"/>
      <c r="B255" s="2556" t="s">
        <v>3436</v>
      </c>
      <c r="C255" s="2550"/>
      <c r="D255" s="2550"/>
      <c r="E255" s="2550"/>
      <c r="F255" s="2557">
        <f t="shared" si="77"/>
        <v>17.324999999999999</v>
      </c>
      <c r="G255" s="2557"/>
      <c r="H255" s="2558">
        <v>17.324999999999999</v>
      </c>
      <c r="I255" s="2561">
        <f t="shared" si="78"/>
        <v>17.324999999999999</v>
      </c>
      <c r="J255" s="2560"/>
      <c r="K255" s="2562">
        <v>17.324999999999999</v>
      </c>
      <c r="L255" s="2561"/>
      <c r="M255" s="2554">
        <f t="shared" si="79"/>
        <v>0</v>
      </c>
      <c r="N255" s="2560"/>
      <c r="O255" s="2560"/>
      <c r="P255" s="2560"/>
      <c r="Q255" s="2560"/>
      <c r="R255" s="2560"/>
      <c r="S255" s="2561"/>
      <c r="T255" s="2560"/>
      <c r="U255" s="2560"/>
      <c r="V255" s="2560"/>
      <c r="W255" s="2555">
        <f t="shared" si="80"/>
        <v>0</v>
      </c>
    </row>
    <row r="256" spans="1:23" s="2395" customFormat="1" x14ac:dyDescent="0.25">
      <c r="A256" s="2548"/>
      <c r="B256" s="2556" t="s">
        <v>3448</v>
      </c>
      <c r="C256" s="2550"/>
      <c r="D256" s="2550"/>
      <c r="E256" s="2550"/>
      <c r="F256" s="2557">
        <f t="shared" si="77"/>
        <v>50</v>
      </c>
      <c r="G256" s="2557"/>
      <c r="H256" s="2558">
        <v>50</v>
      </c>
      <c r="I256" s="2561">
        <f t="shared" si="78"/>
        <v>50</v>
      </c>
      <c r="J256" s="2560"/>
      <c r="K256" s="2562">
        <v>50</v>
      </c>
      <c r="L256" s="2561"/>
      <c r="M256" s="2554">
        <f t="shared" si="79"/>
        <v>0</v>
      </c>
      <c r="N256" s="2560"/>
      <c r="O256" s="2560"/>
      <c r="P256" s="2560"/>
      <c r="Q256" s="2560"/>
      <c r="R256" s="2560"/>
      <c r="S256" s="2561"/>
      <c r="T256" s="2560"/>
      <c r="U256" s="2560"/>
      <c r="V256" s="2560"/>
      <c r="W256" s="2555">
        <f t="shared" si="80"/>
        <v>0</v>
      </c>
    </row>
    <row r="257" spans="1:23" s="589" customFormat="1" ht="31.5" x14ac:dyDescent="0.25">
      <c r="A257" s="2451"/>
      <c r="B257" s="2556" t="s">
        <v>3438</v>
      </c>
      <c r="C257" s="2453"/>
      <c r="D257" s="2453"/>
      <c r="E257" s="2453"/>
      <c r="F257" s="2557">
        <f t="shared" si="77"/>
        <v>31.520780999999999</v>
      </c>
      <c r="G257" s="2557"/>
      <c r="H257" s="2558">
        <v>31.520780999999999</v>
      </c>
      <c r="I257" s="2561">
        <f t="shared" si="78"/>
        <v>31.520780999999999</v>
      </c>
      <c r="J257" s="2557"/>
      <c r="K257" s="2558">
        <v>31.520780999999999</v>
      </c>
      <c r="L257" s="2559"/>
      <c r="M257" s="2554">
        <f t="shared" si="79"/>
        <v>0</v>
      </c>
      <c r="N257" s="2557"/>
      <c r="O257" s="2557"/>
      <c r="P257" s="2557"/>
      <c r="Q257" s="2557"/>
      <c r="R257" s="2557"/>
      <c r="S257" s="2559"/>
      <c r="T257" s="2557"/>
      <c r="U257" s="2557"/>
      <c r="V257" s="2557"/>
      <c r="W257" s="2555">
        <f t="shared" si="80"/>
        <v>0</v>
      </c>
    </row>
    <row r="258" spans="1:23" s="2395" customFormat="1" ht="31.5" x14ac:dyDescent="0.25">
      <c r="A258" s="2548"/>
      <c r="B258" s="2556" t="s">
        <v>3439</v>
      </c>
      <c r="C258" s="2550"/>
      <c r="D258" s="2550"/>
      <c r="E258" s="2550"/>
      <c r="F258" s="2557">
        <f t="shared" si="77"/>
        <v>12.276</v>
      </c>
      <c r="G258" s="2557"/>
      <c r="H258" s="2558">
        <v>12.276</v>
      </c>
      <c r="I258" s="2561">
        <f t="shared" si="78"/>
        <v>12.276</v>
      </c>
      <c r="J258" s="2557"/>
      <c r="K258" s="2558">
        <v>12.276</v>
      </c>
      <c r="L258" s="2559"/>
      <c r="M258" s="2554">
        <f t="shared" si="79"/>
        <v>0</v>
      </c>
      <c r="N258" s="2557"/>
      <c r="O258" s="2557"/>
      <c r="P258" s="2557"/>
      <c r="Q258" s="2557"/>
      <c r="R258" s="2557"/>
      <c r="S258" s="2559"/>
      <c r="T258" s="2557"/>
      <c r="U258" s="2557"/>
      <c r="V258" s="2557"/>
      <c r="W258" s="2555">
        <f t="shared" si="80"/>
        <v>0</v>
      </c>
    </row>
    <row r="259" spans="1:23" s="589" customFormat="1" ht="33" x14ac:dyDescent="0.25">
      <c r="A259" s="2451"/>
      <c r="B259" s="2549" t="s">
        <v>3440</v>
      </c>
      <c r="C259" s="2453"/>
      <c r="D259" s="2453"/>
      <c r="E259" s="2453"/>
      <c r="F259" s="2551">
        <f t="shared" si="77"/>
        <v>7.4749999999999996</v>
      </c>
      <c r="G259" s="2551"/>
      <c r="H259" s="2552">
        <v>7.4749999999999996</v>
      </c>
      <c r="I259" s="2559">
        <f t="shared" si="78"/>
        <v>7.4749999999999996</v>
      </c>
      <c r="J259" s="2551"/>
      <c r="K259" s="2552">
        <v>7.4749999999999996</v>
      </c>
      <c r="L259" s="2553"/>
      <c r="M259" s="2554">
        <f t="shared" si="79"/>
        <v>0</v>
      </c>
      <c r="N259" s="2551"/>
      <c r="O259" s="2551"/>
      <c r="P259" s="2551"/>
      <c r="Q259" s="2551"/>
      <c r="R259" s="2551"/>
      <c r="S259" s="2553"/>
      <c r="T259" s="2551"/>
      <c r="U259" s="2551"/>
      <c r="V259" s="2551"/>
      <c r="W259" s="2555">
        <f t="shared" si="80"/>
        <v>0</v>
      </c>
    </row>
    <row r="260" spans="1:23" s="583" customFormat="1" ht="16.5" x14ac:dyDescent="0.25">
      <c r="A260" s="2443">
        <v>7</v>
      </c>
      <c r="B260" s="2545" t="s">
        <v>2394</v>
      </c>
      <c r="C260" s="2444"/>
      <c r="D260" s="2444"/>
      <c r="E260" s="2444"/>
      <c r="F260" s="2445">
        <f>SUM(F261:F266)</f>
        <v>83.443999999999988</v>
      </c>
      <c r="G260" s="2445">
        <f t="shared" ref="G260:W260" si="81">SUM(G261:G266)</f>
        <v>0</v>
      </c>
      <c r="H260" s="2445">
        <f t="shared" si="81"/>
        <v>83.443999999999988</v>
      </c>
      <c r="I260" s="2445">
        <f t="shared" si="81"/>
        <v>83.419999999999987</v>
      </c>
      <c r="J260" s="2445">
        <f t="shared" si="81"/>
        <v>0</v>
      </c>
      <c r="K260" s="2445">
        <f t="shared" si="81"/>
        <v>83.419999999999987</v>
      </c>
      <c r="L260" s="2445">
        <f t="shared" si="81"/>
        <v>0</v>
      </c>
      <c r="M260" s="2563">
        <f t="shared" si="81"/>
        <v>0</v>
      </c>
      <c r="N260" s="2445">
        <f t="shared" si="81"/>
        <v>0</v>
      </c>
      <c r="O260" s="2445">
        <f t="shared" si="81"/>
        <v>0</v>
      </c>
      <c r="P260" s="2445">
        <f t="shared" si="81"/>
        <v>0</v>
      </c>
      <c r="Q260" s="2445">
        <f t="shared" si="81"/>
        <v>0</v>
      </c>
      <c r="R260" s="2445">
        <f t="shared" si="81"/>
        <v>0</v>
      </c>
      <c r="S260" s="2445">
        <f t="shared" si="81"/>
        <v>0</v>
      </c>
      <c r="T260" s="2445">
        <f t="shared" si="81"/>
        <v>0</v>
      </c>
      <c r="U260" s="2445">
        <f t="shared" si="81"/>
        <v>0</v>
      </c>
      <c r="V260" s="2445">
        <f t="shared" si="81"/>
        <v>0</v>
      </c>
      <c r="W260" s="2547">
        <f t="shared" si="81"/>
        <v>2.3999999999997357E-2</v>
      </c>
    </row>
    <row r="261" spans="1:23" s="2395" customFormat="1" ht="16.5" x14ac:dyDescent="0.25">
      <c r="A261" s="2548"/>
      <c r="B261" s="2549" t="s">
        <v>3449</v>
      </c>
      <c r="C261" s="2550"/>
      <c r="D261" s="2550"/>
      <c r="E261" s="2550"/>
      <c r="F261" s="2557">
        <f t="shared" ref="F261:F266" si="82">G261+H261</f>
        <v>25</v>
      </c>
      <c r="G261" s="2557"/>
      <c r="H261" s="2558">
        <v>25</v>
      </c>
      <c r="I261" s="2559">
        <f t="shared" ref="I261:I266" si="83">J261+K261</f>
        <v>25</v>
      </c>
      <c r="J261" s="2557"/>
      <c r="K261" s="2558">
        <v>25</v>
      </c>
      <c r="L261" s="2559"/>
      <c r="M261" s="2554">
        <f>F261-I261</f>
        <v>0</v>
      </c>
      <c r="N261" s="2557"/>
      <c r="O261" s="2557"/>
      <c r="P261" s="2557"/>
      <c r="Q261" s="2557"/>
      <c r="R261" s="2557"/>
      <c r="S261" s="2559"/>
      <c r="T261" s="2557"/>
      <c r="U261" s="2557"/>
      <c r="V261" s="2557"/>
      <c r="W261" s="2555">
        <f t="shared" ref="W261:W266" si="84">F261-I261-M261</f>
        <v>0</v>
      </c>
    </row>
    <row r="262" spans="1:23" s="2395" customFormat="1" ht="16.5" x14ac:dyDescent="0.25">
      <c r="A262" s="2548"/>
      <c r="B262" s="2549" t="s">
        <v>3446</v>
      </c>
      <c r="C262" s="2550"/>
      <c r="D262" s="2550"/>
      <c r="E262" s="2550"/>
      <c r="F262" s="2557">
        <f t="shared" si="82"/>
        <v>1.28</v>
      </c>
      <c r="G262" s="2557"/>
      <c r="H262" s="2558">
        <v>1.28</v>
      </c>
      <c r="I262" s="2559">
        <f t="shared" si="83"/>
        <v>1.28</v>
      </c>
      <c r="J262" s="2557"/>
      <c r="K262" s="2558">
        <v>1.28</v>
      </c>
      <c r="L262" s="2559"/>
      <c r="M262" s="2554">
        <f>F262-I262</f>
        <v>0</v>
      </c>
      <c r="N262" s="2560"/>
      <c r="O262" s="2560"/>
      <c r="P262" s="2560"/>
      <c r="Q262" s="2560"/>
      <c r="R262" s="2560"/>
      <c r="S262" s="2561"/>
      <c r="T262" s="2560"/>
      <c r="U262" s="2560"/>
      <c r="V262" s="2560"/>
      <c r="W262" s="2555">
        <f t="shared" si="84"/>
        <v>0</v>
      </c>
    </row>
    <row r="263" spans="1:23" s="2395" customFormat="1" x14ac:dyDescent="0.25">
      <c r="A263" s="2548"/>
      <c r="B263" s="2556" t="s">
        <v>3436</v>
      </c>
      <c r="C263" s="2550"/>
      <c r="D263" s="2550"/>
      <c r="E263" s="2550"/>
      <c r="F263" s="2557">
        <f t="shared" si="82"/>
        <v>18.980999999999998</v>
      </c>
      <c r="G263" s="2557"/>
      <c r="H263" s="2558">
        <v>18.980999999999998</v>
      </c>
      <c r="I263" s="2559">
        <f t="shared" si="83"/>
        <v>18.980999999999998</v>
      </c>
      <c r="J263" s="2557"/>
      <c r="K263" s="2558">
        <v>18.980999999999998</v>
      </c>
      <c r="L263" s="2559"/>
      <c r="M263" s="2554">
        <f>F263-I263</f>
        <v>0</v>
      </c>
      <c r="N263" s="2557"/>
      <c r="O263" s="2557"/>
      <c r="P263" s="2557"/>
      <c r="Q263" s="2557"/>
      <c r="R263" s="2557"/>
      <c r="S263" s="2559"/>
      <c r="T263" s="2557"/>
      <c r="U263" s="2557"/>
      <c r="V263" s="2557"/>
      <c r="W263" s="2555">
        <f t="shared" si="84"/>
        <v>0</v>
      </c>
    </row>
    <row r="264" spans="1:23" s="2395" customFormat="1" ht="31.5" x14ac:dyDescent="0.25">
      <c r="A264" s="2548"/>
      <c r="B264" s="2556" t="s">
        <v>3450</v>
      </c>
      <c r="C264" s="2550"/>
      <c r="D264" s="2550"/>
      <c r="E264" s="2550"/>
      <c r="F264" s="2557">
        <f t="shared" si="82"/>
        <v>6</v>
      </c>
      <c r="G264" s="2557"/>
      <c r="H264" s="2558">
        <v>6</v>
      </c>
      <c r="I264" s="2561">
        <f t="shared" si="83"/>
        <v>6</v>
      </c>
      <c r="J264" s="2560"/>
      <c r="K264" s="2562">
        <v>6</v>
      </c>
      <c r="L264" s="2561"/>
      <c r="M264" s="2554">
        <f>F264-I264</f>
        <v>0</v>
      </c>
      <c r="N264" s="2560"/>
      <c r="O264" s="2560"/>
      <c r="P264" s="2560"/>
      <c r="Q264" s="2560"/>
      <c r="R264" s="2560"/>
      <c r="S264" s="2561"/>
      <c r="T264" s="2560"/>
      <c r="U264" s="2560"/>
      <c r="V264" s="2560"/>
      <c r="W264" s="2555">
        <f t="shared" si="84"/>
        <v>0</v>
      </c>
    </row>
    <row r="265" spans="1:23" s="2395" customFormat="1" ht="41.25" customHeight="1" x14ac:dyDescent="0.25">
      <c r="A265" s="2548"/>
      <c r="B265" s="2556" t="s">
        <v>3439</v>
      </c>
      <c r="C265" s="2550"/>
      <c r="D265" s="2550"/>
      <c r="E265" s="2550"/>
      <c r="F265" s="2557">
        <f t="shared" si="82"/>
        <v>24.707999999999998</v>
      </c>
      <c r="G265" s="2557"/>
      <c r="H265" s="2558">
        <v>24.707999999999998</v>
      </c>
      <c r="I265" s="2559">
        <f t="shared" si="83"/>
        <v>24.684000000000001</v>
      </c>
      <c r="J265" s="2557"/>
      <c r="K265" s="2558">
        <v>24.684000000000001</v>
      </c>
      <c r="L265" s="2559"/>
      <c r="M265" s="2554">
        <v>0</v>
      </c>
      <c r="N265" s="2557"/>
      <c r="O265" s="2557"/>
      <c r="P265" s="2557"/>
      <c r="Q265" s="2557"/>
      <c r="R265" s="2557"/>
      <c r="S265" s="2559"/>
      <c r="T265" s="2557"/>
      <c r="U265" s="2557"/>
      <c r="V265" s="2557"/>
      <c r="W265" s="2555">
        <f t="shared" si="84"/>
        <v>2.3999999999997357E-2</v>
      </c>
    </row>
    <row r="266" spans="1:23" s="589" customFormat="1" ht="33" x14ac:dyDescent="0.25">
      <c r="A266" s="2451"/>
      <c r="B266" s="2549" t="s">
        <v>3440</v>
      </c>
      <c r="C266" s="2453"/>
      <c r="D266" s="2453"/>
      <c r="E266" s="2453"/>
      <c r="F266" s="2551">
        <f t="shared" si="82"/>
        <v>7.4749999999999996</v>
      </c>
      <c r="G266" s="2551"/>
      <c r="H266" s="2552">
        <v>7.4749999999999996</v>
      </c>
      <c r="I266" s="2553">
        <f t="shared" si="83"/>
        <v>7.4749999999999996</v>
      </c>
      <c r="J266" s="2551"/>
      <c r="K266" s="2552">
        <v>7.4749999999999996</v>
      </c>
      <c r="L266" s="2553"/>
      <c r="M266" s="2554">
        <f>F266-I266</f>
        <v>0</v>
      </c>
      <c r="N266" s="2551"/>
      <c r="O266" s="2551"/>
      <c r="P266" s="2551"/>
      <c r="Q266" s="2551"/>
      <c r="R266" s="2551"/>
      <c r="S266" s="2553"/>
      <c r="T266" s="2551"/>
      <c r="U266" s="2551"/>
      <c r="V266" s="2551"/>
      <c r="W266" s="2555">
        <f t="shared" si="84"/>
        <v>0</v>
      </c>
    </row>
    <row r="267" spans="1:23" s="583" customFormat="1" ht="16.5" x14ac:dyDescent="0.25">
      <c r="A267" s="2443">
        <v>8</v>
      </c>
      <c r="B267" s="2545" t="s">
        <v>2134</v>
      </c>
      <c r="C267" s="2444"/>
      <c r="D267" s="2444"/>
      <c r="E267" s="2444"/>
      <c r="F267" s="2445">
        <f>SUM(F268:F273)</f>
        <v>77.569371000000004</v>
      </c>
      <c r="G267" s="2445">
        <f t="shared" ref="G267:W267" si="85">SUM(G268:G273)</f>
        <v>0</v>
      </c>
      <c r="H267" s="2445">
        <f t="shared" si="85"/>
        <v>77.569371000000004</v>
      </c>
      <c r="I267" s="2445">
        <f t="shared" si="85"/>
        <v>73.211250000000007</v>
      </c>
      <c r="J267" s="2445">
        <f t="shared" si="85"/>
        <v>0</v>
      </c>
      <c r="K267" s="2445">
        <f t="shared" si="85"/>
        <v>73.211250000000007</v>
      </c>
      <c r="L267" s="2445">
        <f t="shared" si="85"/>
        <v>0</v>
      </c>
      <c r="M267" s="2445">
        <f>SUM(M268:M273)</f>
        <v>0</v>
      </c>
      <c r="N267" s="2445">
        <f t="shared" si="85"/>
        <v>0</v>
      </c>
      <c r="O267" s="2445">
        <f t="shared" si="85"/>
        <v>0</v>
      </c>
      <c r="P267" s="2445">
        <f t="shared" si="85"/>
        <v>0</v>
      </c>
      <c r="Q267" s="2445">
        <f t="shared" si="85"/>
        <v>0</v>
      </c>
      <c r="R267" s="2445">
        <f t="shared" si="85"/>
        <v>0</v>
      </c>
      <c r="S267" s="2445">
        <f t="shared" si="85"/>
        <v>0</v>
      </c>
      <c r="T267" s="2445">
        <f t="shared" si="85"/>
        <v>0</v>
      </c>
      <c r="U267" s="2445">
        <f t="shared" si="85"/>
        <v>0</v>
      </c>
      <c r="V267" s="2445">
        <f t="shared" si="85"/>
        <v>0</v>
      </c>
      <c r="W267" s="2445">
        <f t="shared" si="85"/>
        <v>4.358120999999997</v>
      </c>
    </row>
    <row r="268" spans="1:23" s="2395" customFormat="1" ht="16.5" x14ac:dyDescent="0.25">
      <c r="A268" s="2548"/>
      <c r="B268" s="2549" t="s">
        <v>3446</v>
      </c>
      <c r="C268" s="2550"/>
      <c r="D268" s="2550"/>
      <c r="E268" s="2550"/>
      <c r="F268" s="2551">
        <f>G268+H268</f>
        <v>1.68</v>
      </c>
      <c r="G268" s="2551"/>
      <c r="H268" s="2552">
        <v>1.68</v>
      </c>
      <c r="I268" s="2553">
        <f t="shared" ref="I268:I273" si="86">J268+K268</f>
        <v>1.68</v>
      </c>
      <c r="J268" s="2551"/>
      <c r="K268" s="2552">
        <v>1.68</v>
      </c>
      <c r="L268" s="2553"/>
      <c r="M268" s="2554">
        <f>F268-I268</f>
        <v>0</v>
      </c>
      <c r="N268" s="2551"/>
      <c r="O268" s="2551"/>
      <c r="P268" s="2551"/>
      <c r="Q268" s="2551"/>
      <c r="R268" s="2551"/>
      <c r="S268" s="2553"/>
      <c r="T268" s="2551"/>
      <c r="U268" s="2551"/>
      <c r="V268" s="2551"/>
      <c r="W268" s="2552">
        <f t="shared" ref="W268:W273" si="87">H268-K268-M268</f>
        <v>0</v>
      </c>
    </row>
    <row r="269" spans="1:23" s="2395" customFormat="1" x14ac:dyDescent="0.25">
      <c r="A269" s="2548"/>
      <c r="B269" s="2556" t="s">
        <v>3436</v>
      </c>
      <c r="C269" s="2550"/>
      <c r="D269" s="2550"/>
      <c r="E269" s="2550"/>
      <c r="F269" s="2557">
        <v>1.9530000000000001</v>
      </c>
      <c r="G269" s="2557"/>
      <c r="H269" s="2558">
        <v>1.9530000000000001</v>
      </c>
      <c r="I269" s="2553">
        <f t="shared" si="86"/>
        <v>1.665</v>
      </c>
      <c r="J269" s="2557"/>
      <c r="K269" s="2558">
        <v>1.665</v>
      </c>
      <c r="L269" s="2561"/>
      <c r="M269" s="2554">
        <v>0</v>
      </c>
      <c r="N269" s="2560"/>
      <c r="O269" s="2560"/>
      <c r="P269" s="2560"/>
      <c r="Q269" s="2560"/>
      <c r="R269" s="2560"/>
      <c r="S269" s="2561"/>
      <c r="T269" s="2560"/>
      <c r="U269" s="2560"/>
      <c r="V269" s="2560"/>
      <c r="W269" s="2552">
        <f t="shared" si="87"/>
        <v>0.28800000000000003</v>
      </c>
    </row>
    <row r="270" spans="1:23" s="2395" customFormat="1" ht="31.5" x14ac:dyDescent="0.25">
      <c r="A270" s="2548"/>
      <c r="B270" s="2556" t="s">
        <v>3438</v>
      </c>
      <c r="C270" s="2550"/>
      <c r="D270" s="2550"/>
      <c r="E270" s="2550"/>
      <c r="F270" s="2557">
        <f>G270+H270</f>
        <v>47.281171000000001</v>
      </c>
      <c r="G270" s="2557"/>
      <c r="H270" s="2558">
        <v>47.281171000000001</v>
      </c>
      <c r="I270" s="2553">
        <f t="shared" si="86"/>
        <v>47.234050000000003</v>
      </c>
      <c r="J270" s="2557"/>
      <c r="K270" s="2558">
        <v>47.234050000000003</v>
      </c>
      <c r="L270" s="2559"/>
      <c r="M270" s="2554">
        <v>0</v>
      </c>
      <c r="N270" s="2557"/>
      <c r="O270" s="2557"/>
      <c r="P270" s="2557"/>
      <c r="Q270" s="2557"/>
      <c r="R270" s="2557"/>
      <c r="S270" s="2559"/>
      <c r="T270" s="2557"/>
      <c r="U270" s="2557"/>
      <c r="V270" s="2557"/>
      <c r="W270" s="2552">
        <f t="shared" si="87"/>
        <v>4.7120999999997082E-2</v>
      </c>
    </row>
    <row r="271" spans="1:23" s="2395" customFormat="1" ht="31.5" x14ac:dyDescent="0.25">
      <c r="A271" s="2548"/>
      <c r="B271" s="2556" t="s">
        <v>3439</v>
      </c>
      <c r="C271" s="2550"/>
      <c r="D271" s="2550"/>
      <c r="E271" s="2550"/>
      <c r="F271" s="2557">
        <f>G271+H271</f>
        <v>8.1839999999999993</v>
      </c>
      <c r="G271" s="2557"/>
      <c r="H271" s="2558">
        <v>8.1839999999999993</v>
      </c>
      <c r="I271" s="2553">
        <f t="shared" si="86"/>
        <v>8.1839999999999993</v>
      </c>
      <c r="J271" s="2557"/>
      <c r="K271" s="2558">
        <v>8.1839999999999993</v>
      </c>
      <c r="L271" s="2559"/>
      <c r="M271" s="2554">
        <f>F271-I271</f>
        <v>0</v>
      </c>
      <c r="N271" s="2557"/>
      <c r="O271" s="2557"/>
      <c r="P271" s="2557"/>
      <c r="Q271" s="2557"/>
      <c r="R271" s="2557"/>
      <c r="S271" s="2559"/>
      <c r="T271" s="2557"/>
      <c r="U271" s="2557"/>
      <c r="V271" s="2557"/>
      <c r="W271" s="2552">
        <f t="shared" si="87"/>
        <v>0</v>
      </c>
    </row>
    <row r="272" spans="1:23" s="589" customFormat="1" ht="33" x14ac:dyDescent="0.25">
      <c r="A272" s="2451"/>
      <c r="B272" s="2549" t="s">
        <v>3440</v>
      </c>
      <c r="C272" s="2453"/>
      <c r="D272" s="2453"/>
      <c r="E272" s="2453"/>
      <c r="F272" s="2551">
        <f>G272+H272</f>
        <v>7.4749999999999996</v>
      </c>
      <c r="G272" s="2551"/>
      <c r="H272" s="2552">
        <v>7.4749999999999996</v>
      </c>
      <c r="I272" s="2553">
        <f t="shared" si="86"/>
        <v>7.4749999999999996</v>
      </c>
      <c r="J272" s="2551"/>
      <c r="K272" s="2552">
        <v>7.4749999999999996</v>
      </c>
      <c r="L272" s="2553"/>
      <c r="M272" s="2554">
        <f>F272-I272</f>
        <v>0</v>
      </c>
      <c r="N272" s="2551"/>
      <c r="O272" s="2551"/>
      <c r="P272" s="2551"/>
      <c r="Q272" s="2551"/>
      <c r="R272" s="2551"/>
      <c r="S272" s="2553"/>
      <c r="T272" s="2551"/>
      <c r="U272" s="2551"/>
      <c r="V272" s="2551"/>
      <c r="W272" s="2552">
        <f t="shared" si="87"/>
        <v>0</v>
      </c>
    </row>
    <row r="273" spans="1:23" s="589" customFormat="1" ht="33" x14ac:dyDescent="0.25">
      <c r="A273" s="2451"/>
      <c r="B273" s="2549" t="s">
        <v>3451</v>
      </c>
      <c r="C273" s="2453"/>
      <c r="D273" s="2453"/>
      <c r="E273" s="2453"/>
      <c r="F273" s="2551">
        <f>G273+H273</f>
        <v>10.9962</v>
      </c>
      <c r="G273" s="2551"/>
      <c r="H273" s="2552">
        <v>10.9962</v>
      </c>
      <c r="I273" s="2553">
        <f t="shared" si="86"/>
        <v>6.9732000000000003</v>
      </c>
      <c r="J273" s="2551"/>
      <c r="K273" s="2552">
        <v>6.9732000000000003</v>
      </c>
      <c r="L273" s="2553"/>
      <c r="M273" s="2554">
        <v>0</v>
      </c>
      <c r="N273" s="2551"/>
      <c r="O273" s="2551"/>
      <c r="P273" s="2551"/>
      <c r="Q273" s="2551"/>
      <c r="R273" s="2551"/>
      <c r="S273" s="2553"/>
      <c r="T273" s="2551"/>
      <c r="U273" s="2551"/>
      <c r="V273" s="2551"/>
      <c r="W273" s="2552">
        <f t="shared" si="87"/>
        <v>4.0229999999999997</v>
      </c>
    </row>
    <row r="274" spans="1:23" s="2570" customFormat="1" x14ac:dyDescent="0.25">
      <c r="A274" s="2565">
        <v>9</v>
      </c>
      <c r="B274" s="2564" t="s">
        <v>2395</v>
      </c>
      <c r="C274" s="2566"/>
      <c r="D274" s="2566"/>
      <c r="E274" s="2566"/>
      <c r="F274" s="2567">
        <f>SUM(F275:F282)</f>
        <v>622.85817199999997</v>
      </c>
      <c r="G274" s="2567">
        <f t="shared" ref="G274:W274" si="88">SUM(G275:G282)</f>
        <v>0</v>
      </c>
      <c r="H274" s="2567">
        <f t="shared" si="88"/>
        <v>622.85817199999997</v>
      </c>
      <c r="I274" s="2567">
        <f t="shared" si="88"/>
        <v>622.85807199999999</v>
      </c>
      <c r="J274" s="2567">
        <f t="shared" si="88"/>
        <v>0</v>
      </c>
      <c r="K274" s="2567">
        <f t="shared" si="88"/>
        <v>622.85807199999999</v>
      </c>
      <c r="L274" s="2567">
        <f t="shared" si="88"/>
        <v>0</v>
      </c>
      <c r="M274" s="2568">
        <f t="shared" si="88"/>
        <v>0</v>
      </c>
      <c r="N274" s="2567">
        <f t="shared" si="88"/>
        <v>0</v>
      </c>
      <c r="O274" s="2567">
        <f t="shared" si="88"/>
        <v>0</v>
      </c>
      <c r="P274" s="2567">
        <f t="shared" si="88"/>
        <v>0</v>
      </c>
      <c r="Q274" s="2567">
        <f t="shared" si="88"/>
        <v>0</v>
      </c>
      <c r="R274" s="2567">
        <f t="shared" si="88"/>
        <v>0</v>
      </c>
      <c r="S274" s="2567">
        <f t="shared" si="88"/>
        <v>0</v>
      </c>
      <c r="T274" s="2567">
        <f t="shared" si="88"/>
        <v>0</v>
      </c>
      <c r="U274" s="2567">
        <f t="shared" si="88"/>
        <v>0</v>
      </c>
      <c r="V274" s="2567">
        <f t="shared" si="88"/>
        <v>0</v>
      </c>
      <c r="W274" s="2569">
        <f t="shared" si="88"/>
        <v>9.9999999974897946E-5</v>
      </c>
    </row>
    <row r="275" spans="1:23" s="2395" customFormat="1" x14ac:dyDescent="0.25">
      <c r="A275" s="2548"/>
      <c r="B275" s="2556" t="s">
        <v>3436</v>
      </c>
      <c r="C275" s="2550"/>
      <c r="D275" s="2550"/>
      <c r="E275" s="2550"/>
      <c r="F275" s="2557">
        <f t="shared" ref="F275:F282" si="89">G275+H275</f>
        <v>17.513999999999999</v>
      </c>
      <c r="G275" s="2557"/>
      <c r="H275" s="2558">
        <f>16.38+1.134</f>
        <v>17.513999999999999</v>
      </c>
      <c r="I275" s="2559">
        <f t="shared" ref="I275:I282" si="90">J275+K275</f>
        <v>17.513999999999999</v>
      </c>
      <c r="J275" s="2560"/>
      <c r="K275" s="2562">
        <v>17.513999999999999</v>
      </c>
      <c r="L275" s="2561"/>
      <c r="M275" s="2554">
        <f>F275-I275</f>
        <v>0</v>
      </c>
      <c r="N275" s="2560"/>
      <c r="O275" s="2560"/>
      <c r="P275" s="2560"/>
      <c r="Q275" s="2560"/>
      <c r="R275" s="2560"/>
      <c r="S275" s="2561"/>
      <c r="T275" s="2560"/>
      <c r="U275" s="2560"/>
      <c r="V275" s="2560"/>
      <c r="W275" s="2555">
        <f>F275-I275-M275</f>
        <v>0</v>
      </c>
    </row>
    <row r="276" spans="1:23" s="2395" customFormat="1" ht="31.5" x14ac:dyDescent="0.25">
      <c r="A276" s="2548"/>
      <c r="B276" s="2556" t="s">
        <v>3441</v>
      </c>
      <c r="C276" s="2550"/>
      <c r="D276" s="2550"/>
      <c r="E276" s="2550"/>
      <c r="F276" s="2557">
        <f t="shared" si="89"/>
        <v>40</v>
      </c>
      <c r="G276" s="2560"/>
      <c r="H276" s="2562">
        <v>40</v>
      </c>
      <c r="I276" s="2559">
        <f t="shared" si="90"/>
        <v>40</v>
      </c>
      <c r="J276" s="2560"/>
      <c r="K276" s="2562">
        <v>40</v>
      </c>
      <c r="L276" s="2561"/>
      <c r="M276" s="2554">
        <f t="shared" ref="M276:M282" si="91">F276-I276</f>
        <v>0</v>
      </c>
      <c r="N276" s="2560"/>
      <c r="O276" s="2560"/>
      <c r="P276" s="2560"/>
      <c r="Q276" s="2560"/>
      <c r="R276" s="2560"/>
      <c r="S276" s="2561"/>
      <c r="T276" s="2560"/>
      <c r="U276" s="2560"/>
      <c r="V276" s="2560"/>
      <c r="W276" s="2555">
        <f t="shared" ref="W276:W282" si="92">F276-I276-M276</f>
        <v>0</v>
      </c>
    </row>
    <row r="277" spans="1:23" s="2395" customFormat="1" ht="31.5" x14ac:dyDescent="0.25">
      <c r="A277" s="2548"/>
      <c r="B277" s="2556" t="s">
        <v>3452</v>
      </c>
      <c r="C277" s="2550"/>
      <c r="D277" s="2550"/>
      <c r="E277" s="2550"/>
      <c r="F277" s="2557">
        <f t="shared" si="89"/>
        <v>54.548900000000003</v>
      </c>
      <c r="G277" s="2557"/>
      <c r="H277" s="2558">
        <v>54.548900000000003</v>
      </c>
      <c r="I277" s="2559">
        <f t="shared" si="90"/>
        <v>54.548900000000003</v>
      </c>
      <c r="J277" s="2557"/>
      <c r="K277" s="2558">
        <v>54.548900000000003</v>
      </c>
      <c r="L277" s="2559"/>
      <c r="M277" s="2554">
        <f t="shared" si="91"/>
        <v>0</v>
      </c>
      <c r="N277" s="2557"/>
      <c r="O277" s="2557"/>
      <c r="P277" s="2557"/>
      <c r="Q277" s="2557"/>
      <c r="R277" s="2557"/>
      <c r="S277" s="2559"/>
      <c r="T277" s="2557"/>
      <c r="U277" s="2557"/>
      <c r="V277" s="2557"/>
      <c r="W277" s="2555">
        <f t="shared" si="92"/>
        <v>0</v>
      </c>
    </row>
    <row r="278" spans="1:23" s="2395" customFormat="1" ht="31.5" x14ac:dyDescent="0.25">
      <c r="A278" s="2548"/>
      <c r="B278" s="2556" t="s">
        <v>3437</v>
      </c>
      <c r="C278" s="2550"/>
      <c r="D278" s="2550"/>
      <c r="E278" s="2550"/>
      <c r="F278" s="2557">
        <f t="shared" si="89"/>
        <v>363.09309999999999</v>
      </c>
      <c r="G278" s="2557"/>
      <c r="H278" s="2558">
        <v>363.09309999999999</v>
      </c>
      <c r="I278" s="2559">
        <f t="shared" si="90"/>
        <v>363.09300000000002</v>
      </c>
      <c r="J278" s="2557"/>
      <c r="K278" s="2558">
        <v>363.09300000000002</v>
      </c>
      <c r="L278" s="2559"/>
      <c r="M278" s="2554">
        <v>0</v>
      </c>
      <c r="N278" s="2557"/>
      <c r="O278" s="2557"/>
      <c r="P278" s="2557"/>
      <c r="Q278" s="2557"/>
      <c r="R278" s="2557"/>
      <c r="S278" s="2559"/>
      <c r="T278" s="2557"/>
      <c r="U278" s="2557"/>
      <c r="V278" s="2557"/>
      <c r="W278" s="2555">
        <f t="shared" si="92"/>
        <v>9.9999999974897946E-5</v>
      </c>
    </row>
    <row r="279" spans="1:23" s="589" customFormat="1" ht="31.5" x14ac:dyDescent="0.25">
      <c r="A279" s="2451"/>
      <c r="B279" s="2556" t="s">
        <v>3438</v>
      </c>
      <c r="C279" s="2453"/>
      <c r="D279" s="2453"/>
      <c r="E279" s="2453"/>
      <c r="F279" s="2557">
        <f t="shared" si="89"/>
        <v>47.281171999999998</v>
      </c>
      <c r="G279" s="2557"/>
      <c r="H279" s="2558">
        <v>47.281171999999998</v>
      </c>
      <c r="I279" s="2559">
        <f t="shared" si="90"/>
        <v>47.281171999999998</v>
      </c>
      <c r="J279" s="2557"/>
      <c r="K279" s="2558">
        <v>47.281171999999998</v>
      </c>
      <c r="L279" s="2559"/>
      <c r="M279" s="2554">
        <f t="shared" si="91"/>
        <v>0</v>
      </c>
      <c r="N279" s="2557"/>
      <c r="O279" s="2557"/>
      <c r="P279" s="2557"/>
      <c r="Q279" s="2557"/>
      <c r="R279" s="2557"/>
      <c r="S279" s="2559"/>
      <c r="T279" s="2557"/>
      <c r="U279" s="2557"/>
      <c r="V279" s="2557"/>
      <c r="W279" s="2555">
        <f t="shared" si="92"/>
        <v>0</v>
      </c>
    </row>
    <row r="280" spans="1:23" s="2395" customFormat="1" ht="31.5" x14ac:dyDescent="0.25">
      <c r="A280" s="2548"/>
      <c r="B280" s="2556" t="s">
        <v>3439</v>
      </c>
      <c r="C280" s="2550"/>
      <c r="D280" s="2550"/>
      <c r="E280" s="2550"/>
      <c r="F280" s="2557">
        <f t="shared" si="89"/>
        <v>12.468</v>
      </c>
      <c r="G280" s="2557"/>
      <c r="H280" s="2558">
        <v>12.468</v>
      </c>
      <c r="I280" s="2559">
        <f t="shared" si="90"/>
        <v>12.468</v>
      </c>
      <c r="J280" s="2557"/>
      <c r="K280" s="2558">
        <v>12.468</v>
      </c>
      <c r="L280" s="2559"/>
      <c r="M280" s="2554">
        <f t="shared" si="91"/>
        <v>0</v>
      </c>
      <c r="N280" s="2557"/>
      <c r="O280" s="2557"/>
      <c r="P280" s="2557"/>
      <c r="Q280" s="2557"/>
      <c r="R280" s="2557"/>
      <c r="S280" s="2559"/>
      <c r="T280" s="2557"/>
      <c r="U280" s="2557"/>
      <c r="V280" s="2557"/>
      <c r="W280" s="2555">
        <f t="shared" si="92"/>
        <v>0</v>
      </c>
    </row>
    <row r="281" spans="1:23" s="2395" customFormat="1" x14ac:dyDescent="0.25">
      <c r="A281" s="2548"/>
      <c r="B281" s="2556" t="s">
        <v>3453</v>
      </c>
      <c r="C281" s="2550"/>
      <c r="D281" s="2550"/>
      <c r="E281" s="2550"/>
      <c r="F281" s="2557">
        <f t="shared" si="89"/>
        <v>80.477999999999994</v>
      </c>
      <c r="G281" s="2557"/>
      <c r="H281" s="2558">
        <v>80.477999999999994</v>
      </c>
      <c r="I281" s="2559">
        <f t="shared" si="90"/>
        <v>80.477999999999994</v>
      </c>
      <c r="J281" s="2557"/>
      <c r="K281" s="2558">
        <v>80.477999999999994</v>
      </c>
      <c r="L281" s="2559"/>
      <c r="M281" s="2554">
        <f t="shared" si="91"/>
        <v>0</v>
      </c>
      <c r="N281" s="2557"/>
      <c r="O281" s="2557"/>
      <c r="P281" s="2557"/>
      <c r="Q281" s="2557"/>
      <c r="R281" s="2557"/>
      <c r="S281" s="2559"/>
      <c r="T281" s="2557"/>
      <c r="U281" s="2557"/>
      <c r="V281" s="2557"/>
      <c r="W281" s="2555">
        <f t="shared" si="92"/>
        <v>0</v>
      </c>
    </row>
    <row r="282" spans="1:23" s="589" customFormat="1" ht="16.5" x14ac:dyDescent="0.25">
      <c r="A282" s="2451"/>
      <c r="B282" s="2549" t="s">
        <v>3454</v>
      </c>
      <c r="C282" s="2453"/>
      <c r="D282" s="2453"/>
      <c r="E282" s="2453"/>
      <c r="F282" s="2551">
        <f t="shared" si="89"/>
        <v>7.4749999999999996</v>
      </c>
      <c r="G282" s="2551"/>
      <c r="H282" s="2552">
        <v>7.4749999999999996</v>
      </c>
      <c r="I282" s="2553">
        <f t="shared" si="90"/>
        <v>7.4749999999999996</v>
      </c>
      <c r="J282" s="2551"/>
      <c r="K282" s="2552">
        <v>7.4749999999999996</v>
      </c>
      <c r="L282" s="2553"/>
      <c r="M282" s="2554">
        <f t="shared" si="91"/>
        <v>0</v>
      </c>
      <c r="N282" s="2551"/>
      <c r="O282" s="2551"/>
      <c r="P282" s="2551"/>
      <c r="Q282" s="2551"/>
      <c r="R282" s="2551"/>
      <c r="S282" s="2553"/>
      <c r="T282" s="2551"/>
      <c r="U282" s="2551"/>
      <c r="V282" s="2551"/>
      <c r="W282" s="2555">
        <f t="shared" si="92"/>
        <v>0</v>
      </c>
    </row>
    <row r="283" spans="1:23" s="2570" customFormat="1" x14ac:dyDescent="0.25">
      <c r="A283" s="2565">
        <v>10</v>
      </c>
      <c r="B283" s="2564" t="s">
        <v>2389</v>
      </c>
      <c r="C283" s="2566"/>
      <c r="D283" s="2566"/>
      <c r="E283" s="2566"/>
      <c r="F283" s="2567">
        <f>SUM(F284:F288)</f>
        <v>53.744</v>
      </c>
      <c r="G283" s="2567">
        <f t="shared" ref="G283:W283" si="93">SUM(G284:G288)</f>
        <v>0</v>
      </c>
      <c r="H283" s="2567">
        <f t="shared" si="93"/>
        <v>53.744</v>
      </c>
      <c r="I283" s="2567">
        <f t="shared" si="93"/>
        <v>51.3065</v>
      </c>
      <c r="J283" s="2567">
        <f t="shared" si="93"/>
        <v>0</v>
      </c>
      <c r="K283" s="2567">
        <f t="shared" si="93"/>
        <v>51.3065</v>
      </c>
      <c r="L283" s="2567">
        <f t="shared" si="93"/>
        <v>0</v>
      </c>
      <c r="M283" s="2568">
        <f t="shared" si="93"/>
        <v>0</v>
      </c>
      <c r="N283" s="2567">
        <f t="shared" si="93"/>
        <v>0</v>
      </c>
      <c r="O283" s="2567">
        <f t="shared" si="93"/>
        <v>0</v>
      </c>
      <c r="P283" s="2567">
        <f t="shared" si="93"/>
        <v>0</v>
      </c>
      <c r="Q283" s="2567">
        <f t="shared" si="93"/>
        <v>0</v>
      </c>
      <c r="R283" s="2567">
        <f t="shared" si="93"/>
        <v>0</v>
      </c>
      <c r="S283" s="2567">
        <f t="shared" si="93"/>
        <v>0</v>
      </c>
      <c r="T283" s="2567">
        <f t="shared" si="93"/>
        <v>2.4375</v>
      </c>
      <c r="U283" s="2567">
        <f t="shared" si="93"/>
        <v>0</v>
      </c>
      <c r="V283" s="2567">
        <f t="shared" si="93"/>
        <v>0</v>
      </c>
      <c r="W283" s="2569">
        <f t="shared" si="93"/>
        <v>0</v>
      </c>
    </row>
    <row r="284" spans="1:23" s="2395" customFormat="1" x14ac:dyDescent="0.25">
      <c r="A284" s="2548"/>
      <c r="B284" s="2556" t="s">
        <v>3436</v>
      </c>
      <c r="C284" s="2550"/>
      <c r="D284" s="2550"/>
      <c r="E284" s="2550"/>
      <c r="F284" s="2557">
        <f>G284+H284</f>
        <v>17.954999999999998</v>
      </c>
      <c r="G284" s="2557"/>
      <c r="H284" s="2558">
        <v>17.954999999999998</v>
      </c>
      <c r="I284" s="2559">
        <f>J284+K284</f>
        <v>17.954999999999998</v>
      </c>
      <c r="J284" s="2557"/>
      <c r="K284" s="2558">
        <v>17.954999999999998</v>
      </c>
      <c r="L284" s="2559"/>
      <c r="M284" s="2554">
        <f>F284-I284</f>
        <v>0</v>
      </c>
      <c r="N284" s="2557"/>
      <c r="O284" s="2557"/>
      <c r="P284" s="2557"/>
      <c r="Q284" s="2557"/>
      <c r="R284" s="2557"/>
      <c r="S284" s="2559"/>
      <c r="T284" s="2557"/>
      <c r="U284" s="2557"/>
      <c r="V284" s="2557"/>
      <c r="W284" s="2555">
        <f>H284-K284-M284</f>
        <v>0</v>
      </c>
    </row>
    <row r="285" spans="1:23" s="2395" customFormat="1" ht="31.5" x14ac:dyDescent="0.25">
      <c r="A285" s="2548"/>
      <c r="B285" s="2556" t="s">
        <v>3439</v>
      </c>
      <c r="C285" s="2550"/>
      <c r="D285" s="2550"/>
      <c r="E285" s="2550"/>
      <c r="F285" s="2557">
        <f>G285+H285</f>
        <v>16.751999999999999</v>
      </c>
      <c r="G285" s="2557"/>
      <c r="H285" s="2558">
        <v>16.751999999999999</v>
      </c>
      <c r="I285" s="2559">
        <f>J285+K285</f>
        <v>16.751999999999999</v>
      </c>
      <c r="J285" s="2557"/>
      <c r="K285" s="2558">
        <v>16.751999999999999</v>
      </c>
      <c r="L285" s="2559"/>
      <c r="M285" s="2554">
        <f>F285-I285</f>
        <v>0</v>
      </c>
      <c r="N285" s="2557"/>
      <c r="O285" s="2557"/>
      <c r="P285" s="2557"/>
      <c r="Q285" s="2557"/>
      <c r="R285" s="2557"/>
      <c r="S285" s="2559"/>
      <c r="T285" s="2557"/>
      <c r="U285" s="2557"/>
      <c r="V285" s="2557"/>
      <c r="W285" s="2555">
        <f>H285-K285-M285</f>
        <v>0</v>
      </c>
    </row>
    <row r="286" spans="1:23" s="589" customFormat="1" ht="16.5" x14ac:dyDescent="0.25">
      <c r="A286" s="2451"/>
      <c r="B286" s="2549" t="s">
        <v>3443</v>
      </c>
      <c r="C286" s="2453"/>
      <c r="D286" s="2453"/>
      <c r="E286" s="2453"/>
      <c r="F286" s="2551">
        <f>G286+H286</f>
        <v>9.4920000000000009</v>
      </c>
      <c r="G286" s="2551"/>
      <c r="H286" s="2552">
        <v>9.4920000000000009</v>
      </c>
      <c r="I286" s="2553">
        <f>J286+K286</f>
        <v>9.4920000000000009</v>
      </c>
      <c r="J286" s="2551"/>
      <c r="K286" s="2552">
        <v>9.4920000000000009</v>
      </c>
      <c r="L286" s="2553"/>
      <c r="M286" s="2554">
        <f>F286-I286</f>
        <v>0</v>
      </c>
      <c r="N286" s="2551"/>
      <c r="O286" s="2551"/>
      <c r="P286" s="2551"/>
      <c r="Q286" s="2551"/>
      <c r="R286" s="2551"/>
      <c r="S286" s="2553"/>
      <c r="T286" s="2551"/>
      <c r="U286" s="2551"/>
      <c r="V286" s="2551"/>
      <c r="W286" s="2555">
        <f>H286-K286-M286</f>
        <v>0</v>
      </c>
    </row>
    <row r="287" spans="1:23" s="589" customFormat="1" ht="33" x14ac:dyDescent="0.25">
      <c r="A287" s="2451"/>
      <c r="B287" s="2549" t="s">
        <v>3440</v>
      </c>
      <c r="C287" s="2453"/>
      <c r="D287" s="2453"/>
      <c r="E287" s="2453"/>
      <c r="F287" s="2551">
        <f>G287+H287</f>
        <v>7.4749999999999996</v>
      </c>
      <c r="G287" s="2551"/>
      <c r="H287" s="2552">
        <v>7.4749999999999996</v>
      </c>
      <c r="I287" s="2553">
        <f>J287+K287</f>
        <v>5.0374999999999996</v>
      </c>
      <c r="J287" s="2551"/>
      <c r="K287" s="2552">
        <v>5.0374999999999996</v>
      </c>
      <c r="L287" s="2553"/>
      <c r="M287" s="2554">
        <v>0</v>
      </c>
      <c r="N287" s="2551"/>
      <c r="O287" s="2551"/>
      <c r="P287" s="2551"/>
      <c r="Q287" s="2551"/>
      <c r="R287" s="2551"/>
      <c r="S287" s="2553"/>
      <c r="T287" s="2571">
        <v>2.4375</v>
      </c>
      <c r="U287" s="2551"/>
      <c r="V287" s="2551"/>
      <c r="W287" s="2555"/>
    </row>
    <row r="288" spans="1:23" s="589" customFormat="1" ht="31.5" x14ac:dyDescent="0.25">
      <c r="A288" s="2451"/>
      <c r="B288" s="2556" t="s">
        <v>3437</v>
      </c>
      <c r="C288" s="2453"/>
      <c r="D288" s="2453"/>
      <c r="E288" s="2453"/>
      <c r="F288" s="2551">
        <v>2.0699999999999998</v>
      </c>
      <c r="G288" s="2551"/>
      <c r="H288" s="2552">
        <v>2.0699999999999998</v>
      </c>
      <c r="I288" s="2553">
        <v>2.0699999999999998</v>
      </c>
      <c r="J288" s="2551"/>
      <c r="K288" s="2552">
        <v>2.0699999999999998</v>
      </c>
      <c r="L288" s="2553"/>
      <c r="M288" s="2554">
        <f>F288-I288</f>
        <v>0</v>
      </c>
      <c r="N288" s="2551"/>
      <c r="O288" s="2551"/>
      <c r="P288" s="2551"/>
      <c r="Q288" s="2551"/>
      <c r="R288" s="2551"/>
      <c r="S288" s="2553"/>
      <c r="T288" s="2551"/>
      <c r="U288" s="2551"/>
      <c r="V288" s="2551"/>
      <c r="W288" s="2555">
        <f>H288-K288-M288</f>
        <v>0</v>
      </c>
    </row>
    <row r="289" spans="1:23" s="2570" customFormat="1" x14ac:dyDescent="0.25">
      <c r="A289" s="2565">
        <v>11</v>
      </c>
      <c r="B289" s="2564" t="s">
        <v>2393</v>
      </c>
      <c r="C289" s="2566"/>
      <c r="D289" s="2566"/>
      <c r="E289" s="2566"/>
      <c r="F289" s="2567">
        <f>SUM(F290:F295)</f>
        <v>335.58104100000003</v>
      </c>
      <c r="G289" s="2567">
        <f t="shared" ref="G289:W289" si="94">SUM(G290:G295)</f>
        <v>0</v>
      </c>
      <c r="H289" s="2572">
        <f t="shared" si="94"/>
        <v>335.58104100000003</v>
      </c>
      <c r="I289" s="2567">
        <f t="shared" si="94"/>
        <v>327.98902300000003</v>
      </c>
      <c r="J289" s="2567">
        <f t="shared" si="94"/>
        <v>0</v>
      </c>
      <c r="K289" s="2573">
        <f t="shared" si="94"/>
        <v>327.98902300000003</v>
      </c>
      <c r="L289" s="2567">
        <f t="shared" si="94"/>
        <v>0</v>
      </c>
      <c r="M289" s="2574">
        <f t="shared" si="94"/>
        <v>0</v>
      </c>
      <c r="N289" s="2567">
        <f t="shared" si="94"/>
        <v>0</v>
      </c>
      <c r="O289" s="2567">
        <f t="shared" si="94"/>
        <v>0</v>
      </c>
      <c r="P289" s="2567">
        <f t="shared" si="94"/>
        <v>0</v>
      </c>
      <c r="Q289" s="2567">
        <f t="shared" si="94"/>
        <v>0</v>
      </c>
      <c r="R289" s="2567">
        <f t="shared" si="94"/>
        <v>0</v>
      </c>
      <c r="S289" s="2567">
        <f t="shared" si="94"/>
        <v>0</v>
      </c>
      <c r="T289" s="2567">
        <f t="shared" si="94"/>
        <v>0</v>
      </c>
      <c r="U289" s="2567">
        <f t="shared" si="94"/>
        <v>0</v>
      </c>
      <c r="V289" s="2567">
        <f t="shared" si="94"/>
        <v>0</v>
      </c>
      <c r="W289" s="2569">
        <f t="shared" si="94"/>
        <v>7.5920179999999959</v>
      </c>
    </row>
    <row r="290" spans="1:23" s="2395" customFormat="1" x14ac:dyDescent="0.25">
      <c r="A290" s="2548"/>
      <c r="B290" s="2575" t="s">
        <v>3455</v>
      </c>
      <c r="C290" s="2550"/>
      <c r="D290" s="2550"/>
      <c r="E290" s="2550"/>
      <c r="F290" s="2551">
        <f t="shared" ref="F290:F295" si="95">G290+H290</f>
        <v>250</v>
      </c>
      <c r="G290" s="2551"/>
      <c r="H290" s="2552">
        <v>250</v>
      </c>
      <c r="I290" s="2551">
        <f t="shared" ref="I290:I295" si="96">J290+K290</f>
        <v>242.407982</v>
      </c>
      <c r="J290" s="2551"/>
      <c r="K290" s="2552">
        <v>242.407982</v>
      </c>
      <c r="L290" s="2551"/>
      <c r="M290" s="2554">
        <v>0</v>
      </c>
      <c r="N290" s="2551"/>
      <c r="O290" s="2551"/>
      <c r="P290" s="2551"/>
      <c r="Q290" s="2551"/>
      <c r="R290" s="2551"/>
      <c r="S290" s="2551"/>
      <c r="T290" s="2551"/>
      <c r="U290" s="2551"/>
      <c r="V290" s="2551"/>
      <c r="W290" s="2576">
        <f t="shared" ref="W290:W295" si="97">F290-I290-M290</f>
        <v>7.5920179999999959</v>
      </c>
    </row>
    <row r="291" spans="1:23" s="2395" customFormat="1" x14ac:dyDescent="0.25">
      <c r="A291" s="2548"/>
      <c r="B291" s="2556" t="s">
        <v>3436</v>
      </c>
      <c r="C291" s="2550"/>
      <c r="D291" s="2550"/>
      <c r="E291" s="2550"/>
      <c r="F291" s="2551">
        <f t="shared" si="95"/>
        <v>17.408999999999999</v>
      </c>
      <c r="G291" s="2551"/>
      <c r="H291" s="2552">
        <f>16.38+1.029</f>
        <v>17.408999999999999</v>
      </c>
      <c r="I291" s="2551">
        <f t="shared" si="96"/>
        <v>17.408999999999999</v>
      </c>
      <c r="J291" s="2551"/>
      <c r="K291" s="2552">
        <v>17.408999999999999</v>
      </c>
      <c r="L291" s="2553"/>
      <c r="M291" s="2554">
        <f>F291-I291</f>
        <v>0</v>
      </c>
      <c r="N291" s="2551"/>
      <c r="O291" s="2551"/>
      <c r="P291" s="2551"/>
      <c r="Q291" s="2551"/>
      <c r="R291" s="2551"/>
      <c r="S291" s="2553"/>
      <c r="T291" s="2551"/>
      <c r="U291" s="2551"/>
      <c r="V291" s="2551"/>
      <c r="W291" s="2576">
        <f t="shared" si="97"/>
        <v>0</v>
      </c>
    </row>
    <row r="292" spans="1:23" s="2395" customFormat="1" x14ac:dyDescent="0.25">
      <c r="A292" s="2548"/>
      <c r="B292" s="2556" t="s">
        <v>3456</v>
      </c>
      <c r="C292" s="2550"/>
      <c r="D292" s="2550"/>
      <c r="E292" s="2550"/>
      <c r="F292" s="2551">
        <f t="shared" si="95"/>
        <v>27.273790999999999</v>
      </c>
      <c r="G292" s="2551"/>
      <c r="H292" s="2552">
        <v>27.273790999999999</v>
      </c>
      <c r="I292" s="2551">
        <f t="shared" si="96"/>
        <v>27.273790999999999</v>
      </c>
      <c r="J292" s="2551"/>
      <c r="K292" s="2552">
        <v>27.273790999999999</v>
      </c>
      <c r="L292" s="2553"/>
      <c r="M292" s="2554">
        <f>F292-I292</f>
        <v>0</v>
      </c>
      <c r="N292" s="2551"/>
      <c r="O292" s="2551"/>
      <c r="P292" s="2551"/>
      <c r="Q292" s="2551"/>
      <c r="R292" s="2551"/>
      <c r="S292" s="2553"/>
      <c r="T292" s="2551"/>
      <c r="U292" s="2551"/>
      <c r="V292" s="2551"/>
      <c r="W292" s="2576">
        <f t="shared" si="97"/>
        <v>0</v>
      </c>
    </row>
    <row r="293" spans="1:23" s="2395" customFormat="1" ht="31.5" x14ac:dyDescent="0.25">
      <c r="A293" s="2548"/>
      <c r="B293" s="2556" t="s">
        <v>3437</v>
      </c>
      <c r="C293" s="2550"/>
      <c r="D293" s="2550"/>
      <c r="E293" s="2550"/>
      <c r="F293" s="2557">
        <f t="shared" si="95"/>
        <v>21.14725</v>
      </c>
      <c r="G293" s="2557"/>
      <c r="H293" s="2558">
        <v>21.14725</v>
      </c>
      <c r="I293" s="2551">
        <f t="shared" si="96"/>
        <v>21.14725</v>
      </c>
      <c r="J293" s="2557"/>
      <c r="K293" s="2558">
        <v>21.14725</v>
      </c>
      <c r="L293" s="2553"/>
      <c r="M293" s="2554">
        <f>F293-I293</f>
        <v>0</v>
      </c>
      <c r="N293" s="2557"/>
      <c r="O293" s="2557"/>
      <c r="P293" s="2557"/>
      <c r="Q293" s="2557"/>
      <c r="R293" s="2557"/>
      <c r="S293" s="2559"/>
      <c r="T293" s="2557"/>
      <c r="U293" s="2557"/>
      <c r="V293" s="2557"/>
      <c r="W293" s="2576">
        <f t="shared" si="97"/>
        <v>0</v>
      </c>
    </row>
    <row r="294" spans="1:23" s="2395" customFormat="1" ht="31.5" x14ac:dyDescent="0.25">
      <c r="A294" s="2548"/>
      <c r="B294" s="2556" t="s">
        <v>3439</v>
      </c>
      <c r="C294" s="2550"/>
      <c r="D294" s="2550"/>
      <c r="E294" s="2550"/>
      <c r="F294" s="2557">
        <f t="shared" si="95"/>
        <v>12.276</v>
      </c>
      <c r="G294" s="2557"/>
      <c r="H294" s="2558">
        <v>12.276</v>
      </c>
      <c r="I294" s="2551">
        <f t="shared" si="96"/>
        <v>12.276</v>
      </c>
      <c r="J294" s="2557"/>
      <c r="K294" s="2558">
        <v>12.276</v>
      </c>
      <c r="L294" s="2553"/>
      <c r="M294" s="2554">
        <f>F294-I294</f>
        <v>0</v>
      </c>
      <c r="N294" s="2557"/>
      <c r="O294" s="2557"/>
      <c r="P294" s="2557"/>
      <c r="Q294" s="2557"/>
      <c r="R294" s="2557"/>
      <c r="S294" s="2559"/>
      <c r="T294" s="2557"/>
      <c r="U294" s="2557"/>
      <c r="V294" s="2557"/>
      <c r="W294" s="2576">
        <f t="shared" si="97"/>
        <v>0</v>
      </c>
    </row>
    <row r="295" spans="1:23" s="589" customFormat="1" ht="33" x14ac:dyDescent="0.25">
      <c r="A295" s="2451"/>
      <c r="B295" s="2549" t="s">
        <v>3440</v>
      </c>
      <c r="C295" s="2453"/>
      <c r="D295" s="2453"/>
      <c r="E295" s="2453"/>
      <c r="F295" s="2551">
        <f t="shared" si="95"/>
        <v>7.4749999999999996</v>
      </c>
      <c r="G295" s="2551"/>
      <c r="H295" s="2552">
        <v>7.4749999999999996</v>
      </c>
      <c r="I295" s="2551">
        <f t="shared" si="96"/>
        <v>7.4749999999999996</v>
      </c>
      <c r="J295" s="2551"/>
      <c r="K295" s="2552">
        <v>7.4749999999999996</v>
      </c>
      <c r="L295" s="2553"/>
      <c r="M295" s="2554">
        <f>F295-I295</f>
        <v>0</v>
      </c>
      <c r="N295" s="2551"/>
      <c r="O295" s="2551"/>
      <c r="P295" s="2551"/>
      <c r="Q295" s="2551"/>
      <c r="R295" s="2551"/>
      <c r="S295" s="2553"/>
      <c r="T295" s="2551"/>
      <c r="U295" s="2551"/>
      <c r="V295" s="2551"/>
      <c r="W295" s="2576">
        <f t="shared" si="97"/>
        <v>0</v>
      </c>
    </row>
    <row r="296" spans="1:23" s="2504" customFormat="1" x14ac:dyDescent="0.25">
      <c r="A296" s="2497">
        <v>12</v>
      </c>
      <c r="B296" s="2564" t="s">
        <v>2136</v>
      </c>
      <c r="C296" s="2499"/>
      <c r="D296" s="2499"/>
      <c r="E296" s="2499"/>
      <c r="F296" s="2445">
        <f>SUM(F297:F303)</f>
        <v>633.48364500000014</v>
      </c>
      <c r="G296" s="2445">
        <f t="shared" ref="G296:W296" si="98">SUM(G297:G303)</f>
        <v>0</v>
      </c>
      <c r="H296" s="2445">
        <f t="shared" si="98"/>
        <v>633.48364500000014</v>
      </c>
      <c r="I296" s="2445">
        <f t="shared" si="98"/>
        <v>607.36696800000004</v>
      </c>
      <c r="J296" s="2445">
        <f t="shared" si="98"/>
        <v>0</v>
      </c>
      <c r="K296" s="2445">
        <f t="shared" si="98"/>
        <v>607.36696800000004</v>
      </c>
      <c r="L296" s="2445">
        <f t="shared" si="98"/>
        <v>0</v>
      </c>
      <c r="M296" s="2563">
        <f t="shared" si="98"/>
        <v>0</v>
      </c>
      <c r="N296" s="2445">
        <f t="shared" si="98"/>
        <v>0</v>
      </c>
      <c r="O296" s="2445">
        <f t="shared" si="98"/>
        <v>0</v>
      </c>
      <c r="P296" s="2445">
        <f t="shared" si="98"/>
        <v>0</v>
      </c>
      <c r="Q296" s="2445">
        <f t="shared" si="98"/>
        <v>0</v>
      </c>
      <c r="R296" s="2445">
        <f t="shared" si="98"/>
        <v>0</v>
      </c>
      <c r="S296" s="2445">
        <f t="shared" si="98"/>
        <v>0</v>
      </c>
      <c r="T296" s="2445">
        <f t="shared" si="98"/>
        <v>0</v>
      </c>
      <c r="U296" s="2445">
        <f t="shared" si="98"/>
        <v>0</v>
      </c>
      <c r="V296" s="2445">
        <f t="shared" si="98"/>
        <v>0</v>
      </c>
      <c r="W296" s="2547">
        <f t="shared" si="98"/>
        <v>26.116677000000006</v>
      </c>
    </row>
    <row r="297" spans="1:23" s="2395" customFormat="1" ht="33" x14ac:dyDescent="0.25">
      <c r="A297" s="2548"/>
      <c r="B297" s="2549" t="s">
        <v>3457</v>
      </c>
      <c r="C297" s="2550"/>
      <c r="D297" s="2550"/>
      <c r="E297" s="2550"/>
      <c r="F297" s="2557">
        <f t="shared" ref="F297:F303" si="99">G297+H297</f>
        <v>243</v>
      </c>
      <c r="G297" s="2557"/>
      <c r="H297" s="2558">
        <v>243</v>
      </c>
      <c r="I297" s="2559">
        <f t="shared" ref="I297:I303" si="100">J297+K297</f>
        <v>217.00332299999999</v>
      </c>
      <c r="J297" s="2557"/>
      <c r="K297" s="2558">
        <v>217.00332299999999</v>
      </c>
      <c r="L297" s="2561"/>
      <c r="M297" s="2554"/>
      <c r="N297" s="2560"/>
      <c r="O297" s="2560"/>
      <c r="P297" s="2560"/>
      <c r="Q297" s="2560"/>
      <c r="R297" s="2560"/>
      <c r="S297" s="2561"/>
      <c r="T297" s="2560"/>
      <c r="U297" s="2560"/>
      <c r="V297" s="2560"/>
      <c r="W297" s="2555">
        <f>H297-K297</f>
        <v>25.996677000000005</v>
      </c>
    </row>
    <row r="298" spans="1:23" s="2395" customFormat="1" ht="16.5" x14ac:dyDescent="0.25">
      <c r="A298" s="2548"/>
      <c r="B298" s="2549" t="s">
        <v>3446</v>
      </c>
      <c r="C298" s="2550"/>
      <c r="D298" s="2550"/>
      <c r="E298" s="2550"/>
      <c r="F298" s="2557">
        <f t="shared" si="99"/>
        <v>10.08</v>
      </c>
      <c r="G298" s="2557"/>
      <c r="H298" s="2558">
        <v>10.08</v>
      </c>
      <c r="I298" s="2559">
        <f t="shared" si="100"/>
        <v>10.08</v>
      </c>
      <c r="J298" s="2557"/>
      <c r="K298" s="2558">
        <v>10.08</v>
      </c>
      <c r="L298" s="2561"/>
      <c r="M298" s="2554">
        <f t="shared" ref="M298:M303" si="101">F298-I298</f>
        <v>0</v>
      </c>
      <c r="N298" s="2560"/>
      <c r="O298" s="2560"/>
      <c r="P298" s="2560"/>
      <c r="Q298" s="2560"/>
      <c r="R298" s="2560"/>
      <c r="S298" s="2561"/>
      <c r="T298" s="2560"/>
      <c r="U298" s="2560"/>
      <c r="V298" s="2560"/>
      <c r="W298" s="2555"/>
    </row>
    <row r="299" spans="1:23" s="2395" customFormat="1" x14ac:dyDescent="0.25">
      <c r="A299" s="2548"/>
      <c r="B299" s="2556" t="s">
        <v>3436</v>
      </c>
      <c r="C299" s="2550"/>
      <c r="D299" s="2550"/>
      <c r="E299" s="2550"/>
      <c r="F299" s="2557">
        <f t="shared" si="99"/>
        <v>17.954999999999998</v>
      </c>
      <c r="G299" s="2557"/>
      <c r="H299" s="2558">
        <v>17.954999999999998</v>
      </c>
      <c r="I299" s="2559">
        <f t="shared" si="100"/>
        <v>17.954999999999998</v>
      </c>
      <c r="J299" s="2557"/>
      <c r="K299" s="2558">
        <v>17.954999999999998</v>
      </c>
      <c r="L299" s="2559"/>
      <c r="M299" s="2554">
        <f t="shared" si="101"/>
        <v>0</v>
      </c>
      <c r="N299" s="2557"/>
      <c r="O299" s="2557"/>
      <c r="P299" s="2557"/>
      <c r="Q299" s="2557"/>
      <c r="R299" s="2557"/>
      <c r="S299" s="2559"/>
      <c r="T299" s="2557"/>
      <c r="U299" s="2557"/>
      <c r="V299" s="2557"/>
      <c r="W299" s="2555"/>
    </row>
    <row r="300" spans="1:23" s="2395" customFormat="1" x14ac:dyDescent="0.25">
      <c r="A300" s="2548"/>
      <c r="B300" s="2556" t="s">
        <v>3458</v>
      </c>
      <c r="C300" s="2550"/>
      <c r="D300" s="2550"/>
      <c r="E300" s="2550"/>
      <c r="F300" s="2557">
        <f t="shared" si="99"/>
        <v>248.49910199999999</v>
      </c>
      <c r="G300" s="2557"/>
      <c r="H300" s="2558">
        <v>248.49910199999999</v>
      </c>
      <c r="I300" s="2559">
        <f t="shared" si="100"/>
        <v>248.49910199999999</v>
      </c>
      <c r="J300" s="2557"/>
      <c r="K300" s="2558">
        <v>248.49910199999999</v>
      </c>
      <c r="L300" s="2559"/>
      <c r="M300" s="2554">
        <f t="shared" si="101"/>
        <v>0</v>
      </c>
      <c r="N300" s="2557"/>
      <c r="O300" s="2557"/>
      <c r="P300" s="2557"/>
      <c r="Q300" s="2557"/>
      <c r="R300" s="2557"/>
      <c r="S300" s="2559"/>
      <c r="T300" s="2557"/>
      <c r="U300" s="2557"/>
      <c r="V300" s="2557"/>
      <c r="W300" s="2555"/>
    </row>
    <row r="301" spans="1:23" s="589" customFormat="1" ht="33" x14ac:dyDescent="0.25">
      <c r="A301" s="2451"/>
      <c r="B301" s="2549" t="s">
        <v>3440</v>
      </c>
      <c r="C301" s="2453"/>
      <c r="D301" s="2453"/>
      <c r="E301" s="2453"/>
      <c r="F301" s="2557">
        <f t="shared" si="99"/>
        <v>7.4749999999999996</v>
      </c>
      <c r="G301" s="2557"/>
      <c r="H301" s="2558">
        <v>7.4749999999999996</v>
      </c>
      <c r="I301" s="2559">
        <f t="shared" si="100"/>
        <v>7.4749999999999996</v>
      </c>
      <c r="J301" s="2557"/>
      <c r="K301" s="2558">
        <v>7.4749999999999996</v>
      </c>
      <c r="L301" s="2559"/>
      <c r="M301" s="2554">
        <f t="shared" si="101"/>
        <v>0</v>
      </c>
      <c r="N301" s="2557"/>
      <c r="O301" s="2557"/>
      <c r="P301" s="2557"/>
      <c r="Q301" s="2557"/>
      <c r="R301" s="2557"/>
      <c r="S301" s="2559"/>
      <c r="T301" s="2557"/>
      <c r="U301" s="2557"/>
      <c r="V301" s="2557"/>
      <c r="W301" s="2555">
        <v>0</v>
      </c>
    </row>
    <row r="302" spans="1:23" s="2395" customFormat="1" ht="16.5" x14ac:dyDescent="0.25">
      <c r="A302" s="2548"/>
      <c r="B302" s="2549" t="s">
        <v>3459</v>
      </c>
      <c r="C302" s="2550"/>
      <c r="D302" s="2550"/>
      <c r="E302" s="2550"/>
      <c r="F302" s="2560">
        <f t="shared" si="99"/>
        <v>20.844000000000001</v>
      </c>
      <c r="G302" s="2560"/>
      <c r="H302" s="2562">
        <v>20.844000000000001</v>
      </c>
      <c r="I302" s="2561">
        <f t="shared" si="100"/>
        <v>20.724</v>
      </c>
      <c r="J302" s="2560"/>
      <c r="K302" s="2562">
        <v>20.724</v>
      </c>
      <c r="L302" s="2561"/>
      <c r="M302" s="2554"/>
      <c r="N302" s="2560"/>
      <c r="O302" s="2560"/>
      <c r="P302" s="2560"/>
      <c r="Q302" s="2560"/>
      <c r="R302" s="2560"/>
      <c r="S302" s="2561"/>
      <c r="T302" s="2560"/>
      <c r="U302" s="2560"/>
      <c r="V302" s="2560"/>
      <c r="W302" s="2555">
        <f>H302-K302</f>
        <v>0.12000000000000099</v>
      </c>
    </row>
    <row r="303" spans="1:23" s="2395" customFormat="1" ht="31.5" x14ac:dyDescent="0.25">
      <c r="A303" s="2548"/>
      <c r="B303" s="2556" t="s">
        <v>3438</v>
      </c>
      <c r="C303" s="2550"/>
      <c r="D303" s="2550"/>
      <c r="E303" s="2550"/>
      <c r="F303" s="2557">
        <f t="shared" si="99"/>
        <v>85.630543000000003</v>
      </c>
      <c r="G303" s="2557"/>
      <c r="H303" s="2558">
        <v>85.630543000000003</v>
      </c>
      <c r="I303" s="2559">
        <f t="shared" si="100"/>
        <v>85.630543000000003</v>
      </c>
      <c r="J303" s="2557"/>
      <c r="K303" s="2558">
        <v>85.630543000000003</v>
      </c>
      <c r="L303" s="2559"/>
      <c r="M303" s="2554">
        <f t="shared" si="101"/>
        <v>0</v>
      </c>
      <c r="N303" s="2557"/>
      <c r="O303" s="2557"/>
      <c r="P303" s="2557"/>
      <c r="Q303" s="2557"/>
      <c r="R303" s="2557"/>
      <c r="S303" s="2559"/>
      <c r="T303" s="2557"/>
      <c r="U303" s="2557"/>
      <c r="V303" s="2557"/>
      <c r="W303" s="2555"/>
    </row>
    <row r="304" spans="1:23" s="583" customFormat="1" x14ac:dyDescent="0.25">
      <c r="A304" s="2443">
        <v>13</v>
      </c>
      <c r="B304" s="2459" t="s">
        <v>2133</v>
      </c>
      <c r="C304" s="2444"/>
      <c r="D304" s="2444"/>
      <c r="E304" s="2444"/>
      <c r="F304" s="2445">
        <f>SUM(F305:F313)</f>
        <v>967.98312399999998</v>
      </c>
      <c r="G304" s="2445">
        <f t="shared" ref="G304:W304" si="102">SUM(G305:G313)</f>
        <v>0</v>
      </c>
      <c r="H304" s="2445">
        <f t="shared" si="102"/>
        <v>967.98312399999998</v>
      </c>
      <c r="I304" s="2445">
        <f t="shared" si="102"/>
        <v>493.58275900000007</v>
      </c>
      <c r="J304" s="2445">
        <f t="shared" si="102"/>
        <v>0</v>
      </c>
      <c r="K304" s="2445">
        <f t="shared" si="102"/>
        <v>493.58275900000007</v>
      </c>
      <c r="L304" s="2445">
        <f t="shared" si="102"/>
        <v>0</v>
      </c>
      <c r="M304" s="2563">
        <f t="shared" si="102"/>
        <v>325</v>
      </c>
      <c r="N304" s="2445">
        <f t="shared" si="102"/>
        <v>0</v>
      </c>
      <c r="O304" s="2445">
        <f t="shared" si="102"/>
        <v>0</v>
      </c>
      <c r="P304" s="2445">
        <f t="shared" si="102"/>
        <v>0</v>
      </c>
      <c r="Q304" s="2445">
        <f t="shared" si="102"/>
        <v>0</v>
      </c>
      <c r="R304" s="2445">
        <f t="shared" si="102"/>
        <v>0</v>
      </c>
      <c r="S304" s="2445">
        <f t="shared" si="102"/>
        <v>0</v>
      </c>
      <c r="T304" s="2445">
        <f t="shared" si="102"/>
        <v>0</v>
      </c>
      <c r="U304" s="2445">
        <f t="shared" si="102"/>
        <v>0</v>
      </c>
      <c r="V304" s="2445">
        <f t="shared" si="102"/>
        <v>0</v>
      </c>
      <c r="W304" s="2547">
        <f t="shared" si="102"/>
        <v>149.40036499999999</v>
      </c>
    </row>
    <row r="305" spans="1:23" s="2395" customFormat="1" x14ac:dyDescent="0.25">
      <c r="A305" s="2548"/>
      <c r="B305" s="2556" t="s">
        <v>3436</v>
      </c>
      <c r="C305" s="2550"/>
      <c r="D305" s="2550"/>
      <c r="E305" s="2550"/>
      <c r="F305" s="2557">
        <f>G305+H305</f>
        <v>17.408999999999999</v>
      </c>
      <c r="G305" s="2557"/>
      <c r="H305" s="2558">
        <f>16.38+1.029</f>
        <v>17.408999999999999</v>
      </c>
      <c r="I305" s="2559">
        <f>J305+K305</f>
        <v>17.408999999999999</v>
      </c>
      <c r="J305" s="2557"/>
      <c r="K305" s="2558">
        <v>17.408999999999999</v>
      </c>
      <c r="L305" s="2559"/>
      <c r="M305" s="2554">
        <f>F305-I305</f>
        <v>0</v>
      </c>
      <c r="N305" s="2557"/>
      <c r="O305" s="2557"/>
      <c r="P305" s="2557"/>
      <c r="Q305" s="2557"/>
      <c r="R305" s="2557"/>
      <c r="S305" s="2559"/>
      <c r="T305" s="2557"/>
      <c r="U305" s="2557"/>
      <c r="V305" s="2557"/>
      <c r="W305" s="2555"/>
    </row>
    <row r="306" spans="1:23" s="2395" customFormat="1" ht="33" x14ac:dyDescent="0.25">
      <c r="A306" s="2548"/>
      <c r="B306" s="2549" t="s">
        <v>3460</v>
      </c>
      <c r="C306" s="2550"/>
      <c r="D306" s="2550"/>
      <c r="E306" s="2550"/>
      <c r="F306" s="2560">
        <f t="shared" ref="F306:F313" si="103">G306+H306</f>
        <v>57</v>
      </c>
      <c r="G306" s="2560"/>
      <c r="H306" s="2562">
        <v>57</v>
      </c>
      <c r="I306" s="2559">
        <f t="shared" ref="I306:I313" si="104">J306+K306</f>
        <v>56.599634999999999</v>
      </c>
      <c r="J306" s="2560"/>
      <c r="K306" s="2562">
        <v>56.599634999999999</v>
      </c>
      <c r="L306" s="2561"/>
      <c r="M306" s="2554"/>
      <c r="N306" s="2560"/>
      <c r="O306" s="2560"/>
      <c r="P306" s="2560"/>
      <c r="Q306" s="2560"/>
      <c r="R306" s="2560"/>
      <c r="S306" s="2561"/>
      <c r="T306" s="2560"/>
      <c r="U306" s="2560"/>
      <c r="V306" s="2560"/>
      <c r="W306" s="2555">
        <f>H306-K306</f>
        <v>0.40036500000000075</v>
      </c>
    </row>
    <row r="307" spans="1:23" s="2395" customFormat="1" ht="16.5" x14ac:dyDescent="0.25">
      <c r="A307" s="2548"/>
      <c r="B307" s="2549" t="s">
        <v>3461</v>
      </c>
      <c r="C307" s="2550"/>
      <c r="D307" s="2550"/>
      <c r="E307" s="2550"/>
      <c r="F307" s="2560">
        <f t="shared" si="103"/>
        <v>364</v>
      </c>
      <c r="G307" s="2560"/>
      <c r="H307" s="2562">
        <v>364</v>
      </c>
      <c r="I307" s="2559">
        <f t="shared" si="104"/>
        <v>215</v>
      </c>
      <c r="J307" s="2560"/>
      <c r="K307" s="2562">
        <v>215</v>
      </c>
      <c r="L307" s="2561"/>
      <c r="M307" s="2554"/>
      <c r="N307" s="2560"/>
      <c r="O307" s="2560"/>
      <c r="P307" s="2560"/>
      <c r="Q307" s="2560"/>
      <c r="R307" s="2560"/>
      <c r="S307" s="2561"/>
      <c r="T307" s="2560"/>
      <c r="U307" s="2560"/>
      <c r="V307" s="2560"/>
      <c r="W307" s="2555">
        <f>H307-K307</f>
        <v>149</v>
      </c>
    </row>
    <row r="308" spans="1:23" s="2395" customFormat="1" ht="33" x14ac:dyDescent="0.25">
      <c r="A308" s="2548"/>
      <c r="B308" s="2549" t="s">
        <v>3462</v>
      </c>
      <c r="C308" s="2550"/>
      <c r="D308" s="2550"/>
      <c r="E308" s="2550"/>
      <c r="F308" s="2560">
        <f t="shared" si="103"/>
        <v>325</v>
      </c>
      <c r="G308" s="2560"/>
      <c r="H308" s="2562">
        <v>325</v>
      </c>
      <c r="I308" s="2559">
        <f t="shared" si="104"/>
        <v>0</v>
      </c>
      <c r="J308" s="2560"/>
      <c r="K308" s="2562"/>
      <c r="L308" s="2561"/>
      <c r="M308" s="2554">
        <f t="shared" ref="M308:M313" si="105">F308-I308</f>
        <v>325</v>
      </c>
      <c r="N308" s="2560"/>
      <c r="O308" s="2560"/>
      <c r="P308" s="2560"/>
      <c r="Q308" s="2560"/>
      <c r="R308" s="2560"/>
      <c r="S308" s="2561"/>
      <c r="T308" s="2560"/>
      <c r="U308" s="2560"/>
      <c r="V308" s="2560"/>
      <c r="W308" s="2555"/>
    </row>
    <row r="309" spans="1:23" s="2395" customFormat="1" x14ac:dyDescent="0.25">
      <c r="A309" s="2548"/>
      <c r="B309" s="2556" t="s">
        <v>3448</v>
      </c>
      <c r="C309" s="2550"/>
      <c r="D309" s="2550"/>
      <c r="E309" s="2550"/>
      <c r="F309" s="2560">
        <f t="shared" si="103"/>
        <v>50</v>
      </c>
      <c r="G309" s="2560"/>
      <c r="H309" s="2562">
        <v>50</v>
      </c>
      <c r="I309" s="2559">
        <f t="shared" si="104"/>
        <v>50</v>
      </c>
      <c r="J309" s="2560"/>
      <c r="K309" s="2562">
        <v>50</v>
      </c>
      <c r="L309" s="2561"/>
      <c r="M309" s="2554">
        <f t="shared" si="105"/>
        <v>0</v>
      </c>
      <c r="N309" s="2560"/>
      <c r="O309" s="2560"/>
      <c r="P309" s="2560"/>
      <c r="Q309" s="2560"/>
      <c r="R309" s="2560"/>
      <c r="S309" s="2561"/>
      <c r="T309" s="2560"/>
      <c r="U309" s="2560"/>
      <c r="V309" s="2560"/>
      <c r="W309" s="2555"/>
    </row>
    <row r="310" spans="1:23" s="589" customFormat="1" ht="31.5" x14ac:dyDescent="0.25">
      <c r="A310" s="2451"/>
      <c r="B310" s="2556" t="s">
        <v>3439</v>
      </c>
      <c r="C310" s="2453"/>
      <c r="D310" s="2453"/>
      <c r="E310" s="2453"/>
      <c r="F310" s="2557">
        <f t="shared" si="103"/>
        <v>16.716000000000001</v>
      </c>
      <c r="G310" s="2557"/>
      <c r="H310" s="2558">
        <v>16.716000000000001</v>
      </c>
      <c r="I310" s="2559">
        <f t="shared" si="104"/>
        <v>16.716000000000001</v>
      </c>
      <c r="J310" s="2557"/>
      <c r="K310" s="2558">
        <v>16.716000000000001</v>
      </c>
      <c r="L310" s="2559"/>
      <c r="M310" s="2554">
        <f t="shared" si="105"/>
        <v>0</v>
      </c>
      <c r="N310" s="2557"/>
      <c r="O310" s="2557"/>
      <c r="P310" s="2557"/>
      <c r="Q310" s="2557"/>
      <c r="R310" s="2557"/>
      <c r="S310" s="2559"/>
      <c r="T310" s="2557"/>
      <c r="U310" s="2557"/>
      <c r="V310" s="2557"/>
      <c r="W310" s="2555"/>
    </row>
    <row r="311" spans="1:23" s="2395" customFormat="1" ht="16.5" x14ac:dyDescent="0.25">
      <c r="A311" s="2548"/>
      <c r="B311" s="2549" t="s">
        <v>3443</v>
      </c>
      <c r="C311" s="2550"/>
      <c r="D311" s="2550"/>
      <c r="E311" s="2550"/>
      <c r="F311" s="2560">
        <f t="shared" si="103"/>
        <v>4.3</v>
      </c>
      <c r="G311" s="2560"/>
      <c r="H311" s="2562">
        <v>4.3</v>
      </c>
      <c r="I311" s="2559">
        <f t="shared" si="104"/>
        <v>4.3</v>
      </c>
      <c r="J311" s="2560"/>
      <c r="K311" s="2562">
        <v>4.3</v>
      </c>
      <c r="L311" s="2561"/>
      <c r="M311" s="2554">
        <f t="shared" si="105"/>
        <v>0</v>
      </c>
      <c r="N311" s="2560"/>
      <c r="O311" s="2560"/>
      <c r="P311" s="2560"/>
      <c r="Q311" s="2560"/>
      <c r="R311" s="2560"/>
      <c r="S311" s="2561"/>
      <c r="T311" s="2560"/>
      <c r="U311" s="2560"/>
      <c r="V311" s="2560"/>
      <c r="W311" s="2555"/>
    </row>
    <row r="312" spans="1:23" s="2395" customFormat="1" ht="33" x14ac:dyDescent="0.25">
      <c r="A312" s="2548"/>
      <c r="B312" s="2549" t="s">
        <v>3440</v>
      </c>
      <c r="C312" s="2550"/>
      <c r="D312" s="2550"/>
      <c r="E312" s="2550"/>
      <c r="F312" s="2557">
        <f t="shared" si="103"/>
        <v>7.4749999999999996</v>
      </c>
      <c r="G312" s="2557"/>
      <c r="H312" s="2558">
        <v>7.4749999999999996</v>
      </c>
      <c r="I312" s="2559">
        <f t="shared" si="104"/>
        <v>7.4749999999999996</v>
      </c>
      <c r="J312" s="2557"/>
      <c r="K312" s="2558">
        <v>7.4749999999999996</v>
      </c>
      <c r="L312" s="2559"/>
      <c r="M312" s="2554">
        <f t="shared" si="105"/>
        <v>0</v>
      </c>
      <c r="N312" s="2557"/>
      <c r="O312" s="2557"/>
      <c r="P312" s="2557"/>
      <c r="Q312" s="2557"/>
      <c r="R312" s="2557"/>
      <c r="S312" s="2559"/>
      <c r="T312" s="2557"/>
      <c r="U312" s="2557"/>
      <c r="V312" s="2557"/>
      <c r="W312" s="2555"/>
    </row>
    <row r="313" spans="1:23" s="2395" customFormat="1" ht="31.5" x14ac:dyDescent="0.25">
      <c r="A313" s="2548"/>
      <c r="B313" s="2556" t="s">
        <v>3438</v>
      </c>
      <c r="C313" s="2550"/>
      <c r="D313" s="2550"/>
      <c r="E313" s="2550"/>
      <c r="F313" s="2557">
        <f t="shared" si="103"/>
        <v>126.083124</v>
      </c>
      <c r="G313" s="2557"/>
      <c r="H313" s="2558">
        <v>126.083124</v>
      </c>
      <c r="I313" s="2559">
        <f t="shared" si="104"/>
        <v>126.083124</v>
      </c>
      <c r="J313" s="2557"/>
      <c r="K313" s="2558">
        <v>126.083124</v>
      </c>
      <c r="L313" s="2559"/>
      <c r="M313" s="2554">
        <f t="shared" si="105"/>
        <v>0</v>
      </c>
      <c r="N313" s="2557"/>
      <c r="O313" s="2557"/>
      <c r="P313" s="2557"/>
      <c r="Q313" s="2557"/>
      <c r="R313" s="2557"/>
      <c r="S313" s="2559"/>
      <c r="T313" s="2557"/>
      <c r="U313" s="2557"/>
      <c r="V313" s="2557"/>
      <c r="W313" s="2555"/>
    </row>
    <row r="314" spans="1:23" s="583" customFormat="1" ht="16.5" x14ac:dyDescent="0.25">
      <c r="A314" s="2443">
        <v>14</v>
      </c>
      <c r="B314" s="2545" t="s">
        <v>2616</v>
      </c>
      <c r="C314" s="2444"/>
      <c r="D314" s="2444"/>
      <c r="E314" s="2444"/>
      <c r="F314" s="2445">
        <f t="shared" ref="F314:W314" si="106">SUM(F315:F321)</f>
        <v>297.67981200000003</v>
      </c>
      <c r="G314" s="2445">
        <f t="shared" si="106"/>
        <v>0</v>
      </c>
      <c r="H314" s="2445">
        <f t="shared" si="106"/>
        <v>297.67981200000003</v>
      </c>
      <c r="I314" s="2445">
        <f t="shared" si="106"/>
        <v>252.00781199999997</v>
      </c>
      <c r="J314" s="2445">
        <f t="shared" si="106"/>
        <v>0</v>
      </c>
      <c r="K314" s="2445">
        <f t="shared" si="106"/>
        <v>252.00781199999997</v>
      </c>
      <c r="L314" s="2445">
        <f t="shared" si="106"/>
        <v>0</v>
      </c>
      <c r="M314" s="2563">
        <f t="shared" si="106"/>
        <v>44.75200000000001</v>
      </c>
      <c r="N314" s="2445">
        <f t="shared" si="106"/>
        <v>0</v>
      </c>
      <c r="O314" s="2445">
        <f t="shared" si="106"/>
        <v>0</v>
      </c>
      <c r="P314" s="2445">
        <f t="shared" si="106"/>
        <v>0</v>
      </c>
      <c r="Q314" s="2445">
        <f t="shared" si="106"/>
        <v>0</v>
      </c>
      <c r="R314" s="2445">
        <f t="shared" si="106"/>
        <v>0</v>
      </c>
      <c r="S314" s="2445">
        <f t="shared" si="106"/>
        <v>0</v>
      </c>
      <c r="T314" s="2445">
        <f t="shared" si="106"/>
        <v>0</v>
      </c>
      <c r="U314" s="2445">
        <f t="shared" si="106"/>
        <v>0</v>
      </c>
      <c r="V314" s="2445">
        <f t="shared" si="106"/>
        <v>0</v>
      </c>
      <c r="W314" s="2547">
        <f t="shared" si="106"/>
        <v>0.92</v>
      </c>
    </row>
    <row r="315" spans="1:23" s="2395" customFormat="1" ht="33" x14ac:dyDescent="0.25">
      <c r="A315" s="2548"/>
      <c r="B315" s="2549" t="s">
        <v>3463</v>
      </c>
      <c r="C315" s="2550"/>
      <c r="D315" s="2550"/>
      <c r="E315" s="2550"/>
      <c r="F315" s="2551">
        <f t="shared" ref="F315:F321" si="107">G315+H315</f>
        <v>20.482244999999999</v>
      </c>
      <c r="G315" s="2551"/>
      <c r="H315" s="2552">
        <v>20.482244999999999</v>
      </c>
      <c r="I315" s="2553">
        <f>J315+K315</f>
        <v>20.482244999999999</v>
      </c>
      <c r="J315" s="2551"/>
      <c r="K315" s="2552">
        <v>20.482244999999999</v>
      </c>
      <c r="L315" s="2553"/>
      <c r="M315" s="2554">
        <f>F315-I315</f>
        <v>0</v>
      </c>
      <c r="N315" s="2551"/>
      <c r="O315" s="2551"/>
      <c r="P315" s="2551"/>
      <c r="Q315" s="2551"/>
      <c r="R315" s="2551"/>
      <c r="S315" s="2553"/>
      <c r="T315" s="2551"/>
      <c r="U315" s="2551"/>
      <c r="V315" s="2551"/>
      <c r="W315" s="2555">
        <f>F315-I315-M315</f>
        <v>0</v>
      </c>
    </row>
    <row r="316" spans="1:23" s="2395" customFormat="1" ht="38.25" customHeight="1" x14ac:dyDescent="0.25">
      <c r="A316" s="2548"/>
      <c r="B316" s="2556" t="s">
        <v>3436</v>
      </c>
      <c r="C316" s="2550"/>
      <c r="D316" s="2550"/>
      <c r="E316" s="2550"/>
      <c r="F316" s="2557">
        <f t="shared" si="107"/>
        <v>17.891999999999999</v>
      </c>
      <c r="G316" s="2557"/>
      <c r="H316" s="2558">
        <v>17.891999999999999</v>
      </c>
      <c r="I316" s="2553">
        <f t="shared" ref="I316:I321" si="108">J316+K316</f>
        <v>17.891999999999999</v>
      </c>
      <c r="J316" s="2560"/>
      <c r="K316" s="2562">
        <v>17.891999999999999</v>
      </c>
      <c r="L316" s="2553"/>
      <c r="M316" s="2554">
        <f t="shared" ref="M316:M321" si="109">F316-I316</f>
        <v>0</v>
      </c>
      <c r="N316" s="2560"/>
      <c r="O316" s="2560"/>
      <c r="P316" s="2560"/>
      <c r="Q316" s="2560"/>
      <c r="R316" s="2560"/>
      <c r="S316" s="2561"/>
      <c r="T316" s="2560"/>
      <c r="U316" s="2560"/>
      <c r="V316" s="2560"/>
      <c r="W316" s="2555">
        <f t="shared" ref="W316:W321" si="110">F316-I316-M316</f>
        <v>0</v>
      </c>
    </row>
    <row r="317" spans="1:23" s="2395" customFormat="1" ht="41.25" customHeight="1" x14ac:dyDescent="0.25">
      <c r="A317" s="2548"/>
      <c r="B317" s="2556" t="s">
        <v>3464</v>
      </c>
      <c r="C317" s="2550"/>
      <c r="D317" s="2550"/>
      <c r="E317" s="2550"/>
      <c r="F317" s="2557">
        <f t="shared" si="107"/>
        <v>191.161395</v>
      </c>
      <c r="G317" s="2557"/>
      <c r="H317" s="2558">
        <v>191.161395</v>
      </c>
      <c r="I317" s="2553">
        <f t="shared" si="108"/>
        <v>146.40939499999999</v>
      </c>
      <c r="J317" s="2560"/>
      <c r="K317" s="2562">
        <v>146.40939499999999</v>
      </c>
      <c r="L317" s="2553"/>
      <c r="M317" s="2554">
        <f>F317-I317</f>
        <v>44.75200000000001</v>
      </c>
      <c r="N317" s="2560"/>
      <c r="O317" s="2560"/>
      <c r="P317" s="2560"/>
      <c r="Q317" s="2560"/>
      <c r="R317" s="2560"/>
      <c r="S317" s="2561"/>
      <c r="T317" s="2560"/>
      <c r="U317" s="2560"/>
      <c r="V317" s="2560"/>
      <c r="W317" s="2555">
        <f t="shared" si="110"/>
        <v>0</v>
      </c>
    </row>
    <row r="318" spans="1:23" s="2395" customFormat="1" ht="38.25" customHeight="1" x14ac:dyDescent="0.25">
      <c r="A318" s="2548"/>
      <c r="B318" s="2556" t="s">
        <v>3437</v>
      </c>
      <c r="C318" s="2550"/>
      <c r="D318" s="2550"/>
      <c r="E318" s="2550"/>
      <c r="F318" s="2557">
        <f t="shared" si="107"/>
        <v>0.92</v>
      </c>
      <c r="G318" s="2557"/>
      <c r="H318" s="2558">
        <v>0.92</v>
      </c>
      <c r="I318" s="2553">
        <f t="shared" si="108"/>
        <v>0</v>
      </c>
      <c r="J318" s="2557"/>
      <c r="K318" s="2558">
        <v>0</v>
      </c>
      <c r="L318" s="2553"/>
      <c r="M318" s="2554"/>
      <c r="N318" s="2557"/>
      <c r="O318" s="2557"/>
      <c r="P318" s="2557"/>
      <c r="Q318" s="2557"/>
      <c r="R318" s="2557"/>
      <c r="S318" s="2559"/>
      <c r="T318" s="2557"/>
      <c r="U318" s="2557"/>
      <c r="V318" s="2557"/>
      <c r="W318" s="2555">
        <f t="shared" si="110"/>
        <v>0.92</v>
      </c>
    </row>
    <row r="319" spans="1:23" s="2395" customFormat="1" ht="39" customHeight="1" x14ac:dyDescent="0.25">
      <c r="A319" s="2548"/>
      <c r="B319" s="2556" t="s">
        <v>3438</v>
      </c>
      <c r="C319" s="2550"/>
      <c r="D319" s="2550"/>
      <c r="E319" s="2550"/>
      <c r="F319" s="2557">
        <f t="shared" si="107"/>
        <v>47.281171999999998</v>
      </c>
      <c r="G319" s="2557"/>
      <c r="H319" s="2558">
        <v>47.281171999999998</v>
      </c>
      <c r="I319" s="2553">
        <f t="shared" si="108"/>
        <v>47.281171999999998</v>
      </c>
      <c r="J319" s="2557"/>
      <c r="K319" s="2558">
        <v>47.281171999999998</v>
      </c>
      <c r="L319" s="2553"/>
      <c r="M319" s="2554">
        <f t="shared" si="109"/>
        <v>0</v>
      </c>
      <c r="N319" s="2557"/>
      <c r="O319" s="2557"/>
      <c r="P319" s="2557"/>
      <c r="Q319" s="2557"/>
      <c r="R319" s="2557"/>
      <c r="S319" s="2559"/>
      <c r="T319" s="2557"/>
      <c r="U319" s="2557"/>
      <c r="V319" s="2557"/>
      <c r="W319" s="2555">
        <f t="shared" si="110"/>
        <v>0</v>
      </c>
    </row>
    <row r="320" spans="1:23" s="2395" customFormat="1" ht="36" customHeight="1" x14ac:dyDescent="0.25">
      <c r="A320" s="2548"/>
      <c r="B320" s="2556" t="s">
        <v>3439</v>
      </c>
      <c r="C320" s="2550"/>
      <c r="D320" s="2550"/>
      <c r="E320" s="2550"/>
      <c r="F320" s="2557">
        <f t="shared" si="107"/>
        <v>12.468</v>
      </c>
      <c r="G320" s="2557"/>
      <c r="H320" s="2558">
        <v>12.468</v>
      </c>
      <c r="I320" s="2553">
        <f t="shared" si="108"/>
        <v>12.468</v>
      </c>
      <c r="J320" s="2557"/>
      <c r="K320" s="2558">
        <v>12.468</v>
      </c>
      <c r="L320" s="2553"/>
      <c r="M320" s="2554">
        <f t="shared" si="109"/>
        <v>0</v>
      </c>
      <c r="N320" s="2557"/>
      <c r="O320" s="2557"/>
      <c r="P320" s="2557"/>
      <c r="Q320" s="2557"/>
      <c r="R320" s="2557"/>
      <c r="S320" s="2559"/>
      <c r="T320" s="2557"/>
      <c r="U320" s="2557"/>
      <c r="V320" s="2557"/>
      <c r="W320" s="2555">
        <f t="shared" si="110"/>
        <v>0</v>
      </c>
    </row>
    <row r="321" spans="1:23" s="2395" customFormat="1" ht="33" x14ac:dyDescent="0.25">
      <c r="A321" s="2548"/>
      <c r="B321" s="2549" t="s">
        <v>3440</v>
      </c>
      <c r="C321" s="2550"/>
      <c r="D321" s="2550"/>
      <c r="E321" s="2550"/>
      <c r="F321" s="2557">
        <f t="shared" si="107"/>
        <v>7.4749999999999996</v>
      </c>
      <c r="G321" s="2557"/>
      <c r="H321" s="2558">
        <v>7.4749999999999996</v>
      </c>
      <c r="I321" s="2553">
        <f t="shared" si="108"/>
        <v>7.4749999999999996</v>
      </c>
      <c r="J321" s="2557"/>
      <c r="K321" s="2558">
        <v>7.4749999999999996</v>
      </c>
      <c r="L321" s="2559"/>
      <c r="M321" s="2554">
        <f t="shared" si="109"/>
        <v>0</v>
      </c>
      <c r="N321" s="2557"/>
      <c r="O321" s="2557"/>
      <c r="P321" s="2557"/>
      <c r="Q321" s="2557"/>
      <c r="R321" s="2557"/>
      <c r="S321" s="2559"/>
      <c r="T321" s="2557"/>
      <c r="U321" s="2557"/>
      <c r="V321" s="2557"/>
      <c r="W321" s="2555">
        <f t="shared" si="110"/>
        <v>0</v>
      </c>
    </row>
    <row r="322" spans="1:23" s="583" customFormat="1" ht="16.5" x14ac:dyDescent="0.25">
      <c r="A322" s="2443">
        <v>15</v>
      </c>
      <c r="B322" s="2545" t="s">
        <v>2617</v>
      </c>
      <c r="C322" s="2444"/>
      <c r="D322" s="2444"/>
      <c r="E322" s="2444"/>
      <c r="F322" s="2445">
        <f>SUM(F323:F328)</f>
        <v>120.743562</v>
      </c>
      <c r="G322" s="2445">
        <f t="shared" ref="G322:W322" si="111">SUM(G323:G328)</f>
        <v>0</v>
      </c>
      <c r="H322" s="2445">
        <f t="shared" si="111"/>
        <v>120.743562</v>
      </c>
      <c r="I322" s="2445">
        <f t="shared" si="111"/>
        <v>120.330562</v>
      </c>
      <c r="J322" s="2445">
        <f t="shared" si="111"/>
        <v>0</v>
      </c>
      <c r="K322" s="2445">
        <f t="shared" si="111"/>
        <v>120.330562</v>
      </c>
      <c r="L322" s="2445">
        <f t="shared" si="111"/>
        <v>0</v>
      </c>
      <c r="M322" s="2563">
        <f t="shared" si="111"/>
        <v>0</v>
      </c>
      <c r="N322" s="2445">
        <f t="shared" si="111"/>
        <v>0</v>
      </c>
      <c r="O322" s="2445">
        <f t="shared" si="111"/>
        <v>0</v>
      </c>
      <c r="P322" s="2445">
        <f t="shared" si="111"/>
        <v>0</v>
      </c>
      <c r="Q322" s="2445">
        <f t="shared" si="111"/>
        <v>0</v>
      </c>
      <c r="R322" s="2445">
        <f t="shared" si="111"/>
        <v>0</v>
      </c>
      <c r="S322" s="2445">
        <f t="shared" si="111"/>
        <v>0</v>
      </c>
      <c r="T322" s="2445">
        <f t="shared" si="111"/>
        <v>0</v>
      </c>
      <c r="U322" s="2445">
        <f t="shared" si="111"/>
        <v>0</v>
      </c>
      <c r="V322" s="2445">
        <f t="shared" si="111"/>
        <v>0</v>
      </c>
      <c r="W322" s="2547">
        <f t="shared" si="111"/>
        <v>0.41300000000000026</v>
      </c>
    </row>
    <row r="323" spans="1:23" s="2395" customFormat="1" ht="16.5" x14ac:dyDescent="0.25">
      <c r="A323" s="2548"/>
      <c r="B323" s="2549" t="s">
        <v>3446</v>
      </c>
      <c r="C323" s="2550"/>
      <c r="D323" s="2550"/>
      <c r="E323" s="2550"/>
      <c r="F323" s="2551">
        <f>H323</f>
        <v>3.75</v>
      </c>
      <c r="G323" s="2551"/>
      <c r="H323" s="2552">
        <v>3.75</v>
      </c>
      <c r="I323" s="2553">
        <f t="shared" ref="I323:I328" si="112">J323+K323</f>
        <v>3.75</v>
      </c>
      <c r="J323" s="2551"/>
      <c r="K323" s="2552">
        <v>3.75</v>
      </c>
      <c r="L323" s="2553">
        <f>H323-K323</f>
        <v>0</v>
      </c>
      <c r="M323" s="2554">
        <f>F323-I323</f>
        <v>0</v>
      </c>
      <c r="N323" s="2551"/>
      <c r="O323" s="2551"/>
      <c r="P323" s="2551"/>
      <c r="Q323" s="2551"/>
      <c r="R323" s="2551"/>
      <c r="S323" s="2553"/>
      <c r="T323" s="2551"/>
      <c r="U323" s="2551"/>
      <c r="V323" s="2551"/>
      <c r="W323" s="2555"/>
    </row>
    <row r="324" spans="1:23" s="2395" customFormat="1" x14ac:dyDescent="0.25">
      <c r="A324" s="2548"/>
      <c r="B324" s="2556" t="s">
        <v>3436</v>
      </c>
      <c r="C324" s="2550"/>
      <c r="D324" s="2550"/>
      <c r="E324" s="2550"/>
      <c r="F324" s="2557">
        <f>G324+H324</f>
        <v>17.913</v>
      </c>
      <c r="G324" s="2557"/>
      <c r="H324" s="2558">
        <v>17.913</v>
      </c>
      <c r="I324" s="2553">
        <f t="shared" si="112"/>
        <v>17.5</v>
      </c>
      <c r="J324" s="2560"/>
      <c r="K324" s="2562">
        <v>17.5</v>
      </c>
      <c r="L324" s="2553"/>
      <c r="M324" s="2554"/>
      <c r="N324" s="2560"/>
      <c r="O324" s="2560"/>
      <c r="P324" s="2560"/>
      <c r="Q324" s="2560"/>
      <c r="R324" s="2560"/>
      <c r="S324" s="2561"/>
      <c r="T324" s="2560"/>
      <c r="U324" s="2560"/>
      <c r="V324" s="2560"/>
      <c r="W324" s="2555">
        <f>H324-K324</f>
        <v>0.41300000000000026</v>
      </c>
    </row>
    <row r="325" spans="1:23" s="2395" customFormat="1" ht="31.5" x14ac:dyDescent="0.25">
      <c r="A325" s="2548"/>
      <c r="B325" s="2556" t="s">
        <v>3438</v>
      </c>
      <c r="C325" s="2550"/>
      <c r="D325" s="2550"/>
      <c r="E325" s="2550"/>
      <c r="F325" s="2557">
        <f>G325+H325</f>
        <v>63.041561999999999</v>
      </c>
      <c r="G325" s="2557"/>
      <c r="H325" s="2558">
        <v>63.041561999999999</v>
      </c>
      <c r="I325" s="2553">
        <f t="shared" si="112"/>
        <v>63.041561999999999</v>
      </c>
      <c r="J325" s="2557"/>
      <c r="K325" s="2558">
        <v>63.041561999999999</v>
      </c>
      <c r="L325" s="2577"/>
      <c r="M325" s="2554">
        <f>F325-I325</f>
        <v>0</v>
      </c>
      <c r="N325" s="2557"/>
      <c r="O325" s="2557"/>
      <c r="P325" s="2557"/>
      <c r="Q325" s="2557"/>
      <c r="R325" s="2557"/>
      <c r="S325" s="2559"/>
      <c r="T325" s="2557"/>
      <c r="U325" s="2557"/>
      <c r="V325" s="2557"/>
      <c r="W325" s="2555"/>
    </row>
    <row r="326" spans="1:23" s="2395" customFormat="1" ht="31.5" x14ac:dyDescent="0.25">
      <c r="A326" s="2548"/>
      <c r="B326" s="2556" t="s">
        <v>3439</v>
      </c>
      <c r="C326" s="2550"/>
      <c r="D326" s="2550"/>
      <c r="E326" s="2550"/>
      <c r="F326" s="2557">
        <f>G326+H326</f>
        <v>20.652000000000001</v>
      </c>
      <c r="G326" s="2557"/>
      <c r="H326" s="2558">
        <v>20.652000000000001</v>
      </c>
      <c r="I326" s="2553">
        <f t="shared" si="112"/>
        <v>20.652000000000001</v>
      </c>
      <c r="J326" s="2557"/>
      <c r="K326" s="2558">
        <v>20.652000000000001</v>
      </c>
      <c r="L326" s="2553">
        <f>H326-K326</f>
        <v>0</v>
      </c>
      <c r="M326" s="2554">
        <f>F326-I326</f>
        <v>0</v>
      </c>
      <c r="N326" s="2557"/>
      <c r="O326" s="2557"/>
      <c r="P326" s="2557"/>
      <c r="Q326" s="2557"/>
      <c r="R326" s="2557"/>
      <c r="S326" s="2559"/>
      <c r="T326" s="2557"/>
      <c r="U326" s="2557"/>
      <c r="V326" s="2557"/>
      <c r="W326" s="2555"/>
    </row>
    <row r="327" spans="1:23" s="2395" customFormat="1" x14ac:dyDescent="0.25">
      <c r="A327" s="2548"/>
      <c r="B327" s="2556" t="s">
        <v>3465</v>
      </c>
      <c r="C327" s="2550"/>
      <c r="D327" s="2550"/>
      <c r="E327" s="2550"/>
      <c r="F327" s="2557">
        <f>G327+H327</f>
        <v>7.9119999999999999</v>
      </c>
      <c r="G327" s="2557"/>
      <c r="H327" s="2558">
        <v>7.9119999999999999</v>
      </c>
      <c r="I327" s="2553">
        <f t="shared" si="112"/>
        <v>7.9119999999999999</v>
      </c>
      <c r="J327" s="2557"/>
      <c r="K327" s="2558">
        <v>7.9119999999999999</v>
      </c>
      <c r="L327" s="2553"/>
      <c r="M327" s="2554">
        <f>F327-I327</f>
        <v>0</v>
      </c>
      <c r="N327" s="2557"/>
      <c r="O327" s="2557"/>
      <c r="P327" s="2557"/>
      <c r="Q327" s="2557"/>
      <c r="R327" s="2557"/>
      <c r="S327" s="2559"/>
      <c r="T327" s="2557"/>
      <c r="U327" s="2557"/>
      <c r="V327" s="2557"/>
      <c r="W327" s="2555"/>
    </row>
    <row r="328" spans="1:23" s="2395" customFormat="1" ht="33" x14ac:dyDescent="0.25">
      <c r="A328" s="2548"/>
      <c r="B328" s="2549" t="s">
        <v>3440</v>
      </c>
      <c r="C328" s="2550"/>
      <c r="D328" s="2550"/>
      <c r="E328" s="2550"/>
      <c r="F328" s="2557">
        <f>G328+H328</f>
        <v>7.4749999999999996</v>
      </c>
      <c r="G328" s="2557"/>
      <c r="H328" s="2558">
        <v>7.4749999999999996</v>
      </c>
      <c r="I328" s="2553">
        <f t="shared" si="112"/>
        <v>7.4749999999999996</v>
      </c>
      <c r="J328" s="2557"/>
      <c r="K328" s="2558">
        <v>7.4749999999999996</v>
      </c>
      <c r="L328" s="2553">
        <f>H328-K328</f>
        <v>0</v>
      </c>
      <c r="M328" s="2554">
        <f>F328-I328</f>
        <v>0</v>
      </c>
      <c r="N328" s="2557"/>
      <c r="O328" s="2557"/>
      <c r="P328" s="2557"/>
      <c r="Q328" s="2557"/>
      <c r="R328" s="2557"/>
      <c r="S328" s="2559"/>
      <c r="T328" s="2557"/>
      <c r="U328" s="2557"/>
      <c r="V328" s="2557"/>
      <c r="W328" s="2555"/>
    </row>
    <row r="329" spans="1:23" s="583" customFormat="1" ht="16.5" x14ac:dyDescent="0.25">
      <c r="A329" s="2443">
        <v>16</v>
      </c>
      <c r="B329" s="2545" t="s">
        <v>2392</v>
      </c>
      <c r="C329" s="2444"/>
      <c r="D329" s="2444"/>
      <c r="E329" s="2444"/>
      <c r="F329" s="2445">
        <f>SUM(F330:F336)</f>
        <v>699.60729200000003</v>
      </c>
      <c r="G329" s="2445">
        <f t="shared" ref="G329:V329" si="113">SUM(G330:G336)</f>
        <v>0</v>
      </c>
      <c r="H329" s="2445">
        <f t="shared" si="113"/>
        <v>699.60729200000003</v>
      </c>
      <c r="I329" s="2445">
        <f t="shared" si="113"/>
        <v>693.81427199999996</v>
      </c>
      <c r="J329" s="2445">
        <f t="shared" si="113"/>
        <v>0</v>
      </c>
      <c r="K329" s="2445">
        <f t="shared" si="113"/>
        <v>693.81427199999996</v>
      </c>
      <c r="L329" s="2445">
        <f t="shared" si="113"/>
        <v>0</v>
      </c>
      <c r="M329" s="2563">
        <f t="shared" si="113"/>
        <v>0</v>
      </c>
      <c r="N329" s="2445">
        <f t="shared" si="113"/>
        <v>0</v>
      </c>
      <c r="O329" s="2445">
        <f t="shared" si="113"/>
        <v>0</v>
      </c>
      <c r="P329" s="2445">
        <f t="shared" si="113"/>
        <v>0</v>
      </c>
      <c r="Q329" s="2445">
        <f t="shared" si="113"/>
        <v>0</v>
      </c>
      <c r="R329" s="2445">
        <f t="shared" si="113"/>
        <v>0</v>
      </c>
      <c r="S329" s="2445">
        <f t="shared" si="113"/>
        <v>0</v>
      </c>
      <c r="T329" s="2445">
        <f t="shared" si="113"/>
        <v>4.4699999999999989</v>
      </c>
      <c r="U329" s="2445">
        <f t="shared" si="113"/>
        <v>0</v>
      </c>
      <c r="V329" s="2445">
        <f t="shared" si="113"/>
        <v>0</v>
      </c>
      <c r="W329" s="2547">
        <f>SUM(W330:W336)</f>
        <v>1.3230199999999996</v>
      </c>
    </row>
    <row r="330" spans="1:23" s="2395" customFormat="1" ht="16.5" x14ac:dyDescent="0.25">
      <c r="A330" s="2548"/>
      <c r="B330" s="2549" t="s">
        <v>3446</v>
      </c>
      <c r="C330" s="2550"/>
      <c r="D330" s="2550"/>
      <c r="E330" s="2550"/>
      <c r="F330" s="2557">
        <f t="shared" ref="F330:F336" si="114">G330+H330</f>
        <v>1.68</v>
      </c>
      <c r="G330" s="2557"/>
      <c r="H330" s="2558">
        <v>1.68</v>
      </c>
      <c r="I330" s="2559">
        <f>J330+K330</f>
        <v>1.68</v>
      </c>
      <c r="J330" s="2560"/>
      <c r="K330" s="2558">
        <v>1.68</v>
      </c>
      <c r="L330" s="2561"/>
      <c r="M330" s="2554">
        <f>F330-I330</f>
        <v>0</v>
      </c>
      <c r="N330" s="2560"/>
      <c r="O330" s="2560"/>
      <c r="P330" s="2560"/>
      <c r="Q330" s="2560"/>
      <c r="R330" s="2560"/>
      <c r="S330" s="2561"/>
      <c r="T330" s="2560"/>
      <c r="U330" s="2560"/>
      <c r="V330" s="2560"/>
      <c r="W330" s="2555">
        <f>F330-I330-M330</f>
        <v>0</v>
      </c>
    </row>
    <row r="331" spans="1:23" s="2395" customFormat="1" ht="33" x14ac:dyDescent="0.25">
      <c r="A331" s="2548"/>
      <c r="B331" s="2549" t="s">
        <v>3466</v>
      </c>
      <c r="C331" s="2550"/>
      <c r="D331" s="2550"/>
      <c r="E331" s="2550"/>
      <c r="F331" s="2551">
        <f t="shared" si="114"/>
        <v>20.154419999999998</v>
      </c>
      <c r="G331" s="2551"/>
      <c r="H331" s="2552">
        <v>20.154419999999998</v>
      </c>
      <c r="I331" s="2559">
        <f t="shared" ref="I331:I336" si="115">J331+K331</f>
        <v>20.154399999999999</v>
      </c>
      <c r="J331" s="2551"/>
      <c r="K331" s="2558">
        <v>20.154399999999999</v>
      </c>
      <c r="L331" s="2553"/>
      <c r="M331" s="2554"/>
      <c r="N331" s="2551"/>
      <c r="O331" s="2551"/>
      <c r="P331" s="2551"/>
      <c r="Q331" s="2551"/>
      <c r="R331" s="2551"/>
      <c r="S331" s="2553"/>
      <c r="T331" s="2551"/>
      <c r="U331" s="2551"/>
      <c r="V331" s="2551"/>
      <c r="W331" s="2555">
        <f t="shared" ref="W331:W336" si="116">F331-I331-M331</f>
        <v>1.9999999999242846E-5</v>
      </c>
    </row>
    <row r="332" spans="1:23" s="589" customFormat="1" ht="34.5" customHeight="1" x14ac:dyDescent="0.25">
      <c r="A332" s="2451"/>
      <c r="B332" s="2556" t="s">
        <v>3436</v>
      </c>
      <c r="C332" s="2453"/>
      <c r="D332" s="2453"/>
      <c r="E332" s="2453"/>
      <c r="F332" s="2557">
        <f t="shared" si="114"/>
        <v>17.702999999999999</v>
      </c>
      <c r="G332" s="2557"/>
      <c r="H332" s="2558">
        <v>17.702999999999999</v>
      </c>
      <c r="I332" s="2559">
        <f t="shared" si="115"/>
        <v>16.38</v>
      </c>
      <c r="J332" s="2557"/>
      <c r="K332" s="2558">
        <v>16.38</v>
      </c>
      <c r="L332" s="2559"/>
      <c r="M332" s="2554"/>
      <c r="N332" s="2557"/>
      <c r="O332" s="2557"/>
      <c r="P332" s="2557"/>
      <c r="Q332" s="2557"/>
      <c r="R332" s="2557"/>
      <c r="S332" s="2559"/>
      <c r="T332" s="2557"/>
      <c r="U332" s="2557"/>
      <c r="V332" s="2557"/>
      <c r="W332" s="2555">
        <f t="shared" si="116"/>
        <v>1.3230000000000004</v>
      </c>
    </row>
    <row r="333" spans="1:23" s="589" customFormat="1" ht="31.5" x14ac:dyDescent="0.25">
      <c r="A333" s="2451"/>
      <c r="B333" s="2556" t="s">
        <v>3444</v>
      </c>
      <c r="C333" s="2453"/>
      <c r="D333" s="2453"/>
      <c r="E333" s="2453"/>
      <c r="F333" s="2557">
        <f t="shared" si="114"/>
        <v>234.34549999999999</v>
      </c>
      <c r="G333" s="2557"/>
      <c r="H333" s="2558">
        <v>234.34549999999999</v>
      </c>
      <c r="I333" s="2559">
        <f t="shared" si="115"/>
        <v>229.87549999999999</v>
      </c>
      <c r="J333" s="2557"/>
      <c r="K333" s="2558">
        <v>229.87549999999999</v>
      </c>
      <c r="L333" s="2559"/>
      <c r="M333" s="2554"/>
      <c r="N333" s="2557"/>
      <c r="O333" s="2557"/>
      <c r="P333" s="2557"/>
      <c r="Q333" s="2557"/>
      <c r="R333" s="2557"/>
      <c r="S333" s="2559"/>
      <c r="T333" s="2557">
        <f>F333-I333</f>
        <v>4.4699999999999989</v>
      </c>
      <c r="U333" s="2557"/>
      <c r="V333" s="2557"/>
      <c r="W333" s="2555"/>
    </row>
    <row r="334" spans="1:23" s="589" customFormat="1" x14ac:dyDescent="0.25">
      <c r="A334" s="2451"/>
      <c r="B334" s="2556" t="s">
        <v>3467</v>
      </c>
      <c r="C334" s="2453"/>
      <c r="D334" s="2453"/>
      <c r="E334" s="2453"/>
      <c r="F334" s="2557">
        <f t="shared" si="114"/>
        <v>40</v>
      </c>
      <c r="G334" s="2557"/>
      <c r="H334" s="2558">
        <v>40</v>
      </c>
      <c r="I334" s="2559">
        <f t="shared" si="115"/>
        <v>40</v>
      </c>
      <c r="J334" s="2557"/>
      <c r="K334" s="2558">
        <v>40</v>
      </c>
      <c r="L334" s="2559"/>
      <c r="M334" s="2554">
        <f>F334-I334</f>
        <v>0</v>
      </c>
      <c r="N334" s="2557"/>
      <c r="O334" s="2557"/>
      <c r="P334" s="2557"/>
      <c r="Q334" s="2557"/>
      <c r="R334" s="2557"/>
      <c r="S334" s="2559"/>
      <c r="T334" s="2557"/>
      <c r="U334" s="2557"/>
      <c r="V334" s="2557"/>
      <c r="W334" s="2555">
        <f t="shared" si="116"/>
        <v>0</v>
      </c>
    </row>
    <row r="335" spans="1:23" s="589" customFormat="1" ht="31.5" x14ac:dyDescent="0.25">
      <c r="A335" s="2451"/>
      <c r="B335" s="2556" t="s">
        <v>3438</v>
      </c>
      <c r="C335" s="2453"/>
      <c r="D335" s="2453"/>
      <c r="E335" s="2453"/>
      <c r="F335" s="2557">
        <f t="shared" si="114"/>
        <v>378.24937199999999</v>
      </c>
      <c r="G335" s="2557"/>
      <c r="H335" s="2558">
        <v>378.24937199999999</v>
      </c>
      <c r="I335" s="2559">
        <f t="shared" si="115"/>
        <v>378.24937199999999</v>
      </c>
      <c r="J335" s="2557"/>
      <c r="K335" s="2558">
        <v>378.24937199999999</v>
      </c>
      <c r="L335" s="2559"/>
      <c r="M335" s="2554">
        <f>F335-I335</f>
        <v>0</v>
      </c>
      <c r="N335" s="2557"/>
      <c r="O335" s="2557"/>
      <c r="P335" s="2557"/>
      <c r="Q335" s="2557"/>
      <c r="R335" s="2557"/>
      <c r="S335" s="2559"/>
      <c r="T335" s="2557"/>
      <c r="U335" s="2557"/>
      <c r="V335" s="2557"/>
      <c r="W335" s="2555">
        <f t="shared" si="116"/>
        <v>0</v>
      </c>
    </row>
    <row r="336" spans="1:23" s="2395" customFormat="1" ht="33" x14ac:dyDescent="0.25">
      <c r="A336" s="2548"/>
      <c r="B336" s="2549" t="s">
        <v>3440</v>
      </c>
      <c r="C336" s="2550"/>
      <c r="D336" s="2550"/>
      <c r="E336" s="2550"/>
      <c r="F336" s="2557">
        <f t="shared" si="114"/>
        <v>7.4749999999999996</v>
      </c>
      <c r="G336" s="2557"/>
      <c r="H336" s="2558">
        <v>7.4749999999999996</v>
      </c>
      <c r="I336" s="2559">
        <f t="shared" si="115"/>
        <v>7.4749999999999996</v>
      </c>
      <c r="J336" s="2557"/>
      <c r="K336" s="2558">
        <v>7.4749999999999996</v>
      </c>
      <c r="L336" s="2559"/>
      <c r="M336" s="2554">
        <f>F336-I336</f>
        <v>0</v>
      </c>
      <c r="N336" s="2557"/>
      <c r="O336" s="2557"/>
      <c r="P336" s="2557"/>
      <c r="Q336" s="2557"/>
      <c r="R336" s="2557"/>
      <c r="S336" s="2559"/>
      <c r="T336" s="2557"/>
      <c r="U336" s="2557"/>
      <c r="V336" s="2557"/>
      <c r="W336" s="2555">
        <f t="shared" si="116"/>
        <v>0</v>
      </c>
    </row>
    <row r="337" spans="1:23" s="583" customFormat="1" x14ac:dyDescent="0.25">
      <c r="A337" s="2443">
        <v>17</v>
      </c>
      <c r="B337" s="2564" t="s">
        <v>3130</v>
      </c>
      <c r="C337" s="2444"/>
      <c r="D337" s="2444"/>
      <c r="E337" s="2444"/>
      <c r="F337" s="2445">
        <f t="shared" ref="F337:W337" si="117">SUM(F338:F341)</f>
        <v>289.50428099999999</v>
      </c>
      <c r="G337" s="2445">
        <f t="shared" si="117"/>
        <v>0</v>
      </c>
      <c r="H337" s="2445">
        <f t="shared" si="117"/>
        <v>289.50428099999999</v>
      </c>
      <c r="I337" s="2445">
        <f t="shared" si="117"/>
        <v>289.50428099999999</v>
      </c>
      <c r="J337" s="2445">
        <f t="shared" si="117"/>
        <v>0</v>
      </c>
      <c r="K337" s="2445">
        <f t="shared" si="117"/>
        <v>289.50428099999999</v>
      </c>
      <c r="L337" s="2445">
        <f t="shared" si="117"/>
        <v>0</v>
      </c>
      <c r="M337" s="2563">
        <f t="shared" si="117"/>
        <v>0</v>
      </c>
      <c r="N337" s="2445">
        <f t="shared" si="117"/>
        <v>0</v>
      </c>
      <c r="O337" s="2445">
        <f t="shared" si="117"/>
        <v>0</v>
      </c>
      <c r="P337" s="2445">
        <f t="shared" si="117"/>
        <v>0</v>
      </c>
      <c r="Q337" s="2445">
        <f t="shared" si="117"/>
        <v>0</v>
      </c>
      <c r="R337" s="2445">
        <f t="shared" si="117"/>
        <v>0</v>
      </c>
      <c r="S337" s="2445">
        <f t="shared" si="117"/>
        <v>0</v>
      </c>
      <c r="T337" s="2445">
        <f t="shared" si="117"/>
        <v>0</v>
      </c>
      <c r="U337" s="2445">
        <f t="shared" si="117"/>
        <v>0</v>
      </c>
      <c r="V337" s="2445">
        <f t="shared" si="117"/>
        <v>0</v>
      </c>
      <c r="W337" s="2547">
        <f t="shared" si="117"/>
        <v>0</v>
      </c>
    </row>
    <row r="338" spans="1:23" s="2395" customFormat="1" x14ac:dyDescent="0.25">
      <c r="A338" s="2548"/>
      <c r="B338" s="2556" t="s">
        <v>3436</v>
      </c>
      <c r="C338" s="2550"/>
      <c r="D338" s="2550"/>
      <c r="E338" s="2550"/>
      <c r="F338" s="2551">
        <f>G338+H338</f>
        <v>17.408999999999999</v>
      </c>
      <c r="G338" s="2551"/>
      <c r="H338" s="2552">
        <v>17.408999999999999</v>
      </c>
      <c r="I338" s="2553">
        <f>J338+K338</f>
        <v>17.408999999999999</v>
      </c>
      <c r="J338" s="2551"/>
      <c r="K338" s="2552">
        <v>17.408999999999999</v>
      </c>
      <c r="L338" s="2553"/>
      <c r="M338" s="2554">
        <f>F338-I338</f>
        <v>0</v>
      </c>
      <c r="N338" s="2551"/>
      <c r="O338" s="2551"/>
      <c r="P338" s="2551"/>
      <c r="Q338" s="2551"/>
      <c r="R338" s="2551"/>
      <c r="S338" s="2553"/>
      <c r="T338" s="2551"/>
      <c r="U338" s="2551"/>
      <c r="V338" s="2551"/>
      <c r="W338" s="2555"/>
    </row>
    <row r="339" spans="1:23" s="589" customFormat="1" ht="31.5" x14ac:dyDescent="0.25">
      <c r="A339" s="2451"/>
      <c r="B339" s="2556" t="s">
        <v>3444</v>
      </c>
      <c r="C339" s="2453"/>
      <c r="D339" s="2453"/>
      <c r="E339" s="2453"/>
      <c r="F339" s="2557">
        <f>G339+H339</f>
        <v>233.09950000000001</v>
      </c>
      <c r="G339" s="2557"/>
      <c r="H339" s="2558">
        <v>233.09950000000001</v>
      </c>
      <c r="I339" s="2553">
        <f>J339+K339</f>
        <v>233.09950000000001</v>
      </c>
      <c r="J339" s="2557"/>
      <c r="K339" s="2558">
        <v>233.09950000000001</v>
      </c>
      <c r="L339" s="2559"/>
      <c r="M339" s="2554">
        <f>F339-I339</f>
        <v>0</v>
      </c>
      <c r="N339" s="2557"/>
      <c r="O339" s="2557"/>
      <c r="P339" s="2557"/>
      <c r="Q339" s="2557"/>
      <c r="R339" s="2557"/>
      <c r="S339" s="2559"/>
      <c r="T339" s="2557"/>
      <c r="U339" s="2557"/>
      <c r="V339" s="2557"/>
      <c r="W339" s="2555"/>
    </row>
    <row r="340" spans="1:23" s="589" customFormat="1" ht="31.5" x14ac:dyDescent="0.25">
      <c r="A340" s="2451"/>
      <c r="B340" s="2556" t="s">
        <v>3438</v>
      </c>
      <c r="C340" s="2453"/>
      <c r="D340" s="2453"/>
      <c r="E340" s="2453"/>
      <c r="F340" s="2557">
        <f>G340+H340</f>
        <v>31.520780999999999</v>
      </c>
      <c r="G340" s="2557"/>
      <c r="H340" s="2558">
        <v>31.520780999999999</v>
      </c>
      <c r="I340" s="2553">
        <f>J340+K340</f>
        <v>31.520780999999999</v>
      </c>
      <c r="J340" s="2557"/>
      <c r="K340" s="2558">
        <v>31.520780999999999</v>
      </c>
      <c r="L340" s="2559"/>
      <c r="M340" s="2554">
        <f>F340-I340</f>
        <v>0</v>
      </c>
      <c r="N340" s="2557"/>
      <c r="O340" s="2557"/>
      <c r="P340" s="2557"/>
      <c r="Q340" s="2557"/>
      <c r="R340" s="2557"/>
      <c r="S340" s="2557"/>
      <c r="T340" s="2557"/>
      <c r="U340" s="2557"/>
      <c r="V340" s="2557"/>
      <c r="W340" s="2555"/>
    </row>
    <row r="341" spans="1:23" s="589" customFormat="1" ht="33" x14ac:dyDescent="0.25">
      <c r="A341" s="2451"/>
      <c r="B341" s="2549" t="s">
        <v>3440</v>
      </c>
      <c r="C341" s="2453"/>
      <c r="D341" s="2453"/>
      <c r="E341" s="2453"/>
      <c r="F341" s="2551">
        <f>G341+H341</f>
        <v>7.4749999999999996</v>
      </c>
      <c r="G341" s="2551"/>
      <c r="H341" s="2552">
        <v>7.4749999999999996</v>
      </c>
      <c r="I341" s="2553">
        <f>J341+K341</f>
        <v>7.4749999999999996</v>
      </c>
      <c r="J341" s="2551"/>
      <c r="K341" s="2552">
        <v>7.4749999999999996</v>
      </c>
      <c r="L341" s="2551"/>
      <c r="M341" s="2554">
        <f>F341-I341</f>
        <v>0</v>
      </c>
      <c r="N341" s="2551"/>
      <c r="O341" s="2551"/>
      <c r="P341" s="2551"/>
      <c r="Q341" s="2551"/>
      <c r="R341" s="2551"/>
      <c r="S341" s="2553"/>
      <c r="T341" s="2551"/>
      <c r="U341" s="2551"/>
      <c r="V341" s="2551"/>
      <c r="W341" s="2555"/>
    </row>
    <row r="342" spans="1:23" s="583" customFormat="1" x14ac:dyDescent="0.25">
      <c r="A342" s="2443">
        <v>18</v>
      </c>
      <c r="B342" s="2564" t="s">
        <v>2400</v>
      </c>
      <c r="C342" s="2444"/>
      <c r="D342" s="2444"/>
      <c r="E342" s="2444"/>
      <c r="F342" s="2445">
        <f t="shared" ref="F342:W342" si="118">SUM(F343:F348)</f>
        <v>1463.733007</v>
      </c>
      <c r="G342" s="2445">
        <f t="shared" si="118"/>
        <v>0</v>
      </c>
      <c r="H342" s="2445">
        <f t="shared" si="118"/>
        <v>1463.733007</v>
      </c>
      <c r="I342" s="2445">
        <f t="shared" si="118"/>
        <v>1463.300219</v>
      </c>
      <c r="J342" s="2445">
        <f t="shared" si="118"/>
        <v>0</v>
      </c>
      <c r="K342" s="2445">
        <f t="shared" si="118"/>
        <v>1463.300219</v>
      </c>
      <c r="L342" s="2445">
        <f t="shared" si="118"/>
        <v>0</v>
      </c>
      <c r="M342" s="2563">
        <f t="shared" si="118"/>
        <v>0</v>
      </c>
      <c r="N342" s="2445">
        <f t="shared" si="118"/>
        <v>0</v>
      </c>
      <c r="O342" s="2445">
        <f t="shared" si="118"/>
        <v>0</v>
      </c>
      <c r="P342" s="2445">
        <f t="shared" si="118"/>
        <v>0</v>
      </c>
      <c r="Q342" s="2445">
        <f t="shared" si="118"/>
        <v>0</v>
      </c>
      <c r="R342" s="2445">
        <f t="shared" si="118"/>
        <v>0</v>
      </c>
      <c r="S342" s="2445">
        <f t="shared" si="118"/>
        <v>0</v>
      </c>
      <c r="T342" s="2445">
        <f t="shared" si="118"/>
        <v>0</v>
      </c>
      <c r="U342" s="2445">
        <f t="shared" si="118"/>
        <v>0</v>
      </c>
      <c r="V342" s="2445">
        <f t="shared" si="118"/>
        <v>0</v>
      </c>
      <c r="W342" s="2547">
        <f t="shared" si="118"/>
        <v>0.43278800000006967</v>
      </c>
    </row>
    <row r="343" spans="1:23" s="2395" customFormat="1" ht="36" customHeight="1" x14ac:dyDescent="0.25">
      <c r="A343" s="2548"/>
      <c r="B343" s="2556" t="s">
        <v>3468</v>
      </c>
      <c r="C343" s="2550"/>
      <c r="D343" s="2550"/>
      <c r="E343" s="2550"/>
      <c r="F343" s="2560">
        <f t="shared" ref="F343:F348" si="119">G343+H343</f>
        <v>1350.6624550000001</v>
      </c>
      <c r="G343" s="2560"/>
      <c r="H343" s="2562">
        <f>1340.253355+10.4091</f>
        <v>1350.6624550000001</v>
      </c>
      <c r="I343" s="2561">
        <f t="shared" ref="I343:I348" si="120">J343+K343</f>
        <v>1350.2296670000001</v>
      </c>
      <c r="J343" s="2560"/>
      <c r="K343" s="2562">
        <f>1339.820567+10.4091</f>
        <v>1350.2296670000001</v>
      </c>
      <c r="L343" s="2561"/>
      <c r="M343" s="2554">
        <v>0</v>
      </c>
      <c r="N343" s="2560"/>
      <c r="O343" s="2560"/>
      <c r="P343" s="2560"/>
      <c r="Q343" s="2560"/>
      <c r="R343" s="2560"/>
      <c r="S343" s="2561"/>
      <c r="T343" s="2560"/>
      <c r="U343" s="2560"/>
      <c r="V343" s="2560"/>
      <c r="W343" s="2555">
        <f t="shared" ref="W343:W348" si="121">F343-I343-M343</f>
        <v>0.43278800000007323</v>
      </c>
    </row>
    <row r="344" spans="1:23" s="589" customFormat="1" ht="33" x14ac:dyDescent="0.25">
      <c r="A344" s="2451"/>
      <c r="B344" s="2549" t="s">
        <v>3440</v>
      </c>
      <c r="C344" s="2453"/>
      <c r="D344" s="2453"/>
      <c r="E344" s="2453"/>
      <c r="F344" s="2551">
        <f t="shared" si="119"/>
        <v>7.4749999999999996</v>
      </c>
      <c r="G344" s="2551"/>
      <c r="H344" s="2552">
        <v>7.4749999999999996</v>
      </c>
      <c r="I344" s="2553">
        <f t="shared" si="120"/>
        <v>7.4749999999999996</v>
      </c>
      <c r="J344" s="2551"/>
      <c r="K344" s="2552">
        <v>7.4749999999999996</v>
      </c>
      <c r="L344" s="2553"/>
      <c r="M344" s="2554">
        <f>F344-I344</f>
        <v>0</v>
      </c>
      <c r="N344" s="2551"/>
      <c r="O344" s="2551"/>
      <c r="P344" s="2551"/>
      <c r="Q344" s="2551"/>
      <c r="R344" s="2551"/>
      <c r="S344" s="2553"/>
      <c r="T344" s="2551"/>
      <c r="U344" s="2551"/>
      <c r="V344" s="2551"/>
      <c r="W344" s="2555">
        <f t="shared" si="121"/>
        <v>0</v>
      </c>
    </row>
    <row r="345" spans="1:23" s="2395" customFormat="1" ht="31.5" x14ac:dyDescent="0.25">
      <c r="A345" s="2548"/>
      <c r="B345" s="2575" t="s">
        <v>3469</v>
      </c>
      <c r="C345" s="2550"/>
      <c r="D345" s="2550"/>
      <c r="E345" s="2550"/>
      <c r="F345" s="2551">
        <f t="shared" si="119"/>
        <v>8.2135999999999996</v>
      </c>
      <c r="G345" s="2551"/>
      <c r="H345" s="2552">
        <v>8.2135999999999996</v>
      </c>
      <c r="I345" s="2553">
        <f t="shared" si="120"/>
        <v>8.2135999999999996</v>
      </c>
      <c r="J345" s="2551"/>
      <c r="K345" s="2552">
        <v>8.2135999999999996</v>
      </c>
      <c r="L345" s="2553"/>
      <c r="M345" s="2554">
        <f>F345-I345</f>
        <v>0</v>
      </c>
      <c r="N345" s="2551"/>
      <c r="O345" s="2551"/>
      <c r="P345" s="2551"/>
      <c r="Q345" s="2551"/>
      <c r="R345" s="2551"/>
      <c r="S345" s="2553"/>
      <c r="T345" s="2551"/>
      <c r="U345" s="2551"/>
      <c r="V345" s="2551"/>
      <c r="W345" s="2555">
        <f t="shared" si="121"/>
        <v>0</v>
      </c>
    </row>
    <row r="346" spans="1:23" s="589" customFormat="1" ht="16.5" x14ac:dyDescent="0.25">
      <c r="A346" s="2451"/>
      <c r="B346" s="2549" t="s">
        <v>3443</v>
      </c>
      <c r="C346" s="2453"/>
      <c r="D346" s="2453"/>
      <c r="E346" s="2453"/>
      <c r="F346" s="2551">
        <f t="shared" si="119"/>
        <v>0.73</v>
      </c>
      <c r="G346" s="2551"/>
      <c r="H346" s="2552">
        <v>0.73</v>
      </c>
      <c r="I346" s="2553">
        <f t="shared" si="120"/>
        <v>0.73</v>
      </c>
      <c r="J346" s="2551"/>
      <c r="K346" s="2552">
        <v>0.73</v>
      </c>
      <c r="L346" s="2553"/>
      <c r="M346" s="2554">
        <f>F346-I346</f>
        <v>0</v>
      </c>
      <c r="N346" s="2551"/>
      <c r="O346" s="2551"/>
      <c r="P346" s="2551"/>
      <c r="Q346" s="2551"/>
      <c r="R346" s="2551"/>
      <c r="S346" s="2553"/>
      <c r="T346" s="2551"/>
      <c r="U346" s="2551"/>
      <c r="V346" s="2551"/>
      <c r="W346" s="2555">
        <f t="shared" si="121"/>
        <v>0</v>
      </c>
    </row>
    <row r="347" spans="1:23" s="2395" customFormat="1" x14ac:dyDescent="0.25">
      <c r="A347" s="2548"/>
      <c r="B347" s="2556" t="s">
        <v>3436</v>
      </c>
      <c r="C347" s="2550"/>
      <c r="D347" s="2550"/>
      <c r="E347" s="2550"/>
      <c r="F347" s="2551">
        <f t="shared" si="119"/>
        <v>17.849999999999998</v>
      </c>
      <c r="G347" s="2551"/>
      <c r="H347" s="2552">
        <f>16.38+1.47</f>
        <v>17.849999999999998</v>
      </c>
      <c r="I347" s="2553">
        <f t="shared" si="120"/>
        <v>17.850000000000001</v>
      </c>
      <c r="J347" s="2551"/>
      <c r="K347" s="2552">
        <v>17.850000000000001</v>
      </c>
      <c r="L347" s="2553"/>
      <c r="M347" s="2578">
        <f>F347-I347</f>
        <v>0</v>
      </c>
      <c r="N347" s="2551"/>
      <c r="O347" s="2551"/>
      <c r="P347" s="2551"/>
      <c r="Q347" s="2551"/>
      <c r="R347" s="2551"/>
      <c r="S347" s="2553"/>
      <c r="T347" s="2551"/>
      <c r="U347" s="2551"/>
      <c r="V347" s="2551"/>
      <c r="W347" s="2579">
        <f t="shared" si="121"/>
        <v>-3.5527136788005009E-15</v>
      </c>
    </row>
    <row r="348" spans="1:23" s="589" customFormat="1" ht="31.5" x14ac:dyDescent="0.25">
      <c r="A348" s="2451"/>
      <c r="B348" s="2556" t="s">
        <v>3438</v>
      </c>
      <c r="C348" s="2453"/>
      <c r="D348" s="2453"/>
      <c r="E348" s="2453"/>
      <c r="F348" s="2557">
        <f t="shared" si="119"/>
        <v>78.801952</v>
      </c>
      <c r="G348" s="2557"/>
      <c r="H348" s="2558">
        <v>78.801952</v>
      </c>
      <c r="I348" s="2559">
        <f t="shared" si="120"/>
        <v>78.801952</v>
      </c>
      <c r="J348" s="2557"/>
      <c r="K348" s="2558">
        <v>78.801952</v>
      </c>
      <c r="L348" s="2559"/>
      <c r="M348" s="2554">
        <f>F348-I348</f>
        <v>0</v>
      </c>
      <c r="N348" s="2557"/>
      <c r="O348" s="2557"/>
      <c r="P348" s="2557"/>
      <c r="Q348" s="2557"/>
      <c r="R348" s="2557"/>
      <c r="S348" s="2559"/>
      <c r="T348" s="2557"/>
      <c r="U348" s="2557"/>
      <c r="V348" s="2557"/>
      <c r="W348" s="2555">
        <f t="shared" si="121"/>
        <v>0</v>
      </c>
    </row>
    <row r="349" spans="1:23" s="583" customFormat="1" ht="16.5" x14ac:dyDescent="0.25">
      <c r="A349" s="2443">
        <v>19</v>
      </c>
      <c r="B349" s="2545" t="s">
        <v>3126</v>
      </c>
      <c r="C349" s="2444"/>
      <c r="D349" s="2444"/>
      <c r="E349" s="2444"/>
      <c r="F349" s="2446">
        <f>SUM(F350:F356)</f>
        <v>139.05311900000001</v>
      </c>
      <c r="G349" s="2446">
        <f t="shared" ref="G349:V349" si="122">SUM(G350:G356)</f>
        <v>0</v>
      </c>
      <c r="H349" s="2446">
        <f t="shared" si="122"/>
        <v>139.05311900000001</v>
      </c>
      <c r="I349" s="2446">
        <f t="shared" si="122"/>
        <v>139.05311900000001</v>
      </c>
      <c r="J349" s="2446">
        <f t="shared" si="122"/>
        <v>0</v>
      </c>
      <c r="K349" s="2446">
        <f t="shared" si="122"/>
        <v>139.05311900000001</v>
      </c>
      <c r="L349" s="2446">
        <f t="shared" si="122"/>
        <v>0</v>
      </c>
      <c r="M349" s="2448">
        <f t="shared" si="122"/>
        <v>0</v>
      </c>
      <c r="N349" s="2446">
        <f t="shared" si="122"/>
        <v>0</v>
      </c>
      <c r="O349" s="2446">
        <f t="shared" si="122"/>
        <v>0</v>
      </c>
      <c r="P349" s="2446">
        <f t="shared" si="122"/>
        <v>0</v>
      </c>
      <c r="Q349" s="2446">
        <f t="shared" si="122"/>
        <v>0</v>
      </c>
      <c r="R349" s="2446">
        <f t="shared" si="122"/>
        <v>0</v>
      </c>
      <c r="S349" s="2446">
        <f t="shared" si="122"/>
        <v>0</v>
      </c>
      <c r="T349" s="2446">
        <f t="shared" si="122"/>
        <v>0</v>
      </c>
      <c r="U349" s="2446">
        <f t="shared" si="122"/>
        <v>0</v>
      </c>
      <c r="V349" s="2446">
        <f t="shared" si="122"/>
        <v>0</v>
      </c>
      <c r="W349" s="2449">
        <f>SUM(W350:W356)</f>
        <v>0</v>
      </c>
    </row>
    <row r="350" spans="1:23" s="2395" customFormat="1" x14ac:dyDescent="0.25">
      <c r="A350" s="2548"/>
      <c r="B350" s="2556" t="s">
        <v>3436</v>
      </c>
      <c r="C350" s="2550"/>
      <c r="D350" s="2550"/>
      <c r="E350" s="2550"/>
      <c r="F350" s="2557">
        <f>G350+H350</f>
        <v>17.660999999999998</v>
      </c>
      <c r="G350" s="2557"/>
      <c r="H350" s="2558">
        <f>16.38+1.281</f>
        <v>17.660999999999998</v>
      </c>
      <c r="I350" s="2559">
        <f>J350+K350</f>
        <v>17.660999999999998</v>
      </c>
      <c r="J350" s="2557"/>
      <c r="K350" s="2558">
        <v>17.660999999999998</v>
      </c>
      <c r="L350" s="2559"/>
      <c r="M350" s="2554">
        <f>F350-I350</f>
        <v>0</v>
      </c>
      <c r="N350" s="2557"/>
      <c r="O350" s="2557"/>
      <c r="P350" s="2557"/>
      <c r="Q350" s="2557"/>
      <c r="R350" s="2557"/>
      <c r="S350" s="2559"/>
      <c r="T350" s="2557"/>
      <c r="U350" s="2557"/>
      <c r="V350" s="2557"/>
      <c r="W350" s="2555">
        <f>F350-I350-M350</f>
        <v>0</v>
      </c>
    </row>
    <row r="351" spans="1:23" s="2395" customFormat="1" ht="33" x14ac:dyDescent="0.25">
      <c r="A351" s="2548"/>
      <c r="B351" s="2549" t="s">
        <v>3470</v>
      </c>
      <c r="C351" s="2550"/>
      <c r="D351" s="2550"/>
      <c r="E351" s="2550"/>
      <c r="F351" s="2557">
        <f t="shared" ref="F351:F356" si="123">G351+H351</f>
        <v>9.3239999999999998</v>
      </c>
      <c r="G351" s="2557"/>
      <c r="H351" s="2558">
        <v>9.3239999999999998</v>
      </c>
      <c r="I351" s="2559">
        <f t="shared" ref="I351:I356" si="124">J351+K351</f>
        <v>9.3239999999999998</v>
      </c>
      <c r="J351" s="2557"/>
      <c r="K351" s="2558">
        <v>9.3239999999999998</v>
      </c>
      <c r="L351" s="2559"/>
      <c r="M351" s="2554">
        <f t="shared" ref="M351:M356" si="125">F351-I351</f>
        <v>0</v>
      </c>
      <c r="N351" s="2557"/>
      <c r="O351" s="2557"/>
      <c r="P351" s="2557"/>
      <c r="Q351" s="2557"/>
      <c r="R351" s="2557"/>
      <c r="S351" s="2559"/>
      <c r="T351" s="2557"/>
      <c r="U351" s="2557"/>
      <c r="V351" s="2557"/>
      <c r="W351" s="2555">
        <f t="shared" ref="W351:W356" si="126">F351-I351-M351</f>
        <v>0</v>
      </c>
    </row>
    <row r="352" spans="1:23" s="2395" customFormat="1" ht="31.5" x14ac:dyDescent="0.25">
      <c r="A352" s="2548"/>
      <c r="B352" s="2556" t="s">
        <v>3437</v>
      </c>
      <c r="C352" s="2550"/>
      <c r="D352" s="2550"/>
      <c r="E352" s="2550"/>
      <c r="F352" s="2557">
        <f t="shared" si="123"/>
        <v>0.73</v>
      </c>
      <c r="G352" s="2557"/>
      <c r="H352" s="2558">
        <v>0.73</v>
      </c>
      <c r="I352" s="2559">
        <f t="shared" si="124"/>
        <v>0.73</v>
      </c>
      <c r="J352" s="2557"/>
      <c r="K352" s="2558">
        <v>0.73</v>
      </c>
      <c r="L352" s="2559"/>
      <c r="M352" s="2554">
        <f t="shared" si="125"/>
        <v>0</v>
      </c>
      <c r="N352" s="2557"/>
      <c r="O352" s="2557"/>
      <c r="P352" s="2557"/>
      <c r="Q352" s="2557"/>
      <c r="R352" s="2557"/>
      <c r="S352" s="2559"/>
      <c r="T352" s="2557"/>
      <c r="U352" s="2557"/>
      <c r="V352" s="2557"/>
      <c r="W352" s="2555">
        <f t="shared" si="126"/>
        <v>0</v>
      </c>
    </row>
    <row r="353" spans="1:23" s="2395" customFormat="1" ht="31.5" x14ac:dyDescent="0.25">
      <c r="A353" s="2548"/>
      <c r="B353" s="2556" t="s">
        <v>3438</v>
      </c>
      <c r="C353" s="2550"/>
      <c r="D353" s="2550"/>
      <c r="E353" s="2550"/>
      <c r="F353" s="2560">
        <f t="shared" si="123"/>
        <v>31.520780999999999</v>
      </c>
      <c r="G353" s="2560"/>
      <c r="H353" s="2562">
        <v>31.520780999999999</v>
      </c>
      <c r="I353" s="2561">
        <f t="shared" si="124"/>
        <v>31.520780999999999</v>
      </c>
      <c r="J353" s="2560"/>
      <c r="K353" s="2562">
        <v>31.520780999999999</v>
      </c>
      <c r="L353" s="2561"/>
      <c r="M353" s="2554">
        <f t="shared" si="125"/>
        <v>0</v>
      </c>
      <c r="N353" s="2560"/>
      <c r="O353" s="2560"/>
      <c r="P353" s="2560"/>
      <c r="Q353" s="2560"/>
      <c r="R353" s="2560"/>
      <c r="S353" s="2561"/>
      <c r="T353" s="2560"/>
      <c r="U353" s="2560"/>
      <c r="V353" s="2560"/>
      <c r="W353" s="2555">
        <f t="shared" si="126"/>
        <v>0</v>
      </c>
    </row>
    <row r="354" spans="1:23" s="2394" customFormat="1" ht="31.5" x14ac:dyDescent="0.25">
      <c r="A354" s="2580"/>
      <c r="B354" s="2556" t="s">
        <v>3439</v>
      </c>
      <c r="C354" s="2581"/>
      <c r="D354" s="2581"/>
      <c r="E354" s="2581"/>
      <c r="F354" s="2557">
        <f t="shared" si="123"/>
        <v>8.34</v>
      </c>
      <c r="G354" s="2582">
        <f>SUM(G355:G365)</f>
        <v>0</v>
      </c>
      <c r="H354" s="2558">
        <v>8.34</v>
      </c>
      <c r="I354" s="2559">
        <f t="shared" si="124"/>
        <v>8.34</v>
      </c>
      <c r="J354" s="2582">
        <f>SUM(J355:J365)</f>
        <v>0</v>
      </c>
      <c r="K354" s="2558">
        <v>8.34</v>
      </c>
      <c r="L354" s="2583">
        <f>SUM(L355:L365)</f>
        <v>0</v>
      </c>
      <c r="M354" s="2554">
        <f t="shared" si="125"/>
        <v>0</v>
      </c>
      <c r="N354" s="2582">
        <f t="shared" ref="N354:V354" si="127">SUM(N355:N365)</f>
        <v>0</v>
      </c>
      <c r="O354" s="2582">
        <f t="shared" si="127"/>
        <v>0</v>
      </c>
      <c r="P354" s="2582">
        <f t="shared" si="127"/>
        <v>0</v>
      </c>
      <c r="Q354" s="2582">
        <f t="shared" si="127"/>
        <v>0</v>
      </c>
      <c r="R354" s="2582">
        <f t="shared" si="127"/>
        <v>0</v>
      </c>
      <c r="S354" s="2583">
        <f t="shared" si="127"/>
        <v>0</v>
      </c>
      <c r="T354" s="2582">
        <f t="shared" si="127"/>
        <v>0</v>
      </c>
      <c r="U354" s="2582">
        <f t="shared" si="127"/>
        <v>0</v>
      </c>
      <c r="V354" s="2582">
        <f t="shared" si="127"/>
        <v>0</v>
      </c>
      <c r="W354" s="2555">
        <f t="shared" si="126"/>
        <v>0</v>
      </c>
    </row>
    <row r="355" spans="1:23" s="2395" customFormat="1" ht="33" x14ac:dyDescent="0.25">
      <c r="A355" s="2548"/>
      <c r="B355" s="2549" t="s">
        <v>3471</v>
      </c>
      <c r="C355" s="2550"/>
      <c r="D355" s="2550"/>
      <c r="E355" s="2550"/>
      <c r="F355" s="2560">
        <f t="shared" si="123"/>
        <v>64.002337999999995</v>
      </c>
      <c r="G355" s="2560"/>
      <c r="H355" s="2562">
        <v>64.002337999999995</v>
      </c>
      <c r="I355" s="2561">
        <f t="shared" si="124"/>
        <v>64.002337999999995</v>
      </c>
      <c r="J355" s="2560"/>
      <c r="K355" s="2562">
        <v>64.002337999999995</v>
      </c>
      <c r="L355" s="2561"/>
      <c r="M355" s="2554">
        <f t="shared" si="125"/>
        <v>0</v>
      </c>
      <c r="N355" s="2560"/>
      <c r="O355" s="2560"/>
      <c r="P355" s="2560"/>
      <c r="Q355" s="2560"/>
      <c r="R355" s="2560"/>
      <c r="S355" s="2561"/>
      <c r="T355" s="2560"/>
      <c r="U355" s="2560"/>
      <c r="V355" s="2560"/>
      <c r="W355" s="2555">
        <f t="shared" si="126"/>
        <v>0</v>
      </c>
    </row>
    <row r="356" spans="1:23" s="589" customFormat="1" ht="33" x14ac:dyDescent="0.25">
      <c r="A356" s="2451"/>
      <c r="B356" s="2549" t="s">
        <v>3440</v>
      </c>
      <c r="C356" s="2453"/>
      <c r="D356" s="2453"/>
      <c r="E356" s="2453"/>
      <c r="F356" s="2551">
        <f t="shared" si="123"/>
        <v>7.4749999999999996</v>
      </c>
      <c r="G356" s="2551"/>
      <c r="H356" s="2552">
        <v>7.4749999999999996</v>
      </c>
      <c r="I356" s="2553">
        <f t="shared" si="124"/>
        <v>7.4749999999999996</v>
      </c>
      <c r="J356" s="2551"/>
      <c r="K356" s="2552">
        <v>7.4749999999999996</v>
      </c>
      <c r="L356" s="2553"/>
      <c r="M356" s="2554">
        <f t="shared" si="125"/>
        <v>0</v>
      </c>
      <c r="N356" s="2551"/>
      <c r="O356" s="2551"/>
      <c r="P356" s="2551"/>
      <c r="Q356" s="2551"/>
      <c r="R356" s="2551"/>
      <c r="S356" s="2553"/>
      <c r="T356" s="2551"/>
      <c r="U356" s="2551"/>
      <c r="V356" s="2551"/>
      <c r="W356" s="2555">
        <f t="shared" si="126"/>
        <v>0</v>
      </c>
    </row>
    <row r="357" spans="1:23" s="589" customFormat="1" ht="16.5" x14ac:dyDescent="0.25">
      <c r="A357" s="2451">
        <v>20</v>
      </c>
      <c r="B357" s="2545" t="s">
        <v>3127</v>
      </c>
      <c r="C357" s="2453"/>
      <c r="D357" s="2453"/>
      <c r="E357" s="2453"/>
      <c r="F357" s="2445">
        <f>SUM(F358:F363)</f>
        <v>223.06112400000001</v>
      </c>
      <c r="G357" s="2445">
        <f t="shared" ref="G357:V357" si="128">SUM(G358:G363)</f>
        <v>0</v>
      </c>
      <c r="H357" s="2445">
        <f t="shared" si="128"/>
        <v>223.06112400000001</v>
      </c>
      <c r="I357" s="2445">
        <f t="shared" si="128"/>
        <v>211.62642400000001</v>
      </c>
      <c r="J357" s="2445">
        <f t="shared" si="128"/>
        <v>0</v>
      </c>
      <c r="K357" s="2445">
        <f t="shared" si="128"/>
        <v>211.62642400000001</v>
      </c>
      <c r="L357" s="2445">
        <f t="shared" si="128"/>
        <v>0</v>
      </c>
      <c r="M357" s="2563">
        <f t="shared" si="128"/>
        <v>0</v>
      </c>
      <c r="N357" s="2445">
        <f t="shared" si="128"/>
        <v>0</v>
      </c>
      <c r="O357" s="2445">
        <f t="shared" si="128"/>
        <v>0</v>
      </c>
      <c r="P357" s="2445">
        <f t="shared" si="128"/>
        <v>0</v>
      </c>
      <c r="Q357" s="2445">
        <f t="shared" si="128"/>
        <v>0</v>
      </c>
      <c r="R357" s="2445">
        <f t="shared" si="128"/>
        <v>0</v>
      </c>
      <c r="S357" s="2445">
        <f t="shared" si="128"/>
        <v>0</v>
      </c>
      <c r="T357" s="2445">
        <f t="shared" si="128"/>
        <v>0</v>
      </c>
      <c r="U357" s="2445">
        <f t="shared" si="128"/>
        <v>0</v>
      </c>
      <c r="V357" s="2445">
        <f t="shared" si="128"/>
        <v>0</v>
      </c>
      <c r="W357" s="2547">
        <f>SUM(W358:W363)</f>
        <v>11.434700000000007</v>
      </c>
    </row>
    <row r="358" spans="1:23" s="2395" customFormat="1" x14ac:dyDescent="0.25">
      <c r="A358" s="2548"/>
      <c r="B358" s="2556" t="s">
        <v>3436</v>
      </c>
      <c r="C358" s="2550"/>
      <c r="D358" s="2550"/>
      <c r="E358" s="2550"/>
      <c r="F358" s="2551">
        <f t="shared" ref="F358:F363" si="129">G358+H358</f>
        <v>18.018000000000001</v>
      </c>
      <c r="G358" s="2551"/>
      <c r="H358" s="2552">
        <f>16.38+1.638</f>
        <v>18.018000000000001</v>
      </c>
      <c r="I358" s="2553">
        <f t="shared" ref="I358:I363" si="130">J358+K358</f>
        <v>18.018000000000001</v>
      </c>
      <c r="J358" s="2551"/>
      <c r="K358" s="2552">
        <v>18.018000000000001</v>
      </c>
      <c r="L358" s="2553"/>
      <c r="M358" s="2554">
        <f>F358-I358</f>
        <v>0</v>
      </c>
      <c r="N358" s="2551"/>
      <c r="O358" s="2551"/>
      <c r="P358" s="2551"/>
      <c r="Q358" s="2551"/>
      <c r="R358" s="2551"/>
      <c r="S358" s="2553"/>
      <c r="T358" s="2551"/>
      <c r="U358" s="2551"/>
      <c r="V358" s="2551"/>
      <c r="W358" s="2555">
        <f t="shared" ref="W358:W363" si="131">F358-I358-M358</f>
        <v>0</v>
      </c>
    </row>
    <row r="359" spans="1:23" s="2395" customFormat="1" ht="33" x14ac:dyDescent="0.25">
      <c r="A359" s="2548"/>
      <c r="B359" s="2549" t="s">
        <v>3472</v>
      </c>
      <c r="C359" s="2550"/>
      <c r="D359" s="2550"/>
      <c r="E359" s="2550"/>
      <c r="F359" s="2551">
        <f t="shared" si="129"/>
        <v>138</v>
      </c>
      <c r="G359" s="2560"/>
      <c r="H359" s="2562">
        <v>138</v>
      </c>
      <c r="I359" s="2553">
        <f t="shared" si="130"/>
        <v>126.56529999999999</v>
      </c>
      <c r="J359" s="2560"/>
      <c r="K359" s="2562">
        <v>126.56529999999999</v>
      </c>
      <c r="L359" s="2561"/>
      <c r="M359" s="2554">
        <v>0</v>
      </c>
      <c r="N359" s="2560"/>
      <c r="O359" s="2560"/>
      <c r="P359" s="2560"/>
      <c r="Q359" s="2560"/>
      <c r="R359" s="2560"/>
      <c r="S359" s="2561"/>
      <c r="T359" s="2560"/>
      <c r="U359" s="2560"/>
      <c r="V359" s="2560"/>
      <c r="W359" s="2555">
        <f t="shared" si="131"/>
        <v>11.434700000000007</v>
      </c>
    </row>
    <row r="360" spans="1:23" s="2395" customFormat="1" ht="31.5" x14ac:dyDescent="0.25">
      <c r="A360" s="2548"/>
      <c r="B360" s="2556" t="s">
        <v>3438</v>
      </c>
      <c r="C360" s="2550"/>
      <c r="D360" s="2550"/>
      <c r="E360" s="2550"/>
      <c r="F360" s="2557">
        <f t="shared" si="129"/>
        <v>33.383124000000002</v>
      </c>
      <c r="G360" s="2557"/>
      <c r="H360" s="2558">
        <v>33.383124000000002</v>
      </c>
      <c r="I360" s="2553">
        <f t="shared" si="130"/>
        <v>33.383124000000002</v>
      </c>
      <c r="J360" s="2557"/>
      <c r="K360" s="2558">
        <v>33.383124000000002</v>
      </c>
      <c r="L360" s="2559"/>
      <c r="M360" s="2554">
        <f>F360-I360</f>
        <v>0</v>
      </c>
      <c r="N360" s="2557"/>
      <c r="O360" s="2557"/>
      <c r="P360" s="2557"/>
      <c r="Q360" s="2557"/>
      <c r="R360" s="2557"/>
      <c r="S360" s="2559"/>
      <c r="T360" s="2557"/>
      <c r="U360" s="2557"/>
      <c r="V360" s="2557"/>
      <c r="W360" s="2555">
        <f t="shared" si="131"/>
        <v>0</v>
      </c>
    </row>
    <row r="361" spans="1:23" s="2395" customFormat="1" ht="31.5" x14ac:dyDescent="0.25">
      <c r="A361" s="2548"/>
      <c r="B361" s="2556" t="s">
        <v>3439</v>
      </c>
      <c r="C361" s="2550"/>
      <c r="D361" s="2550"/>
      <c r="E361" s="2550"/>
      <c r="F361" s="2557">
        <f t="shared" si="129"/>
        <v>8.1839999999999993</v>
      </c>
      <c r="G361" s="2557"/>
      <c r="H361" s="2558">
        <v>8.1839999999999993</v>
      </c>
      <c r="I361" s="2553">
        <f t="shared" si="130"/>
        <v>8.1839999999999993</v>
      </c>
      <c r="J361" s="2557"/>
      <c r="K361" s="2558">
        <v>8.1839999999999993</v>
      </c>
      <c r="L361" s="2559"/>
      <c r="M361" s="2554">
        <f>F361-I361</f>
        <v>0</v>
      </c>
      <c r="N361" s="2557"/>
      <c r="O361" s="2557"/>
      <c r="P361" s="2557"/>
      <c r="Q361" s="2557"/>
      <c r="R361" s="2557"/>
      <c r="S361" s="2559"/>
      <c r="T361" s="2557"/>
      <c r="U361" s="2557"/>
      <c r="V361" s="2557"/>
      <c r="W361" s="2555">
        <f t="shared" si="131"/>
        <v>0</v>
      </c>
    </row>
    <row r="362" spans="1:23" s="2395" customFormat="1" ht="16.5" x14ac:dyDescent="0.25">
      <c r="A362" s="2548"/>
      <c r="B362" s="2549" t="s">
        <v>3443</v>
      </c>
      <c r="C362" s="2550"/>
      <c r="D362" s="2550"/>
      <c r="E362" s="2550"/>
      <c r="F362" s="2551">
        <f t="shared" si="129"/>
        <v>18.001000000000001</v>
      </c>
      <c r="G362" s="2551"/>
      <c r="H362" s="2552">
        <v>18.001000000000001</v>
      </c>
      <c r="I362" s="2553">
        <f t="shared" si="130"/>
        <v>18.001000000000001</v>
      </c>
      <c r="J362" s="2551"/>
      <c r="K362" s="2552">
        <v>18.001000000000001</v>
      </c>
      <c r="L362" s="2553"/>
      <c r="M362" s="2554">
        <f>F362-I362</f>
        <v>0</v>
      </c>
      <c r="N362" s="2551"/>
      <c r="O362" s="2551"/>
      <c r="P362" s="2551"/>
      <c r="Q362" s="2551"/>
      <c r="R362" s="2551"/>
      <c r="S362" s="2553"/>
      <c r="T362" s="2551"/>
      <c r="U362" s="2551"/>
      <c r="V362" s="2551"/>
      <c r="W362" s="2555">
        <f t="shared" si="131"/>
        <v>0</v>
      </c>
    </row>
    <row r="363" spans="1:23" s="589" customFormat="1" ht="33" x14ac:dyDescent="0.25">
      <c r="A363" s="2451"/>
      <c r="B363" s="2549" t="s">
        <v>3440</v>
      </c>
      <c r="C363" s="2453"/>
      <c r="D363" s="2453"/>
      <c r="E363" s="2453"/>
      <c r="F363" s="2551">
        <f t="shared" si="129"/>
        <v>7.4749999999999996</v>
      </c>
      <c r="G363" s="2551"/>
      <c r="H363" s="2552">
        <v>7.4749999999999996</v>
      </c>
      <c r="I363" s="2553">
        <f t="shared" si="130"/>
        <v>7.4749999999999996</v>
      </c>
      <c r="J363" s="2551"/>
      <c r="K363" s="2552">
        <v>7.4749999999999996</v>
      </c>
      <c r="L363" s="2553"/>
      <c r="M363" s="2554">
        <f>F363-I363</f>
        <v>0</v>
      </c>
      <c r="N363" s="2551"/>
      <c r="O363" s="2551"/>
      <c r="P363" s="2551"/>
      <c r="Q363" s="2551"/>
      <c r="R363" s="2551"/>
      <c r="S363" s="2553"/>
      <c r="T363" s="2551"/>
      <c r="U363" s="2551"/>
      <c r="V363" s="2551"/>
      <c r="W363" s="2555">
        <f t="shared" si="131"/>
        <v>0</v>
      </c>
    </row>
    <row r="364" spans="1:23" s="589" customFormat="1" ht="16.5" x14ac:dyDescent="0.25">
      <c r="A364" s="2451"/>
      <c r="B364" s="2525"/>
      <c r="C364" s="2453"/>
      <c r="D364" s="2453"/>
      <c r="E364" s="2453"/>
      <c r="F364" s="2454"/>
      <c r="G364" s="2454"/>
      <c r="H364" s="2455"/>
      <c r="I364" s="2456"/>
      <c r="J364" s="2454"/>
      <c r="K364" s="2455"/>
      <c r="L364" s="2456"/>
      <c r="M364" s="2457"/>
      <c r="N364" s="2454"/>
      <c r="O364" s="2454"/>
      <c r="P364" s="2454"/>
      <c r="Q364" s="2454"/>
      <c r="R364" s="2454"/>
      <c r="S364" s="2456"/>
      <c r="T364" s="2454"/>
      <c r="U364" s="2454"/>
      <c r="V364" s="2454"/>
      <c r="W364" s="2458"/>
    </row>
    <row r="365" spans="1:23" s="589" customFormat="1" ht="16.5" x14ac:dyDescent="0.25">
      <c r="A365" s="2451"/>
      <c r="B365" s="2525"/>
      <c r="C365" s="2453"/>
      <c r="D365" s="2453"/>
      <c r="E365" s="2453"/>
      <c r="F365" s="2454"/>
      <c r="G365" s="2454"/>
      <c r="H365" s="2455"/>
      <c r="I365" s="2456"/>
      <c r="J365" s="2454"/>
      <c r="K365" s="2455"/>
      <c r="L365" s="2456"/>
      <c r="M365" s="2457"/>
      <c r="N365" s="2454"/>
      <c r="O365" s="2454"/>
      <c r="P365" s="2454"/>
      <c r="Q365" s="2454"/>
      <c r="R365" s="2454"/>
      <c r="S365" s="2456"/>
      <c r="T365" s="2454"/>
      <c r="U365" s="2454"/>
      <c r="V365" s="2454"/>
      <c r="W365" s="2458"/>
    </row>
    <row r="367" spans="1:23" x14ac:dyDescent="0.25">
      <c r="J367" s="2584"/>
      <c r="K367" s="2585"/>
      <c r="L367" s="2586"/>
      <c r="M367" s="2587"/>
      <c r="N367" s="2584"/>
    </row>
    <row r="368" spans="1:23" x14ac:dyDescent="0.25">
      <c r="J368" s="4747" t="s">
        <v>3473</v>
      </c>
      <c r="K368" s="4747"/>
      <c r="L368" s="4747"/>
      <c r="M368" s="4747"/>
      <c r="N368" s="4747"/>
      <c r="O368" s="4747"/>
      <c r="P368" s="4747"/>
    </row>
    <row r="369" spans="10:16" s="591" customFormat="1" x14ac:dyDescent="0.25">
      <c r="J369" s="4748" t="s">
        <v>1442</v>
      </c>
      <c r="K369" s="4748"/>
      <c r="L369" s="4748"/>
      <c r="M369" s="4748"/>
      <c r="N369" s="4748"/>
      <c r="O369" s="4748"/>
      <c r="P369" s="4748"/>
    </row>
    <row r="370" spans="10:16" s="591" customFormat="1" x14ac:dyDescent="0.25">
      <c r="J370" s="4748" t="s">
        <v>807</v>
      </c>
      <c r="K370" s="4748"/>
      <c r="L370" s="4748"/>
      <c r="M370" s="4748"/>
      <c r="N370" s="4748"/>
      <c r="O370" s="4748"/>
      <c r="P370" s="4748"/>
    </row>
    <row r="371" spans="10:16" s="591" customFormat="1" x14ac:dyDescent="0.25">
      <c r="J371" s="2589"/>
      <c r="K371" s="2429"/>
      <c r="L371" s="2590"/>
      <c r="M371" s="2587"/>
      <c r="N371" s="2584"/>
      <c r="O371" s="2428"/>
      <c r="P371" s="2428"/>
    </row>
    <row r="372" spans="10:16" s="591" customFormat="1" x14ac:dyDescent="0.25">
      <c r="J372" s="2589"/>
      <c r="K372" s="2429"/>
      <c r="L372" s="2590"/>
      <c r="M372" s="2587"/>
      <c r="N372" s="2584"/>
      <c r="O372" s="2428"/>
      <c r="P372" s="2428"/>
    </row>
    <row r="373" spans="10:16" s="591" customFormat="1" x14ac:dyDescent="0.25">
      <c r="J373" s="2589"/>
      <c r="K373" s="2429"/>
      <c r="L373" s="2590"/>
      <c r="M373" s="2587"/>
      <c r="N373" s="2584"/>
      <c r="O373" s="2428"/>
      <c r="P373" s="2428"/>
    </row>
    <row r="374" spans="10:16" s="591" customFormat="1" x14ac:dyDescent="0.25">
      <c r="J374" s="2589"/>
      <c r="K374" s="2429"/>
      <c r="L374" s="2591"/>
      <c r="M374" s="2587"/>
      <c r="N374" s="2584"/>
      <c r="O374" s="2428"/>
      <c r="P374" s="2428"/>
    </row>
    <row r="375" spans="10:16" s="591" customFormat="1" x14ac:dyDescent="0.25">
      <c r="J375" s="2589"/>
      <c r="K375" s="2429"/>
      <c r="L375" s="2591"/>
      <c r="M375" s="2587"/>
      <c r="N375" s="2584"/>
      <c r="O375" s="2428"/>
      <c r="P375" s="2428"/>
    </row>
    <row r="376" spans="10:16" s="591" customFormat="1" x14ac:dyDescent="0.25">
      <c r="J376" s="2428"/>
      <c r="K376" s="2429"/>
      <c r="L376" s="2430"/>
      <c r="M376" s="2587"/>
      <c r="N376" s="2584"/>
      <c r="O376" s="2428"/>
      <c r="P376" s="2428"/>
    </row>
    <row r="377" spans="10:16" s="591" customFormat="1" x14ac:dyDescent="0.25">
      <c r="J377" s="4749" t="s">
        <v>808</v>
      </c>
      <c r="K377" s="4749"/>
      <c r="L377" s="4749"/>
      <c r="M377" s="4749"/>
      <c r="N377" s="4749"/>
      <c r="O377" s="4749"/>
      <c r="P377" s="4749"/>
    </row>
    <row r="403" spans="1:23" ht="47.25" x14ac:dyDescent="0.25">
      <c r="A403" s="591" t="s">
        <v>711</v>
      </c>
      <c r="B403" s="1004" t="s">
        <v>2727</v>
      </c>
      <c r="F403" s="2428">
        <v>590.97259699999995</v>
      </c>
      <c r="H403" s="2429">
        <v>590.97259699999995</v>
      </c>
      <c r="I403" s="2430">
        <v>590.97259699999995</v>
      </c>
      <c r="K403" s="2429">
        <v>590.97259699999995</v>
      </c>
      <c r="W403" s="2592"/>
    </row>
    <row r="404" spans="1:23" x14ac:dyDescent="0.25">
      <c r="A404" s="591" t="s">
        <v>711</v>
      </c>
      <c r="B404" s="1004" t="s">
        <v>1611</v>
      </c>
      <c r="F404" s="2428">
        <v>590.97259699999995</v>
      </c>
      <c r="H404" s="2429">
        <v>590.97259699999995</v>
      </c>
      <c r="I404" s="2430">
        <v>590.97259699999995</v>
      </c>
      <c r="K404" s="2429">
        <v>590.97259699999995</v>
      </c>
      <c r="V404" s="2428">
        <v>0</v>
      </c>
      <c r="W404" s="2592"/>
    </row>
    <row r="405" spans="1:23" ht="47.25" x14ac:dyDescent="0.25">
      <c r="B405" s="1004" t="s">
        <v>2727</v>
      </c>
      <c r="F405" s="2428">
        <v>2893.027403</v>
      </c>
      <c r="H405" s="2429">
        <v>2893.027403</v>
      </c>
      <c r="I405" s="2430">
        <v>2893.027403</v>
      </c>
      <c r="K405" s="2429">
        <v>2893.027403</v>
      </c>
      <c r="W405" s="2592"/>
    </row>
    <row r="406" spans="1:23" x14ac:dyDescent="0.25">
      <c r="B406" s="1004" t="s">
        <v>1612</v>
      </c>
      <c r="F406" s="2428">
        <v>1087</v>
      </c>
      <c r="H406" s="2429">
        <v>1087</v>
      </c>
      <c r="I406" s="2430">
        <v>1087</v>
      </c>
      <c r="K406" s="2429">
        <v>1087</v>
      </c>
      <c r="W406" s="2592"/>
    </row>
    <row r="407" spans="1:23" x14ac:dyDescent="0.25">
      <c r="B407" s="1004" t="s">
        <v>1611</v>
      </c>
      <c r="F407" s="2428">
        <v>1806</v>
      </c>
      <c r="H407" s="2429">
        <v>1806</v>
      </c>
      <c r="I407" s="2430">
        <v>0</v>
      </c>
      <c r="W407" s="2592"/>
    </row>
    <row r="408" spans="1:23" x14ac:dyDescent="0.25">
      <c r="F408" s="2428">
        <f>F405+F403</f>
        <v>3484</v>
      </c>
      <c r="G408" s="2428">
        <f t="shared" ref="G408:L408" si="132">G405+G403</f>
        <v>0</v>
      </c>
      <c r="H408" s="2429">
        <f>H405+H403</f>
        <v>3484</v>
      </c>
      <c r="I408" s="2430">
        <f>I405+I403</f>
        <v>3484</v>
      </c>
      <c r="J408" s="2428">
        <f t="shared" si="132"/>
        <v>0</v>
      </c>
      <c r="K408" s="2429">
        <f t="shared" si="132"/>
        <v>3484</v>
      </c>
      <c r="L408" s="2430">
        <f t="shared" si="132"/>
        <v>0</v>
      </c>
      <c r="W408" s="2592"/>
    </row>
  </sheetData>
  <mergeCells count="42">
    <mergeCell ref="J368:P368"/>
    <mergeCell ref="J369:P369"/>
    <mergeCell ref="J370:P370"/>
    <mergeCell ref="J377:P377"/>
    <mergeCell ref="R7:S7"/>
    <mergeCell ref="K7:K9"/>
    <mergeCell ref="O7:O9"/>
    <mergeCell ref="P7:P9"/>
    <mergeCell ref="Q7:Q9"/>
    <mergeCell ref="M5:M9"/>
    <mergeCell ref="N5:W5"/>
    <mergeCell ref="J6:K6"/>
    <mergeCell ref="N6:N9"/>
    <mergeCell ref="O6:S6"/>
    <mergeCell ref="T7:T9"/>
    <mergeCell ref="U7:W7"/>
    <mergeCell ref="R8:R9"/>
    <mergeCell ref="S8:S9"/>
    <mergeCell ref="U8:U9"/>
    <mergeCell ref="V8:V9"/>
    <mergeCell ref="W8:W9"/>
    <mergeCell ref="D7:D9"/>
    <mergeCell ref="E7:E9"/>
    <mergeCell ref="G7:G9"/>
    <mergeCell ref="H7:H9"/>
    <mergeCell ref="J7:J9"/>
    <mergeCell ref="T1:W1"/>
    <mergeCell ref="A2:W2"/>
    <mergeCell ref="A3:W3"/>
    <mergeCell ref="N4:W4"/>
    <mergeCell ref="A5:A9"/>
    <mergeCell ref="B5:B9"/>
    <mergeCell ref="C5:E5"/>
    <mergeCell ref="F5:H5"/>
    <mergeCell ref="I5:K5"/>
    <mergeCell ref="L5:L9"/>
    <mergeCell ref="C6:C9"/>
    <mergeCell ref="D6:E6"/>
    <mergeCell ref="F6:F9"/>
    <mergeCell ref="G6:H6"/>
    <mergeCell ref="I6:I9"/>
    <mergeCell ref="T6:W6"/>
  </mergeCells>
  <pageMargins left="0.7" right="0.7" top="0.75" bottom="0.75" header="0.3" footer="0.3"/>
  <legacy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92D050"/>
  </sheetPr>
  <dimension ref="A1:T144"/>
  <sheetViews>
    <sheetView view="pageBreakPreview" zoomScale="70" zoomScaleNormal="85" zoomScaleSheetLayoutView="70" workbookViewId="0">
      <pane xSplit="4" ySplit="5" topLeftCell="E6" activePane="bottomRight" state="frozen"/>
      <selection pane="topRight" activeCell="E1" sqref="E1"/>
      <selection pane="bottomLeft" activeCell="A6" sqref="A6"/>
      <selection pane="bottomRight" activeCell="O13" sqref="O13"/>
    </sheetView>
  </sheetViews>
  <sheetFormatPr defaultColWidth="10.28515625" defaultRowHeight="12.75" x14ac:dyDescent="0.2"/>
  <cols>
    <col min="1" max="1" width="6.7109375" style="2210" customWidth="1"/>
    <col min="2" max="2" width="35.5703125" style="2076" customWidth="1"/>
    <col min="3" max="3" width="17.28515625" style="2076" hidden="1" customWidth="1"/>
    <col min="4" max="4" width="30.140625" style="2210" hidden="1" customWidth="1"/>
    <col min="5" max="7" width="19.42578125" style="2273" customWidth="1"/>
    <col min="8" max="8" width="16.140625" style="2380" customWidth="1"/>
    <col min="9" max="9" width="18.42578125" style="2380" customWidth="1"/>
    <col min="10" max="10" width="16.140625" style="2380" customWidth="1"/>
    <col min="11" max="11" width="18.140625" style="2076" customWidth="1"/>
    <col min="12" max="13" width="18.140625" style="2130" customWidth="1"/>
    <col min="14" max="14" width="19.140625" style="2196" customWidth="1"/>
    <col min="15" max="16" width="19.140625" style="2214" customWidth="1"/>
    <col min="17" max="18" width="14.140625" style="2214" customWidth="1"/>
    <col min="19" max="19" width="27.140625" style="2273" customWidth="1"/>
    <col min="20" max="20" width="33" style="2076" customWidth="1"/>
    <col min="21" max="16384" width="10.28515625" style="2076"/>
  </cols>
  <sheetData>
    <row r="1" spans="1:20" ht="23.25" customHeight="1" x14ac:dyDescent="0.2">
      <c r="A1" s="4768" t="s">
        <v>3148</v>
      </c>
      <c r="B1" s="4768"/>
      <c r="C1" s="4768"/>
      <c r="D1" s="4768"/>
      <c r="E1" s="4768"/>
      <c r="F1" s="4768"/>
      <c r="G1" s="4768"/>
      <c r="H1" s="4768"/>
      <c r="I1" s="4768"/>
      <c r="J1" s="4768"/>
      <c r="K1" s="4768"/>
      <c r="L1" s="4768"/>
      <c r="M1" s="4768"/>
      <c r="N1" s="4768"/>
      <c r="O1" s="4768"/>
      <c r="P1" s="4768"/>
      <c r="Q1" s="4768"/>
      <c r="R1" s="4768"/>
      <c r="S1" s="4768"/>
    </row>
    <row r="2" spans="1:20" x14ac:dyDescent="0.2">
      <c r="E2" s="2211"/>
      <c r="F2" s="2211">
        <f>E5-H5</f>
        <v>17347508133</v>
      </c>
      <c r="G2" s="2211"/>
      <c r="H2" s="2338"/>
      <c r="I2" s="2338"/>
      <c r="J2" s="2338"/>
      <c r="K2" s="2212"/>
      <c r="L2" s="2212"/>
      <c r="M2" s="2212"/>
      <c r="N2" s="2213"/>
      <c r="O2" s="2276" t="e">
        <f>#REF!*1000000</f>
        <v>#REF!</v>
      </c>
      <c r="P2" s="2214" t="e">
        <f>#REF!*1000000</f>
        <v>#REF!</v>
      </c>
      <c r="Q2" s="2276" t="e">
        <f>O5-O2</f>
        <v>#REF!</v>
      </c>
      <c r="R2" s="2276" t="e">
        <f>P6-P2</f>
        <v>#REF!</v>
      </c>
      <c r="S2" s="2215"/>
    </row>
    <row r="3" spans="1:20" ht="32.25" customHeight="1" x14ac:dyDescent="0.2">
      <c r="A3" s="4769" t="s">
        <v>1579</v>
      </c>
      <c r="B3" s="4769" t="s">
        <v>3149</v>
      </c>
      <c r="C3" s="4770" t="s">
        <v>3150</v>
      </c>
      <c r="D3" s="4770" t="s">
        <v>3151</v>
      </c>
      <c r="E3" s="4772" t="s">
        <v>3140</v>
      </c>
      <c r="F3" s="4772"/>
      <c r="G3" s="4772"/>
      <c r="H3" s="4759" t="s">
        <v>3340</v>
      </c>
      <c r="I3" s="4760"/>
      <c r="J3" s="4761"/>
      <c r="K3" s="4762" t="s">
        <v>3141</v>
      </c>
      <c r="L3" s="4763"/>
      <c r="M3" s="4764"/>
      <c r="N3" s="4765" t="s">
        <v>3152</v>
      </c>
      <c r="O3" s="4766"/>
      <c r="P3" s="4767"/>
      <c r="Q3" s="4765" t="s">
        <v>3354</v>
      </c>
      <c r="R3" s="4766"/>
      <c r="S3" s="4769" t="s">
        <v>3154</v>
      </c>
    </row>
    <row r="4" spans="1:20" ht="21.75" customHeight="1" x14ac:dyDescent="0.2">
      <c r="A4" s="4769"/>
      <c r="B4" s="4769"/>
      <c r="C4" s="4771"/>
      <c r="D4" s="4771"/>
      <c r="E4" s="2297" t="s">
        <v>2209</v>
      </c>
      <c r="F4" s="2297" t="s">
        <v>916</v>
      </c>
      <c r="G4" s="2297" t="s">
        <v>3155</v>
      </c>
      <c r="H4" s="2339" t="s">
        <v>2209</v>
      </c>
      <c r="I4" s="2339" t="s">
        <v>916</v>
      </c>
      <c r="J4" s="2339" t="s">
        <v>3155</v>
      </c>
      <c r="K4" s="2297" t="s">
        <v>2209</v>
      </c>
      <c r="L4" s="2297" t="s">
        <v>916</v>
      </c>
      <c r="M4" s="2297" t="s">
        <v>3155</v>
      </c>
      <c r="N4" s="2096" t="s">
        <v>2209</v>
      </c>
      <c r="O4" s="2297" t="s">
        <v>916</v>
      </c>
      <c r="P4" s="2297" t="s">
        <v>3155</v>
      </c>
      <c r="Q4" s="2297" t="s">
        <v>2209</v>
      </c>
      <c r="R4" s="2297" t="s">
        <v>916</v>
      </c>
      <c r="S4" s="4769" t="s">
        <v>3156</v>
      </c>
    </row>
    <row r="5" spans="1:20" s="2218" customFormat="1" ht="24.75" customHeight="1" x14ac:dyDescent="0.2">
      <c r="A5" s="2216"/>
      <c r="B5" s="2217" t="s">
        <v>1114</v>
      </c>
      <c r="C5" s="2217"/>
      <c r="D5" s="2216"/>
      <c r="E5" s="2078">
        <f>F5+G5</f>
        <v>17939233000</v>
      </c>
      <c r="F5" s="2078">
        <f>F6+F83+F95+F119+F127</f>
        <v>17037813000</v>
      </c>
      <c r="G5" s="2078">
        <f>G6+G83+G95+G119+G127</f>
        <v>901420000</v>
      </c>
      <c r="H5" s="2096">
        <f>I5+J5</f>
        <v>591724867</v>
      </c>
      <c r="I5" s="2096">
        <f>I51+I59+I63+I90+I96+I110+I118+I120+I128+I136+I84</f>
        <v>255000000</v>
      </c>
      <c r="J5" s="2096">
        <f>J51+J59+J63+J90+J96+J110+J118+J120+J128+J136+J84</f>
        <v>336724867</v>
      </c>
      <c r="K5" s="2078">
        <f>K6+K83+K95+K119+K127</f>
        <v>5762407298</v>
      </c>
      <c r="L5" s="2078">
        <f>L6+L83+L95+L119+L127</f>
        <v>5658861165</v>
      </c>
      <c r="M5" s="2078">
        <f>M6+M83+M95+M119+M127</f>
        <v>103546133</v>
      </c>
      <c r="N5" s="2096">
        <f>O5+P5</f>
        <v>11601920832</v>
      </c>
      <c r="O5" s="2078">
        <f>O6+O83+O95+O119+O127</f>
        <v>11117771832</v>
      </c>
      <c r="P5" s="2078">
        <f>P6+P83+P95+P119+P127</f>
        <v>484149000</v>
      </c>
      <c r="Q5" s="2078">
        <f>R5</f>
        <v>6180003</v>
      </c>
      <c r="R5" s="2078">
        <f>R6+R83+R95+R119+R127</f>
        <v>6180003</v>
      </c>
      <c r="S5" s="2085"/>
    </row>
    <row r="6" spans="1:20" s="2690" customFormat="1" ht="18.75" customHeight="1" x14ac:dyDescent="0.2">
      <c r="A6" s="2684" t="s">
        <v>849</v>
      </c>
      <c r="B6" s="2783" t="s">
        <v>3157</v>
      </c>
      <c r="C6" s="2783"/>
      <c r="D6" s="2684"/>
      <c r="E6" s="2096">
        <f>F6+G6</f>
        <v>12366643000</v>
      </c>
      <c r="F6" s="2096">
        <f>F7+F23+F51+F59+F63+F33+F66</f>
        <v>11753494000</v>
      </c>
      <c r="G6" s="2096">
        <f>G7+G23+G51+G59+G63+G33+G66</f>
        <v>613149000</v>
      </c>
      <c r="H6" s="2096">
        <f t="shared" ref="H6:H69" si="0">I6+J6</f>
        <v>0</v>
      </c>
      <c r="I6" s="2096"/>
      <c r="J6" s="2096"/>
      <c r="K6" s="2096">
        <f>L6+M6</f>
        <v>1956705367</v>
      </c>
      <c r="L6" s="2096">
        <f>L7+L23+L33+L51+L59+L63+L66</f>
        <v>1882705367</v>
      </c>
      <c r="M6" s="2096">
        <f>M7+M23+M33+M51+M59+M63+M66</f>
        <v>74000000</v>
      </c>
      <c r="N6" s="2096">
        <f>O6+P6</f>
        <v>10348757630</v>
      </c>
      <c r="O6" s="2096">
        <f>O7+O23+O33+O51+O59+O63+O66</f>
        <v>9864608630</v>
      </c>
      <c r="P6" s="2096">
        <f>P7+P23+P33+P51+P59+P63+P66</f>
        <v>484149000</v>
      </c>
      <c r="Q6" s="2096">
        <f t="shared" ref="Q6:Q69" si="1">R6</f>
        <v>6180003</v>
      </c>
      <c r="R6" s="2096">
        <f>R7+R23+R33+R51+R59+R63+R66</f>
        <v>6180003</v>
      </c>
      <c r="S6" s="2379"/>
    </row>
    <row r="7" spans="1:20" s="2218" customFormat="1" ht="57" customHeight="1" x14ac:dyDescent="0.2">
      <c r="A7" s="2216">
        <v>1</v>
      </c>
      <c r="B7" s="2219" t="s">
        <v>3158</v>
      </c>
      <c r="C7" s="2219"/>
      <c r="D7" s="2216"/>
      <c r="E7" s="2078">
        <f>F7+G7</f>
        <v>150000000</v>
      </c>
      <c r="F7" s="2078">
        <f>SUM(F8:F22)</f>
        <v>143000000</v>
      </c>
      <c r="G7" s="2078">
        <f>SUM(G8:G22)</f>
        <v>7000000</v>
      </c>
      <c r="H7" s="2096">
        <f t="shared" si="0"/>
        <v>0</v>
      </c>
      <c r="I7" s="2096"/>
      <c r="J7" s="2096">
        <v>0</v>
      </c>
      <c r="K7" s="2078">
        <f>L7+M7</f>
        <v>148576000</v>
      </c>
      <c r="L7" s="2078">
        <f>SUM(L8:L22)</f>
        <v>141576000</v>
      </c>
      <c r="M7" s="2078">
        <f>SUM(M8:M22)</f>
        <v>7000000</v>
      </c>
      <c r="N7" s="2112">
        <f>O7+P7</f>
        <v>24000</v>
      </c>
      <c r="O7" s="2079">
        <f>SUM(O8:O22)</f>
        <v>24000</v>
      </c>
      <c r="P7" s="2079">
        <f>SUM(P8:P22)</f>
        <v>0</v>
      </c>
      <c r="Q7" s="2078">
        <f t="shared" si="1"/>
        <v>1400000</v>
      </c>
      <c r="R7" s="2079">
        <f>SUM(R8:R22)</f>
        <v>1400000</v>
      </c>
      <c r="S7" s="2085"/>
      <c r="T7" s="2766">
        <f>O7+O23+O33+O128</f>
        <v>6608399263</v>
      </c>
    </row>
    <row r="8" spans="1:20" ht="15" customHeight="1" x14ac:dyDescent="0.2">
      <c r="A8" s="2072"/>
      <c r="B8" s="2220" t="s">
        <v>660</v>
      </c>
      <c r="C8" s="2221"/>
      <c r="D8" s="2072"/>
      <c r="E8" s="2074">
        <f>F8+G8</f>
        <v>9000000</v>
      </c>
      <c r="F8" s="2222">
        <v>9000000</v>
      </c>
      <c r="G8" s="2223"/>
      <c r="H8" s="2096">
        <f t="shared" si="0"/>
        <v>0</v>
      </c>
      <c r="I8" s="2340"/>
      <c r="J8" s="2340"/>
      <c r="K8" s="2067">
        <f>L8+M8</f>
        <v>9000000</v>
      </c>
      <c r="L8" s="2067">
        <v>9000000</v>
      </c>
      <c r="M8" s="2067"/>
      <c r="N8" s="2199">
        <f>O8+P8</f>
        <v>0</v>
      </c>
      <c r="O8" s="2075"/>
      <c r="P8" s="2075"/>
      <c r="Q8" s="2078">
        <f t="shared" si="1"/>
        <v>0</v>
      </c>
      <c r="R8" s="2075">
        <f t="shared" ref="R8:R22" si="2">F8-L8-O8</f>
        <v>0</v>
      </c>
      <c r="S8" s="2220" t="s">
        <v>660</v>
      </c>
      <c r="T8" s="2076" t="e">
        <f>#REF!</f>
        <v>#REF!</v>
      </c>
    </row>
    <row r="9" spans="1:20" s="615" customFormat="1" ht="15" customHeight="1" x14ac:dyDescent="0.2">
      <c r="A9" s="2341"/>
      <c r="B9" s="2342" t="s">
        <v>664</v>
      </c>
      <c r="C9" s="2073"/>
      <c r="D9" s="2341"/>
      <c r="E9" s="2343">
        <f t="shared" ref="E9:E18" si="3">F9+G9</f>
        <v>9000000</v>
      </c>
      <c r="F9" s="2344">
        <v>9000000</v>
      </c>
      <c r="G9" s="2345"/>
      <c r="H9" s="2096">
        <f t="shared" si="0"/>
        <v>0</v>
      </c>
      <c r="I9" s="2346"/>
      <c r="J9" s="2346"/>
      <c r="K9" s="2067">
        <f t="shared" ref="K9:K22" si="4">L9+M9</f>
        <v>9000000</v>
      </c>
      <c r="L9" s="2347">
        <v>9000000</v>
      </c>
      <c r="M9" s="2347"/>
      <c r="N9" s="2348">
        <f t="shared" ref="N9:N22" si="5">O9+P9</f>
        <v>0</v>
      </c>
      <c r="O9" s="2349"/>
      <c r="P9" s="2349"/>
      <c r="Q9" s="2078">
        <f t="shared" si="1"/>
        <v>0</v>
      </c>
      <c r="R9" s="2349">
        <f t="shared" si="2"/>
        <v>0</v>
      </c>
      <c r="S9" s="2342" t="s">
        <v>664</v>
      </c>
      <c r="T9" s="615" t="e">
        <f>T8*1000000</f>
        <v>#REF!</v>
      </c>
    </row>
    <row r="10" spans="1:20" ht="15" customHeight="1" x14ac:dyDescent="0.2">
      <c r="A10" s="2072"/>
      <c r="B10" s="2220" t="s">
        <v>651</v>
      </c>
      <c r="C10" s="2221"/>
      <c r="D10" s="2072"/>
      <c r="E10" s="2074">
        <f t="shared" si="3"/>
        <v>9000000</v>
      </c>
      <c r="F10" s="2222">
        <v>9000000</v>
      </c>
      <c r="G10" s="2223"/>
      <c r="H10" s="2096">
        <f t="shared" si="0"/>
        <v>0</v>
      </c>
      <c r="I10" s="2340"/>
      <c r="J10" s="2340"/>
      <c r="K10" s="2067">
        <f t="shared" si="4"/>
        <v>9000000</v>
      </c>
      <c r="L10" s="2067">
        <v>9000000</v>
      </c>
      <c r="M10" s="2067"/>
      <c r="N10" s="2199">
        <f t="shared" si="5"/>
        <v>0</v>
      </c>
      <c r="O10" s="2075"/>
      <c r="P10" s="2075"/>
      <c r="Q10" s="2078">
        <f t="shared" si="1"/>
        <v>0</v>
      </c>
      <c r="R10" s="2075">
        <f t="shared" si="2"/>
        <v>0</v>
      </c>
      <c r="S10" s="2220" t="s">
        <v>651</v>
      </c>
      <c r="T10" s="2767" t="e">
        <f>T9-T7</f>
        <v>#REF!</v>
      </c>
    </row>
    <row r="11" spans="1:20" ht="15" customHeight="1" x14ac:dyDescent="0.2">
      <c r="A11" s="2072"/>
      <c r="B11" s="2220" t="s">
        <v>3159</v>
      </c>
      <c r="C11" s="2221"/>
      <c r="D11" s="2072"/>
      <c r="E11" s="2074">
        <f t="shared" si="3"/>
        <v>15000000</v>
      </c>
      <c r="F11" s="2222">
        <v>8000000</v>
      </c>
      <c r="G11" s="2222">
        <v>7000000</v>
      </c>
      <c r="H11" s="2096">
        <f t="shared" si="0"/>
        <v>0</v>
      </c>
      <c r="I11" s="2350"/>
      <c r="J11" s="2350"/>
      <c r="K11" s="2067">
        <f t="shared" si="4"/>
        <v>15000000</v>
      </c>
      <c r="L11" s="2067">
        <v>8000000</v>
      </c>
      <c r="M11" s="2067">
        <v>7000000</v>
      </c>
      <c r="N11" s="2199">
        <f t="shared" si="5"/>
        <v>0</v>
      </c>
      <c r="O11" s="2075"/>
      <c r="P11" s="2075"/>
      <c r="Q11" s="2078">
        <f t="shared" si="1"/>
        <v>0</v>
      </c>
      <c r="R11" s="2075">
        <f t="shared" si="2"/>
        <v>0</v>
      </c>
      <c r="S11" s="2220" t="s">
        <v>3159</v>
      </c>
    </row>
    <row r="12" spans="1:20" ht="15" x14ac:dyDescent="0.2">
      <c r="A12" s="2072"/>
      <c r="B12" s="2220" t="s">
        <v>3160</v>
      </c>
      <c r="C12" s="2221"/>
      <c r="D12" s="2072"/>
      <c r="E12" s="2074">
        <f t="shared" si="3"/>
        <v>12000000</v>
      </c>
      <c r="F12" s="2222">
        <v>12000000</v>
      </c>
      <c r="G12" s="2223"/>
      <c r="H12" s="2096">
        <f t="shared" si="0"/>
        <v>0</v>
      </c>
      <c r="I12" s="2340"/>
      <c r="J12" s="2340"/>
      <c r="K12" s="2067">
        <f t="shared" si="4"/>
        <v>12000000</v>
      </c>
      <c r="L12" s="2067">
        <v>12000000</v>
      </c>
      <c r="M12" s="2067"/>
      <c r="N12" s="2199">
        <f t="shared" si="5"/>
        <v>0</v>
      </c>
      <c r="O12" s="2075"/>
      <c r="P12" s="2075"/>
      <c r="Q12" s="2078">
        <f t="shared" si="1"/>
        <v>0</v>
      </c>
      <c r="R12" s="2075">
        <f t="shared" si="2"/>
        <v>0</v>
      </c>
      <c r="S12" s="2220" t="s">
        <v>3160</v>
      </c>
    </row>
    <row r="13" spans="1:20" s="615" customFormat="1" ht="15" customHeight="1" x14ac:dyDescent="0.2">
      <c r="A13" s="2341"/>
      <c r="B13" s="2342" t="s">
        <v>558</v>
      </c>
      <c r="C13" s="2073"/>
      <c r="D13" s="2341"/>
      <c r="E13" s="2343">
        <f t="shared" si="3"/>
        <v>12000000</v>
      </c>
      <c r="F13" s="2344">
        <v>12000000</v>
      </c>
      <c r="G13" s="2345"/>
      <c r="H13" s="2096">
        <f t="shared" si="0"/>
        <v>0</v>
      </c>
      <c r="I13" s="2346"/>
      <c r="J13" s="2346"/>
      <c r="K13" s="2067">
        <f t="shared" si="4"/>
        <v>10600000</v>
      </c>
      <c r="L13" s="2347">
        <v>10600000</v>
      </c>
      <c r="M13" s="2347"/>
      <c r="N13" s="2349">
        <f t="shared" si="5"/>
        <v>0</v>
      </c>
      <c r="O13" s="2349"/>
      <c r="P13" s="2349"/>
      <c r="Q13" s="2078">
        <f t="shared" si="1"/>
        <v>1400000</v>
      </c>
      <c r="R13" s="2349">
        <f t="shared" si="2"/>
        <v>1400000</v>
      </c>
      <c r="S13" s="2342" t="s">
        <v>558</v>
      </c>
      <c r="T13" s="615" t="s">
        <v>916</v>
      </c>
    </row>
    <row r="14" spans="1:20" ht="15" customHeight="1" x14ac:dyDescent="0.2">
      <c r="A14" s="2072" t="s">
        <v>711</v>
      </c>
      <c r="B14" s="2220" t="s">
        <v>556</v>
      </c>
      <c r="C14" s="2221"/>
      <c r="D14" s="2072"/>
      <c r="E14" s="2074">
        <f t="shared" si="3"/>
        <v>12000000</v>
      </c>
      <c r="F14" s="2222">
        <v>12000000</v>
      </c>
      <c r="G14" s="2223"/>
      <c r="H14" s="2096">
        <f t="shared" si="0"/>
        <v>0</v>
      </c>
      <c r="I14" s="2340"/>
      <c r="J14" s="2340"/>
      <c r="K14" s="2067">
        <f t="shared" si="4"/>
        <v>12000000</v>
      </c>
      <c r="L14" s="2067">
        <v>12000000</v>
      </c>
      <c r="M14" s="2067"/>
      <c r="N14" s="2199">
        <f t="shared" si="5"/>
        <v>0</v>
      </c>
      <c r="O14" s="2075"/>
      <c r="P14" s="2075"/>
      <c r="Q14" s="2078">
        <f t="shared" si="1"/>
        <v>0</v>
      </c>
      <c r="R14" s="2075">
        <f t="shared" si="2"/>
        <v>0</v>
      </c>
      <c r="S14" s="2220" t="s">
        <v>556</v>
      </c>
    </row>
    <row r="15" spans="1:20" ht="15" customHeight="1" x14ac:dyDescent="0.2">
      <c r="A15" s="2072" t="s">
        <v>711</v>
      </c>
      <c r="B15" s="2220" t="s">
        <v>348</v>
      </c>
      <c r="C15" s="2221"/>
      <c r="D15" s="2072"/>
      <c r="E15" s="2074">
        <f t="shared" si="3"/>
        <v>12000000</v>
      </c>
      <c r="F15" s="2222">
        <v>12000000</v>
      </c>
      <c r="G15" s="2223"/>
      <c r="H15" s="2096">
        <f t="shared" si="0"/>
        <v>0</v>
      </c>
      <c r="I15" s="2340"/>
      <c r="J15" s="2340"/>
      <c r="K15" s="2067">
        <f t="shared" si="4"/>
        <v>12000000</v>
      </c>
      <c r="L15" s="2067">
        <v>12000000</v>
      </c>
      <c r="M15" s="2067"/>
      <c r="N15" s="2199">
        <f t="shared" si="5"/>
        <v>0</v>
      </c>
      <c r="O15" s="2075"/>
      <c r="P15" s="2075"/>
      <c r="Q15" s="2078">
        <f t="shared" si="1"/>
        <v>0</v>
      </c>
      <c r="R15" s="2075">
        <f t="shared" si="2"/>
        <v>0</v>
      </c>
      <c r="S15" s="2220" t="s">
        <v>348</v>
      </c>
    </row>
    <row r="16" spans="1:20" ht="15" customHeight="1" x14ac:dyDescent="0.2">
      <c r="A16" s="2072" t="s">
        <v>711</v>
      </c>
      <c r="B16" s="2086" t="s">
        <v>650</v>
      </c>
      <c r="C16" s="2221"/>
      <c r="D16" s="2072"/>
      <c r="E16" s="2074">
        <f t="shared" si="3"/>
        <v>3000000</v>
      </c>
      <c r="F16" s="2222">
        <v>3000000</v>
      </c>
      <c r="G16" s="2067"/>
      <c r="H16" s="2096">
        <f t="shared" si="0"/>
        <v>0</v>
      </c>
      <c r="I16" s="2201"/>
      <c r="J16" s="2201"/>
      <c r="K16" s="2067">
        <f t="shared" si="4"/>
        <v>3000000</v>
      </c>
      <c r="L16" s="2067">
        <v>3000000</v>
      </c>
      <c r="M16" s="2067"/>
      <c r="N16" s="2199">
        <f t="shared" si="5"/>
        <v>0</v>
      </c>
      <c r="O16" s="2075"/>
      <c r="P16" s="2075"/>
      <c r="Q16" s="2078">
        <f t="shared" si="1"/>
        <v>0</v>
      </c>
      <c r="R16" s="2075">
        <f t="shared" si="2"/>
        <v>0</v>
      </c>
      <c r="S16" s="2086" t="s">
        <v>650</v>
      </c>
    </row>
    <row r="17" spans="1:20" ht="15" customHeight="1" x14ac:dyDescent="0.2">
      <c r="A17" s="2072"/>
      <c r="B17" s="2220" t="s">
        <v>659</v>
      </c>
      <c r="C17" s="2221"/>
      <c r="D17" s="2072"/>
      <c r="E17" s="2074">
        <f t="shared" si="3"/>
        <v>15000000</v>
      </c>
      <c r="F17" s="2222">
        <v>15000000</v>
      </c>
      <c r="G17" s="2067"/>
      <c r="H17" s="2096">
        <f t="shared" si="0"/>
        <v>0</v>
      </c>
      <c r="I17" s="2201"/>
      <c r="J17" s="2201"/>
      <c r="K17" s="2067">
        <f t="shared" si="4"/>
        <v>15000000</v>
      </c>
      <c r="L17" s="2067">
        <v>15000000</v>
      </c>
      <c r="M17" s="2067"/>
      <c r="N17" s="2199">
        <f t="shared" si="5"/>
        <v>0</v>
      </c>
      <c r="O17" s="2075"/>
      <c r="P17" s="2075"/>
      <c r="Q17" s="2078">
        <f t="shared" si="1"/>
        <v>0</v>
      </c>
      <c r="R17" s="2075">
        <f t="shared" si="2"/>
        <v>0</v>
      </c>
      <c r="S17" s="2220" t="s">
        <v>659</v>
      </c>
    </row>
    <row r="18" spans="1:20" ht="15" customHeight="1" x14ac:dyDescent="0.2">
      <c r="A18" s="2072"/>
      <c r="B18" s="2220" t="s">
        <v>645</v>
      </c>
      <c r="C18" s="2221"/>
      <c r="D18" s="2072"/>
      <c r="E18" s="2074">
        <f t="shared" si="3"/>
        <v>15000000</v>
      </c>
      <c r="F18" s="2222">
        <v>15000000</v>
      </c>
      <c r="G18" s="2067"/>
      <c r="H18" s="2096">
        <f t="shared" si="0"/>
        <v>0</v>
      </c>
      <c r="I18" s="2201"/>
      <c r="J18" s="2201"/>
      <c r="K18" s="2067">
        <f t="shared" si="4"/>
        <v>15000000</v>
      </c>
      <c r="L18" s="2067">
        <v>15000000</v>
      </c>
      <c r="M18" s="2067"/>
      <c r="N18" s="2199">
        <f t="shared" si="5"/>
        <v>0</v>
      </c>
      <c r="O18" s="2075"/>
      <c r="P18" s="2075"/>
      <c r="Q18" s="2078">
        <f t="shared" si="1"/>
        <v>0</v>
      </c>
      <c r="R18" s="2075">
        <f t="shared" si="2"/>
        <v>0</v>
      </c>
      <c r="S18" s="2220" t="s">
        <v>645</v>
      </c>
    </row>
    <row r="19" spans="1:20" ht="15" customHeight="1" x14ac:dyDescent="0.2">
      <c r="A19" s="2072"/>
      <c r="B19" s="2086" t="s">
        <v>398</v>
      </c>
      <c r="C19" s="2221"/>
      <c r="D19" s="2072"/>
      <c r="E19" s="2074">
        <f t="shared" ref="E19:E24" si="6">F19+G19</f>
        <v>3000000</v>
      </c>
      <c r="F19" s="2222">
        <v>3000000</v>
      </c>
      <c r="G19" s="2067"/>
      <c r="H19" s="2096">
        <f t="shared" si="0"/>
        <v>0</v>
      </c>
      <c r="I19" s="2201"/>
      <c r="J19" s="2201"/>
      <c r="K19" s="2067">
        <f t="shared" si="4"/>
        <v>3000000</v>
      </c>
      <c r="L19" s="2067">
        <v>3000000</v>
      </c>
      <c r="M19" s="2067"/>
      <c r="N19" s="2199">
        <f t="shared" si="5"/>
        <v>0</v>
      </c>
      <c r="O19" s="2075"/>
      <c r="P19" s="2075"/>
      <c r="Q19" s="2078">
        <f t="shared" si="1"/>
        <v>0</v>
      </c>
      <c r="R19" s="2075">
        <f t="shared" si="2"/>
        <v>0</v>
      </c>
      <c r="S19" s="2086" t="s">
        <v>398</v>
      </c>
    </row>
    <row r="20" spans="1:20" s="2071" customFormat="1" ht="15" customHeight="1" x14ac:dyDescent="0.2">
      <c r="A20" s="2068"/>
      <c r="B20" s="2226" t="s">
        <v>353</v>
      </c>
      <c r="C20" s="2227"/>
      <c r="D20" s="2068"/>
      <c r="E20" s="2069">
        <f t="shared" si="6"/>
        <v>6000000</v>
      </c>
      <c r="F20" s="2222">
        <v>6000000</v>
      </c>
      <c r="G20" s="2070">
        <f>SUM(G21:G26)</f>
        <v>0</v>
      </c>
      <c r="H20" s="2096">
        <f t="shared" si="0"/>
        <v>0</v>
      </c>
      <c r="I20" s="2351"/>
      <c r="J20" s="2351"/>
      <c r="K20" s="2067">
        <f t="shared" si="4"/>
        <v>6000000</v>
      </c>
      <c r="L20" s="2067">
        <v>6000000</v>
      </c>
      <c r="M20" s="2070"/>
      <c r="N20" s="2199">
        <f t="shared" si="5"/>
        <v>0</v>
      </c>
      <c r="O20" s="2070"/>
      <c r="P20" s="2070"/>
      <c r="Q20" s="2078">
        <f t="shared" si="1"/>
        <v>0</v>
      </c>
      <c r="R20" s="2075">
        <f t="shared" si="2"/>
        <v>0</v>
      </c>
      <c r="S20" s="2226" t="s">
        <v>353</v>
      </c>
    </row>
    <row r="21" spans="1:20" s="615" customFormat="1" ht="15" customHeight="1" x14ac:dyDescent="0.2">
      <c r="A21" s="2341"/>
      <c r="B21" s="2352" t="s">
        <v>555</v>
      </c>
      <c r="C21" s="2073"/>
      <c r="D21" s="2341"/>
      <c r="E21" s="2343">
        <f t="shared" si="6"/>
        <v>12000000</v>
      </c>
      <c r="F21" s="2344">
        <v>12000000</v>
      </c>
      <c r="G21" s="2347"/>
      <c r="H21" s="2096">
        <f t="shared" si="0"/>
        <v>0</v>
      </c>
      <c r="I21" s="2353"/>
      <c r="J21" s="2353"/>
      <c r="K21" s="2067">
        <f t="shared" si="4"/>
        <v>11976000</v>
      </c>
      <c r="L21" s="2347">
        <v>11976000</v>
      </c>
      <c r="M21" s="2347"/>
      <c r="N21" s="2348">
        <f t="shared" si="5"/>
        <v>24000</v>
      </c>
      <c r="O21" s="2349">
        <f>F21-L21</f>
        <v>24000</v>
      </c>
      <c r="P21" s="2349"/>
      <c r="Q21" s="2078">
        <f t="shared" si="1"/>
        <v>0</v>
      </c>
      <c r="R21" s="2349">
        <f t="shared" si="2"/>
        <v>0</v>
      </c>
      <c r="S21" s="2352" t="s">
        <v>555</v>
      </c>
      <c r="T21" s="615" t="s">
        <v>3275</v>
      </c>
    </row>
    <row r="22" spans="1:20" ht="15" customHeight="1" x14ac:dyDescent="0.2">
      <c r="A22" s="2072"/>
      <c r="B22" s="2226" t="s">
        <v>3161</v>
      </c>
      <c r="C22" s="2221"/>
      <c r="D22" s="2072"/>
      <c r="E22" s="2074">
        <f t="shared" si="6"/>
        <v>6000000</v>
      </c>
      <c r="F22" s="2222">
        <v>6000000</v>
      </c>
      <c r="G22" s="2067"/>
      <c r="H22" s="2096">
        <f t="shared" si="0"/>
        <v>0</v>
      </c>
      <c r="I22" s="2201"/>
      <c r="J22" s="2201"/>
      <c r="K22" s="2067">
        <f t="shared" si="4"/>
        <v>6000000</v>
      </c>
      <c r="L22" s="2067">
        <v>6000000</v>
      </c>
      <c r="M22" s="2067"/>
      <c r="N22" s="2199">
        <f t="shared" si="5"/>
        <v>0</v>
      </c>
      <c r="O22" s="2075"/>
      <c r="P22" s="2075"/>
      <c r="Q22" s="2078">
        <f t="shared" si="1"/>
        <v>0</v>
      </c>
      <c r="R22" s="2075">
        <f t="shared" si="2"/>
        <v>0</v>
      </c>
      <c r="S22" s="2226" t="s">
        <v>3161</v>
      </c>
    </row>
    <row r="23" spans="1:20" s="2081" customFormat="1" ht="69.75" customHeight="1" x14ac:dyDescent="0.25">
      <c r="A23" s="2077">
        <v>2</v>
      </c>
      <c r="B23" s="2228" t="s">
        <v>3162</v>
      </c>
      <c r="C23" s="2219"/>
      <c r="D23" s="2077"/>
      <c r="E23" s="2078">
        <f t="shared" si="6"/>
        <v>6735000000</v>
      </c>
      <c r="F23" s="2078">
        <f>SUM(F24:F32)</f>
        <v>6735000000</v>
      </c>
      <c r="G23" s="2078"/>
      <c r="H23" s="2096">
        <f t="shared" si="0"/>
        <v>0</v>
      </c>
      <c r="I23" s="2096"/>
      <c r="J23" s="2096"/>
      <c r="K23" s="2078">
        <f>L23+M23</f>
        <v>497029148</v>
      </c>
      <c r="L23" s="2078">
        <f>SUM(L24:L32)</f>
        <v>497029148</v>
      </c>
      <c r="M23" s="2078">
        <f>SUM(M24:M32)</f>
        <v>0</v>
      </c>
      <c r="N23" s="2112">
        <f>O23+P23</f>
        <v>6237970852</v>
      </c>
      <c r="O23" s="2079">
        <f>SUM(O24:O32)</f>
        <v>6237970852</v>
      </c>
      <c r="P23" s="2079"/>
      <c r="Q23" s="2078">
        <f t="shared" si="1"/>
        <v>0</v>
      </c>
      <c r="R23" s="2079"/>
      <c r="S23" s="2080"/>
    </row>
    <row r="24" spans="1:20" ht="21" customHeight="1" x14ac:dyDescent="0.2">
      <c r="A24" s="2072"/>
      <c r="B24" s="2238" t="s">
        <v>556</v>
      </c>
      <c r="C24" s="2221"/>
      <c r="D24" s="2072"/>
      <c r="E24" s="2067">
        <f t="shared" si="6"/>
        <v>1084320000</v>
      </c>
      <c r="F24" s="2243">
        <v>1084320000</v>
      </c>
      <c r="G24" s="2067"/>
      <c r="H24" s="2096">
        <f t="shared" si="0"/>
        <v>0</v>
      </c>
      <c r="I24" s="2201"/>
      <c r="J24" s="2201"/>
      <c r="K24" s="2067">
        <f>L24+M24</f>
        <v>111442000</v>
      </c>
      <c r="L24" s="2354">
        <v>111442000</v>
      </c>
      <c r="M24" s="2355"/>
      <c r="N24" s="2199">
        <f>O24+P24</f>
        <v>972878000</v>
      </c>
      <c r="O24" s="2075">
        <f>F24-L24</f>
        <v>972878000</v>
      </c>
      <c r="P24" s="2075"/>
      <c r="Q24" s="2078">
        <f t="shared" si="1"/>
        <v>0</v>
      </c>
      <c r="R24" s="2229"/>
      <c r="S24" s="2080"/>
      <c r="T24" s="2076" t="s">
        <v>3276</v>
      </c>
    </row>
    <row r="25" spans="1:20" ht="21" customHeight="1" x14ac:dyDescent="0.2">
      <c r="A25" s="2072"/>
      <c r="B25" s="2238" t="s">
        <v>560</v>
      </c>
      <c r="C25" s="2221"/>
      <c r="D25" s="2072"/>
      <c r="E25" s="2067">
        <f t="shared" ref="E25:E32" si="7">F25+G25</f>
        <v>1186290000</v>
      </c>
      <c r="F25" s="2243">
        <v>1186290000</v>
      </c>
      <c r="G25" s="2067"/>
      <c r="H25" s="2096">
        <f t="shared" si="0"/>
        <v>0</v>
      </c>
      <c r="I25" s="2201"/>
      <c r="J25" s="2201"/>
      <c r="K25" s="2067">
        <f t="shared" ref="K25:K32" si="8">L25+M25</f>
        <v>86752500</v>
      </c>
      <c r="L25" s="2354">
        <v>86752500</v>
      </c>
      <c r="M25" s="2355"/>
      <c r="N25" s="2199">
        <f t="shared" ref="N25:N31" si="9">O25+P25</f>
        <v>1099537500</v>
      </c>
      <c r="O25" s="2075">
        <f t="shared" ref="O25:O32" si="10">F25-L25</f>
        <v>1099537500</v>
      </c>
      <c r="P25" s="2075"/>
      <c r="Q25" s="2078">
        <f t="shared" si="1"/>
        <v>0</v>
      </c>
      <c r="R25" s="2229"/>
      <c r="S25" s="2080"/>
      <c r="T25" s="2076" t="s">
        <v>3276</v>
      </c>
    </row>
    <row r="26" spans="1:20" ht="21" customHeight="1" x14ac:dyDescent="0.2">
      <c r="A26" s="2072"/>
      <c r="B26" s="2238" t="s">
        <v>347</v>
      </c>
      <c r="C26" s="2221"/>
      <c r="D26" s="2072"/>
      <c r="E26" s="2067">
        <f t="shared" si="7"/>
        <v>354170000</v>
      </c>
      <c r="F26" s="2243">
        <v>354170000</v>
      </c>
      <c r="G26" s="2067"/>
      <c r="H26" s="2096">
        <f t="shared" si="0"/>
        <v>0</v>
      </c>
      <c r="I26" s="2201"/>
      <c r="J26" s="2201"/>
      <c r="K26" s="2067">
        <f t="shared" si="8"/>
        <v>0</v>
      </c>
      <c r="L26" s="2074">
        <v>0</v>
      </c>
      <c r="M26" s="2355"/>
      <c r="N26" s="2199">
        <f t="shared" si="9"/>
        <v>354170000</v>
      </c>
      <c r="O26" s="2075">
        <f t="shared" si="10"/>
        <v>354170000</v>
      </c>
      <c r="P26" s="2075"/>
      <c r="Q26" s="2078">
        <f t="shared" si="1"/>
        <v>0</v>
      </c>
      <c r="R26" s="2229"/>
      <c r="S26" s="2080"/>
      <c r="T26" s="2076" t="s">
        <v>3276</v>
      </c>
    </row>
    <row r="27" spans="1:20" ht="21" customHeight="1" x14ac:dyDescent="0.2">
      <c r="A27" s="2072"/>
      <c r="B27" s="2238" t="s">
        <v>344</v>
      </c>
      <c r="C27" s="2221"/>
      <c r="D27" s="2072"/>
      <c r="E27" s="2067">
        <f t="shared" si="7"/>
        <v>829550000</v>
      </c>
      <c r="F27" s="2243">
        <v>829550000</v>
      </c>
      <c r="G27" s="2067"/>
      <c r="H27" s="2096">
        <f t="shared" si="0"/>
        <v>0</v>
      </c>
      <c r="I27" s="2201"/>
      <c r="J27" s="2201"/>
      <c r="K27" s="2067">
        <f t="shared" si="8"/>
        <v>133928000</v>
      </c>
      <c r="L27" s="2074">
        <v>133928000</v>
      </c>
      <c r="M27" s="2355"/>
      <c r="N27" s="2199">
        <f t="shared" si="9"/>
        <v>695622000</v>
      </c>
      <c r="O27" s="2075">
        <f t="shared" si="10"/>
        <v>695622000</v>
      </c>
      <c r="P27" s="2075"/>
      <c r="Q27" s="2078">
        <f t="shared" si="1"/>
        <v>0</v>
      </c>
      <c r="R27" s="2229"/>
      <c r="S27" s="2080"/>
      <c r="T27" s="2076" t="s">
        <v>3276</v>
      </c>
    </row>
    <row r="28" spans="1:20" s="2760" customFormat="1" ht="21" customHeight="1" x14ac:dyDescent="0.2">
      <c r="A28" s="2752"/>
      <c r="B28" s="2761" t="s">
        <v>558</v>
      </c>
      <c r="C28" s="2754"/>
      <c r="D28" s="2752"/>
      <c r="E28" s="2755">
        <f t="shared" si="7"/>
        <v>547360000</v>
      </c>
      <c r="F28" s="2762">
        <v>547360000</v>
      </c>
      <c r="G28" s="2755"/>
      <c r="H28" s="2757">
        <f t="shared" si="0"/>
        <v>0</v>
      </c>
      <c r="I28" s="2755"/>
      <c r="J28" s="2755"/>
      <c r="K28" s="2755">
        <f t="shared" si="8"/>
        <v>0</v>
      </c>
      <c r="L28" s="2763">
        <v>0</v>
      </c>
      <c r="M28" s="2764"/>
      <c r="N28" s="2751">
        <f t="shared" si="9"/>
        <v>547360000</v>
      </c>
      <c r="O28" s="2751">
        <f t="shared" si="10"/>
        <v>547360000</v>
      </c>
      <c r="P28" s="2751"/>
      <c r="Q28" s="2757">
        <f t="shared" si="1"/>
        <v>0</v>
      </c>
      <c r="R28" s="2758"/>
      <c r="S28" s="2765"/>
      <c r="T28" s="2760" t="s">
        <v>3276</v>
      </c>
    </row>
    <row r="29" spans="1:20" ht="21" customHeight="1" x14ac:dyDescent="0.2">
      <c r="A29" s="2072"/>
      <c r="B29" s="2238" t="s">
        <v>3163</v>
      </c>
      <c r="C29" s="2221"/>
      <c r="D29" s="2072"/>
      <c r="E29" s="2067">
        <f t="shared" si="7"/>
        <v>545000000</v>
      </c>
      <c r="F29" s="2243">
        <v>545000000</v>
      </c>
      <c r="G29" s="2067"/>
      <c r="H29" s="2096">
        <f t="shared" si="0"/>
        <v>0</v>
      </c>
      <c r="I29" s="2201"/>
      <c r="J29" s="2201"/>
      <c r="K29" s="2067">
        <f t="shared" si="8"/>
        <v>55842500</v>
      </c>
      <c r="L29" s="2074">
        <v>55842500</v>
      </c>
      <c r="M29" s="2355"/>
      <c r="N29" s="2199">
        <f t="shared" si="9"/>
        <v>489157500</v>
      </c>
      <c r="O29" s="2075">
        <f t="shared" si="10"/>
        <v>489157500</v>
      </c>
      <c r="P29" s="2075"/>
      <c r="Q29" s="2078">
        <f t="shared" si="1"/>
        <v>0</v>
      </c>
      <c r="R29" s="2229"/>
      <c r="S29" s="2080"/>
      <c r="T29" s="2076" t="s">
        <v>3276</v>
      </c>
    </row>
    <row r="30" spans="1:20" ht="21" customHeight="1" x14ac:dyDescent="0.2">
      <c r="A30" s="2072"/>
      <c r="B30" s="2238" t="s">
        <v>351</v>
      </c>
      <c r="C30" s="2221"/>
      <c r="D30" s="2072"/>
      <c r="E30" s="2067">
        <f t="shared" si="7"/>
        <v>959360000</v>
      </c>
      <c r="F30" s="2243">
        <v>959360000</v>
      </c>
      <c r="G30" s="2067"/>
      <c r="H30" s="2096">
        <f t="shared" si="0"/>
        <v>0</v>
      </c>
      <c r="I30" s="2201"/>
      <c r="J30" s="2201"/>
      <c r="K30" s="2067">
        <f t="shared" si="8"/>
        <v>6004500</v>
      </c>
      <c r="L30" s="2074">
        <v>6004500</v>
      </c>
      <c r="M30" s="2355"/>
      <c r="N30" s="2199">
        <f t="shared" si="9"/>
        <v>953355500</v>
      </c>
      <c r="O30" s="2075">
        <f t="shared" si="10"/>
        <v>953355500</v>
      </c>
      <c r="P30" s="2075"/>
      <c r="Q30" s="2078">
        <f t="shared" si="1"/>
        <v>0</v>
      </c>
      <c r="R30" s="2229"/>
      <c r="S30" s="2080"/>
      <c r="T30" s="2076" t="s">
        <v>3276</v>
      </c>
    </row>
    <row r="31" spans="1:20" ht="21" customHeight="1" x14ac:dyDescent="0.2">
      <c r="A31" s="2072"/>
      <c r="B31" s="2238" t="s">
        <v>3160</v>
      </c>
      <c r="C31" s="2221"/>
      <c r="D31" s="2072"/>
      <c r="E31" s="2067">
        <f t="shared" si="7"/>
        <v>699070000</v>
      </c>
      <c r="F31" s="2243">
        <v>699070000</v>
      </c>
      <c r="G31" s="2067"/>
      <c r="H31" s="2096">
        <f t="shared" si="0"/>
        <v>0</v>
      </c>
      <c r="I31" s="2201"/>
      <c r="J31" s="2201"/>
      <c r="K31" s="2067">
        <f t="shared" si="8"/>
        <v>56385648</v>
      </c>
      <c r="L31" s="2074">
        <v>56385648</v>
      </c>
      <c r="M31" s="2355"/>
      <c r="N31" s="2199">
        <f t="shared" si="9"/>
        <v>642684352</v>
      </c>
      <c r="O31" s="2075">
        <f t="shared" si="10"/>
        <v>642684352</v>
      </c>
      <c r="P31" s="2075"/>
      <c r="Q31" s="2078">
        <f t="shared" si="1"/>
        <v>0</v>
      </c>
      <c r="R31" s="2229"/>
      <c r="S31" s="2080"/>
      <c r="T31" s="2076" t="s">
        <v>3276</v>
      </c>
    </row>
    <row r="32" spans="1:20" ht="21" customHeight="1" x14ac:dyDescent="0.2">
      <c r="A32" s="2072"/>
      <c r="B32" s="2238" t="s">
        <v>348</v>
      </c>
      <c r="C32" s="2221"/>
      <c r="D32" s="2072"/>
      <c r="E32" s="2067">
        <f t="shared" si="7"/>
        <v>529880000</v>
      </c>
      <c r="F32" s="2243">
        <v>529880000</v>
      </c>
      <c r="G32" s="2067"/>
      <c r="H32" s="2096">
        <f t="shared" si="0"/>
        <v>0</v>
      </c>
      <c r="I32" s="2201"/>
      <c r="J32" s="2201"/>
      <c r="K32" s="2067">
        <f t="shared" si="8"/>
        <v>46674000</v>
      </c>
      <c r="L32" s="2074">
        <v>46674000</v>
      </c>
      <c r="M32" s="2355"/>
      <c r="N32" s="2199">
        <f t="shared" ref="N32:N38" si="11">O32+P32</f>
        <v>483206000</v>
      </c>
      <c r="O32" s="2075">
        <f t="shared" si="10"/>
        <v>483206000</v>
      </c>
      <c r="P32" s="2075"/>
      <c r="Q32" s="2078">
        <f t="shared" si="1"/>
        <v>0</v>
      </c>
      <c r="R32" s="2229"/>
      <c r="S32" s="2080"/>
      <c r="T32" s="2076" t="s">
        <v>3276</v>
      </c>
    </row>
    <row r="33" spans="1:20" s="2081" customFormat="1" ht="63.75" customHeight="1" x14ac:dyDescent="0.25">
      <c r="A33" s="2077">
        <v>3</v>
      </c>
      <c r="B33" s="2228" t="s">
        <v>3164</v>
      </c>
      <c r="C33" s="2219"/>
      <c r="D33" s="2077"/>
      <c r="E33" s="2078">
        <f>F33+G33</f>
        <v>1398000000</v>
      </c>
      <c r="F33" s="2084">
        <f>SUM(F34:F50)</f>
        <v>1331000000</v>
      </c>
      <c r="G33" s="2084">
        <f>SUM(G34:G50)</f>
        <v>67000000</v>
      </c>
      <c r="H33" s="2096">
        <f t="shared" si="0"/>
        <v>0</v>
      </c>
      <c r="I33" s="2356"/>
      <c r="J33" s="2356"/>
      <c r="K33" s="2078">
        <f>L33+M33</f>
        <v>1092575586</v>
      </c>
      <c r="L33" s="2078">
        <f>SUM(L34:L50)</f>
        <v>1025575586</v>
      </c>
      <c r="M33" s="2078">
        <f>SUM(M34:M50)</f>
        <v>67000000</v>
      </c>
      <c r="N33" s="2112">
        <f t="shared" si="11"/>
        <v>300644411</v>
      </c>
      <c r="O33" s="2079">
        <f>SUM(O34:O50)</f>
        <v>300644411</v>
      </c>
      <c r="P33" s="2079">
        <f>SUM(P34:P50)</f>
        <v>0</v>
      </c>
      <c r="Q33" s="2079">
        <f>SUM(Q34:Q50)</f>
        <v>4780003</v>
      </c>
      <c r="R33" s="2079">
        <f>SUM(R34:R50)</f>
        <v>4780003</v>
      </c>
      <c r="S33" s="2085"/>
    </row>
    <row r="34" spans="1:20" ht="21.75" customHeight="1" x14ac:dyDescent="0.2">
      <c r="A34" s="2072"/>
      <c r="B34" s="2220" t="s">
        <v>660</v>
      </c>
      <c r="C34" s="2221"/>
      <c r="D34" s="2072"/>
      <c r="E34" s="2067">
        <f>F34+G34</f>
        <v>105000000</v>
      </c>
      <c r="F34" s="2357">
        <v>105000000</v>
      </c>
      <c r="G34" s="2067"/>
      <c r="H34" s="2096">
        <f t="shared" si="0"/>
        <v>0</v>
      </c>
      <c r="I34" s="2201"/>
      <c r="J34" s="2201"/>
      <c r="K34" s="2067">
        <f>L34+M34</f>
        <v>101308725</v>
      </c>
      <c r="L34" s="2067">
        <v>101308725</v>
      </c>
      <c r="M34" s="2067"/>
      <c r="N34" s="2199">
        <f t="shared" si="11"/>
        <v>3691275</v>
      </c>
      <c r="O34" s="2075">
        <f>F34-L34</f>
        <v>3691275</v>
      </c>
      <c r="P34" s="2075"/>
      <c r="Q34" s="2078">
        <f t="shared" si="1"/>
        <v>0</v>
      </c>
      <c r="R34" s="2229"/>
      <c r="S34" s="2086"/>
      <c r="T34" s="2076" t="s">
        <v>3276</v>
      </c>
    </row>
    <row r="35" spans="1:20" ht="21.75" customHeight="1" x14ac:dyDescent="0.2">
      <c r="A35" s="2072"/>
      <c r="B35" s="2220" t="s">
        <v>664</v>
      </c>
      <c r="C35" s="2221"/>
      <c r="D35" s="2072"/>
      <c r="E35" s="2067">
        <f t="shared" ref="E35:E50" si="12">F35+G35</f>
        <v>105000000</v>
      </c>
      <c r="F35" s="2357">
        <v>105000000</v>
      </c>
      <c r="G35" s="2067"/>
      <c r="H35" s="2096">
        <f t="shared" si="0"/>
        <v>0</v>
      </c>
      <c r="I35" s="2201"/>
      <c r="J35" s="2201"/>
      <c r="K35" s="2067">
        <f t="shared" ref="K35:K50" si="13">L35+M35</f>
        <v>0</v>
      </c>
      <c r="L35" s="2067">
        <v>0</v>
      </c>
      <c r="M35" s="2067"/>
      <c r="N35" s="2199">
        <f t="shared" si="11"/>
        <v>105000000</v>
      </c>
      <c r="O35" s="2075">
        <f t="shared" ref="O35:O49" si="14">F35-L35</f>
        <v>105000000</v>
      </c>
      <c r="P35" s="2075"/>
      <c r="Q35" s="2078">
        <f t="shared" si="1"/>
        <v>0</v>
      </c>
      <c r="R35" s="2229"/>
      <c r="S35" s="2086"/>
      <c r="T35" s="2076" t="s">
        <v>3276</v>
      </c>
    </row>
    <row r="36" spans="1:20" ht="21.75" customHeight="1" x14ac:dyDescent="0.2">
      <c r="A36" s="2072"/>
      <c r="B36" s="2220" t="s">
        <v>651</v>
      </c>
      <c r="C36" s="2221"/>
      <c r="D36" s="2072"/>
      <c r="E36" s="2067">
        <f t="shared" si="12"/>
        <v>105000000</v>
      </c>
      <c r="F36" s="2357">
        <v>105000000</v>
      </c>
      <c r="G36" s="2067"/>
      <c r="H36" s="2096">
        <f t="shared" si="0"/>
        <v>0</v>
      </c>
      <c r="I36" s="2201"/>
      <c r="J36" s="2201"/>
      <c r="K36" s="2067">
        <f t="shared" si="13"/>
        <v>104582360</v>
      </c>
      <c r="L36" s="2067">
        <v>104582360</v>
      </c>
      <c r="M36" s="2067"/>
      <c r="N36" s="2199">
        <f t="shared" si="11"/>
        <v>417640</v>
      </c>
      <c r="O36" s="2075">
        <f t="shared" si="14"/>
        <v>417640</v>
      </c>
      <c r="P36" s="2075"/>
      <c r="Q36" s="2078">
        <f t="shared" si="1"/>
        <v>0</v>
      </c>
      <c r="R36" s="2229"/>
      <c r="S36" s="2086"/>
      <c r="T36" s="2076" t="s">
        <v>3276</v>
      </c>
    </row>
    <row r="37" spans="1:20" ht="21.75" customHeight="1" x14ac:dyDescent="0.2">
      <c r="A37" s="2072"/>
      <c r="B37" s="2220" t="s">
        <v>3159</v>
      </c>
      <c r="C37" s="2221"/>
      <c r="D37" s="2072"/>
      <c r="E37" s="2067">
        <f t="shared" si="12"/>
        <v>116000000</v>
      </c>
      <c r="F37" s="2357">
        <v>116000000</v>
      </c>
      <c r="G37" s="2067"/>
      <c r="H37" s="2096">
        <f t="shared" si="0"/>
        <v>0</v>
      </c>
      <c r="I37" s="2201"/>
      <c r="J37" s="2201"/>
      <c r="K37" s="2067">
        <f t="shared" si="13"/>
        <v>0</v>
      </c>
      <c r="L37" s="2067">
        <v>0</v>
      </c>
      <c r="M37" s="2067"/>
      <c r="N37" s="2199">
        <f t="shared" si="11"/>
        <v>116000000</v>
      </c>
      <c r="O37" s="2075">
        <f t="shared" si="14"/>
        <v>116000000</v>
      </c>
      <c r="P37" s="2075"/>
      <c r="Q37" s="2078">
        <f t="shared" si="1"/>
        <v>0</v>
      </c>
      <c r="R37" s="2229"/>
      <c r="S37" s="2086"/>
      <c r="T37" s="2076" t="s">
        <v>3276</v>
      </c>
    </row>
    <row r="38" spans="1:20" ht="21.75" customHeight="1" x14ac:dyDescent="0.2">
      <c r="A38" s="2072"/>
      <c r="B38" s="2220" t="s">
        <v>3160</v>
      </c>
      <c r="C38" s="2221"/>
      <c r="D38" s="2072"/>
      <c r="E38" s="2067">
        <f t="shared" si="12"/>
        <v>116000000</v>
      </c>
      <c r="F38" s="2357">
        <v>116000000</v>
      </c>
      <c r="G38" s="2067"/>
      <c r="H38" s="2096">
        <f t="shared" si="0"/>
        <v>0</v>
      </c>
      <c r="I38" s="2201"/>
      <c r="J38" s="2201"/>
      <c r="K38" s="2067">
        <f t="shared" si="13"/>
        <v>111936262</v>
      </c>
      <c r="L38" s="2067">
        <v>111936262</v>
      </c>
      <c r="M38" s="2067"/>
      <c r="N38" s="2199">
        <f t="shared" si="11"/>
        <v>4063738</v>
      </c>
      <c r="O38" s="2075">
        <f t="shared" si="14"/>
        <v>4063738</v>
      </c>
      <c r="P38" s="2075"/>
      <c r="Q38" s="2078">
        <f t="shared" si="1"/>
        <v>0</v>
      </c>
      <c r="R38" s="2229"/>
      <c r="S38" s="2086"/>
      <c r="T38" s="2076" t="s">
        <v>3276</v>
      </c>
    </row>
    <row r="39" spans="1:20" s="2760" customFormat="1" ht="21.75" customHeight="1" x14ac:dyDescent="0.2">
      <c r="A39" s="2752"/>
      <c r="B39" s="2753" t="s">
        <v>558</v>
      </c>
      <c r="C39" s="2754"/>
      <c r="D39" s="2752"/>
      <c r="E39" s="2755">
        <f t="shared" si="12"/>
        <v>105000000</v>
      </c>
      <c r="F39" s="2756">
        <v>105000000</v>
      </c>
      <c r="G39" s="2755"/>
      <c r="H39" s="2757">
        <f t="shared" si="0"/>
        <v>0</v>
      </c>
      <c r="I39" s="2755"/>
      <c r="J39" s="2755"/>
      <c r="K39" s="2755">
        <f t="shared" si="13"/>
        <v>100219997</v>
      </c>
      <c r="L39" s="2755">
        <v>100219997</v>
      </c>
      <c r="M39" s="2755"/>
      <c r="N39" s="2751"/>
      <c r="O39" s="2751">
        <f>F39-L39-R39</f>
        <v>0</v>
      </c>
      <c r="P39" s="2751"/>
      <c r="Q39" s="2757">
        <f>R39</f>
        <v>4780003</v>
      </c>
      <c r="R39" s="2758">
        <v>4780003</v>
      </c>
      <c r="S39" s="2759"/>
      <c r="T39" s="2760" t="s">
        <v>3490</v>
      </c>
    </row>
    <row r="40" spans="1:20" ht="21.75" customHeight="1" x14ac:dyDescent="0.2">
      <c r="A40" s="2072"/>
      <c r="B40" s="2220" t="s">
        <v>556</v>
      </c>
      <c r="C40" s="2221"/>
      <c r="D40" s="2072"/>
      <c r="E40" s="2067">
        <f t="shared" si="12"/>
        <v>105000000</v>
      </c>
      <c r="F40" s="2230">
        <v>105000000</v>
      </c>
      <c r="G40" s="2067"/>
      <c r="H40" s="2096">
        <f t="shared" si="0"/>
        <v>0</v>
      </c>
      <c r="I40" s="2201"/>
      <c r="J40" s="2201"/>
      <c r="K40" s="2067">
        <f t="shared" si="13"/>
        <v>104174226</v>
      </c>
      <c r="L40" s="2067">
        <v>104174226</v>
      </c>
      <c r="M40" s="2067"/>
      <c r="N40" s="2199"/>
      <c r="O40" s="2075">
        <f t="shared" si="14"/>
        <v>825774</v>
      </c>
      <c r="P40" s="2075"/>
      <c r="Q40" s="2078">
        <f t="shared" si="1"/>
        <v>0</v>
      </c>
      <c r="R40" s="2229"/>
      <c r="S40" s="2086"/>
      <c r="T40" s="2076" t="s">
        <v>3276</v>
      </c>
    </row>
    <row r="41" spans="1:20" ht="21.75" customHeight="1" x14ac:dyDescent="0.2">
      <c r="A41" s="2072"/>
      <c r="B41" s="2220" t="s">
        <v>348</v>
      </c>
      <c r="C41" s="2221"/>
      <c r="D41" s="2072"/>
      <c r="E41" s="2067">
        <f t="shared" si="12"/>
        <v>105000000</v>
      </c>
      <c r="F41" s="2230">
        <v>105000000</v>
      </c>
      <c r="G41" s="2067"/>
      <c r="H41" s="2096">
        <f t="shared" si="0"/>
        <v>0</v>
      </c>
      <c r="I41" s="2201"/>
      <c r="J41" s="2201"/>
      <c r="K41" s="2067">
        <f t="shared" si="13"/>
        <v>101668631</v>
      </c>
      <c r="L41" s="2067">
        <v>101668631</v>
      </c>
      <c r="M41" s="2067"/>
      <c r="N41" s="2199"/>
      <c r="O41" s="2075">
        <f t="shared" si="14"/>
        <v>3331369</v>
      </c>
      <c r="P41" s="2075"/>
      <c r="Q41" s="2078">
        <f t="shared" si="1"/>
        <v>0</v>
      </c>
      <c r="R41" s="2229"/>
      <c r="S41" s="2086"/>
      <c r="T41" s="2076" t="s">
        <v>3276</v>
      </c>
    </row>
    <row r="42" spans="1:20" ht="21.75" customHeight="1" x14ac:dyDescent="0.2">
      <c r="A42" s="2072"/>
      <c r="B42" s="2220" t="s">
        <v>659</v>
      </c>
      <c r="C42" s="2224"/>
      <c r="D42" s="2225"/>
      <c r="E42" s="2067">
        <f t="shared" si="12"/>
        <v>93000000</v>
      </c>
      <c r="F42" s="2230">
        <v>93000000</v>
      </c>
      <c r="G42" s="2067"/>
      <c r="H42" s="2096">
        <f t="shared" si="0"/>
        <v>0</v>
      </c>
      <c r="I42" s="2201"/>
      <c r="J42" s="2201"/>
      <c r="K42" s="2067">
        <f t="shared" si="13"/>
        <v>89595688</v>
      </c>
      <c r="L42" s="2067">
        <v>89595688</v>
      </c>
      <c r="M42" s="2067"/>
      <c r="N42" s="2199"/>
      <c r="O42" s="2075">
        <f t="shared" si="14"/>
        <v>3404312</v>
      </c>
      <c r="P42" s="2075"/>
      <c r="Q42" s="2078">
        <f t="shared" si="1"/>
        <v>0</v>
      </c>
      <c r="R42" s="2358"/>
      <c r="S42" s="2086"/>
      <c r="T42" s="2076" t="s">
        <v>3276</v>
      </c>
    </row>
    <row r="43" spans="1:20" ht="21.75" customHeight="1" x14ac:dyDescent="0.2">
      <c r="A43" s="2072"/>
      <c r="B43" s="2220" t="s">
        <v>658</v>
      </c>
      <c r="C43" s="2221"/>
      <c r="D43" s="2072"/>
      <c r="E43" s="2067">
        <f t="shared" si="12"/>
        <v>93000000</v>
      </c>
      <c r="F43" s="2230">
        <v>93000000</v>
      </c>
      <c r="G43" s="2067"/>
      <c r="H43" s="2096">
        <f t="shared" si="0"/>
        <v>0</v>
      </c>
      <c r="I43" s="2201"/>
      <c r="J43" s="2201"/>
      <c r="K43" s="2067">
        <f t="shared" si="13"/>
        <v>92162334</v>
      </c>
      <c r="L43" s="2067">
        <v>92162334</v>
      </c>
      <c r="M43" s="2067"/>
      <c r="N43" s="2199"/>
      <c r="O43" s="2075">
        <f t="shared" si="14"/>
        <v>837666</v>
      </c>
      <c r="P43" s="2075"/>
      <c r="Q43" s="2078">
        <f t="shared" si="1"/>
        <v>0</v>
      </c>
      <c r="R43" s="2229"/>
      <c r="S43" s="2086"/>
      <c r="T43" s="2076" t="s">
        <v>3276</v>
      </c>
    </row>
    <row r="44" spans="1:20" ht="21.75" customHeight="1" x14ac:dyDescent="0.2">
      <c r="A44" s="2072"/>
      <c r="B44" s="2086" t="s">
        <v>645</v>
      </c>
      <c r="C44" s="2221"/>
      <c r="D44" s="2072"/>
      <c r="E44" s="2067">
        <f t="shared" si="12"/>
        <v>63000000</v>
      </c>
      <c r="F44" s="2230">
        <v>63000000</v>
      </c>
      <c r="G44" s="2067"/>
      <c r="H44" s="2096">
        <f t="shared" si="0"/>
        <v>0</v>
      </c>
      <c r="I44" s="2201"/>
      <c r="J44" s="2201"/>
      <c r="K44" s="2067">
        <f t="shared" si="13"/>
        <v>0</v>
      </c>
      <c r="L44" s="2067"/>
      <c r="M44" s="2067"/>
      <c r="N44" s="2199"/>
      <c r="O44" s="2075">
        <f t="shared" si="14"/>
        <v>63000000</v>
      </c>
      <c r="P44" s="2075"/>
      <c r="Q44" s="2078">
        <f t="shared" si="1"/>
        <v>0</v>
      </c>
      <c r="R44" s="2229"/>
      <c r="S44" s="2086"/>
      <c r="T44" s="2076" t="s">
        <v>3276</v>
      </c>
    </row>
    <row r="45" spans="1:20" ht="21.75" customHeight="1" x14ac:dyDescent="0.2">
      <c r="A45" s="2072"/>
      <c r="B45" s="2220" t="s">
        <v>644</v>
      </c>
      <c r="C45" s="2221"/>
      <c r="D45" s="2072"/>
      <c r="E45" s="2067">
        <f t="shared" si="12"/>
        <v>63000000</v>
      </c>
      <c r="F45" s="2243">
        <v>63000000</v>
      </c>
      <c r="G45" s="2067"/>
      <c r="H45" s="2096">
        <f t="shared" si="0"/>
        <v>0</v>
      </c>
      <c r="I45" s="2201"/>
      <c r="J45" s="2201"/>
      <c r="K45" s="2067">
        <f t="shared" si="13"/>
        <v>62977265</v>
      </c>
      <c r="L45" s="2067">
        <v>62977265</v>
      </c>
      <c r="M45" s="2067"/>
      <c r="N45" s="2199"/>
      <c r="O45" s="2075">
        <f t="shared" si="14"/>
        <v>22735</v>
      </c>
      <c r="P45" s="2075"/>
      <c r="Q45" s="2078">
        <f t="shared" si="1"/>
        <v>0</v>
      </c>
      <c r="R45" s="2229"/>
      <c r="S45" s="2086"/>
      <c r="T45" s="2076" t="s">
        <v>3276</v>
      </c>
    </row>
    <row r="46" spans="1:20" ht="21.75" customHeight="1" x14ac:dyDescent="0.2">
      <c r="A46" s="2072"/>
      <c r="B46" s="2220" t="s">
        <v>650</v>
      </c>
      <c r="C46" s="2221"/>
      <c r="D46" s="2072"/>
      <c r="E46" s="2067">
        <f t="shared" si="12"/>
        <v>42000000</v>
      </c>
      <c r="F46" s="2230">
        <v>42000000</v>
      </c>
      <c r="G46" s="2067"/>
      <c r="H46" s="2096">
        <f t="shared" si="0"/>
        <v>0</v>
      </c>
      <c r="I46" s="2201"/>
      <c r="J46" s="2201"/>
      <c r="K46" s="2067">
        <f t="shared" si="13"/>
        <v>41959000</v>
      </c>
      <c r="L46" s="2067">
        <v>41959000</v>
      </c>
      <c r="M46" s="2067"/>
      <c r="N46" s="2199"/>
      <c r="O46" s="2075">
        <f t="shared" si="14"/>
        <v>41000</v>
      </c>
      <c r="P46" s="2075"/>
      <c r="Q46" s="2078">
        <f t="shared" si="1"/>
        <v>0</v>
      </c>
      <c r="R46" s="2229"/>
      <c r="S46" s="2086"/>
      <c r="T46" s="2076" t="s">
        <v>3276</v>
      </c>
    </row>
    <row r="47" spans="1:20" ht="21.75" customHeight="1" x14ac:dyDescent="0.2">
      <c r="A47" s="2072"/>
      <c r="B47" s="2086" t="s">
        <v>652</v>
      </c>
      <c r="C47" s="2221"/>
      <c r="D47" s="2072"/>
      <c r="E47" s="2067">
        <f t="shared" si="12"/>
        <v>21000000</v>
      </c>
      <c r="F47" s="2230">
        <v>21000000</v>
      </c>
      <c r="G47" s="2067"/>
      <c r="H47" s="2096">
        <f t="shared" si="0"/>
        <v>0</v>
      </c>
      <c r="I47" s="2201"/>
      <c r="J47" s="2201"/>
      <c r="K47" s="2067">
        <f t="shared" si="13"/>
        <v>21000000</v>
      </c>
      <c r="L47" s="2067">
        <v>21000000</v>
      </c>
      <c r="M47" s="2067"/>
      <c r="N47" s="2199"/>
      <c r="O47" s="2075">
        <f t="shared" si="14"/>
        <v>0</v>
      </c>
      <c r="P47" s="2075"/>
      <c r="Q47" s="2078">
        <f t="shared" si="1"/>
        <v>0</v>
      </c>
      <c r="R47" s="2229"/>
      <c r="S47" s="2086"/>
    </row>
    <row r="48" spans="1:20" ht="21.75" customHeight="1" x14ac:dyDescent="0.2">
      <c r="A48" s="2072"/>
      <c r="B48" s="2226" t="s">
        <v>661</v>
      </c>
      <c r="C48" s="2221"/>
      <c r="D48" s="2072"/>
      <c r="E48" s="2067">
        <f t="shared" si="12"/>
        <v>21000000</v>
      </c>
      <c r="F48" s="2230">
        <v>21000000</v>
      </c>
      <c r="G48" s="2067"/>
      <c r="H48" s="2096">
        <f t="shared" si="0"/>
        <v>0</v>
      </c>
      <c r="I48" s="2201"/>
      <c r="J48" s="2201"/>
      <c r="K48" s="2067">
        <f t="shared" si="13"/>
        <v>20991414</v>
      </c>
      <c r="L48" s="2067">
        <v>20991414</v>
      </c>
      <c r="M48" s="2067"/>
      <c r="N48" s="2199"/>
      <c r="O48" s="2075">
        <f t="shared" si="14"/>
        <v>8586</v>
      </c>
      <c r="P48" s="2075"/>
      <c r="Q48" s="2078">
        <f t="shared" si="1"/>
        <v>0</v>
      </c>
      <c r="R48" s="2229"/>
      <c r="S48" s="2086"/>
      <c r="T48" s="2076" t="s">
        <v>3276</v>
      </c>
    </row>
    <row r="49" spans="1:20" ht="21.75" customHeight="1" x14ac:dyDescent="0.2">
      <c r="A49" s="2072"/>
      <c r="B49" s="2226" t="s">
        <v>3161</v>
      </c>
      <c r="C49" s="2221"/>
      <c r="D49" s="2072"/>
      <c r="E49" s="2067">
        <f t="shared" si="12"/>
        <v>63000000</v>
      </c>
      <c r="F49" s="2230">
        <v>63000000</v>
      </c>
      <c r="G49" s="2067"/>
      <c r="H49" s="2096">
        <f t="shared" si="0"/>
        <v>0</v>
      </c>
      <c r="I49" s="2201"/>
      <c r="J49" s="2201"/>
      <c r="K49" s="2067">
        <f t="shared" si="13"/>
        <v>62999684</v>
      </c>
      <c r="L49" s="2067">
        <v>62999684</v>
      </c>
      <c r="M49" s="2067"/>
      <c r="N49" s="2199"/>
      <c r="O49" s="2075">
        <f t="shared" si="14"/>
        <v>316</v>
      </c>
      <c r="P49" s="2075"/>
      <c r="Q49" s="2078">
        <f t="shared" si="1"/>
        <v>0</v>
      </c>
      <c r="R49" s="2229"/>
      <c r="S49" s="2086"/>
      <c r="T49" s="2076" t="s">
        <v>3277</v>
      </c>
    </row>
    <row r="50" spans="1:20" ht="21.75" customHeight="1" x14ac:dyDescent="0.2">
      <c r="A50" s="2072"/>
      <c r="B50" s="2231" t="s">
        <v>3165</v>
      </c>
      <c r="C50" s="2221"/>
      <c r="D50" s="2072"/>
      <c r="E50" s="2067">
        <f t="shared" si="12"/>
        <v>77000000</v>
      </c>
      <c r="F50" s="2067">
        <v>10000000</v>
      </c>
      <c r="G50" s="2067">
        <v>67000000</v>
      </c>
      <c r="H50" s="2096">
        <f t="shared" si="0"/>
        <v>0</v>
      </c>
      <c r="I50" s="2201"/>
      <c r="J50" s="2201"/>
      <c r="K50" s="2067">
        <f t="shared" si="13"/>
        <v>77000000</v>
      </c>
      <c r="L50" s="2067">
        <v>10000000</v>
      </c>
      <c r="M50" s="2067">
        <v>67000000</v>
      </c>
      <c r="N50" s="2199"/>
      <c r="O50" s="2075"/>
      <c r="P50" s="2075"/>
      <c r="Q50" s="2078">
        <f t="shared" si="1"/>
        <v>0</v>
      </c>
      <c r="R50" s="2229"/>
      <c r="S50" s="2086"/>
    </row>
    <row r="51" spans="1:20" s="2081" customFormat="1" ht="63.75" customHeight="1" x14ac:dyDescent="0.25">
      <c r="A51" s="2077">
        <v>4</v>
      </c>
      <c r="B51" s="2228" t="s">
        <v>3166</v>
      </c>
      <c r="C51" s="2219"/>
      <c r="D51" s="2077"/>
      <c r="E51" s="2078">
        <f t="shared" ref="E51:E67" si="15">F51+G51</f>
        <v>798000000</v>
      </c>
      <c r="F51" s="2078">
        <f>F52+F55</f>
        <v>760000000</v>
      </c>
      <c r="G51" s="2078">
        <f>G52+G55</f>
        <v>38000000</v>
      </c>
      <c r="H51" s="2096">
        <f>I51+J51</f>
        <v>38000000</v>
      </c>
      <c r="I51" s="2096"/>
      <c r="J51" s="2096">
        <v>38000000</v>
      </c>
      <c r="K51" s="2078">
        <v>0</v>
      </c>
      <c r="L51" s="2078">
        <v>0</v>
      </c>
      <c r="M51" s="2078">
        <v>0</v>
      </c>
      <c r="N51" s="2112">
        <f>O51+P51</f>
        <v>760000000</v>
      </c>
      <c r="O51" s="2079">
        <f>F51-L51</f>
        <v>760000000</v>
      </c>
      <c r="P51" s="2079"/>
      <c r="Q51" s="2078">
        <f t="shared" si="1"/>
        <v>0</v>
      </c>
      <c r="R51" s="2232"/>
      <c r="S51" s="2085" t="s">
        <v>3167</v>
      </c>
    </row>
    <row r="52" spans="1:20" s="2071" customFormat="1" ht="132" customHeight="1" x14ac:dyDescent="0.2">
      <c r="A52" s="2068"/>
      <c r="B52" s="2233" t="s">
        <v>3168</v>
      </c>
      <c r="C52" s="2227"/>
      <c r="D52" s="2068"/>
      <c r="E52" s="2070">
        <f t="shared" si="15"/>
        <v>401880000</v>
      </c>
      <c r="F52" s="2070">
        <v>363880000</v>
      </c>
      <c r="G52" s="2070">
        <v>38000000</v>
      </c>
      <c r="H52" s="2096">
        <f t="shared" si="0"/>
        <v>0</v>
      </c>
      <c r="I52" s="2351"/>
      <c r="J52" s="2351"/>
      <c r="K52" s="2070"/>
      <c r="L52" s="2070"/>
      <c r="M52" s="2070"/>
      <c r="N52" s="2203">
        <f t="shared" ref="N52:N59" si="16">O52</f>
        <v>363880000</v>
      </c>
      <c r="O52" s="2089">
        <f>F52</f>
        <v>363880000</v>
      </c>
      <c r="P52" s="2089"/>
      <c r="Q52" s="2078">
        <f t="shared" si="1"/>
        <v>0</v>
      </c>
      <c r="R52" s="2229"/>
      <c r="S52" s="2090"/>
    </row>
    <row r="53" spans="1:20" ht="78.75" customHeight="1" x14ac:dyDescent="0.2">
      <c r="A53" s="2072"/>
      <c r="B53" s="2234" t="s">
        <v>3169</v>
      </c>
      <c r="C53" s="2221"/>
      <c r="D53" s="2072"/>
      <c r="E53" s="2070">
        <f t="shared" si="15"/>
        <v>170200000</v>
      </c>
      <c r="F53" s="2067">
        <v>132199999.99999999</v>
      </c>
      <c r="G53" s="2067">
        <v>38000000</v>
      </c>
      <c r="H53" s="2096">
        <f t="shared" si="0"/>
        <v>0</v>
      </c>
      <c r="I53" s="2201"/>
      <c r="J53" s="2201"/>
      <c r="K53" s="2070"/>
      <c r="L53" s="2070"/>
      <c r="M53" s="2067"/>
      <c r="N53" s="2199">
        <f t="shared" si="16"/>
        <v>132199999.99999999</v>
      </c>
      <c r="O53" s="2089">
        <f t="shared" ref="O53:O58" si="17">F53</f>
        <v>132199999.99999999</v>
      </c>
      <c r="P53" s="2075"/>
      <c r="Q53" s="2078">
        <f t="shared" si="1"/>
        <v>0</v>
      </c>
      <c r="R53" s="2229"/>
      <c r="S53" s="2086"/>
    </row>
    <row r="54" spans="1:20" ht="54" customHeight="1" x14ac:dyDescent="0.2">
      <c r="A54" s="2072"/>
      <c r="B54" s="2234" t="s">
        <v>3170</v>
      </c>
      <c r="C54" s="2221"/>
      <c r="D54" s="2072"/>
      <c r="E54" s="2070">
        <f t="shared" si="15"/>
        <v>231680000</v>
      </c>
      <c r="F54" s="2067">
        <v>231680000</v>
      </c>
      <c r="G54" s="2067"/>
      <c r="H54" s="2096">
        <f t="shared" si="0"/>
        <v>0</v>
      </c>
      <c r="I54" s="2201"/>
      <c r="J54" s="2201"/>
      <c r="K54" s="2067"/>
      <c r="L54" s="2067"/>
      <c r="M54" s="2067"/>
      <c r="N54" s="2199">
        <f t="shared" si="16"/>
        <v>231680000</v>
      </c>
      <c r="O54" s="2089">
        <f t="shared" si="17"/>
        <v>231680000</v>
      </c>
      <c r="P54" s="2075"/>
      <c r="Q54" s="2078">
        <f t="shared" si="1"/>
        <v>0</v>
      </c>
      <c r="R54" s="2229"/>
      <c r="S54" s="2086"/>
    </row>
    <row r="55" spans="1:20" s="2095" customFormat="1" ht="105.75" customHeight="1" x14ac:dyDescent="0.25">
      <c r="A55" s="2091"/>
      <c r="B55" s="2219" t="s">
        <v>3171</v>
      </c>
      <c r="C55" s="2235"/>
      <c r="D55" s="2091"/>
      <c r="E55" s="2093">
        <f t="shared" si="15"/>
        <v>396120000</v>
      </c>
      <c r="F55" s="2093">
        <f>F56+F57+F58</f>
        <v>396120000</v>
      </c>
      <c r="G55" s="2093"/>
      <c r="H55" s="2096">
        <f t="shared" si="0"/>
        <v>0</v>
      </c>
      <c r="I55" s="2200"/>
      <c r="J55" s="2200"/>
      <c r="K55" s="2093"/>
      <c r="L55" s="2093"/>
      <c r="M55" s="2093"/>
      <c r="N55" s="2198">
        <f t="shared" si="16"/>
        <v>396120000</v>
      </c>
      <c r="O55" s="2094">
        <f>O56+O57+O58</f>
        <v>396120000</v>
      </c>
      <c r="P55" s="2094"/>
      <c r="Q55" s="2078">
        <f t="shared" si="1"/>
        <v>0</v>
      </c>
      <c r="R55" s="2232"/>
      <c r="S55" s="2080"/>
    </row>
    <row r="56" spans="1:20" ht="79.5" customHeight="1" x14ac:dyDescent="0.2">
      <c r="A56" s="2072"/>
      <c r="B56" s="2221" t="s">
        <v>3172</v>
      </c>
      <c r="C56" s="2221"/>
      <c r="D56" s="2072"/>
      <c r="E56" s="2070">
        <f t="shared" si="15"/>
        <v>27920000</v>
      </c>
      <c r="F56" s="2236">
        <v>27920000</v>
      </c>
      <c r="G56" s="2067"/>
      <c r="H56" s="2096">
        <f t="shared" si="0"/>
        <v>0</v>
      </c>
      <c r="I56" s="2201"/>
      <c r="J56" s="2201"/>
      <c r="K56" s="2067"/>
      <c r="L56" s="2067"/>
      <c r="M56" s="2067"/>
      <c r="N56" s="2199">
        <f t="shared" si="16"/>
        <v>27920000</v>
      </c>
      <c r="O56" s="2089">
        <f t="shared" si="17"/>
        <v>27920000</v>
      </c>
      <c r="P56" s="2075"/>
      <c r="Q56" s="2078">
        <f t="shared" si="1"/>
        <v>0</v>
      </c>
      <c r="R56" s="2229"/>
      <c r="S56" s="2086"/>
    </row>
    <row r="57" spans="1:20" ht="69.75" customHeight="1" x14ac:dyDescent="0.2">
      <c r="A57" s="2072"/>
      <c r="B57" s="2221" t="s">
        <v>3173</v>
      </c>
      <c r="C57" s="2221"/>
      <c r="D57" s="2072"/>
      <c r="E57" s="2070">
        <f t="shared" si="15"/>
        <v>160200000</v>
      </c>
      <c r="F57" s="2236">
        <v>160200000</v>
      </c>
      <c r="G57" s="2067"/>
      <c r="H57" s="2096">
        <f t="shared" si="0"/>
        <v>0</v>
      </c>
      <c r="I57" s="2201"/>
      <c r="J57" s="2201"/>
      <c r="K57" s="2067"/>
      <c r="L57" s="2067"/>
      <c r="M57" s="2067"/>
      <c r="N57" s="2199">
        <f t="shared" si="16"/>
        <v>160200000</v>
      </c>
      <c r="O57" s="2089">
        <f t="shared" si="17"/>
        <v>160200000</v>
      </c>
      <c r="P57" s="2075"/>
      <c r="Q57" s="2078">
        <f t="shared" si="1"/>
        <v>0</v>
      </c>
      <c r="R57" s="2229"/>
      <c r="S57" s="2086"/>
    </row>
    <row r="58" spans="1:20" ht="49.5" customHeight="1" x14ac:dyDescent="0.2">
      <c r="A58" s="2072"/>
      <c r="B58" s="2221" t="s">
        <v>3174</v>
      </c>
      <c r="C58" s="2221"/>
      <c r="D58" s="2072"/>
      <c r="E58" s="2070">
        <f t="shared" si="15"/>
        <v>208000000</v>
      </c>
      <c r="F58" s="2236">
        <v>208000000</v>
      </c>
      <c r="G58" s="2067"/>
      <c r="H58" s="2096">
        <f t="shared" si="0"/>
        <v>0</v>
      </c>
      <c r="I58" s="2201"/>
      <c r="J58" s="2201"/>
      <c r="K58" s="2067"/>
      <c r="L58" s="2067"/>
      <c r="M58" s="2067"/>
      <c r="N58" s="2199">
        <f t="shared" si="16"/>
        <v>208000000</v>
      </c>
      <c r="O58" s="2089">
        <f t="shared" si="17"/>
        <v>208000000</v>
      </c>
      <c r="P58" s="2075"/>
      <c r="Q58" s="2078">
        <f t="shared" si="1"/>
        <v>0</v>
      </c>
      <c r="R58" s="2229"/>
      <c r="S58" s="2086"/>
    </row>
    <row r="59" spans="1:20" s="2081" customFormat="1" ht="66.75" customHeight="1" x14ac:dyDescent="0.25">
      <c r="A59" s="2077">
        <v>5</v>
      </c>
      <c r="B59" s="2237" t="s">
        <v>3175</v>
      </c>
      <c r="C59" s="2219"/>
      <c r="D59" s="2077"/>
      <c r="E59" s="2078">
        <f t="shared" si="15"/>
        <v>273000000</v>
      </c>
      <c r="F59" s="2078">
        <f>F60+F61+F62</f>
        <v>260000000</v>
      </c>
      <c r="G59" s="2078">
        <f>G60+G61+G62</f>
        <v>13000000</v>
      </c>
      <c r="H59" s="2096">
        <f t="shared" si="0"/>
        <v>13000000</v>
      </c>
      <c r="I59" s="2096"/>
      <c r="J59" s="2096">
        <v>13000000</v>
      </c>
      <c r="K59" s="2078">
        <f>L59+M59</f>
        <v>218524633</v>
      </c>
      <c r="L59" s="2078">
        <v>218524633</v>
      </c>
      <c r="M59" s="2078"/>
      <c r="N59" s="2112">
        <f t="shared" si="16"/>
        <v>41475367</v>
      </c>
      <c r="O59" s="2079">
        <f>F59-L59</f>
        <v>41475367</v>
      </c>
      <c r="P59" s="2079"/>
      <c r="Q59" s="2078">
        <f t="shared" si="1"/>
        <v>0</v>
      </c>
      <c r="R59" s="2232"/>
      <c r="S59" s="2085" t="s">
        <v>3176</v>
      </c>
    </row>
    <row r="60" spans="1:20" ht="69.75" customHeight="1" x14ac:dyDescent="0.2">
      <c r="A60" s="2072"/>
      <c r="B60" s="2238" t="s">
        <v>3177</v>
      </c>
      <c r="C60" s="2221"/>
      <c r="D60" s="2072"/>
      <c r="E60" s="2070">
        <f t="shared" si="15"/>
        <v>173000000</v>
      </c>
      <c r="F60" s="2239">
        <v>160000000</v>
      </c>
      <c r="G60" s="2239">
        <v>13000000</v>
      </c>
      <c r="H60" s="2096">
        <f t="shared" si="0"/>
        <v>0</v>
      </c>
      <c r="I60" s="2359"/>
      <c r="J60" s="2359"/>
      <c r="K60" s="2067"/>
      <c r="L60" s="2067"/>
      <c r="M60" s="2067"/>
      <c r="N60" s="2199"/>
      <c r="O60" s="2075"/>
      <c r="P60" s="2075"/>
      <c r="Q60" s="2078">
        <f t="shared" si="1"/>
        <v>0</v>
      </c>
      <c r="R60" s="2229"/>
      <c r="S60" s="2086"/>
    </row>
    <row r="61" spans="1:20" ht="129" customHeight="1" x14ac:dyDescent="0.2">
      <c r="A61" s="2072"/>
      <c r="B61" s="2238" t="s">
        <v>3178</v>
      </c>
      <c r="C61" s="2221"/>
      <c r="D61" s="2072"/>
      <c r="E61" s="2070">
        <f t="shared" si="15"/>
        <v>70000000</v>
      </c>
      <c r="F61" s="2239">
        <v>70000000</v>
      </c>
      <c r="G61" s="2239"/>
      <c r="H61" s="2096">
        <f t="shared" si="0"/>
        <v>0</v>
      </c>
      <c r="I61" s="2359"/>
      <c r="J61" s="2359"/>
      <c r="K61" s="2067"/>
      <c r="L61" s="2067"/>
      <c r="M61" s="2067"/>
      <c r="N61" s="2199"/>
      <c r="O61" s="2075"/>
      <c r="P61" s="2075"/>
      <c r="Q61" s="2078">
        <f t="shared" si="1"/>
        <v>0</v>
      </c>
      <c r="R61" s="2229"/>
      <c r="S61" s="2086"/>
    </row>
    <row r="62" spans="1:20" ht="45" customHeight="1" x14ac:dyDescent="0.2">
      <c r="A62" s="2072"/>
      <c r="B62" s="2238" t="s">
        <v>3179</v>
      </c>
      <c r="C62" s="2221"/>
      <c r="D62" s="2072"/>
      <c r="E62" s="2070">
        <f t="shared" si="15"/>
        <v>30000000</v>
      </c>
      <c r="F62" s="2239">
        <v>30000000</v>
      </c>
      <c r="G62" s="2240"/>
      <c r="H62" s="2096">
        <f t="shared" si="0"/>
        <v>0</v>
      </c>
      <c r="I62" s="2360"/>
      <c r="J62" s="2360"/>
      <c r="K62" s="2067"/>
      <c r="L62" s="2067"/>
      <c r="M62" s="2067"/>
      <c r="N62" s="2199"/>
      <c r="O62" s="2075"/>
      <c r="P62" s="2075"/>
      <c r="Q62" s="2078">
        <f t="shared" si="1"/>
        <v>0</v>
      </c>
      <c r="R62" s="2229"/>
      <c r="S62" s="2086"/>
    </row>
    <row r="63" spans="1:20" s="2081" customFormat="1" ht="75.75" customHeight="1" x14ac:dyDescent="0.25">
      <c r="A63" s="2077">
        <v>6</v>
      </c>
      <c r="B63" s="2241" t="s">
        <v>3180</v>
      </c>
      <c r="C63" s="2219"/>
      <c r="D63" s="2077"/>
      <c r="E63" s="2078">
        <f t="shared" si="15"/>
        <v>70000000</v>
      </c>
      <c r="F63" s="2242">
        <f>F64+F65</f>
        <v>66000000</v>
      </c>
      <c r="G63" s="2242">
        <f>G64+G65</f>
        <v>4000000</v>
      </c>
      <c r="H63" s="2096">
        <f t="shared" si="0"/>
        <v>4000000</v>
      </c>
      <c r="I63" s="2361"/>
      <c r="J63" s="2361">
        <v>4000000</v>
      </c>
      <c r="K63" s="2078"/>
      <c r="L63" s="2078"/>
      <c r="M63" s="2078"/>
      <c r="N63" s="2112">
        <f>O63+P63</f>
        <v>66000000</v>
      </c>
      <c r="O63" s="2079">
        <f>O64+O65</f>
        <v>66000000</v>
      </c>
      <c r="P63" s="2079"/>
      <c r="Q63" s="2078">
        <f t="shared" si="1"/>
        <v>0</v>
      </c>
      <c r="R63" s="2232"/>
      <c r="S63" s="2085" t="s">
        <v>3176</v>
      </c>
    </row>
    <row r="64" spans="1:20" ht="48.75" customHeight="1" x14ac:dyDescent="0.2">
      <c r="A64" s="2072"/>
      <c r="B64" s="2238" t="s">
        <v>3181</v>
      </c>
      <c r="C64" s="2221"/>
      <c r="D64" s="2072"/>
      <c r="E64" s="2067">
        <f t="shared" si="15"/>
        <v>59300000</v>
      </c>
      <c r="F64" s="2243">
        <v>59300000</v>
      </c>
      <c r="G64" s="2230"/>
      <c r="H64" s="2096">
        <f t="shared" si="0"/>
        <v>0</v>
      </c>
      <c r="I64" s="2362"/>
      <c r="J64" s="2362"/>
      <c r="K64" s="2067"/>
      <c r="L64" s="2067"/>
      <c r="M64" s="2067"/>
      <c r="N64" s="2199">
        <f>O64</f>
        <v>59300000</v>
      </c>
      <c r="O64" s="2075">
        <f>F64</f>
        <v>59300000</v>
      </c>
      <c r="P64" s="2075"/>
      <c r="Q64" s="2078">
        <f t="shared" si="1"/>
        <v>0</v>
      </c>
      <c r="R64" s="2229"/>
      <c r="S64" s="2086"/>
    </row>
    <row r="65" spans="1:20" ht="51.75" customHeight="1" x14ac:dyDescent="0.2">
      <c r="A65" s="2072"/>
      <c r="B65" s="2238" t="s">
        <v>3182</v>
      </c>
      <c r="C65" s="2221"/>
      <c r="D65" s="2072"/>
      <c r="E65" s="2067">
        <f t="shared" si="15"/>
        <v>10700000</v>
      </c>
      <c r="F65" s="2243">
        <v>6700000</v>
      </c>
      <c r="G65" s="2243">
        <v>4000000</v>
      </c>
      <c r="H65" s="2096">
        <f t="shared" si="0"/>
        <v>4000000</v>
      </c>
      <c r="I65" s="2363"/>
      <c r="J65" s="2363">
        <v>4000000</v>
      </c>
      <c r="K65" s="2067"/>
      <c r="L65" s="2067"/>
      <c r="M65" s="2067"/>
      <c r="N65" s="2199">
        <f>O65</f>
        <v>6700000</v>
      </c>
      <c r="O65" s="2075">
        <f>F65</f>
        <v>6700000</v>
      </c>
      <c r="P65" s="2075"/>
      <c r="Q65" s="2078">
        <f t="shared" si="1"/>
        <v>0</v>
      </c>
      <c r="R65" s="2229"/>
      <c r="S65" s="2086"/>
    </row>
    <row r="66" spans="1:20" s="2081" customFormat="1" ht="25.5" customHeight="1" x14ac:dyDescent="0.25">
      <c r="A66" s="2077">
        <v>7</v>
      </c>
      <c r="B66" s="2241" t="s">
        <v>3183</v>
      </c>
      <c r="C66" s="2219"/>
      <c r="D66" s="2077"/>
      <c r="E66" s="2078">
        <f t="shared" si="15"/>
        <v>2942643000</v>
      </c>
      <c r="F66" s="2244">
        <f>SUM(F67:F82)</f>
        <v>2458494000</v>
      </c>
      <c r="G66" s="2244">
        <f>SUM(G67:G82)</f>
        <v>484149000</v>
      </c>
      <c r="H66" s="2096">
        <f t="shared" si="0"/>
        <v>0</v>
      </c>
      <c r="I66" s="2364"/>
      <c r="J66" s="2364"/>
      <c r="K66" s="2078"/>
      <c r="L66" s="2078"/>
      <c r="M66" s="2078"/>
      <c r="N66" s="2112">
        <f>O66+P66</f>
        <v>2942643000</v>
      </c>
      <c r="O66" s="2079">
        <f>SUM(O67:O82)</f>
        <v>2458494000</v>
      </c>
      <c r="P66" s="2079">
        <f>SUM(P67:P82)</f>
        <v>484149000</v>
      </c>
      <c r="Q66" s="2078">
        <f t="shared" si="1"/>
        <v>0</v>
      </c>
      <c r="R66" s="2232"/>
      <c r="S66" s="2085"/>
      <c r="T66" s="2081" t="s">
        <v>3278</v>
      </c>
    </row>
    <row r="67" spans="1:20" ht="15" customHeight="1" x14ac:dyDescent="0.2">
      <c r="A67" s="2072"/>
      <c r="B67" s="2238" t="s">
        <v>344</v>
      </c>
      <c r="C67" s="2221"/>
      <c r="D67" s="2072"/>
      <c r="E67" s="2074">
        <f t="shared" si="15"/>
        <v>200000000</v>
      </c>
      <c r="F67" s="2245">
        <v>167094000</v>
      </c>
      <c r="G67" s="2245">
        <v>32906000</v>
      </c>
      <c r="H67" s="2096">
        <f t="shared" si="0"/>
        <v>0</v>
      </c>
      <c r="I67" s="2365"/>
      <c r="J67" s="2365"/>
      <c r="K67" s="2067"/>
      <c r="L67" s="2067"/>
      <c r="M67" s="2067"/>
      <c r="N67" s="2199">
        <f>O67+P67</f>
        <v>200000000</v>
      </c>
      <c r="O67" s="2075">
        <f t="shared" ref="O67:P82" si="18">F67</f>
        <v>167094000</v>
      </c>
      <c r="P67" s="2075">
        <f t="shared" si="18"/>
        <v>32906000</v>
      </c>
      <c r="Q67" s="2078">
        <f t="shared" si="1"/>
        <v>0</v>
      </c>
      <c r="R67" s="2229"/>
      <c r="S67" s="2086"/>
    </row>
    <row r="68" spans="1:20" ht="15" customHeight="1" x14ac:dyDescent="0.2">
      <c r="A68" s="2072"/>
      <c r="B68" s="2238" t="s">
        <v>556</v>
      </c>
      <c r="C68" s="2221"/>
      <c r="D68" s="2072"/>
      <c r="E68" s="2074">
        <f t="shared" ref="E68:E82" si="19">F68+G68</f>
        <v>300000000</v>
      </c>
      <c r="F68" s="2245">
        <v>250641000</v>
      </c>
      <c r="G68" s="2245">
        <v>49359000</v>
      </c>
      <c r="H68" s="2096">
        <f t="shared" si="0"/>
        <v>0</v>
      </c>
      <c r="I68" s="2365"/>
      <c r="J68" s="2365"/>
      <c r="K68" s="2067"/>
      <c r="L68" s="2067"/>
      <c r="M68" s="2067"/>
      <c r="N68" s="2199">
        <f t="shared" ref="N68:N82" si="20">O68+P68</f>
        <v>300000000</v>
      </c>
      <c r="O68" s="2075">
        <f t="shared" si="18"/>
        <v>250641000</v>
      </c>
      <c r="P68" s="2075">
        <f t="shared" si="18"/>
        <v>49359000</v>
      </c>
      <c r="Q68" s="2078">
        <f t="shared" si="1"/>
        <v>0</v>
      </c>
      <c r="R68" s="2229"/>
      <c r="S68" s="2086"/>
    </row>
    <row r="69" spans="1:20" ht="15" customHeight="1" x14ac:dyDescent="0.2">
      <c r="A69" s="2072"/>
      <c r="B69" s="2238" t="s">
        <v>347</v>
      </c>
      <c r="C69" s="2221"/>
      <c r="D69" s="2072"/>
      <c r="E69" s="2074">
        <f t="shared" si="19"/>
        <v>200000000</v>
      </c>
      <c r="F69" s="2245">
        <v>167094000</v>
      </c>
      <c r="G69" s="2245">
        <v>32906000</v>
      </c>
      <c r="H69" s="2096">
        <f t="shared" si="0"/>
        <v>0</v>
      </c>
      <c r="I69" s="2365"/>
      <c r="J69" s="2365"/>
      <c r="K69" s="2067"/>
      <c r="L69" s="2067"/>
      <c r="M69" s="2067"/>
      <c r="N69" s="2199">
        <f t="shared" si="20"/>
        <v>200000000</v>
      </c>
      <c r="O69" s="2075">
        <f t="shared" si="18"/>
        <v>167094000</v>
      </c>
      <c r="P69" s="2075">
        <f t="shared" si="18"/>
        <v>32906000</v>
      </c>
      <c r="Q69" s="2078">
        <f t="shared" si="1"/>
        <v>0</v>
      </c>
      <c r="R69" s="2229"/>
      <c r="S69" s="2086"/>
    </row>
    <row r="70" spans="1:20" ht="15" customHeight="1" x14ac:dyDescent="0.2">
      <c r="A70" s="2072"/>
      <c r="B70" s="2238" t="s">
        <v>3161</v>
      </c>
      <c r="C70" s="2221"/>
      <c r="D70" s="2072"/>
      <c r="E70" s="2074">
        <f t="shared" si="19"/>
        <v>250000000</v>
      </c>
      <c r="F70" s="2245">
        <v>208868000</v>
      </c>
      <c r="G70" s="2245">
        <v>41132000</v>
      </c>
      <c r="H70" s="2096">
        <f t="shared" ref="H70:H133" si="21">I70+J70</f>
        <v>0</v>
      </c>
      <c r="I70" s="2365"/>
      <c r="J70" s="2365"/>
      <c r="K70" s="2067"/>
      <c r="L70" s="2067"/>
      <c r="M70" s="2067"/>
      <c r="N70" s="2199">
        <f t="shared" si="20"/>
        <v>250000000</v>
      </c>
      <c r="O70" s="2075">
        <f t="shared" si="18"/>
        <v>208868000</v>
      </c>
      <c r="P70" s="2075">
        <f t="shared" si="18"/>
        <v>41132000</v>
      </c>
      <c r="Q70" s="2078">
        <f t="shared" ref="Q70:Q133" si="22">R70</f>
        <v>0</v>
      </c>
      <c r="R70" s="2229"/>
      <c r="S70" s="2086"/>
    </row>
    <row r="71" spans="1:20" ht="15" customHeight="1" x14ac:dyDescent="0.2">
      <c r="A71" s="2072"/>
      <c r="B71" s="2238" t="s">
        <v>560</v>
      </c>
      <c r="C71" s="2221"/>
      <c r="D71" s="2072"/>
      <c r="E71" s="2074">
        <f t="shared" si="19"/>
        <v>160000000</v>
      </c>
      <c r="F71" s="2245">
        <v>133675000.00000001</v>
      </c>
      <c r="G71" s="2245">
        <v>26325000</v>
      </c>
      <c r="H71" s="2096">
        <f t="shared" si="21"/>
        <v>0</v>
      </c>
      <c r="I71" s="2365"/>
      <c r="J71" s="2365"/>
      <c r="K71" s="2067"/>
      <c r="L71" s="2067"/>
      <c r="M71" s="2067"/>
      <c r="N71" s="2199">
        <f t="shared" si="20"/>
        <v>160000000</v>
      </c>
      <c r="O71" s="2075">
        <f t="shared" si="18"/>
        <v>133675000.00000001</v>
      </c>
      <c r="P71" s="2075">
        <f t="shared" si="18"/>
        <v>26325000</v>
      </c>
      <c r="Q71" s="2078">
        <f t="shared" si="22"/>
        <v>0</v>
      </c>
      <c r="R71" s="2229"/>
      <c r="S71" s="2086"/>
    </row>
    <row r="72" spans="1:20" ht="15" customHeight="1" x14ac:dyDescent="0.2">
      <c r="A72" s="2072"/>
      <c r="B72" s="2238" t="s">
        <v>348</v>
      </c>
      <c r="C72" s="2221"/>
      <c r="D72" s="2072"/>
      <c r="E72" s="2074">
        <f t="shared" si="19"/>
        <v>365000000</v>
      </c>
      <c r="F72" s="2245">
        <v>304947000</v>
      </c>
      <c r="G72" s="2245">
        <v>60053000</v>
      </c>
      <c r="H72" s="2096">
        <f t="shared" si="21"/>
        <v>0</v>
      </c>
      <c r="I72" s="2365"/>
      <c r="J72" s="2365"/>
      <c r="K72" s="2067"/>
      <c r="L72" s="2067"/>
      <c r="M72" s="2067"/>
      <c r="N72" s="2199">
        <f t="shared" si="20"/>
        <v>365000000</v>
      </c>
      <c r="O72" s="2075">
        <f t="shared" si="18"/>
        <v>304947000</v>
      </c>
      <c r="P72" s="2075">
        <f t="shared" si="18"/>
        <v>60053000</v>
      </c>
      <c r="Q72" s="2078">
        <f t="shared" si="22"/>
        <v>0</v>
      </c>
      <c r="R72" s="2229"/>
      <c r="S72" s="2086"/>
    </row>
    <row r="73" spans="1:20" ht="15" customHeight="1" x14ac:dyDescent="0.2">
      <c r="A73" s="2072"/>
      <c r="B73" s="2238" t="s">
        <v>555</v>
      </c>
      <c r="C73" s="2221"/>
      <c r="D73" s="2072"/>
      <c r="E73" s="2074">
        <f t="shared" si="19"/>
        <v>135000000</v>
      </c>
      <c r="F73" s="2245">
        <v>112789000</v>
      </c>
      <c r="G73" s="2245">
        <v>22211000</v>
      </c>
      <c r="H73" s="2096">
        <f t="shared" si="21"/>
        <v>0</v>
      </c>
      <c r="I73" s="2365"/>
      <c r="J73" s="2365"/>
      <c r="K73" s="2067"/>
      <c r="L73" s="2067"/>
      <c r="M73" s="2067"/>
      <c r="N73" s="2199">
        <f t="shared" si="20"/>
        <v>135000000</v>
      </c>
      <c r="O73" s="2075">
        <f t="shared" si="18"/>
        <v>112789000</v>
      </c>
      <c r="P73" s="2075">
        <f t="shared" si="18"/>
        <v>22211000</v>
      </c>
      <c r="Q73" s="2078">
        <f t="shared" si="22"/>
        <v>0</v>
      </c>
      <c r="R73" s="2229"/>
      <c r="S73" s="2086"/>
    </row>
    <row r="74" spans="1:20" ht="15" customHeight="1" x14ac:dyDescent="0.2">
      <c r="A74" s="2072"/>
      <c r="B74" s="2238" t="s">
        <v>557</v>
      </c>
      <c r="C74" s="2221"/>
      <c r="D74" s="2072"/>
      <c r="E74" s="2074">
        <f t="shared" si="19"/>
        <v>100000000</v>
      </c>
      <c r="F74" s="2245">
        <v>83547000</v>
      </c>
      <c r="G74" s="2245">
        <v>16453000</v>
      </c>
      <c r="H74" s="2096">
        <f t="shared" si="21"/>
        <v>0</v>
      </c>
      <c r="I74" s="2365"/>
      <c r="J74" s="2365"/>
      <c r="K74" s="2067"/>
      <c r="L74" s="2067"/>
      <c r="M74" s="2067"/>
      <c r="N74" s="2199">
        <f t="shared" si="20"/>
        <v>100000000</v>
      </c>
      <c r="O74" s="2075">
        <f t="shared" si="18"/>
        <v>83547000</v>
      </c>
      <c r="P74" s="2075">
        <f t="shared" si="18"/>
        <v>16453000</v>
      </c>
      <c r="Q74" s="2078">
        <f t="shared" si="22"/>
        <v>0</v>
      </c>
      <c r="R74" s="2229"/>
      <c r="S74" s="2086"/>
    </row>
    <row r="75" spans="1:20" ht="15" customHeight="1" x14ac:dyDescent="0.2">
      <c r="A75" s="2072"/>
      <c r="B75" s="2238" t="s">
        <v>3163</v>
      </c>
      <c r="C75" s="2221"/>
      <c r="D75" s="2072"/>
      <c r="E75" s="2074">
        <f t="shared" si="19"/>
        <v>150000000</v>
      </c>
      <c r="F75" s="2245">
        <v>125321000</v>
      </c>
      <c r="G75" s="2245">
        <v>24679000</v>
      </c>
      <c r="H75" s="2096">
        <f t="shared" si="21"/>
        <v>0</v>
      </c>
      <c r="I75" s="2365"/>
      <c r="J75" s="2365"/>
      <c r="K75" s="2067"/>
      <c r="L75" s="2067"/>
      <c r="M75" s="2067"/>
      <c r="N75" s="2199">
        <f t="shared" si="20"/>
        <v>150000000</v>
      </c>
      <c r="O75" s="2075">
        <f t="shared" si="18"/>
        <v>125321000</v>
      </c>
      <c r="P75" s="2075">
        <f t="shared" si="18"/>
        <v>24679000</v>
      </c>
      <c r="Q75" s="2078">
        <f t="shared" si="22"/>
        <v>0</v>
      </c>
      <c r="R75" s="2229"/>
      <c r="S75" s="2086"/>
    </row>
    <row r="76" spans="1:20" ht="15" customHeight="1" x14ac:dyDescent="0.2">
      <c r="A76" s="2072"/>
      <c r="B76" s="2238" t="s">
        <v>351</v>
      </c>
      <c r="C76" s="2221"/>
      <c r="D76" s="2072"/>
      <c r="E76" s="2074">
        <f t="shared" si="19"/>
        <v>170635000</v>
      </c>
      <c r="F76" s="2245">
        <v>142561000</v>
      </c>
      <c r="G76" s="2245">
        <v>28074000</v>
      </c>
      <c r="H76" s="2096">
        <f t="shared" si="21"/>
        <v>0</v>
      </c>
      <c r="I76" s="2365"/>
      <c r="J76" s="2365"/>
      <c r="K76" s="2067"/>
      <c r="L76" s="2067"/>
      <c r="M76" s="2067"/>
      <c r="N76" s="2199">
        <f t="shared" si="20"/>
        <v>170635000</v>
      </c>
      <c r="O76" s="2075">
        <f t="shared" si="18"/>
        <v>142561000</v>
      </c>
      <c r="P76" s="2075">
        <f t="shared" si="18"/>
        <v>28074000</v>
      </c>
      <c r="Q76" s="2078">
        <f t="shared" si="22"/>
        <v>0</v>
      </c>
      <c r="R76" s="2229"/>
      <c r="S76" s="2086"/>
    </row>
    <row r="77" spans="1:20" ht="15" customHeight="1" x14ac:dyDescent="0.2">
      <c r="A77" s="2072"/>
      <c r="B77" s="2238" t="s">
        <v>558</v>
      </c>
      <c r="C77" s="2221"/>
      <c r="D77" s="2072"/>
      <c r="E77" s="2074">
        <f t="shared" si="19"/>
        <v>242525000</v>
      </c>
      <c r="F77" s="2245">
        <v>202623000</v>
      </c>
      <c r="G77" s="2245">
        <v>39902000</v>
      </c>
      <c r="H77" s="2096">
        <f t="shared" si="21"/>
        <v>0</v>
      </c>
      <c r="I77" s="2365"/>
      <c r="J77" s="2365"/>
      <c r="K77" s="2067"/>
      <c r="L77" s="2067"/>
      <c r="M77" s="2067"/>
      <c r="N77" s="2199">
        <f t="shared" si="20"/>
        <v>242525000</v>
      </c>
      <c r="O77" s="2075">
        <f t="shared" si="18"/>
        <v>202623000</v>
      </c>
      <c r="P77" s="2075">
        <f t="shared" si="18"/>
        <v>39902000</v>
      </c>
      <c r="Q77" s="2078">
        <f t="shared" si="22"/>
        <v>0</v>
      </c>
      <c r="R77" s="2229"/>
      <c r="S77" s="2086"/>
    </row>
    <row r="78" spans="1:20" ht="15" customHeight="1" x14ac:dyDescent="0.2">
      <c r="A78" s="2072"/>
      <c r="B78" s="2238" t="s">
        <v>353</v>
      </c>
      <c r="C78" s="2221"/>
      <c r="D78" s="2072"/>
      <c r="E78" s="2074">
        <f t="shared" si="19"/>
        <v>100000000</v>
      </c>
      <c r="F78" s="2245">
        <v>83547000</v>
      </c>
      <c r="G78" s="2245">
        <v>16453000</v>
      </c>
      <c r="H78" s="2096">
        <f t="shared" si="21"/>
        <v>0</v>
      </c>
      <c r="I78" s="2365"/>
      <c r="J78" s="2365"/>
      <c r="K78" s="2067"/>
      <c r="L78" s="2067"/>
      <c r="M78" s="2067"/>
      <c r="N78" s="2199">
        <f t="shared" si="20"/>
        <v>100000000</v>
      </c>
      <c r="O78" s="2075">
        <f t="shared" si="18"/>
        <v>83547000</v>
      </c>
      <c r="P78" s="2075">
        <f t="shared" si="18"/>
        <v>16453000</v>
      </c>
      <c r="Q78" s="2078">
        <f t="shared" si="22"/>
        <v>0</v>
      </c>
      <c r="R78" s="2229"/>
      <c r="S78" s="2086"/>
    </row>
    <row r="79" spans="1:20" ht="15" customHeight="1" x14ac:dyDescent="0.2">
      <c r="A79" s="2072"/>
      <c r="B79" s="2238" t="s">
        <v>644</v>
      </c>
      <c r="C79" s="2221"/>
      <c r="D79" s="2072"/>
      <c r="E79" s="2074">
        <f t="shared" si="19"/>
        <v>134483000</v>
      </c>
      <c r="F79" s="2245">
        <v>112357000</v>
      </c>
      <c r="G79" s="2245">
        <v>22126000</v>
      </c>
      <c r="H79" s="2096">
        <f t="shared" si="21"/>
        <v>0</v>
      </c>
      <c r="I79" s="2365"/>
      <c r="J79" s="2365"/>
      <c r="K79" s="2067"/>
      <c r="L79" s="2067"/>
      <c r="M79" s="2067"/>
      <c r="N79" s="2199">
        <f t="shared" si="20"/>
        <v>134483000</v>
      </c>
      <c r="O79" s="2075">
        <f t="shared" si="18"/>
        <v>112357000</v>
      </c>
      <c r="P79" s="2075">
        <f t="shared" si="18"/>
        <v>22126000</v>
      </c>
      <c r="Q79" s="2078">
        <f t="shared" si="22"/>
        <v>0</v>
      </c>
      <c r="R79" s="2229"/>
      <c r="S79" s="2086"/>
    </row>
    <row r="80" spans="1:20" ht="15" customHeight="1" x14ac:dyDescent="0.2">
      <c r="A80" s="2072"/>
      <c r="B80" s="2238" t="s">
        <v>352</v>
      </c>
      <c r="C80" s="2221"/>
      <c r="D80" s="2072"/>
      <c r="E80" s="2074">
        <f t="shared" si="19"/>
        <v>100000000</v>
      </c>
      <c r="F80" s="2245">
        <v>83547000</v>
      </c>
      <c r="G80" s="2245">
        <v>16453000</v>
      </c>
      <c r="H80" s="2096">
        <f t="shared" si="21"/>
        <v>0</v>
      </c>
      <c r="I80" s="2365"/>
      <c r="J80" s="2365"/>
      <c r="K80" s="2067"/>
      <c r="L80" s="2067"/>
      <c r="M80" s="2067"/>
      <c r="N80" s="2199">
        <f t="shared" si="20"/>
        <v>100000000</v>
      </c>
      <c r="O80" s="2075">
        <f t="shared" si="18"/>
        <v>83547000</v>
      </c>
      <c r="P80" s="2075">
        <f t="shared" si="18"/>
        <v>16453000</v>
      </c>
      <c r="Q80" s="2078">
        <f t="shared" si="22"/>
        <v>0</v>
      </c>
      <c r="R80" s="2229"/>
      <c r="S80" s="2086"/>
    </row>
    <row r="81" spans="1:20" ht="15" customHeight="1" x14ac:dyDescent="0.2">
      <c r="A81" s="2072"/>
      <c r="B81" s="2238" t="s">
        <v>3160</v>
      </c>
      <c r="C81" s="2221"/>
      <c r="D81" s="2072"/>
      <c r="E81" s="2074">
        <f t="shared" si="19"/>
        <v>235000000</v>
      </c>
      <c r="F81" s="2245">
        <v>196336000</v>
      </c>
      <c r="G81" s="2245">
        <v>38664000</v>
      </c>
      <c r="H81" s="2096">
        <f t="shared" si="21"/>
        <v>0</v>
      </c>
      <c r="I81" s="2365"/>
      <c r="J81" s="2365"/>
      <c r="K81" s="2067"/>
      <c r="L81" s="2067"/>
      <c r="M81" s="2067"/>
      <c r="N81" s="2199">
        <f t="shared" si="20"/>
        <v>235000000</v>
      </c>
      <c r="O81" s="2075">
        <f t="shared" si="18"/>
        <v>196336000</v>
      </c>
      <c r="P81" s="2075">
        <f t="shared" si="18"/>
        <v>38664000</v>
      </c>
      <c r="Q81" s="2078">
        <f t="shared" si="22"/>
        <v>0</v>
      </c>
      <c r="R81" s="2229"/>
      <c r="S81" s="2086"/>
    </row>
    <row r="82" spans="1:20" ht="15" customHeight="1" x14ac:dyDescent="0.2">
      <c r="A82" s="2072"/>
      <c r="B82" s="2238" t="s">
        <v>354</v>
      </c>
      <c r="C82" s="2221"/>
      <c r="D82" s="2072"/>
      <c r="E82" s="2074">
        <f t="shared" si="19"/>
        <v>100000000</v>
      </c>
      <c r="F82" s="2245">
        <v>83547000</v>
      </c>
      <c r="G82" s="2245">
        <v>16453000</v>
      </c>
      <c r="H82" s="2096">
        <f t="shared" si="21"/>
        <v>0</v>
      </c>
      <c r="I82" s="2365"/>
      <c r="J82" s="2365"/>
      <c r="K82" s="2067"/>
      <c r="L82" s="2067"/>
      <c r="M82" s="2067"/>
      <c r="N82" s="2199">
        <f t="shared" si="20"/>
        <v>100000000</v>
      </c>
      <c r="O82" s="2075">
        <f t="shared" si="18"/>
        <v>83547000</v>
      </c>
      <c r="P82" s="2075">
        <f t="shared" si="18"/>
        <v>16453000</v>
      </c>
      <c r="Q82" s="2078">
        <f t="shared" si="22"/>
        <v>0</v>
      </c>
      <c r="R82" s="2229"/>
      <c r="S82" s="2086"/>
    </row>
    <row r="83" spans="1:20" s="2690" customFormat="1" ht="21" customHeight="1" x14ac:dyDescent="0.2">
      <c r="A83" s="2684" t="s">
        <v>866</v>
      </c>
      <c r="B83" s="2784" t="s">
        <v>3184</v>
      </c>
      <c r="C83" s="2784"/>
      <c r="D83" s="2684"/>
      <c r="E83" s="2096">
        <f>F83+G83</f>
        <v>454000000</v>
      </c>
      <c r="F83" s="2096">
        <f>F84+F90+F93</f>
        <v>431000000</v>
      </c>
      <c r="G83" s="2096">
        <f>G84+G90+G93</f>
        <v>23000000</v>
      </c>
      <c r="H83" s="2096">
        <f t="shared" si="21"/>
        <v>0</v>
      </c>
      <c r="I83" s="2096"/>
      <c r="J83" s="2096"/>
      <c r="K83" s="2096">
        <f>L83+M83</f>
        <v>368126840</v>
      </c>
      <c r="L83" s="2096">
        <f>L84+L90+L93</f>
        <v>352933400</v>
      </c>
      <c r="M83" s="2096">
        <f>M84+M90+M93</f>
        <v>15193440</v>
      </c>
      <c r="N83" s="2096">
        <f>O83+P83</f>
        <v>78066600</v>
      </c>
      <c r="O83" s="2096">
        <f>O84+O90+O93</f>
        <v>78066600</v>
      </c>
      <c r="P83" s="2096">
        <f>P84+P90+P93</f>
        <v>0</v>
      </c>
      <c r="Q83" s="2096">
        <f t="shared" si="22"/>
        <v>0</v>
      </c>
      <c r="R83" s="2096">
        <f>R84+R90+R93</f>
        <v>0</v>
      </c>
      <c r="S83" s="2379"/>
    </row>
    <row r="84" spans="1:20" ht="69" customHeight="1" x14ac:dyDescent="0.2">
      <c r="A84" s="2072">
        <v>1</v>
      </c>
      <c r="B84" s="2246" t="s">
        <v>3185</v>
      </c>
      <c r="C84" s="2246"/>
      <c r="D84" s="2072"/>
      <c r="E84" s="2078">
        <f>E85</f>
        <v>147000000</v>
      </c>
      <c r="F84" s="2078">
        <f>F85</f>
        <v>140000000</v>
      </c>
      <c r="G84" s="2078">
        <f>G85</f>
        <v>7000000</v>
      </c>
      <c r="H84" s="2096">
        <f t="shared" si="21"/>
        <v>200000</v>
      </c>
      <c r="I84" s="2096"/>
      <c r="J84" s="2096">
        <v>200000</v>
      </c>
      <c r="K84" s="2127">
        <f>K85</f>
        <v>146800000</v>
      </c>
      <c r="L84" s="2127">
        <f>L85</f>
        <v>140000000</v>
      </c>
      <c r="M84" s="2127">
        <f>M85</f>
        <v>6800000</v>
      </c>
      <c r="N84" s="2112"/>
      <c r="O84" s="2079"/>
      <c r="P84" s="2079"/>
      <c r="Q84" s="2078">
        <f t="shared" si="22"/>
        <v>0</v>
      </c>
      <c r="R84" s="2075"/>
      <c r="S84" s="2086" t="s">
        <v>1797</v>
      </c>
    </row>
    <row r="85" spans="1:20" s="2071" customFormat="1" ht="47.25" x14ac:dyDescent="0.2">
      <c r="A85" s="2068"/>
      <c r="B85" s="2247" t="s">
        <v>3186</v>
      </c>
      <c r="C85" s="2248">
        <v>1021337</v>
      </c>
      <c r="D85" s="2068"/>
      <c r="E85" s="2093">
        <f>F85+G85</f>
        <v>147000000</v>
      </c>
      <c r="F85" s="2093">
        <f>F86+F87+F88+F89</f>
        <v>140000000</v>
      </c>
      <c r="G85" s="2093">
        <f>G86+G87+G88+G89</f>
        <v>7000000</v>
      </c>
      <c r="H85" s="2096">
        <f t="shared" si="21"/>
        <v>0</v>
      </c>
      <c r="I85" s="2200"/>
      <c r="J85" s="2200"/>
      <c r="K85" s="2094">
        <f>L85+M85</f>
        <v>146800000</v>
      </c>
      <c r="L85" s="2094">
        <v>140000000</v>
      </c>
      <c r="M85" s="2094">
        <v>6800000</v>
      </c>
      <c r="N85" s="2203"/>
      <c r="O85" s="2089"/>
      <c r="P85" s="2089"/>
      <c r="Q85" s="2078">
        <f t="shared" si="22"/>
        <v>0</v>
      </c>
      <c r="R85" s="2089"/>
      <c r="S85" s="2090" t="s">
        <v>1797</v>
      </c>
    </row>
    <row r="86" spans="1:20" ht="36" customHeight="1" x14ac:dyDescent="0.2">
      <c r="A86" s="2072"/>
      <c r="B86" s="2238" t="s">
        <v>3187</v>
      </c>
      <c r="C86" s="2246"/>
      <c r="D86" s="2072"/>
      <c r="E86" s="2067">
        <f>-F86+G86</f>
        <v>-36750000</v>
      </c>
      <c r="F86" s="2067">
        <v>36750000</v>
      </c>
      <c r="G86" s="2249"/>
      <c r="H86" s="2096">
        <f t="shared" si="21"/>
        <v>0</v>
      </c>
      <c r="I86" s="2366"/>
      <c r="J86" s="2366"/>
      <c r="K86" s="2127"/>
      <c r="L86" s="2127"/>
      <c r="M86" s="2127"/>
      <c r="N86" s="2112"/>
      <c r="O86" s="2079"/>
      <c r="P86" s="2079"/>
      <c r="Q86" s="2078">
        <f t="shared" si="22"/>
        <v>0</v>
      </c>
      <c r="R86" s="2075"/>
      <c r="S86" s="2086"/>
    </row>
    <row r="87" spans="1:20" ht="36" customHeight="1" x14ac:dyDescent="0.2">
      <c r="A87" s="2072"/>
      <c r="B87" s="2238" t="s">
        <v>3188</v>
      </c>
      <c r="C87" s="2250">
        <v>1021091</v>
      </c>
      <c r="D87" s="2072"/>
      <c r="E87" s="2067">
        <f>-F87+G87</f>
        <v>-36750000</v>
      </c>
      <c r="F87" s="2067">
        <v>36750000</v>
      </c>
      <c r="G87" s="2249"/>
      <c r="H87" s="2096">
        <f t="shared" si="21"/>
        <v>0</v>
      </c>
      <c r="I87" s="2366"/>
      <c r="J87" s="2366"/>
      <c r="K87" s="2127"/>
      <c r="L87" s="2251"/>
      <c r="M87" s="2251"/>
      <c r="N87" s="2199"/>
      <c r="O87" s="2075"/>
      <c r="P87" s="2075"/>
      <c r="Q87" s="2078">
        <f t="shared" si="22"/>
        <v>0</v>
      </c>
      <c r="R87" s="2075"/>
      <c r="S87" s="2086"/>
    </row>
    <row r="88" spans="1:20" ht="36" customHeight="1" x14ac:dyDescent="0.2">
      <c r="A88" s="2072"/>
      <c r="B88" s="2238" t="s">
        <v>3189</v>
      </c>
      <c r="C88" s="2227">
        <v>1049155</v>
      </c>
      <c r="D88" s="2072"/>
      <c r="E88" s="2067">
        <f>-F88+G88</f>
        <v>-36750000</v>
      </c>
      <c r="F88" s="2067">
        <v>36750000</v>
      </c>
      <c r="G88" s="2249"/>
      <c r="H88" s="2096">
        <f t="shared" si="21"/>
        <v>0</v>
      </c>
      <c r="I88" s="2366"/>
      <c r="J88" s="2366"/>
      <c r="K88" s="2127"/>
      <c r="L88" s="2251"/>
      <c r="M88" s="2251"/>
      <c r="N88" s="2199"/>
      <c r="O88" s="2075"/>
      <c r="P88" s="2075"/>
      <c r="Q88" s="2078">
        <f t="shared" si="22"/>
        <v>0</v>
      </c>
      <c r="R88" s="2075"/>
      <c r="S88" s="2086"/>
    </row>
    <row r="89" spans="1:20" s="2095" customFormat="1" ht="36" customHeight="1" x14ac:dyDescent="0.25">
      <c r="A89" s="2091"/>
      <c r="B89" s="2238" t="s">
        <v>3190</v>
      </c>
      <c r="C89" s="2235">
        <v>1049155</v>
      </c>
      <c r="D89" s="2091"/>
      <c r="E89" s="2067">
        <f>-F89+G89</f>
        <v>-22750000</v>
      </c>
      <c r="F89" s="2070">
        <v>29750000</v>
      </c>
      <c r="G89" s="2067">
        <v>7000000</v>
      </c>
      <c r="H89" s="2096">
        <f t="shared" si="21"/>
        <v>0</v>
      </c>
      <c r="I89" s="2201"/>
      <c r="J89" s="2201"/>
      <c r="K89" s="2127"/>
      <c r="L89" s="2252"/>
      <c r="M89" s="2252"/>
      <c r="N89" s="2204"/>
      <c r="O89" s="2253"/>
      <c r="P89" s="2253"/>
      <c r="Q89" s="2078">
        <f t="shared" si="22"/>
        <v>0</v>
      </c>
      <c r="R89" s="2094"/>
      <c r="S89" s="2080"/>
    </row>
    <row r="90" spans="1:20" s="2218" customFormat="1" ht="213.75" customHeight="1" x14ac:dyDescent="0.2">
      <c r="A90" s="2077">
        <v>2</v>
      </c>
      <c r="B90" s="2246" t="s">
        <v>3191</v>
      </c>
      <c r="C90" s="2219"/>
      <c r="D90" s="2216"/>
      <c r="E90" s="2078">
        <f>SUM(F90:G90)</f>
        <v>275000000</v>
      </c>
      <c r="F90" s="2078">
        <f>F91+F92</f>
        <v>259000000</v>
      </c>
      <c r="G90" s="2078">
        <f>G91+G92</f>
        <v>16000000</v>
      </c>
      <c r="H90" s="2096">
        <f t="shared" si="21"/>
        <v>7606560</v>
      </c>
      <c r="I90" s="2096"/>
      <c r="J90" s="2096">
        <v>7606560</v>
      </c>
      <c r="K90" s="2127">
        <f>L90+M90</f>
        <v>221326840</v>
      </c>
      <c r="L90" s="2127">
        <v>212933400</v>
      </c>
      <c r="M90" s="2127">
        <v>8393440</v>
      </c>
      <c r="N90" s="2205">
        <f>O90+P90</f>
        <v>46066600</v>
      </c>
      <c r="O90" s="2127">
        <f>F90-L90</f>
        <v>46066600</v>
      </c>
      <c r="P90" s="2127"/>
      <c r="Q90" s="2078">
        <f t="shared" si="22"/>
        <v>0</v>
      </c>
      <c r="R90" s="2079"/>
      <c r="S90" s="2085" t="s">
        <v>3176</v>
      </c>
    </row>
    <row r="91" spans="1:20" ht="60.75" customHeight="1" x14ac:dyDescent="0.2">
      <c r="A91" s="2072"/>
      <c r="B91" s="2254" t="s">
        <v>3192</v>
      </c>
      <c r="C91" s="2246"/>
      <c r="D91" s="2072"/>
      <c r="E91" s="2067">
        <f>F91+G91</f>
        <v>222160000</v>
      </c>
      <c r="F91" s="2239">
        <v>206160000</v>
      </c>
      <c r="G91" s="2239">
        <v>16000000</v>
      </c>
      <c r="H91" s="2096">
        <f t="shared" si="21"/>
        <v>0</v>
      </c>
      <c r="I91" s="2359"/>
      <c r="J91" s="2359"/>
      <c r="K91" s="2127"/>
      <c r="L91" s="2128"/>
      <c r="M91" s="2128"/>
      <c r="N91" s="2112"/>
      <c r="O91" s="2079"/>
      <c r="P91" s="2079"/>
      <c r="Q91" s="2078">
        <f t="shared" si="22"/>
        <v>0</v>
      </c>
      <c r="R91" s="2079"/>
      <c r="S91" s="2085" t="s">
        <v>3176</v>
      </c>
    </row>
    <row r="92" spans="1:20" ht="68.25" customHeight="1" x14ac:dyDescent="0.2">
      <c r="A92" s="2072"/>
      <c r="B92" s="2238" t="s">
        <v>3193</v>
      </c>
      <c r="C92" s="2221">
        <v>1129940</v>
      </c>
      <c r="D92" s="2072"/>
      <c r="E92" s="2067">
        <f>F92+G92</f>
        <v>52840000</v>
      </c>
      <c r="F92" s="2239">
        <v>52840000</v>
      </c>
      <c r="G92" s="2240"/>
      <c r="H92" s="2096">
        <f t="shared" si="21"/>
        <v>0</v>
      </c>
      <c r="I92" s="2360"/>
      <c r="J92" s="2360"/>
      <c r="K92" s="2075"/>
      <c r="L92" s="2251"/>
      <c r="M92" s="2251"/>
      <c r="N92" s="2199"/>
      <c r="O92" s="2075"/>
      <c r="P92" s="2075"/>
      <c r="Q92" s="2078">
        <f t="shared" si="22"/>
        <v>0</v>
      </c>
      <c r="R92" s="2075"/>
      <c r="S92" s="2085" t="s">
        <v>3176</v>
      </c>
    </row>
    <row r="93" spans="1:20" s="2218" customFormat="1" ht="78" customHeight="1" x14ac:dyDescent="0.2">
      <c r="A93" s="2216">
        <v>3</v>
      </c>
      <c r="B93" s="2241" t="s">
        <v>3194</v>
      </c>
      <c r="C93" s="2219"/>
      <c r="D93" s="2216"/>
      <c r="E93" s="2078">
        <f>E94</f>
        <v>32000000</v>
      </c>
      <c r="F93" s="2078">
        <f>F94</f>
        <v>32000000</v>
      </c>
      <c r="G93" s="2255"/>
      <c r="H93" s="2096">
        <f t="shared" si="21"/>
        <v>0</v>
      </c>
      <c r="I93" s="2367"/>
      <c r="J93" s="2367"/>
      <c r="K93" s="2079"/>
      <c r="L93" s="2256"/>
      <c r="M93" s="2256"/>
      <c r="N93" s="2112">
        <f>O93+P93</f>
        <v>32000000</v>
      </c>
      <c r="O93" s="2079">
        <f>F93-L93</f>
        <v>32000000</v>
      </c>
      <c r="P93" s="2079"/>
      <c r="Q93" s="2078">
        <f t="shared" si="22"/>
        <v>0</v>
      </c>
      <c r="R93" s="2079"/>
      <c r="S93" s="2085" t="s">
        <v>1797</v>
      </c>
    </row>
    <row r="94" spans="1:20" ht="92.25" customHeight="1" x14ac:dyDescent="0.2">
      <c r="A94" s="2072"/>
      <c r="B94" s="2238" t="s">
        <v>3195</v>
      </c>
      <c r="C94" s="2221"/>
      <c r="D94" s="2072"/>
      <c r="E94" s="2067">
        <f>F94+G94</f>
        <v>32000000</v>
      </c>
      <c r="F94" s="2239">
        <v>32000000</v>
      </c>
      <c r="G94" s="2240"/>
      <c r="H94" s="2096">
        <f t="shared" si="21"/>
        <v>0</v>
      </c>
      <c r="I94" s="2360"/>
      <c r="J94" s="2360"/>
      <c r="K94" s="2075"/>
      <c r="L94" s="2251"/>
      <c r="M94" s="2251"/>
      <c r="N94" s="2199"/>
      <c r="O94" s="2075"/>
      <c r="P94" s="2075"/>
      <c r="Q94" s="2078">
        <f t="shared" si="22"/>
        <v>0</v>
      </c>
      <c r="R94" s="2075"/>
      <c r="S94" s="2086"/>
    </row>
    <row r="95" spans="1:20" s="2787" customFormat="1" ht="41.25" customHeight="1" x14ac:dyDescent="0.25">
      <c r="A95" s="2785" t="s">
        <v>872</v>
      </c>
      <c r="B95" s="2784" t="s">
        <v>3196</v>
      </c>
      <c r="C95" s="2784"/>
      <c r="D95" s="2785"/>
      <c r="E95" s="2096">
        <f>F95+G95</f>
        <v>3984590000</v>
      </c>
      <c r="F95" s="2096">
        <f>F96+F104+F110+F118</f>
        <v>3774319000</v>
      </c>
      <c r="G95" s="2096">
        <f>G96+G104+G110+G118</f>
        <v>210271000</v>
      </c>
      <c r="H95" s="2096">
        <f t="shared" si="21"/>
        <v>202018307</v>
      </c>
      <c r="I95" s="2096"/>
      <c r="J95" s="2096">
        <v>202018307</v>
      </c>
      <c r="K95" s="2112">
        <f>L95+M95</f>
        <v>2971511691</v>
      </c>
      <c r="L95" s="2786">
        <f>L96+L104+L110</f>
        <v>2963258998</v>
      </c>
      <c r="M95" s="2786">
        <f>M96+M104+M110</f>
        <v>8252693</v>
      </c>
      <c r="N95" s="2112">
        <f>O95+P95</f>
        <v>811060002</v>
      </c>
      <c r="O95" s="2786">
        <f>O96+O104+O110+O118</f>
        <v>811060002</v>
      </c>
      <c r="P95" s="2112">
        <f>P96+P104+P110</f>
        <v>0</v>
      </c>
      <c r="Q95" s="2096">
        <f t="shared" si="22"/>
        <v>0</v>
      </c>
      <c r="R95" s="2112"/>
      <c r="S95" s="2379"/>
    </row>
    <row r="96" spans="1:20" ht="132" customHeight="1" x14ac:dyDescent="0.2">
      <c r="A96" s="2072">
        <v>1</v>
      </c>
      <c r="B96" s="2246" t="s">
        <v>3197</v>
      </c>
      <c r="C96" s="2221"/>
      <c r="D96" s="2072"/>
      <c r="E96" s="2078">
        <f>F96+G96</f>
        <v>699000000</v>
      </c>
      <c r="F96" s="2078">
        <f>F97+F98+F99+F100+F101+F102+F103</f>
        <v>652000000</v>
      </c>
      <c r="G96" s="2078">
        <f>G97+G98+G99+G100+G101+G102+G103</f>
        <v>47000000</v>
      </c>
      <c r="H96" s="2096">
        <f t="shared" si="21"/>
        <v>39997307</v>
      </c>
      <c r="I96" s="2096"/>
      <c r="J96" s="2096">
        <v>39997307</v>
      </c>
      <c r="K96" s="2079">
        <f>L96+M96</f>
        <v>570200318</v>
      </c>
      <c r="L96" s="2257">
        <v>563197625</v>
      </c>
      <c r="M96" s="2257">
        <v>7002693</v>
      </c>
      <c r="N96" s="2112">
        <f>O96+P96</f>
        <v>88802375</v>
      </c>
      <c r="O96" s="2079">
        <f>F96-L96</f>
        <v>88802375</v>
      </c>
      <c r="P96" s="2079"/>
      <c r="Q96" s="2078">
        <f t="shared" si="22"/>
        <v>0</v>
      </c>
      <c r="R96" s="2075"/>
      <c r="S96" s="2086" t="s">
        <v>3198</v>
      </c>
      <c r="T96" s="2076" t="s">
        <v>3276</v>
      </c>
    </row>
    <row r="97" spans="1:20" ht="28.5" customHeight="1" x14ac:dyDescent="0.2">
      <c r="A97" s="2072"/>
      <c r="B97" s="2221" t="s">
        <v>3199</v>
      </c>
      <c r="C97" s="2221"/>
      <c r="D97" s="2072"/>
      <c r="E97" s="2067">
        <f>F97+G97</f>
        <v>22000000</v>
      </c>
      <c r="F97" s="2067">
        <v>22000000</v>
      </c>
      <c r="G97" s="2067"/>
      <c r="H97" s="2096">
        <f t="shared" si="21"/>
        <v>0</v>
      </c>
      <c r="I97" s="2201"/>
      <c r="J97" s="2201"/>
      <c r="K97" s="2079"/>
      <c r="L97" s="2257"/>
      <c r="M97" s="2257"/>
      <c r="N97" s="2112"/>
      <c r="O97" s="2079"/>
      <c r="P97" s="2079"/>
      <c r="Q97" s="2078">
        <f t="shared" si="22"/>
        <v>0</v>
      </c>
      <c r="R97" s="2075"/>
      <c r="S97" s="2086"/>
    </row>
    <row r="98" spans="1:20" ht="28.5" customHeight="1" x14ac:dyDescent="0.2">
      <c r="A98" s="2072"/>
      <c r="B98" s="2221" t="s">
        <v>3200</v>
      </c>
      <c r="C98" s="2221"/>
      <c r="D98" s="2072"/>
      <c r="E98" s="2067">
        <f t="shared" ref="E98:E103" si="23">F98+G98</f>
        <v>5000000</v>
      </c>
      <c r="F98" s="2067">
        <v>5000000</v>
      </c>
      <c r="G98" s="2067"/>
      <c r="H98" s="2096">
        <f t="shared" si="21"/>
        <v>0</v>
      </c>
      <c r="I98" s="2201"/>
      <c r="J98" s="2201"/>
      <c r="K98" s="2079"/>
      <c r="L98" s="2257"/>
      <c r="M98" s="2257"/>
      <c r="N98" s="2112"/>
      <c r="O98" s="2079"/>
      <c r="P98" s="2079"/>
      <c r="Q98" s="2078">
        <f t="shared" si="22"/>
        <v>0</v>
      </c>
      <c r="R98" s="2075"/>
      <c r="S98" s="2086"/>
    </row>
    <row r="99" spans="1:20" ht="28.5" customHeight="1" x14ac:dyDescent="0.2">
      <c r="A99" s="2072"/>
      <c r="B99" s="2221" t="s">
        <v>3201</v>
      </c>
      <c r="C99" s="2221"/>
      <c r="D99" s="2072"/>
      <c r="E99" s="2067">
        <f t="shared" si="23"/>
        <v>49000000</v>
      </c>
      <c r="F99" s="2067">
        <v>49000000</v>
      </c>
      <c r="G99" s="2067"/>
      <c r="H99" s="2096">
        <f t="shared" si="21"/>
        <v>0</v>
      </c>
      <c r="I99" s="2201"/>
      <c r="J99" s="2201"/>
      <c r="K99" s="2079"/>
      <c r="L99" s="2257"/>
      <c r="M99" s="2257"/>
      <c r="N99" s="2112"/>
      <c r="O99" s="2079"/>
      <c r="P99" s="2079"/>
      <c r="Q99" s="2078">
        <f t="shared" si="22"/>
        <v>0</v>
      </c>
      <c r="R99" s="2075"/>
      <c r="S99" s="2086"/>
    </row>
    <row r="100" spans="1:20" ht="28.5" customHeight="1" x14ac:dyDescent="0.2">
      <c r="A100" s="2072"/>
      <c r="B100" s="2221" t="s">
        <v>3202</v>
      </c>
      <c r="C100" s="2221"/>
      <c r="D100" s="2072"/>
      <c r="E100" s="2067">
        <f t="shared" si="23"/>
        <v>33000000</v>
      </c>
      <c r="F100" s="2067">
        <v>33000000</v>
      </c>
      <c r="G100" s="2067"/>
      <c r="H100" s="2096">
        <f t="shared" si="21"/>
        <v>0</v>
      </c>
      <c r="I100" s="2201"/>
      <c r="J100" s="2201"/>
      <c r="K100" s="2079"/>
      <c r="L100" s="2257"/>
      <c r="M100" s="2257"/>
      <c r="N100" s="2112"/>
      <c r="O100" s="2079"/>
      <c r="P100" s="2079"/>
      <c r="Q100" s="2078">
        <f t="shared" si="22"/>
        <v>0</v>
      </c>
      <c r="R100" s="2075"/>
      <c r="S100" s="2086"/>
    </row>
    <row r="101" spans="1:20" ht="28.5" customHeight="1" x14ac:dyDescent="0.2">
      <c r="A101" s="2072"/>
      <c r="B101" s="2221" t="s">
        <v>3203</v>
      </c>
      <c r="C101" s="2221"/>
      <c r="D101" s="2072"/>
      <c r="E101" s="2067">
        <f t="shared" si="23"/>
        <v>45500000</v>
      </c>
      <c r="F101" s="2067">
        <v>45500000</v>
      </c>
      <c r="G101" s="2067"/>
      <c r="H101" s="2096">
        <f t="shared" si="21"/>
        <v>0</v>
      </c>
      <c r="I101" s="2201"/>
      <c r="J101" s="2201"/>
      <c r="K101" s="2079"/>
      <c r="L101" s="2257"/>
      <c r="M101" s="2257"/>
      <c r="N101" s="2112"/>
      <c r="O101" s="2079"/>
      <c r="P101" s="2079"/>
      <c r="Q101" s="2078">
        <f t="shared" si="22"/>
        <v>0</v>
      </c>
      <c r="R101" s="2075"/>
      <c r="S101" s="2086"/>
    </row>
    <row r="102" spans="1:20" ht="28.5" customHeight="1" x14ac:dyDescent="0.2">
      <c r="A102" s="2072"/>
      <c r="B102" s="2221" t="s">
        <v>3204</v>
      </c>
      <c r="C102" s="2221"/>
      <c r="D102" s="2072"/>
      <c r="E102" s="2067">
        <f t="shared" si="23"/>
        <v>542000000</v>
      </c>
      <c r="F102" s="2067">
        <v>495000000</v>
      </c>
      <c r="G102" s="2067">
        <v>47000000</v>
      </c>
      <c r="H102" s="2096">
        <f t="shared" si="21"/>
        <v>0</v>
      </c>
      <c r="I102" s="2201"/>
      <c r="J102" s="2201"/>
      <c r="K102" s="2079"/>
      <c r="L102" s="2257"/>
      <c r="M102" s="2257"/>
      <c r="N102" s="2112"/>
      <c r="O102" s="2079"/>
      <c r="P102" s="2079"/>
      <c r="Q102" s="2078">
        <f t="shared" si="22"/>
        <v>0</v>
      </c>
      <c r="R102" s="2075"/>
      <c r="S102" s="2086"/>
    </row>
    <row r="103" spans="1:20" ht="28.5" customHeight="1" x14ac:dyDescent="0.2">
      <c r="A103" s="2072"/>
      <c r="B103" s="2230" t="s">
        <v>951</v>
      </c>
      <c r="C103" s="2221"/>
      <c r="D103" s="2072"/>
      <c r="E103" s="2067">
        <f t="shared" si="23"/>
        <v>2500000</v>
      </c>
      <c r="F103" s="2067">
        <v>2500000</v>
      </c>
      <c r="G103" s="2067"/>
      <c r="H103" s="2096">
        <f t="shared" si="21"/>
        <v>0</v>
      </c>
      <c r="I103" s="2201"/>
      <c r="J103" s="2201"/>
      <c r="K103" s="2079"/>
      <c r="L103" s="2257"/>
      <c r="M103" s="2257"/>
      <c r="N103" s="2112"/>
      <c r="O103" s="2079"/>
      <c r="P103" s="2079"/>
      <c r="Q103" s="2078">
        <f t="shared" si="22"/>
        <v>0</v>
      </c>
      <c r="R103" s="2075"/>
      <c r="S103" s="2086"/>
    </row>
    <row r="104" spans="1:20" ht="98.25" customHeight="1" x14ac:dyDescent="0.2">
      <c r="A104" s="2072">
        <v>2</v>
      </c>
      <c r="B104" s="2246" t="s">
        <v>3205</v>
      </c>
      <c r="C104" s="2221"/>
      <c r="D104" s="2072"/>
      <c r="E104" s="2078">
        <f t="shared" ref="E104:E111" si="24">F104+G104</f>
        <v>727000000</v>
      </c>
      <c r="F104" s="2078">
        <f>F105+F109</f>
        <v>727000000</v>
      </c>
      <c r="G104" s="2078"/>
      <c r="H104" s="2096">
        <f t="shared" si="21"/>
        <v>0</v>
      </c>
      <c r="I104" s="2096"/>
      <c r="J104" s="2096"/>
      <c r="K104" s="2079">
        <f>L104+M104</f>
        <v>602880493</v>
      </c>
      <c r="L104" s="2257">
        <v>602880493</v>
      </c>
      <c r="M104" s="2257"/>
      <c r="N104" s="2112">
        <f>O104+P104</f>
        <v>124119507</v>
      </c>
      <c r="O104" s="2079">
        <f>F104-L104</f>
        <v>124119507</v>
      </c>
      <c r="P104" s="2079"/>
      <c r="Q104" s="2078">
        <f t="shared" si="22"/>
        <v>0</v>
      </c>
      <c r="R104" s="2075"/>
      <c r="S104" s="2086" t="s">
        <v>987</v>
      </c>
      <c r="T104" s="2076" t="s">
        <v>3276</v>
      </c>
    </row>
    <row r="105" spans="1:20" ht="39" customHeight="1" x14ac:dyDescent="0.2">
      <c r="A105" s="2072"/>
      <c r="B105" s="2227" t="s">
        <v>3206</v>
      </c>
      <c r="C105" s="2221"/>
      <c r="D105" s="2072"/>
      <c r="E105" s="2067">
        <f t="shared" si="24"/>
        <v>721000000</v>
      </c>
      <c r="F105" s="2258">
        <f>SUM(F106:F108)</f>
        <v>721000000</v>
      </c>
      <c r="G105" s="2078"/>
      <c r="H105" s="2096">
        <f t="shared" si="21"/>
        <v>0</v>
      </c>
      <c r="I105" s="2096"/>
      <c r="J105" s="2096"/>
      <c r="K105" s="2079"/>
      <c r="L105" s="2257"/>
      <c r="M105" s="2257"/>
      <c r="N105" s="2112"/>
      <c r="O105" s="2079"/>
      <c r="P105" s="2079"/>
      <c r="Q105" s="2078">
        <f t="shared" si="22"/>
        <v>0</v>
      </c>
      <c r="R105" s="2075"/>
      <c r="S105" s="2086"/>
    </row>
    <row r="106" spans="1:20" ht="39" customHeight="1" x14ac:dyDescent="0.2">
      <c r="A106" s="2072"/>
      <c r="B106" s="2221" t="s">
        <v>3207</v>
      </c>
      <c r="C106" s="2221"/>
      <c r="D106" s="2072"/>
      <c r="E106" s="2067">
        <f t="shared" si="24"/>
        <v>224000000</v>
      </c>
      <c r="F106" s="2245">
        <v>224000000</v>
      </c>
      <c r="G106" s="2078"/>
      <c r="H106" s="2096">
        <f t="shared" si="21"/>
        <v>0</v>
      </c>
      <c r="I106" s="2096"/>
      <c r="J106" s="2096"/>
      <c r="K106" s="2075">
        <f>78000000+48600000</f>
        <v>126600000</v>
      </c>
      <c r="L106" s="2257"/>
      <c r="M106" s="2257"/>
      <c r="N106" s="2112"/>
      <c r="O106" s="2079"/>
      <c r="P106" s="2079"/>
      <c r="Q106" s="2078">
        <f t="shared" si="22"/>
        <v>0</v>
      </c>
      <c r="R106" s="2075"/>
      <c r="S106" s="2086"/>
    </row>
    <row r="107" spans="1:20" ht="39" customHeight="1" x14ac:dyDescent="0.2">
      <c r="A107" s="2072"/>
      <c r="B107" s="2221" t="s">
        <v>3208</v>
      </c>
      <c r="C107" s="2221"/>
      <c r="D107" s="2072"/>
      <c r="E107" s="2067">
        <f t="shared" si="24"/>
        <v>427000000</v>
      </c>
      <c r="F107" s="2245">
        <v>427000000</v>
      </c>
      <c r="G107" s="2078"/>
      <c r="H107" s="2096">
        <f t="shared" si="21"/>
        <v>0</v>
      </c>
      <c r="I107" s="2096"/>
      <c r="J107" s="2096"/>
      <c r="K107" s="2075">
        <f>3000000+36000000+159600000+101350000</f>
        <v>299950000</v>
      </c>
      <c r="L107" s="2257"/>
      <c r="M107" s="2257"/>
      <c r="N107" s="2112"/>
      <c r="O107" s="2079"/>
      <c r="P107" s="2079"/>
      <c r="Q107" s="2078">
        <f t="shared" si="22"/>
        <v>0</v>
      </c>
      <c r="R107" s="2075"/>
      <c r="S107" s="2086"/>
    </row>
    <row r="108" spans="1:20" ht="39" customHeight="1" x14ac:dyDescent="0.2">
      <c r="A108" s="2072"/>
      <c r="B108" s="2221" t="s">
        <v>3209</v>
      </c>
      <c r="C108" s="2221"/>
      <c r="D108" s="2072"/>
      <c r="E108" s="2067">
        <f t="shared" si="24"/>
        <v>70000000</v>
      </c>
      <c r="F108" s="2245">
        <v>70000000</v>
      </c>
      <c r="G108" s="2078"/>
      <c r="H108" s="2096">
        <f t="shared" si="21"/>
        <v>0</v>
      </c>
      <c r="I108" s="2096"/>
      <c r="J108" s="2096"/>
      <c r="K108" s="2075">
        <v>39186153</v>
      </c>
      <c r="L108" s="2257"/>
      <c r="M108" s="2257"/>
      <c r="N108" s="2112"/>
      <c r="O108" s="2079"/>
      <c r="P108" s="2079"/>
      <c r="Q108" s="2078">
        <f t="shared" si="22"/>
        <v>0</v>
      </c>
      <c r="R108" s="2075"/>
      <c r="S108" s="2086"/>
    </row>
    <row r="109" spans="1:20" ht="74.25" customHeight="1" x14ac:dyDescent="0.2">
      <c r="A109" s="2072"/>
      <c r="B109" s="2227" t="s">
        <v>3210</v>
      </c>
      <c r="C109" s="2221"/>
      <c r="D109" s="2072"/>
      <c r="E109" s="2070">
        <f t="shared" si="24"/>
        <v>6000000</v>
      </c>
      <c r="F109" s="2070">
        <v>6000000</v>
      </c>
      <c r="G109" s="2078"/>
      <c r="H109" s="2096">
        <f t="shared" si="21"/>
        <v>0</v>
      </c>
      <c r="I109" s="2096"/>
      <c r="J109" s="2096"/>
      <c r="K109" s="2079"/>
      <c r="L109" s="2257"/>
      <c r="M109" s="2257"/>
      <c r="N109" s="2112"/>
      <c r="O109" s="2079"/>
      <c r="P109" s="2079"/>
      <c r="Q109" s="2078">
        <f t="shared" si="22"/>
        <v>0</v>
      </c>
      <c r="R109" s="2075"/>
      <c r="S109" s="2086"/>
    </row>
    <row r="110" spans="1:20" s="2218" customFormat="1" ht="97.5" customHeight="1" x14ac:dyDescent="0.2">
      <c r="A110" s="2216">
        <v>3</v>
      </c>
      <c r="B110" s="2246" t="s">
        <v>3355</v>
      </c>
      <c r="C110" s="2219"/>
      <c r="D110" s="2216"/>
      <c r="E110" s="2078">
        <f t="shared" si="24"/>
        <v>2183000000</v>
      </c>
      <c r="F110" s="2078">
        <f>F111+F113+F117</f>
        <v>2037000000</v>
      </c>
      <c r="G110" s="2078">
        <f>G111+G113+G117</f>
        <v>146000000</v>
      </c>
      <c r="H110" s="2096">
        <f t="shared" si="21"/>
        <v>144750000</v>
      </c>
      <c r="I110" s="2096"/>
      <c r="J110" s="2096">
        <v>144750000</v>
      </c>
      <c r="K110" s="2079">
        <f>L110+M110</f>
        <v>1798430880</v>
      </c>
      <c r="L110" s="2079">
        <f>L111+L113</f>
        <v>1797180880</v>
      </c>
      <c r="M110" s="2079">
        <f>M111+M113</f>
        <v>1250000</v>
      </c>
      <c r="N110" s="2112">
        <f>O110+P110</f>
        <v>239819120</v>
      </c>
      <c r="O110" s="2079">
        <f>O113</f>
        <v>239819120</v>
      </c>
      <c r="P110" s="2079"/>
      <c r="Q110" s="2078">
        <f t="shared" si="22"/>
        <v>0</v>
      </c>
      <c r="R110" s="2079">
        <f>R111+R117+R118</f>
        <v>0</v>
      </c>
      <c r="S110" s="2085"/>
    </row>
    <row r="111" spans="1:20" s="2071" customFormat="1" ht="53.25" customHeight="1" x14ac:dyDescent="0.2">
      <c r="A111" s="2068"/>
      <c r="B111" s="2227" t="s">
        <v>3211</v>
      </c>
      <c r="C111" s="2227"/>
      <c r="D111" s="2068"/>
      <c r="E111" s="2070">
        <f t="shared" si="24"/>
        <v>94000000</v>
      </c>
      <c r="F111" s="2070">
        <f>F112</f>
        <v>94000000</v>
      </c>
      <c r="G111" s="2259"/>
      <c r="H111" s="2096">
        <f t="shared" si="21"/>
        <v>0</v>
      </c>
      <c r="I111" s="2368"/>
      <c r="J111" s="2368"/>
      <c r="K111" s="2089"/>
      <c r="L111" s="2260">
        <f>L112</f>
        <v>94000000</v>
      </c>
      <c r="M111" s="2260"/>
      <c r="N111" s="2261"/>
      <c r="O111" s="2089"/>
      <c r="P111" s="2089"/>
      <c r="Q111" s="2078">
        <f t="shared" si="22"/>
        <v>0</v>
      </c>
      <c r="R111" s="2089"/>
      <c r="S111" s="2090" t="s">
        <v>3123</v>
      </c>
    </row>
    <row r="112" spans="1:20" ht="39" customHeight="1" x14ac:dyDescent="0.2">
      <c r="A112" s="2072"/>
      <c r="B112" s="2221" t="s">
        <v>3212</v>
      </c>
      <c r="C112" s="2221"/>
      <c r="D112" s="2072"/>
      <c r="E112" s="2067">
        <f t="shared" ref="E112:E117" si="25">F112+G112</f>
        <v>94000000</v>
      </c>
      <c r="F112" s="2067">
        <v>94000000</v>
      </c>
      <c r="G112" s="2230"/>
      <c r="H112" s="2096">
        <f t="shared" si="21"/>
        <v>0</v>
      </c>
      <c r="I112" s="2362"/>
      <c r="J112" s="2362"/>
      <c r="K112" s="2079"/>
      <c r="L112" s="2067">
        <v>94000000</v>
      </c>
      <c r="M112" s="2257"/>
      <c r="N112" s="2112"/>
      <c r="O112" s="2079"/>
      <c r="P112" s="2079"/>
      <c r="Q112" s="2078">
        <f t="shared" si="22"/>
        <v>0</v>
      </c>
      <c r="R112" s="2075"/>
      <c r="S112" s="2086"/>
    </row>
    <row r="113" spans="1:19" ht="45" x14ac:dyDescent="0.2">
      <c r="A113" s="2072"/>
      <c r="B113" s="2227" t="s">
        <v>3213</v>
      </c>
      <c r="C113" s="2221"/>
      <c r="D113" s="2072"/>
      <c r="E113" s="2070">
        <f t="shared" si="25"/>
        <v>1746000000</v>
      </c>
      <c r="F113" s="2070">
        <f>SUM(F114:F116)</f>
        <v>1746000000</v>
      </c>
      <c r="G113" s="2259"/>
      <c r="H113" s="2096">
        <f t="shared" si="21"/>
        <v>0</v>
      </c>
      <c r="I113" s="2368"/>
      <c r="J113" s="2368"/>
      <c r="K113" s="2089">
        <f>L113+M113</f>
        <v>1704430880</v>
      </c>
      <c r="L113" s="2260">
        <f>L114+L115+L116+L117</f>
        <v>1703180880</v>
      </c>
      <c r="M113" s="2260">
        <f>M114+M115+M116+M117</f>
        <v>1250000</v>
      </c>
      <c r="N113" s="2369">
        <f>O113</f>
        <v>239819120</v>
      </c>
      <c r="O113" s="2260">
        <f>O114+O115+O116+O117</f>
        <v>239819120</v>
      </c>
      <c r="P113" s="2079"/>
      <c r="Q113" s="2078">
        <f t="shared" si="22"/>
        <v>0</v>
      </c>
      <c r="R113" s="2075"/>
      <c r="S113" s="2086"/>
    </row>
    <row r="114" spans="1:19" ht="15.75" x14ac:dyDescent="0.2">
      <c r="A114" s="2072"/>
      <c r="B114" s="2221" t="s">
        <v>3214</v>
      </c>
      <c r="C114" s="2221"/>
      <c r="D114" s="2072"/>
      <c r="E114" s="2067">
        <f t="shared" si="25"/>
        <v>1416000000</v>
      </c>
      <c r="F114" s="2067">
        <v>1416000000</v>
      </c>
      <c r="G114" s="2262"/>
      <c r="H114" s="2096">
        <f t="shared" si="21"/>
        <v>0</v>
      </c>
      <c r="I114" s="2370"/>
      <c r="J114" s="2370"/>
      <c r="K114" s="2075">
        <f>L114+M114</f>
        <v>1402290000</v>
      </c>
      <c r="L114" s="2122">
        <v>1402290000</v>
      </c>
      <c r="M114" s="2122"/>
      <c r="N114" s="2199">
        <f>O114</f>
        <v>13710000</v>
      </c>
      <c r="O114" s="2075">
        <f>F114-L114</f>
        <v>13710000</v>
      </c>
      <c r="P114" s="2075"/>
      <c r="Q114" s="2078">
        <f t="shared" si="22"/>
        <v>0</v>
      </c>
      <c r="R114" s="2075"/>
      <c r="S114" s="2086" t="s">
        <v>3123</v>
      </c>
    </row>
    <row r="115" spans="1:19" ht="15.75" x14ac:dyDescent="0.2">
      <c r="A115" s="2072"/>
      <c r="B115" s="2221" t="s">
        <v>3215</v>
      </c>
      <c r="C115" s="2221"/>
      <c r="D115" s="2072"/>
      <c r="E115" s="2067">
        <f t="shared" si="25"/>
        <v>97000000</v>
      </c>
      <c r="F115" s="2067">
        <v>97000000</v>
      </c>
      <c r="G115" s="2262"/>
      <c r="H115" s="2096">
        <f t="shared" si="21"/>
        <v>0</v>
      </c>
      <c r="I115" s="2370"/>
      <c r="J115" s="2370"/>
      <c r="K115" s="2075">
        <f>L115+M115</f>
        <v>80290000</v>
      </c>
      <c r="L115" s="2122">
        <v>80290000</v>
      </c>
      <c r="M115" s="2257"/>
      <c r="N115" s="2199">
        <f>O115</f>
        <v>16710000</v>
      </c>
      <c r="O115" s="2075">
        <f>F115-L115</f>
        <v>16710000</v>
      </c>
      <c r="P115" s="2079"/>
      <c r="Q115" s="2078">
        <f t="shared" si="22"/>
        <v>0</v>
      </c>
      <c r="R115" s="2075"/>
      <c r="S115" s="2086" t="s">
        <v>3123</v>
      </c>
    </row>
    <row r="116" spans="1:19" ht="30" x14ac:dyDescent="0.2">
      <c r="A116" s="2072"/>
      <c r="B116" s="2221" t="s">
        <v>3216</v>
      </c>
      <c r="C116" s="2221"/>
      <c r="D116" s="2072"/>
      <c r="E116" s="2067">
        <f t="shared" si="25"/>
        <v>233000000</v>
      </c>
      <c r="F116" s="2067">
        <v>233000000</v>
      </c>
      <c r="G116" s="2262"/>
      <c r="H116" s="2096">
        <f t="shared" si="21"/>
        <v>0</v>
      </c>
      <c r="I116" s="2370"/>
      <c r="J116" s="2370"/>
      <c r="K116" s="2075">
        <f>L116+M116</f>
        <v>220600880</v>
      </c>
      <c r="L116" s="2251">
        <v>220600880</v>
      </c>
      <c r="M116" s="2251"/>
      <c r="N116" s="2199">
        <f>O116+P116</f>
        <v>12399120</v>
      </c>
      <c r="O116" s="2075">
        <f>F116-L116</f>
        <v>12399120</v>
      </c>
      <c r="P116" s="2075"/>
      <c r="Q116" s="2078">
        <f t="shared" si="22"/>
        <v>0</v>
      </c>
      <c r="R116" s="2075"/>
      <c r="S116" s="2086" t="s">
        <v>3123</v>
      </c>
    </row>
    <row r="117" spans="1:19" ht="45" x14ac:dyDescent="0.2">
      <c r="A117" s="2072"/>
      <c r="B117" s="2227" t="s">
        <v>3217</v>
      </c>
      <c r="C117" s="2221">
        <v>1129940</v>
      </c>
      <c r="D117" s="2072"/>
      <c r="E117" s="2067">
        <f t="shared" si="25"/>
        <v>343000000</v>
      </c>
      <c r="F117" s="2067">
        <v>197000000</v>
      </c>
      <c r="G117" s="2067">
        <v>146000000</v>
      </c>
      <c r="H117" s="2201">
        <f t="shared" si="21"/>
        <v>144750000</v>
      </c>
      <c r="I117" s="2201"/>
      <c r="J117" s="2201">
        <v>144750000</v>
      </c>
      <c r="K117" s="2075">
        <f>L117+M117</f>
        <v>1250000</v>
      </c>
      <c r="L117" s="2126"/>
      <c r="M117" s="2251">
        <v>1250000</v>
      </c>
      <c r="N117" s="2199"/>
      <c r="O117" s="2075">
        <f>F117-L117</f>
        <v>197000000</v>
      </c>
      <c r="P117" s="2075"/>
      <c r="Q117" s="2078">
        <f t="shared" si="22"/>
        <v>0</v>
      </c>
      <c r="R117" s="2075"/>
      <c r="S117" s="2086" t="s">
        <v>3218</v>
      </c>
    </row>
    <row r="118" spans="1:19" s="2081" customFormat="1" ht="36" customHeight="1" x14ac:dyDescent="0.25">
      <c r="A118" s="2077">
        <v>4</v>
      </c>
      <c r="B118" s="2219" t="s">
        <v>3219</v>
      </c>
      <c r="C118" s="2219"/>
      <c r="D118" s="2077"/>
      <c r="E118" s="2078">
        <f>F118+G118</f>
        <v>375590000</v>
      </c>
      <c r="F118" s="2078">
        <v>358319000</v>
      </c>
      <c r="G118" s="2078">
        <v>17271000</v>
      </c>
      <c r="H118" s="2096">
        <f t="shared" si="21"/>
        <v>17271000</v>
      </c>
      <c r="I118" s="2096"/>
      <c r="J118" s="2096">
        <v>17271000</v>
      </c>
      <c r="K118" s="2079"/>
      <c r="L118" s="2128"/>
      <c r="M118" s="2256"/>
      <c r="N118" s="2112">
        <f>O118</f>
        <v>358319000</v>
      </c>
      <c r="O118" s="2079">
        <f>F118-L118</f>
        <v>358319000</v>
      </c>
      <c r="P118" s="2079"/>
      <c r="Q118" s="2078">
        <f t="shared" si="22"/>
        <v>0</v>
      </c>
      <c r="R118" s="2079"/>
      <c r="S118" s="2085"/>
    </row>
    <row r="119" spans="1:19" s="2690" customFormat="1" ht="21" customHeight="1" x14ac:dyDescent="0.2">
      <c r="A119" s="2684" t="s">
        <v>873</v>
      </c>
      <c r="B119" s="2686" t="s">
        <v>952</v>
      </c>
      <c r="C119" s="2686"/>
      <c r="D119" s="2684"/>
      <c r="E119" s="2371">
        <f>E120</f>
        <v>488000000</v>
      </c>
      <c r="F119" s="2371">
        <f>F120</f>
        <v>465000000</v>
      </c>
      <c r="G119" s="2371">
        <f>G120</f>
        <v>23000000</v>
      </c>
      <c r="H119" s="2096">
        <f t="shared" si="21"/>
        <v>0</v>
      </c>
      <c r="I119" s="2371"/>
      <c r="J119" s="2371"/>
      <c r="K119" s="2115">
        <f>L119</f>
        <v>188000000</v>
      </c>
      <c r="L119" s="2788">
        <f>L120</f>
        <v>188000000</v>
      </c>
      <c r="M119" s="2788"/>
      <c r="N119" s="2116">
        <f>N120</f>
        <v>22000000</v>
      </c>
      <c r="O119" s="2116">
        <f>O120</f>
        <v>22000000</v>
      </c>
      <c r="P119" s="2117"/>
      <c r="Q119" s="2096">
        <f t="shared" si="22"/>
        <v>0</v>
      </c>
      <c r="R119" s="2689"/>
      <c r="S119" s="2379"/>
    </row>
    <row r="120" spans="1:19" s="2690" customFormat="1" ht="63" customHeight="1" x14ac:dyDescent="0.2">
      <c r="A120" s="2684">
        <v>1</v>
      </c>
      <c r="B120" s="2685" t="s">
        <v>3220</v>
      </c>
      <c r="C120" s="2686"/>
      <c r="D120" s="2684"/>
      <c r="E120" s="2372">
        <f t="shared" ref="E120:J120" si="26">E121+E125</f>
        <v>488000000</v>
      </c>
      <c r="F120" s="2372">
        <f t="shared" si="26"/>
        <v>465000000</v>
      </c>
      <c r="G120" s="2372">
        <f t="shared" si="26"/>
        <v>23000000</v>
      </c>
      <c r="H120" s="2372">
        <f t="shared" si="26"/>
        <v>301000000</v>
      </c>
      <c r="I120" s="2372">
        <f t="shared" si="26"/>
        <v>255000000</v>
      </c>
      <c r="J120" s="2372">
        <f t="shared" si="26"/>
        <v>46000000</v>
      </c>
      <c r="K120" s="2687">
        <f>L120</f>
        <v>188000000</v>
      </c>
      <c r="L120" s="2688">
        <v>188000000</v>
      </c>
      <c r="M120" s="2688"/>
      <c r="N120" s="2116">
        <f>O120+P120</f>
        <v>22000000</v>
      </c>
      <c r="O120" s="2116">
        <f>F120-I120-L120</f>
        <v>22000000</v>
      </c>
      <c r="P120" s="2116"/>
      <c r="Q120" s="2096">
        <f t="shared" si="22"/>
        <v>0</v>
      </c>
      <c r="R120" s="2689"/>
      <c r="S120" s="2379" t="s">
        <v>2628</v>
      </c>
    </row>
    <row r="121" spans="1:19" s="2202" customFormat="1" ht="49.5" customHeight="1" x14ac:dyDescent="0.2">
      <c r="A121" s="2225"/>
      <c r="B121" s="2691" t="s">
        <v>3221</v>
      </c>
      <c r="C121" s="2207"/>
      <c r="D121" s="2225"/>
      <c r="E121" s="2372">
        <f t="shared" ref="E121:E136" si="27">F121+G121</f>
        <v>233300000</v>
      </c>
      <c r="F121" s="2335">
        <f>SUM(F122:F124)</f>
        <v>233300000</v>
      </c>
      <c r="G121" s="2373"/>
      <c r="H121" s="2096">
        <f t="shared" si="21"/>
        <v>46300000</v>
      </c>
      <c r="I121" s="2696">
        <v>23300000</v>
      </c>
      <c r="J121" s="2696">
        <v>23000000</v>
      </c>
      <c r="K121" s="2207"/>
      <c r="L121" s="2692"/>
      <c r="M121" s="2692"/>
      <c r="N121" s="2206"/>
      <c r="O121" s="2206"/>
      <c r="P121" s="2206"/>
      <c r="Q121" s="2096">
        <f t="shared" si="22"/>
        <v>0</v>
      </c>
      <c r="R121" s="2206"/>
      <c r="S121" s="2378"/>
    </row>
    <row r="122" spans="1:19" s="2202" customFormat="1" ht="36.75" customHeight="1" x14ac:dyDescent="0.2">
      <c r="A122" s="2225"/>
      <c r="B122" s="2693" t="s">
        <v>3222</v>
      </c>
      <c r="C122" s="2207"/>
      <c r="D122" s="2225"/>
      <c r="E122" s="2694">
        <f t="shared" si="27"/>
        <v>25000000</v>
      </c>
      <c r="F122" s="2365">
        <v>25000000</v>
      </c>
      <c r="G122" s="2374"/>
      <c r="H122" s="2096">
        <f t="shared" si="21"/>
        <v>0</v>
      </c>
      <c r="I122" s="2374"/>
      <c r="J122" s="2374"/>
      <c r="K122" s="2207"/>
      <c r="L122" s="2692"/>
      <c r="M122" s="2692"/>
      <c r="N122" s="2206"/>
      <c r="O122" s="2206"/>
      <c r="P122" s="2206"/>
      <c r="Q122" s="2096">
        <f t="shared" si="22"/>
        <v>0</v>
      </c>
      <c r="R122" s="2206"/>
      <c r="S122" s="2378"/>
    </row>
    <row r="123" spans="1:19" s="2202" customFormat="1" ht="63" x14ac:dyDescent="0.2">
      <c r="A123" s="2225"/>
      <c r="B123" s="2693" t="s">
        <v>3223</v>
      </c>
      <c r="C123" s="2207"/>
      <c r="D123" s="2225"/>
      <c r="E123" s="2694">
        <f t="shared" si="27"/>
        <v>193000000</v>
      </c>
      <c r="F123" s="2365">
        <v>193000000</v>
      </c>
      <c r="G123" s="2374"/>
      <c r="H123" s="2096">
        <f t="shared" si="21"/>
        <v>0</v>
      </c>
      <c r="I123" s="2374"/>
      <c r="J123" s="2374"/>
      <c r="K123" s="2207"/>
      <c r="L123" s="2692"/>
      <c r="M123" s="2692"/>
      <c r="N123" s="2206"/>
      <c r="O123" s="2206"/>
      <c r="P123" s="2206"/>
      <c r="Q123" s="2096">
        <f t="shared" si="22"/>
        <v>0</v>
      </c>
      <c r="R123" s="2206"/>
      <c r="S123" s="2378"/>
    </row>
    <row r="124" spans="1:19" s="2202" customFormat="1" ht="63" x14ac:dyDescent="0.2">
      <c r="A124" s="2225"/>
      <c r="B124" s="2693" t="s">
        <v>3224</v>
      </c>
      <c r="C124" s="2207"/>
      <c r="D124" s="2225"/>
      <c r="E124" s="2694">
        <f t="shared" si="27"/>
        <v>15300000</v>
      </c>
      <c r="F124" s="2365">
        <v>15300000</v>
      </c>
      <c r="G124" s="2374"/>
      <c r="H124" s="2096">
        <f t="shared" si="21"/>
        <v>0</v>
      </c>
      <c r="I124" s="2374"/>
      <c r="J124" s="2374"/>
      <c r="K124" s="2207"/>
      <c r="L124" s="2692"/>
      <c r="M124" s="2692"/>
      <c r="N124" s="2206"/>
      <c r="O124" s="2206"/>
      <c r="P124" s="2206"/>
      <c r="Q124" s="2096">
        <f t="shared" si="22"/>
        <v>0</v>
      </c>
      <c r="R124" s="2206"/>
      <c r="S124" s="2378"/>
    </row>
    <row r="125" spans="1:19" s="2202" customFormat="1" ht="85.5" customHeight="1" x14ac:dyDescent="0.2">
      <c r="A125" s="2225"/>
      <c r="B125" s="2691" t="s">
        <v>3225</v>
      </c>
      <c r="C125" s="2207"/>
      <c r="D125" s="2225"/>
      <c r="E125" s="2371">
        <f t="shared" si="27"/>
        <v>254700000</v>
      </c>
      <c r="F125" s="2695">
        <f>F126</f>
        <v>231700000</v>
      </c>
      <c r="G125" s="2375">
        <f>G126</f>
        <v>23000000</v>
      </c>
      <c r="H125" s="2096">
        <f>I125+J125</f>
        <v>254700000</v>
      </c>
      <c r="I125" s="2375">
        <f>F125</f>
        <v>231700000</v>
      </c>
      <c r="J125" s="2375">
        <f>G125</f>
        <v>23000000</v>
      </c>
      <c r="K125" s="2207"/>
      <c r="L125" s="2692"/>
      <c r="M125" s="2692"/>
      <c r="N125" s="2206"/>
      <c r="O125" s="2206"/>
      <c r="P125" s="2206"/>
      <c r="Q125" s="2096">
        <f t="shared" si="22"/>
        <v>0</v>
      </c>
      <c r="R125" s="2206"/>
      <c r="S125" s="2378"/>
    </row>
    <row r="126" spans="1:19" ht="39.75" customHeight="1" x14ac:dyDescent="0.2">
      <c r="A126" s="2072"/>
      <c r="B126" s="2238" t="s">
        <v>3226</v>
      </c>
      <c r="C126" s="2129"/>
      <c r="D126" s="2072"/>
      <c r="E126" s="2268">
        <f t="shared" si="27"/>
        <v>254700000</v>
      </c>
      <c r="F126" s="2245">
        <v>231700000</v>
      </c>
      <c r="G126" s="2222">
        <v>23000000</v>
      </c>
      <c r="H126" s="2096">
        <f t="shared" si="21"/>
        <v>0</v>
      </c>
      <c r="I126" s="2350"/>
      <c r="J126" s="2350"/>
      <c r="K126" s="2129"/>
      <c r="L126" s="2125"/>
      <c r="M126" s="2125"/>
      <c r="N126" s="2206"/>
      <c r="O126" s="2226"/>
      <c r="P126" s="2226"/>
      <c r="Q126" s="2078">
        <f t="shared" si="22"/>
        <v>0</v>
      </c>
      <c r="R126" s="2226"/>
      <c r="S126" s="2086"/>
    </row>
    <row r="127" spans="1:19" s="2690" customFormat="1" ht="23.25" customHeight="1" x14ac:dyDescent="0.2">
      <c r="A127" s="2684" t="s">
        <v>877</v>
      </c>
      <c r="B127" s="2686" t="s">
        <v>3227</v>
      </c>
      <c r="C127" s="2686"/>
      <c r="D127" s="2684"/>
      <c r="E127" s="2376">
        <f t="shared" si="27"/>
        <v>646000000</v>
      </c>
      <c r="F127" s="2376">
        <f>F128+F136</f>
        <v>614000000</v>
      </c>
      <c r="G127" s="2376">
        <f>G128+G136</f>
        <v>32000000</v>
      </c>
      <c r="H127" s="2096">
        <f t="shared" si="21"/>
        <v>0</v>
      </c>
      <c r="I127" s="2376"/>
      <c r="J127" s="2376"/>
      <c r="K127" s="2115">
        <f t="shared" ref="K127:K136" si="28">L127+M127</f>
        <v>278063400</v>
      </c>
      <c r="L127" s="2788">
        <f>L128+L136</f>
        <v>271963400</v>
      </c>
      <c r="M127" s="2788">
        <f>M128+M136</f>
        <v>6100000</v>
      </c>
      <c r="N127" s="2116">
        <f>O127+P127</f>
        <v>342036600</v>
      </c>
      <c r="O127" s="2116">
        <f>O128+O136</f>
        <v>342036600</v>
      </c>
      <c r="P127" s="2116">
        <f>P128+P136</f>
        <v>0</v>
      </c>
      <c r="Q127" s="2096">
        <f t="shared" si="22"/>
        <v>0</v>
      </c>
      <c r="R127" s="2117"/>
      <c r="S127" s="2379"/>
    </row>
    <row r="128" spans="1:19" s="2218" customFormat="1" ht="45" customHeight="1" x14ac:dyDescent="0.2">
      <c r="A128" s="2216">
        <v>1</v>
      </c>
      <c r="B128" s="2266" t="s">
        <v>3228</v>
      </c>
      <c r="C128" s="2263"/>
      <c r="D128" s="2216"/>
      <c r="E128" s="2269">
        <f t="shared" si="27"/>
        <v>190000000</v>
      </c>
      <c r="F128" s="2269">
        <f>SUM(F129:F135)</f>
        <v>180000000</v>
      </c>
      <c r="G128" s="2269">
        <f>SUM(G129:G135)</f>
        <v>10000000</v>
      </c>
      <c r="H128" s="2096">
        <f t="shared" si="21"/>
        <v>3900000</v>
      </c>
      <c r="I128" s="2376"/>
      <c r="J128" s="2376">
        <v>3900000</v>
      </c>
      <c r="K128" s="2127">
        <f t="shared" si="28"/>
        <v>116340000</v>
      </c>
      <c r="L128" s="2128">
        <f>SUM(L129:L135)</f>
        <v>110240000</v>
      </c>
      <c r="M128" s="2128">
        <f>SUM(M129:M135)</f>
        <v>6100000</v>
      </c>
      <c r="N128" s="2116">
        <f>O128+P128</f>
        <v>69760000</v>
      </c>
      <c r="O128" s="2264">
        <f>SUM(O129:O135)</f>
        <v>69760000</v>
      </c>
      <c r="P128" s="2265"/>
      <c r="Q128" s="2078">
        <f t="shared" si="22"/>
        <v>0</v>
      </c>
      <c r="R128" s="2264">
        <f>SUM(R129:R135)</f>
        <v>0</v>
      </c>
      <c r="S128" s="2085"/>
    </row>
    <row r="129" spans="1:20" x14ac:dyDescent="0.2">
      <c r="A129" s="2072"/>
      <c r="B129" s="2220" t="s">
        <v>660</v>
      </c>
      <c r="C129" s="2129"/>
      <c r="D129" s="2072"/>
      <c r="E129" s="2074">
        <f t="shared" si="27"/>
        <v>50000000</v>
      </c>
      <c r="F129" s="2222">
        <v>50000000</v>
      </c>
      <c r="G129" s="2222"/>
      <c r="H129" s="2096">
        <f t="shared" si="21"/>
        <v>0</v>
      </c>
      <c r="I129" s="2350"/>
      <c r="J129" s="2350"/>
      <c r="K129" s="2124">
        <f t="shared" si="28"/>
        <v>47740000</v>
      </c>
      <c r="L129" s="2125">
        <v>47740000</v>
      </c>
      <c r="M129" s="2125"/>
      <c r="N129" s="2270">
        <f t="shared" ref="N129:N135" si="29">O129+P129</f>
        <v>2260000</v>
      </c>
      <c r="O129" s="2245">
        <f>F129-L129</f>
        <v>2260000</v>
      </c>
      <c r="P129" s="2226"/>
      <c r="Q129" s="2078">
        <f t="shared" si="22"/>
        <v>0</v>
      </c>
      <c r="R129" s="2226"/>
      <c r="S129" s="2086"/>
      <c r="T129" s="2076" t="s">
        <v>3277</v>
      </c>
    </row>
    <row r="130" spans="1:20" x14ac:dyDescent="0.2">
      <c r="A130" s="2072"/>
      <c r="B130" s="2220" t="s">
        <v>664</v>
      </c>
      <c r="C130" s="2129"/>
      <c r="D130" s="2072"/>
      <c r="E130" s="2074">
        <f t="shared" si="27"/>
        <v>20000000</v>
      </c>
      <c r="F130" s="2222">
        <v>20000000</v>
      </c>
      <c r="G130" s="2222"/>
      <c r="H130" s="2096">
        <f t="shared" si="21"/>
        <v>0</v>
      </c>
      <c r="I130" s="2350"/>
      <c r="J130" s="2350"/>
      <c r="K130" s="2124">
        <f t="shared" si="28"/>
        <v>20000000</v>
      </c>
      <c r="L130" s="2125">
        <v>20000000</v>
      </c>
      <c r="M130" s="2125"/>
      <c r="N130" s="2270">
        <f t="shared" si="29"/>
        <v>0</v>
      </c>
      <c r="O130" s="2075"/>
      <c r="P130" s="2226"/>
      <c r="Q130" s="2078">
        <f t="shared" si="22"/>
        <v>0</v>
      </c>
      <c r="R130" s="2226"/>
      <c r="S130" s="2086"/>
    </row>
    <row r="131" spans="1:20" x14ac:dyDescent="0.2">
      <c r="A131" s="2072"/>
      <c r="B131" s="2220" t="s">
        <v>651</v>
      </c>
      <c r="C131" s="2129"/>
      <c r="D131" s="2072"/>
      <c r="E131" s="2074">
        <f t="shared" si="27"/>
        <v>70000000</v>
      </c>
      <c r="F131" s="2222">
        <v>70000000</v>
      </c>
      <c r="G131" s="2222"/>
      <c r="H131" s="2096">
        <f t="shared" si="21"/>
        <v>0</v>
      </c>
      <c r="I131" s="2350"/>
      <c r="J131" s="2350"/>
      <c r="K131" s="2124">
        <f t="shared" si="28"/>
        <v>16399999.999999998</v>
      </c>
      <c r="L131" s="2125">
        <v>16399999.999999998</v>
      </c>
      <c r="M131" s="2125"/>
      <c r="N131" s="2270">
        <f t="shared" si="29"/>
        <v>53600000</v>
      </c>
      <c r="O131" s="2075">
        <f>F131-L131</f>
        <v>53600000</v>
      </c>
      <c r="P131" s="2226"/>
      <c r="Q131" s="2078">
        <f t="shared" si="22"/>
        <v>0</v>
      </c>
      <c r="R131" s="2226"/>
      <c r="S131" s="2086"/>
      <c r="T131" s="2076" t="s">
        <v>3277</v>
      </c>
    </row>
    <row r="132" spans="1:20" x14ac:dyDescent="0.2">
      <c r="A132" s="2072"/>
      <c r="B132" s="2220" t="s">
        <v>3159</v>
      </c>
      <c r="C132" s="2129"/>
      <c r="D132" s="2072"/>
      <c r="E132" s="2074">
        <f t="shared" si="27"/>
        <v>10000000</v>
      </c>
      <c r="F132" s="2222"/>
      <c r="G132" s="2222">
        <v>10000000</v>
      </c>
      <c r="H132" s="2096">
        <f t="shared" si="21"/>
        <v>3900000</v>
      </c>
      <c r="I132" s="2350"/>
      <c r="J132" s="2350">
        <v>3900000</v>
      </c>
      <c r="K132" s="2124">
        <f t="shared" si="28"/>
        <v>6100000</v>
      </c>
      <c r="L132" s="2125">
        <v>0</v>
      </c>
      <c r="M132" s="2125">
        <v>6100000</v>
      </c>
      <c r="N132" s="2270">
        <f t="shared" si="29"/>
        <v>0</v>
      </c>
      <c r="O132" s="2075"/>
      <c r="P132" s="2226"/>
      <c r="Q132" s="2078">
        <f t="shared" si="22"/>
        <v>0</v>
      </c>
      <c r="R132" s="2226"/>
      <c r="S132" s="2086"/>
    </row>
    <row r="133" spans="1:20" x14ac:dyDescent="0.2">
      <c r="A133" s="2072"/>
      <c r="B133" s="2086" t="s">
        <v>650</v>
      </c>
      <c r="C133" s="2129"/>
      <c r="D133" s="2072"/>
      <c r="E133" s="2074">
        <f t="shared" si="27"/>
        <v>10000000</v>
      </c>
      <c r="F133" s="2074">
        <v>10000000</v>
      </c>
      <c r="G133" s="2074"/>
      <c r="H133" s="2096">
        <f t="shared" si="21"/>
        <v>0</v>
      </c>
      <c r="I133" s="2377"/>
      <c r="J133" s="2377"/>
      <c r="K133" s="2124">
        <f t="shared" si="28"/>
        <v>10000000</v>
      </c>
      <c r="L133" s="2125">
        <v>10000000</v>
      </c>
      <c r="M133" s="2125"/>
      <c r="N133" s="2270">
        <f t="shared" si="29"/>
        <v>0</v>
      </c>
      <c r="O133" s="2075"/>
      <c r="P133" s="2226"/>
      <c r="Q133" s="2078">
        <f t="shared" si="22"/>
        <v>0</v>
      </c>
      <c r="R133" s="2226"/>
      <c r="S133" s="2086"/>
    </row>
    <row r="134" spans="1:20" s="2202" customFormat="1" x14ac:dyDescent="0.2">
      <c r="A134" s="2225"/>
      <c r="B134" s="2769" t="s">
        <v>659</v>
      </c>
      <c r="C134" s="2207"/>
      <c r="D134" s="2225"/>
      <c r="E134" s="2377">
        <f t="shared" si="27"/>
        <v>20000000</v>
      </c>
      <c r="F134" s="2377">
        <v>20000000</v>
      </c>
      <c r="G134" s="2377"/>
      <c r="H134" s="2096">
        <f t="shared" ref="H134:H144" si="30">I134+J134</f>
        <v>0</v>
      </c>
      <c r="I134" s="2377"/>
      <c r="J134" s="2377"/>
      <c r="K134" s="2770">
        <f t="shared" si="28"/>
        <v>10000000</v>
      </c>
      <c r="L134" s="2692">
        <v>10000000</v>
      </c>
      <c r="M134" s="2692"/>
      <c r="N134" s="2270">
        <f t="shared" si="29"/>
        <v>10000000</v>
      </c>
      <c r="O134" s="2199">
        <f>F134-L134</f>
        <v>10000000</v>
      </c>
      <c r="P134" s="2206"/>
      <c r="Q134" s="2096">
        <f t="shared" ref="Q134:Q144" si="31">R134</f>
        <v>0</v>
      </c>
      <c r="R134" s="2206"/>
      <c r="S134" s="2378"/>
      <c r="T134" s="2202" t="s">
        <v>3277</v>
      </c>
    </row>
    <row r="135" spans="1:20" x14ac:dyDescent="0.2">
      <c r="A135" s="2072"/>
      <c r="B135" s="2220" t="s">
        <v>645</v>
      </c>
      <c r="C135" s="2129"/>
      <c r="D135" s="2072"/>
      <c r="E135" s="2074">
        <f t="shared" si="27"/>
        <v>10000000</v>
      </c>
      <c r="F135" s="2074">
        <v>10000000</v>
      </c>
      <c r="G135" s="2074"/>
      <c r="H135" s="2096">
        <f t="shared" si="30"/>
        <v>0</v>
      </c>
      <c r="I135" s="2377"/>
      <c r="J135" s="2377">
        <v>0</v>
      </c>
      <c r="K135" s="2124">
        <f t="shared" si="28"/>
        <v>6100000</v>
      </c>
      <c r="L135" s="2125">
        <v>6100000</v>
      </c>
      <c r="M135" s="2125"/>
      <c r="N135" s="2270">
        <f t="shared" si="29"/>
        <v>3900000</v>
      </c>
      <c r="O135" s="2075">
        <f>F135-L135</f>
        <v>3900000</v>
      </c>
      <c r="P135" s="2226"/>
      <c r="Q135" s="2078">
        <f t="shared" si="31"/>
        <v>0</v>
      </c>
      <c r="R135" s="2226"/>
      <c r="S135" s="2086"/>
      <c r="T135" s="2076" t="s">
        <v>3277</v>
      </c>
    </row>
    <row r="136" spans="1:20" s="2218" customFormat="1" ht="44.25" customHeight="1" x14ac:dyDescent="0.2">
      <c r="A136" s="2216">
        <v>2</v>
      </c>
      <c r="B136" s="2228" t="s">
        <v>3166</v>
      </c>
      <c r="C136" s="2263"/>
      <c r="D136" s="2216"/>
      <c r="E136" s="2267">
        <f t="shared" si="27"/>
        <v>456000000</v>
      </c>
      <c r="F136" s="2267">
        <f>F137+F139+F143+F141</f>
        <v>434000000</v>
      </c>
      <c r="G136" s="2267">
        <f>G137+G139+G143</f>
        <v>22000000</v>
      </c>
      <c r="H136" s="2096">
        <f t="shared" si="30"/>
        <v>22000000</v>
      </c>
      <c r="I136" s="2335"/>
      <c r="J136" s="2335">
        <v>22000000</v>
      </c>
      <c r="K136" s="2127">
        <f t="shared" si="28"/>
        <v>161723400</v>
      </c>
      <c r="L136" s="2128">
        <v>161723400</v>
      </c>
      <c r="M136" s="2123"/>
      <c r="N136" s="2116">
        <f>O136+P136</f>
        <v>272276600</v>
      </c>
      <c r="O136" s="2264">
        <f>F136-L136</f>
        <v>272276600</v>
      </c>
      <c r="P136" s="2265"/>
      <c r="Q136" s="2078">
        <f t="shared" si="31"/>
        <v>0</v>
      </c>
      <c r="R136" s="2265"/>
      <c r="S136" s="2085"/>
      <c r="T136" s="2218" t="s">
        <v>3277</v>
      </c>
    </row>
    <row r="137" spans="1:20" ht="102" customHeight="1" x14ac:dyDescent="0.2">
      <c r="A137" s="2072"/>
      <c r="B137" s="2237" t="s">
        <v>3168</v>
      </c>
      <c r="C137" s="2129"/>
      <c r="D137" s="2072"/>
      <c r="E137" s="2267">
        <f>E138</f>
        <v>223428000</v>
      </c>
      <c r="F137" s="2267">
        <f>F138</f>
        <v>223428000</v>
      </c>
      <c r="G137" s="2086"/>
      <c r="H137" s="2096">
        <f t="shared" si="30"/>
        <v>0</v>
      </c>
      <c r="I137" s="2378"/>
      <c r="J137" s="2378"/>
      <c r="K137" s="2129"/>
      <c r="L137" s="2125"/>
      <c r="M137" s="2125"/>
      <c r="N137" s="2206"/>
      <c r="O137" s="2226"/>
      <c r="P137" s="2226"/>
      <c r="Q137" s="2078">
        <f t="shared" si="31"/>
        <v>0</v>
      </c>
      <c r="R137" s="2226"/>
      <c r="S137" s="2086"/>
    </row>
    <row r="138" spans="1:20" ht="51.75" customHeight="1" x14ac:dyDescent="0.2">
      <c r="A138" s="2072"/>
      <c r="B138" s="2234" t="s">
        <v>3170</v>
      </c>
      <c r="C138" s="2129"/>
      <c r="D138" s="2072"/>
      <c r="E138" s="2074">
        <f>F138+G138</f>
        <v>223428000</v>
      </c>
      <c r="F138" s="2074">
        <v>223428000</v>
      </c>
      <c r="G138" s="2086"/>
      <c r="H138" s="2096">
        <f t="shared" si="30"/>
        <v>0</v>
      </c>
      <c r="I138" s="2378"/>
      <c r="J138" s="2378"/>
      <c r="K138" s="2129"/>
      <c r="L138" s="2125">
        <v>123870400</v>
      </c>
      <c r="M138" s="2125"/>
      <c r="N138" s="2206"/>
      <c r="O138" s="2226"/>
      <c r="P138" s="2226"/>
      <c r="Q138" s="2078">
        <f t="shared" si="31"/>
        <v>0</v>
      </c>
      <c r="R138" s="2226"/>
      <c r="S138" s="2086"/>
    </row>
    <row r="139" spans="1:20" ht="85.5" x14ac:dyDescent="0.2">
      <c r="A139" s="2072"/>
      <c r="B139" s="2237" t="s">
        <v>3229</v>
      </c>
      <c r="C139" s="2129"/>
      <c r="D139" s="2072"/>
      <c r="E139" s="2267">
        <f>E140</f>
        <v>141300000</v>
      </c>
      <c r="F139" s="2267">
        <f>F140</f>
        <v>119300000</v>
      </c>
      <c r="G139" s="2267">
        <f>G140</f>
        <v>22000000</v>
      </c>
      <c r="H139" s="2096">
        <f t="shared" si="30"/>
        <v>0</v>
      </c>
      <c r="I139" s="2335"/>
      <c r="J139" s="2335"/>
      <c r="K139" s="2129"/>
      <c r="L139" s="2125"/>
      <c r="M139" s="2125"/>
      <c r="N139" s="2206"/>
      <c r="O139" s="2226"/>
      <c r="P139" s="2226"/>
      <c r="Q139" s="2078">
        <f t="shared" si="31"/>
        <v>0</v>
      </c>
      <c r="R139" s="2226"/>
      <c r="S139" s="2086"/>
    </row>
    <row r="140" spans="1:20" ht="72.75" customHeight="1" x14ac:dyDescent="0.2">
      <c r="A140" s="2072"/>
      <c r="B140" s="2234" t="s">
        <v>3230</v>
      </c>
      <c r="C140" s="2129"/>
      <c r="D140" s="2072"/>
      <c r="E140" s="2074">
        <f>F140+G140</f>
        <v>141300000</v>
      </c>
      <c r="F140" s="2074">
        <v>119300000</v>
      </c>
      <c r="G140" s="2074">
        <v>22000000</v>
      </c>
      <c r="H140" s="2096">
        <f t="shared" si="30"/>
        <v>0</v>
      </c>
      <c r="I140" s="2377"/>
      <c r="J140" s="2377"/>
      <c r="K140" s="2129"/>
      <c r="L140" s="2125"/>
      <c r="M140" s="2125"/>
      <c r="N140" s="2206"/>
      <c r="O140" s="2226"/>
      <c r="P140" s="2226"/>
      <c r="Q140" s="2078">
        <f t="shared" si="31"/>
        <v>0</v>
      </c>
      <c r="R140" s="2226"/>
      <c r="S140" s="2086"/>
    </row>
    <row r="141" spans="1:20" ht="98.25" customHeight="1" x14ac:dyDescent="0.2">
      <c r="A141" s="2072"/>
      <c r="B141" s="2219" t="s">
        <v>3171</v>
      </c>
      <c r="C141" s="2129"/>
      <c r="D141" s="2072"/>
      <c r="E141" s="2267">
        <f>F141</f>
        <v>52880000</v>
      </c>
      <c r="F141" s="2267">
        <f>F142</f>
        <v>52880000</v>
      </c>
      <c r="G141" s="2085"/>
      <c r="H141" s="2096">
        <f t="shared" si="30"/>
        <v>0</v>
      </c>
      <c r="I141" s="2379"/>
      <c r="J141" s="2379"/>
      <c r="K141" s="2129"/>
      <c r="L141" s="2125"/>
      <c r="M141" s="2125"/>
      <c r="N141" s="2206"/>
      <c r="O141" s="2226"/>
      <c r="P141" s="2226"/>
      <c r="Q141" s="2078">
        <f t="shared" si="31"/>
        <v>0</v>
      </c>
      <c r="R141" s="2226"/>
      <c r="S141" s="2086"/>
    </row>
    <row r="142" spans="1:20" ht="59.25" customHeight="1" x14ac:dyDescent="0.2">
      <c r="A142" s="2072"/>
      <c r="B142" s="2221" t="s">
        <v>3231</v>
      </c>
      <c r="C142" s="2129"/>
      <c r="D142" s="2072"/>
      <c r="E142" s="2074">
        <f>F142+G142</f>
        <v>52880000</v>
      </c>
      <c r="F142" s="2074">
        <v>52880000</v>
      </c>
      <c r="G142" s="2086"/>
      <c r="H142" s="2096">
        <f t="shared" si="30"/>
        <v>0</v>
      </c>
      <c r="I142" s="2378"/>
      <c r="J142" s="2378"/>
      <c r="K142" s="2129"/>
      <c r="L142" s="2125"/>
      <c r="M142" s="2125"/>
      <c r="N142" s="2206"/>
      <c r="O142" s="2226"/>
      <c r="P142" s="2226"/>
      <c r="Q142" s="2078">
        <f t="shared" si="31"/>
        <v>0</v>
      </c>
      <c r="R142" s="2226"/>
      <c r="S142" s="2086"/>
    </row>
    <row r="143" spans="1:20" ht="99.75" x14ac:dyDescent="0.2">
      <c r="A143" s="2072"/>
      <c r="B143" s="2219" t="s">
        <v>3232</v>
      </c>
      <c r="C143" s="2129"/>
      <c r="D143" s="2072"/>
      <c r="E143" s="2267">
        <f>F143</f>
        <v>38392000</v>
      </c>
      <c r="F143" s="2267">
        <f>F144</f>
        <v>38392000</v>
      </c>
      <c r="G143" s="2085"/>
      <c r="H143" s="2096">
        <f t="shared" si="30"/>
        <v>0</v>
      </c>
      <c r="I143" s="2379"/>
      <c r="J143" s="2379"/>
      <c r="K143" s="2263"/>
      <c r="L143" s="2123"/>
      <c r="M143" s="2123"/>
      <c r="N143" s="2117"/>
      <c r="O143" s="2265"/>
      <c r="P143" s="2265"/>
      <c r="Q143" s="2078">
        <f t="shared" si="31"/>
        <v>0</v>
      </c>
      <c r="R143" s="2265"/>
      <c r="S143" s="2085"/>
    </row>
    <row r="144" spans="1:20" ht="70.5" customHeight="1" x14ac:dyDescent="0.2">
      <c r="A144" s="2129"/>
      <c r="B144" s="2271" t="s">
        <v>3233</v>
      </c>
      <c r="C144" s="2129"/>
      <c r="D144" s="2129"/>
      <c r="E144" s="2272">
        <f>F144</f>
        <v>38392000</v>
      </c>
      <c r="F144" s="2272">
        <v>38392000</v>
      </c>
      <c r="G144" s="2129"/>
      <c r="H144" s="2096">
        <f t="shared" si="30"/>
        <v>0</v>
      </c>
      <c r="I144" s="2207"/>
      <c r="J144" s="2207"/>
      <c r="K144" s="2129"/>
      <c r="L144" s="2129">
        <v>37853000</v>
      </c>
      <c r="M144" s="2129"/>
      <c r="N144" s="2207"/>
      <c r="O144" s="2129"/>
      <c r="P144" s="2129"/>
      <c r="Q144" s="2078">
        <f t="shared" si="31"/>
        <v>0</v>
      </c>
      <c r="R144" s="2129"/>
      <c r="S144" s="2129"/>
    </row>
  </sheetData>
  <mergeCells count="11">
    <mergeCell ref="H3:J3"/>
    <mergeCell ref="K3:M3"/>
    <mergeCell ref="N3:P3"/>
    <mergeCell ref="A1:S1"/>
    <mergeCell ref="Q3:R3"/>
    <mergeCell ref="S3:S4"/>
    <mergeCell ref="A3:A4"/>
    <mergeCell ref="B3:B4"/>
    <mergeCell ref="C3:C4"/>
    <mergeCell ref="D3:D4"/>
    <mergeCell ref="E3:G3"/>
  </mergeCells>
  <pageMargins left="0.35433070866141736" right="0.19685039370078741" top="0.74803149606299213" bottom="0.74803149606299213" header="0.31496062992125984" footer="0.31496062992125984"/>
  <pageSetup paperSize="9"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92D050"/>
  </sheetPr>
  <dimension ref="A1:S70"/>
  <sheetViews>
    <sheetView zoomScale="70" zoomScaleNormal="70" workbookViewId="0">
      <selection activeCell="N33" sqref="N33"/>
    </sheetView>
  </sheetViews>
  <sheetFormatPr defaultColWidth="10.28515625" defaultRowHeight="12.75" x14ac:dyDescent="0.2"/>
  <cols>
    <col min="1" max="1" width="6.7109375" style="2118" customWidth="1"/>
    <col min="2" max="2" width="35.5703125" style="1365" customWidth="1"/>
    <col min="3" max="3" width="17.28515625" style="1365" hidden="1" customWidth="1"/>
    <col min="4" max="4" width="30.140625" style="2118" hidden="1" customWidth="1"/>
    <col min="5" max="5" width="17.140625" style="2119" customWidth="1"/>
    <col min="6" max="6" width="16.140625" style="2119" customWidth="1"/>
    <col min="7" max="7" width="15.5703125" style="2119" customWidth="1"/>
    <col min="8" max="8" width="15.5703125" style="2380" customWidth="1"/>
    <col min="9" max="9" width="17.28515625" style="2797" customWidth="1"/>
    <col min="10" max="10" width="17.140625" style="2120" customWidth="1"/>
    <col min="11" max="11" width="15.28515625" style="2120" customWidth="1"/>
    <col min="12" max="12" width="16" style="2196" customWidth="1"/>
    <col min="13" max="13" width="17" style="1362" customWidth="1"/>
    <col min="14" max="14" width="17.28515625" style="1362" customWidth="1"/>
    <col min="15" max="15" width="14.140625" style="1362" customWidth="1"/>
    <col min="16" max="16" width="9.42578125" style="1362" hidden="1" customWidth="1"/>
    <col min="17" max="17" width="13.85546875" style="1362" customWidth="1"/>
    <col min="18" max="18" width="27.140625" style="2119" customWidth="1"/>
    <col min="19" max="19" width="15.7109375" style="1365" bestFit="1" customWidth="1"/>
    <col min="20" max="16384" width="10.28515625" style="1365"/>
  </cols>
  <sheetData>
    <row r="1" spans="1:19" ht="23.25" customHeight="1" x14ac:dyDescent="0.2">
      <c r="A1" s="4773" t="s">
        <v>3234</v>
      </c>
      <c r="B1" s="4773"/>
      <c r="C1" s="4773"/>
      <c r="D1" s="4773"/>
      <c r="E1" s="4773"/>
      <c r="F1" s="4773"/>
      <c r="G1" s="4773"/>
      <c r="H1" s="4773"/>
      <c r="I1" s="4773"/>
      <c r="J1" s="4773"/>
      <c r="K1" s="4773"/>
      <c r="L1" s="4773"/>
      <c r="M1" s="4773"/>
      <c r="N1" s="4773"/>
      <c r="O1" s="4773"/>
      <c r="P1" s="4773"/>
      <c r="Q1" s="4773"/>
      <c r="R1" s="4773"/>
    </row>
    <row r="2" spans="1:19" x14ac:dyDescent="0.2">
      <c r="A2" s="2048"/>
      <c r="B2" s="2049"/>
      <c r="C2" s="2049"/>
      <c r="D2" s="2048"/>
      <c r="E2" s="2050"/>
      <c r="F2" s="2381">
        <f>E5-H5</f>
        <v>3767290000</v>
      </c>
      <c r="G2" s="2050"/>
      <c r="H2" s="2381"/>
      <c r="I2" s="2789"/>
      <c r="J2" s="2051"/>
      <c r="K2" s="2051"/>
      <c r="R2" s="2052"/>
    </row>
    <row r="3" spans="1:19" ht="21.75" customHeight="1" x14ac:dyDescent="0.2">
      <c r="A3" s="4781" t="s">
        <v>1579</v>
      </c>
      <c r="B3" s="4781" t="s">
        <v>3149</v>
      </c>
      <c r="C3" s="4782" t="s">
        <v>3150</v>
      </c>
      <c r="D3" s="4782" t="s">
        <v>3151</v>
      </c>
      <c r="E3" s="4783" t="s">
        <v>3140</v>
      </c>
      <c r="F3" s="4783"/>
      <c r="G3" s="4783"/>
      <c r="H3" s="2382" t="s">
        <v>3340</v>
      </c>
      <c r="I3" s="4774" t="s">
        <v>3141</v>
      </c>
      <c r="J3" s="4775"/>
      <c r="K3" s="4776"/>
      <c r="L3" s="4777" t="s">
        <v>3152</v>
      </c>
      <c r="M3" s="4778"/>
      <c r="N3" s="4779"/>
      <c r="O3" s="4777" t="s">
        <v>3153</v>
      </c>
      <c r="P3" s="4778"/>
      <c r="Q3" s="4778"/>
      <c r="R3" s="4780" t="s">
        <v>3154</v>
      </c>
    </row>
    <row r="4" spans="1:19" ht="21.75" customHeight="1" x14ac:dyDescent="0.2">
      <c r="A4" s="4781"/>
      <c r="B4" s="4781"/>
      <c r="C4" s="4646"/>
      <c r="D4" s="4646"/>
      <c r="E4" s="2298" t="s">
        <v>2209</v>
      </c>
      <c r="F4" s="2298" t="s">
        <v>916</v>
      </c>
      <c r="G4" s="2298" t="s">
        <v>3155</v>
      </c>
      <c r="H4" s="2383"/>
      <c r="I4" s="2790" t="s">
        <v>2209</v>
      </c>
      <c r="J4" s="2298" t="s">
        <v>916</v>
      </c>
      <c r="K4" s="2298" t="s">
        <v>3155</v>
      </c>
      <c r="L4" s="2058" t="s">
        <v>2209</v>
      </c>
      <c r="M4" s="2298" t="s">
        <v>916</v>
      </c>
      <c r="N4" s="2298" t="s">
        <v>3155</v>
      </c>
      <c r="O4" s="2298" t="s">
        <v>2209</v>
      </c>
      <c r="P4" s="2298" t="s">
        <v>916</v>
      </c>
      <c r="Q4" s="2298" t="s">
        <v>3155</v>
      </c>
      <c r="R4" s="4780" t="s">
        <v>3156</v>
      </c>
    </row>
    <row r="5" spans="1:19" s="2057" customFormat="1" ht="24.75" customHeight="1" x14ac:dyDescent="0.2">
      <c r="A5" s="2053"/>
      <c r="B5" s="2054" t="s">
        <v>1114</v>
      </c>
      <c r="C5" s="2054"/>
      <c r="D5" s="2053"/>
      <c r="E5" s="2055">
        <f>F5+G5</f>
        <v>3775590000</v>
      </c>
      <c r="F5" s="2055">
        <f>F6+F30+F36</f>
        <v>3665976000</v>
      </c>
      <c r="G5" s="2055">
        <f>G6+G30+G36</f>
        <v>109614000</v>
      </c>
      <c r="H5" s="2197">
        <f>H20+H38</f>
        <v>8300000</v>
      </c>
      <c r="I5" s="2055">
        <f>I6+I30+I36</f>
        <v>2729371643</v>
      </c>
      <c r="J5" s="2055">
        <f>J6+J30+J36</f>
        <v>2650671643</v>
      </c>
      <c r="K5" s="2055">
        <f>K6+K30+K36</f>
        <v>78700000</v>
      </c>
      <c r="L5" s="2197">
        <f>M5+N5</f>
        <v>1037918357</v>
      </c>
      <c r="M5" s="2055">
        <f>M6+M30+M36</f>
        <v>1015304357</v>
      </c>
      <c r="N5" s="2055">
        <f>N6</f>
        <v>22614000</v>
      </c>
      <c r="O5" s="2055">
        <f>Q5</f>
        <v>8300000</v>
      </c>
      <c r="P5" s="2055"/>
      <c r="Q5" s="2055">
        <f>Q6+Q30+Q36</f>
        <v>8300000</v>
      </c>
      <c r="R5" s="2056"/>
      <c r="S5" s="2768" t="e">
        <f>L5/1000000-'5.30 .2022'!J107</f>
        <v>#REF!</v>
      </c>
    </row>
    <row r="6" spans="1:19" s="2803" customFormat="1" ht="18.75" customHeight="1" x14ac:dyDescent="0.2">
      <c r="A6" s="2800" t="s">
        <v>849</v>
      </c>
      <c r="B6" s="2801" t="s">
        <v>3157</v>
      </c>
      <c r="C6" s="2801"/>
      <c r="D6" s="2800"/>
      <c r="E6" s="2791">
        <f>F6+G6</f>
        <v>2401590000</v>
      </c>
      <c r="F6" s="2791">
        <f>F7+F20+F26</f>
        <v>2330976000</v>
      </c>
      <c r="G6" s="2791">
        <f>G7+G20+G26</f>
        <v>70614000</v>
      </c>
      <c r="H6" s="2791"/>
      <c r="I6" s="2791">
        <f>I7+I20</f>
        <v>1494074617</v>
      </c>
      <c r="J6" s="2791">
        <f>J7+J20</f>
        <v>1450074617</v>
      </c>
      <c r="K6" s="2791">
        <f>K7+K20</f>
        <v>44000000</v>
      </c>
      <c r="L6" s="2791">
        <f>M6+N6</f>
        <v>903515383</v>
      </c>
      <c r="M6" s="2791">
        <f>M7+M20+M26</f>
        <v>880901383</v>
      </c>
      <c r="N6" s="2791">
        <f>N7+N20+N26</f>
        <v>22614000</v>
      </c>
      <c r="O6" s="2791">
        <f>O7+O20</f>
        <v>4000000</v>
      </c>
      <c r="P6" s="2791">
        <f>P7+P20+P30</f>
        <v>0</v>
      </c>
      <c r="Q6" s="2791">
        <f>Q7+Q20</f>
        <v>4000000</v>
      </c>
      <c r="R6" s="2802"/>
    </row>
    <row r="7" spans="1:19" s="2107" customFormat="1" ht="38.25" customHeight="1" x14ac:dyDescent="0.25">
      <c r="A7" s="2105">
        <v>1</v>
      </c>
      <c r="B7" s="2121" t="s">
        <v>3235</v>
      </c>
      <c r="C7" s="2121"/>
      <c r="D7" s="2105"/>
      <c r="E7" s="2100">
        <f>F7+G7</f>
        <v>1404000000</v>
      </c>
      <c r="F7" s="2100">
        <f>SUM(F8:F19)</f>
        <v>1363000000</v>
      </c>
      <c r="G7" s="2100">
        <f>SUM(G8:G19)</f>
        <v>41000000</v>
      </c>
      <c r="H7" s="2200"/>
      <c r="I7" s="2792">
        <f>J7+K7</f>
        <v>1402722617</v>
      </c>
      <c r="J7" s="2100">
        <f>SUM(J8:J19)</f>
        <v>1361722617</v>
      </c>
      <c r="K7" s="2100">
        <f>SUM(K8:K19)</f>
        <v>41000000</v>
      </c>
      <c r="L7" s="2198">
        <f>M7+N7</f>
        <v>1277383</v>
      </c>
      <c r="M7" s="2101">
        <f>SUM(M8:M19)</f>
        <v>1277383</v>
      </c>
      <c r="N7" s="2101"/>
      <c r="O7" s="2101"/>
      <c r="P7" s="2101"/>
      <c r="Q7" s="2101"/>
      <c r="R7" s="2106"/>
    </row>
    <row r="8" spans="1:19" ht="28.5" customHeight="1" x14ac:dyDescent="0.2">
      <c r="A8" s="2063"/>
      <c r="B8" s="2064" t="s">
        <v>3236</v>
      </c>
      <c r="C8" s="2064"/>
      <c r="D8" s="2063"/>
      <c r="E8" s="2065">
        <f>F8+G8</f>
        <v>150000000</v>
      </c>
      <c r="F8" s="2065">
        <v>145619700</v>
      </c>
      <c r="G8" s="2065">
        <v>4380300</v>
      </c>
      <c r="H8" s="2201"/>
      <c r="I8" s="2793">
        <f>J8+K8</f>
        <v>150000000</v>
      </c>
      <c r="J8" s="2065">
        <f>145619700</f>
        <v>145619700</v>
      </c>
      <c r="K8" s="2065">
        <f>4380300</f>
        <v>4380300</v>
      </c>
      <c r="L8" s="2199"/>
      <c r="M8" s="2066"/>
      <c r="N8" s="2066"/>
      <c r="O8" s="2066"/>
      <c r="P8" s="2066"/>
      <c r="Q8" s="2066"/>
      <c r="R8" s="2099" t="s">
        <v>2395</v>
      </c>
    </row>
    <row r="9" spans="1:19" ht="28.5" customHeight="1" x14ac:dyDescent="0.2">
      <c r="A9" s="2063"/>
      <c r="B9" s="2064" t="s">
        <v>3236</v>
      </c>
      <c r="C9" s="2064"/>
      <c r="D9" s="2063"/>
      <c r="E9" s="2065">
        <f t="shared" ref="E9:E18" si="0">F9+G9</f>
        <v>130000000</v>
      </c>
      <c r="F9" s="2065">
        <v>126203500</v>
      </c>
      <c r="G9" s="2065">
        <v>3796500</v>
      </c>
      <c r="H9" s="2201"/>
      <c r="I9" s="2793">
        <f t="shared" ref="I9:I18" si="1">J9+K9</f>
        <v>130000000</v>
      </c>
      <c r="J9" s="2065">
        <f>126203500</f>
        <v>126203500</v>
      </c>
      <c r="K9" s="2065">
        <f>3796500</f>
        <v>3796500</v>
      </c>
      <c r="L9" s="2199"/>
      <c r="M9" s="2066"/>
      <c r="N9" s="2066"/>
      <c r="O9" s="2066"/>
      <c r="P9" s="2066"/>
      <c r="Q9" s="2066"/>
      <c r="R9" s="2099" t="s">
        <v>2133</v>
      </c>
    </row>
    <row r="10" spans="1:19" ht="28.5" customHeight="1" x14ac:dyDescent="0.2">
      <c r="A10" s="2063"/>
      <c r="B10" s="2064" t="s">
        <v>3236</v>
      </c>
      <c r="C10" s="2064"/>
      <c r="D10" s="2063"/>
      <c r="E10" s="2065">
        <f t="shared" si="0"/>
        <v>145001000</v>
      </c>
      <c r="F10" s="2065">
        <v>140766400</v>
      </c>
      <c r="G10" s="2065">
        <v>4234600</v>
      </c>
      <c r="H10" s="2201"/>
      <c r="I10" s="2793">
        <f t="shared" si="1"/>
        <v>145001000</v>
      </c>
      <c r="J10" s="2065">
        <v>140766400</v>
      </c>
      <c r="K10" s="2065">
        <f>4234600</f>
        <v>4234600</v>
      </c>
      <c r="L10" s="2199"/>
      <c r="M10" s="2066"/>
      <c r="N10" s="2066"/>
      <c r="O10" s="2066"/>
      <c r="P10" s="2066"/>
      <c r="Q10" s="2066"/>
      <c r="R10" s="2099" t="s">
        <v>2394</v>
      </c>
    </row>
    <row r="11" spans="1:19" ht="28.5" customHeight="1" x14ac:dyDescent="0.2">
      <c r="A11" s="2063"/>
      <c r="B11" s="2064" t="s">
        <v>3236</v>
      </c>
      <c r="C11" s="2064"/>
      <c r="D11" s="2063"/>
      <c r="E11" s="2065">
        <f t="shared" si="0"/>
        <v>150000000</v>
      </c>
      <c r="F11" s="2065">
        <v>145619500</v>
      </c>
      <c r="G11" s="2065">
        <v>4380500</v>
      </c>
      <c r="H11" s="2201"/>
      <c r="I11" s="2793">
        <f t="shared" si="1"/>
        <v>150000000</v>
      </c>
      <c r="J11" s="2065">
        <f>145619500</f>
        <v>145619500</v>
      </c>
      <c r="K11" s="2065">
        <f>4380500</f>
        <v>4380500</v>
      </c>
      <c r="L11" s="2199"/>
      <c r="M11" s="2066"/>
      <c r="N11" s="2066"/>
      <c r="O11" s="2066"/>
      <c r="P11" s="2066"/>
      <c r="Q11" s="2066"/>
      <c r="R11" s="2099" t="s">
        <v>2400</v>
      </c>
    </row>
    <row r="12" spans="1:19" ht="28.5" customHeight="1" x14ac:dyDescent="0.2">
      <c r="A12" s="2063"/>
      <c r="B12" s="2064" t="s">
        <v>3236</v>
      </c>
      <c r="C12" s="2064"/>
      <c r="D12" s="2063"/>
      <c r="E12" s="2065">
        <f t="shared" si="0"/>
        <v>149999094</v>
      </c>
      <c r="F12" s="2065">
        <v>145618594</v>
      </c>
      <c r="G12" s="2065">
        <v>4380500</v>
      </c>
      <c r="H12" s="2201"/>
      <c r="I12" s="2793">
        <f t="shared" si="1"/>
        <v>149999094</v>
      </c>
      <c r="J12" s="2065">
        <f>145618594</f>
        <v>145618594</v>
      </c>
      <c r="K12" s="2065">
        <f>4380500</f>
        <v>4380500</v>
      </c>
      <c r="L12" s="2199"/>
      <c r="M12" s="2066"/>
      <c r="N12" s="2066"/>
      <c r="O12" s="2066"/>
      <c r="P12" s="2066"/>
      <c r="Q12" s="2066"/>
      <c r="R12" s="2099" t="s">
        <v>3126</v>
      </c>
    </row>
    <row r="13" spans="1:19" ht="28.5" customHeight="1" x14ac:dyDescent="0.2">
      <c r="A13" s="2063"/>
      <c r="B13" s="2064" t="s">
        <v>3236</v>
      </c>
      <c r="C13" s="2064"/>
      <c r="D13" s="2063"/>
      <c r="E13" s="2065">
        <f t="shared" si="0"/>
        <v>150000000</v>
      </c>
      <c r="F13" s="2065">
        <v>145619500</v>
      </c>
      <c r="G13" s="2065">
        <v>4380500</v>
      </c>
      <c r="H13" s="2201"/>
      <c r="I13" s="2793">
        <f t="shared" si="1"/>
        <v>150000000</v>
      </c>
      <c r="J13" s="2065">
        <f>145619500</f>
        <v>145619500</v>
      </c>
      <c r="K13" s="2065">
        <f>4380500</f>
        <v>4380500</v>
      </c>
      <c r="L13" s="2199"/>
      <c r="M13" s="2066"/>
      <c r="N13" s="2066"/>
      <c r="O13" s="2066"/>
      <c r="P13" s="2066"/>
      <c r="Q13" s="2066"/>
      <c r="R13" s="2099" t="s">
        <v>2399</v>
      </c>
    </row>
    <row r="14" spans="1:19" ht="28.5" customHeight="1" x14ac:dyDescent="0.2">
      <c r="A14" s="2063" t="s">
        <v>711</v>
      </c>
      <c r="B14" s="2064" t="s">
        <v>3236</v>
      </c>
      <c r="C14" s="2064"/>
      <c r="D14" s="2063"/>
      <c r="E14" s="2065">
        <f t="shared" si="0"/>
        <v>150000000</v>
      </c>
      <c r="F14" s="2065">
        <v>145619500</v>
      </c>
      <c r="G14" s="2065">
        <v>4380500</v>
      </c>
      <c r="H14" s="2201"/>
      <c r="I14" s="2793">
        <f t="shared" si="1"/>
        <v>150000000</v>
      </c>
      <c r="J14" s="2065">
        <f>145619500</f>
        <v>145619500</v>
      </c>
      <c r="K14" s="2065">
        <f>4380500</f>
        <v>4380500</v>
      </c>
      <c r="L14" s="2199"/>
      <c r="M14" s="2066"/>
      <c r="N14" s="2066"/>
      <c r="O14" s="2066"/>
      <c r="P14" s="2066"/>
      <c r="Q14" s="2066"/>
      <c r="R14" s="2099" t="s">
        <v>2401</v>
      </c>
    </row>
    <row r="15" spans="1:19" ht="28.5" customHeight="1" x14ac:dyDescent="0.2">
      <c r="A15" s="2063" t="s">
        <v>711</v>
      </c>
      <c r="B15" s="2064" t="s">
        <v>3236</v>
      </c>
      <c r="C15" s="2064"/>
      <c r="D15" s="2063"/>
      <c r="E15" s="2065">
        <f t="shared" si="0"/>
        <v>77126880</v>
      </c>
      <c r="F15" s="2065">
        <v>74874380</v>
      </c>
      <c r="G15" s="2065">
        <v>2252500</v>
      </c>
      <c r="H15" s="2201"/>
      <c r="I15" s="2793">
        <f t="shared" si="1"/>
        <v>77126880</v>
      </c>
      <c r="J15" s="2065">
        <f>74874380</f>
        <v>74874380</v>
      </c>
      <c r="K15" s="2065">
        <f>2252500</f>
        <v>2252500</v>
      </c>
      <c r="L15" s="2199"/>
      <c r="M15" s="2066"/>
      <c r="N15" s="2066"/>
      <c r="O15" s="2066"/>
      <c r="P15" s="2066"/>
      <c r="Q15" s="2066"/>
      <c r="R15" s="2099" t="s">
        <v>3129</v>
      </c>
    </row>
    <row r="16" spans="1:19" ht="28.5" customHeight="1" x14ac:dyDescent="0.2">
      <c r="A16" s="2063" t="s">
        <v>711</v>
      </c>
      <c r="B16" s="2064" t="s">
        <v>3236</v>
      </c>
      <c r="C16" s="2064"/>
      <c r="D16" s="2063"/>
      <c r="E16" s="2065">
        <f t="shared" si="0"/>
        <v>102997499</v>
      </c>
      <c r="F16" s="2065">
        <v>99989499</v>
      </c>
      <c r="G16" s="2065">
        <v>3008000</v>
      </c>
      <c r="H16" s="2201"/>
      <c r="I16" s="2793">
        <f t="shared" si="1"/>
        <v>101785643</v>
      </c>
      <c r="J16" s="2065">
        <f>98777643</f>
        <v>98777643</v>
      </c>
      <c r="K16" s="2065">
        <f>3008000</f>
        <v>3008000</v>
      </c>
      <c r="L16" s="2199">
        <f>M16+O16</f>
        <v>1211856</v>
      </c>
      <c r="M16" s="2066">
        <f>F16-J16</f>
        <v>1211856</v>
      </c>
      <c r="N16" s="2066"/>
      <c r="O16" s="2066"/>
      <c r="P16" s="2066"/>
      <c r="Q16" s="2066"/>
      <c r="R16" s="2099" t="s">
        <v>2135</v>
      </c>
      <c r="S16" s="1365" t="s">
        <v>3276</v>
      </c>
    </row>
    <row r="17" spans="1:18" ht="28.5" customHeight="1" x14ac:dyDescent="0.2">
      <c r="A17" s="2063"/>
      <c r="B17" s="2064" t="s">
        <v>3236</v>
      </c>
      <c r="C17" s="2064"/>
      <c r="D17" s="2063"/>
      <c r="E17" s="2065">
        <f t="shared" si="0"/>
        <v>114810000</v>
      </c>
      <c r="F17" s="2065">
        <v>111457100</v>
      </c>
      <c r="G17" s="2065">
        <v>3352900</v>
      </c>
      <c r="H17" s="2201"/>
      <c r="I17" s="2793">
        <f t="shared" si="1"/>
        <v>114810000</v>
      </c>
      <c r="J17" s="2065">
        <f>111457100</f>
        <v>111457100</v>
      </c>
      <c r="K17" s="2065">
        <f>3352900</f>
        <v>3352900</v>
      </c>
      <c r="L17" s="2199"/>
      <c r="M17" s="2066"/>
      <c r="N17" s="2066"/>
      <c r="O17" s="2066"/>
      <c r="P17" s="2066"/>
      <c r="Q17" s="2066"/>
      <c r="R17" s="2099" t="s">
        <v>2391</v>
      </c>
    </row>
    <row r="18" spans="1:18" ht="28.5" customHeight="1" x14ac:dyDescent="0.2">
      <c r="A18" s="2063"/>
      <c r="B18" s="2064" t="s">
        <v>3236</v>
      </c>
      <c r="C18" s="2064"/>
      <c r="D18" s="2063"/>
      <c r="E18" s="2065">
        <f t="shared" si="0"/>
        <v>84000000</v>
      </c>
      <c r="F18" s="2065">
        <v>81546800</v>
      </c>
      <c r="G18" s="2065">
        <v>2453200</v>
      </c>
      <c r="H18" s="2201"/>
      <c r="I18" s="2793">
        <f t="shared" si="1"/>
        <v>84000000</v>
      </c>
      <c r="J18" s="2065">
        <f>81546800</f>
        <v>81546800</v>
      </c>
      <c r="K18" s="2065">
        <v>2453200</v>
      </c>
      <c r="L18" s="2199"/>
      <c r="M18" s="2066"/>
      <c r="N18" s="2066"/>
      <c r="O18" s="2066"/>
      <c r="P18" s="2066"/>
      <c r="Q18" s="2066"/>
      <c r="R18" s="2099" t="s">
        <v>2392</v>
      </c>
    </row>
    <row r="19" spans="1:18" ht="28.5" customHeight="1" x14ac:dyDescent="0.2">
      <c r="A19" s="2063"/>
      <c r="B19" s="2064" t="s">
        <v>3219</v>
      </c>
      <c r="C19" s="2064"/>
      <c r="D19" s="2063"/>
      <c r="E19" s="2065">
        <f t="shared" ref="E19:E30" si="2">F19+G19</f>
        <v>65527</v>
      </c>
      <c r="F19" s="2065">
        <v>65527</v>
      </c>
      <c r="G19" s="2065"/>
      <c r="H19" s="2201"/>
      <c r="I19" s="2793"/>
      <c r="J19" s="2065"/>
      <c r="K19" s="2065"/>
      <c r="L19" s="2199"/>
      <c r="M19" s="2066">
        <f>F19</f>
        <v>65527</v>
      </c>
      <c r="N19" s="2066"/>
      <c r="O19" s="2066"/>
      <c r="P19" s="2066"/>
      <c r="Q19" s="2066"/>
      <c r="R19" s="2099" t="s">
        <v>2726</v>
      </c>
    </row>
    <row r="20" spans="1:18" s="2095" customFormat="1" ht="34.5" customHeight="1" x14ac:dyDescent="0.25">
      <c r="A20" s="2091">
        <v>2</v>
      </c>
      <c r="B20" s="2092" t="s">
        <v>3237</v>
      </c>
      <c r="C20" s="2092"/>
      <c r="D20" s="2091"/>
      <c r="E20" s="2093">
        <f t="shared" si="2"/>
        <v>221000000</v>
      </c>
      <c r="F20" s="2093">
        <f>SUM(F21:F25)</f>
        <v>214000000</v>
      </c>
      <c r="G20" s="2093">
        <f>SUM(G21:G25)</f>
        <v>7000000</v>
      </c>
      <c r="H20" s="2200">
        <f>Q20</f>
        <v>4000000</v>
      </c>
      <c r="I20" s="2792">
        <f>J20+K20</f>
        <v>91352000</v>
      </c>
      <c r="J20" s="2093">
        <f>SUM(J21:J25)</f>
        <v>88352000</v>
      </c>
      <c r="K20" s="2093">
        <f>SUM(K21:K25)</f>
        <v>3000000</v>
      </c>
      <c r="L20" s="2200">
        <f>SUM(L21:L25)</f>
        <v>125648000</v>
      </c>
      <c r="M20" s="2093">
        <f>SUM(M21:M25)</f>
        <v>125648000</v>
      </c>
      <c r="N20" s="2093"/>
      <c r="O20" s="2093">
        <f>SUM(O21:O25)</f>
        <v>4000000</v>
      </c>
      <c r="P20" s="2093">
        <f>SUM(P21:P25)</f>
        <v>0</v>
      </c>
      <c r="Q20" s="2093">
        <f>SUM(Q21:Q25)</f>
        <v>4000000</v>
      </c>
      <c r="R20" s="2080" t="s">
        <v>3218</v>
      </c>
    </row>
    <row r="21" spans="1:18" s="2076" customFormat="1" ht="33.75" customHeight="1" x14ac:dyDescent="0.2">
      <c r="A21" s="2072"/>
      <c r="B21" s="2087" t="s">
        <v>3238</v>
      </c>
      <c r="C21" s="2073"/>
      <c r="D21" s="2072"/>
      <c r="E21" s="2067">
        <f t="shared" si="2"/>
        <v>36200000</v>
      </c>
      <c r="F21" s="2067">
        <v>35000000</v>
      </c>
      <c r="G21" s="2067">
        <v>1200000</v>
      </c>
      <c r="H21" s="2201">
        <f>Q21</f>
        <v>1200000</v>
      </c>
      <c r="I21" s="2793"/>
      <c r="J21" s="2067"/>
      <c r="K21" s="2067"/>
      <c r="L21" s="2199">
        <f>M21</f>
        <v>35000000</v>
      </c>
      <c r="M21" s="2075">
        <f>F21-J21</f>
        <v>35000000</v>
      </c>
      <c r="N21" s="2075"/>
      <c r="O21" s="2075">
        <f>P21+Q21</f>
        <v>1200000</v>
      </c>
      <c r="P21" s="2075"/>
      <c r="Q21" s="2075">
        <f>G21-K21</f>
        <v>1200000</v>
      </c>
      <c r="R21" s="2080" t="s">
        <v>3218</v>
      </c>
    </row>
    <row r="22" spans="1:18" s="2076" customFormat="1" ht="33.75" customHeight="1" x14ac:dyDescent="0.2">
      <c r="A22" s="2072"/>
      <c r="B22" s="2087" t="s">
        <v>3239</v>
      </c>
      <c r="C22" s="2073"/>
      <c r="D22" s="2072"/>
      <c r="E22" s="2067">
        <f t="shared" si="2"/>
        <v>41300000</v>
      </c>
      <c r="F22" s="2067">
        <v>40000000</v>
      </c>
      <c r="G22" s="2067">
        <v>1300000</v>
      </c>
      <c r="H22" s="2201">
        <f>Q22</f>
        <v>1300000</v>
      </c>
      <c r="I22" s="2793"/>
      <c r="J22" s="2067"/>
      <c r="K22" s="2067"/>
      <c r="L22" s="2199">
        <f>M22</f>
        <v>40000000</v>
      </c>
      <c r="M22" s="2075">
        <f>F22-J22</f>
        <v>40000000</v>
      </c>
      <c r="N22" s="2075"/>
      <c r="O22" s="2075">
        <f>P22+Q22</f>
        <v>1300000</v>
      </c>
      <c r="P22" s="2075"/>
      <c r="Q22" s="2075">
        <f>G22-K22</f>
        <v>1300000</v>
      </c>
      <c r="R22" s="2080" t="s">
        <v>3218</v>
      </c>
    </row>
    <row r="23" spans="1:18" s="2076" customFormat="1" ht="48" customHeight="1" x14ac:dyDescent="0.2">
      <c r="A23" s="2072"/>
      <c r="B23" s="2087" t="s">
        <v>3240</v>
      </c>
      <c r="C23" s="2073"/>
      <c r="D23" s="2072"/>
      <c r="E23" s="2067">
        <f t="shared" si="2"/>
        <v>15500000</v>
      </c>
      <c r="F23" s="2067">
        <v>15000000</v>
      </c>
      <c r="G23" s="2067">
        <v>500000</v>
      </c>
      <c r="H23" s="2201">
        <f>Q23</f>
        <v>500000</v>
      </c>
      <c r="I23" s="2793"/>
      <c r="J23" s="2067"/>
      <c r="K23" s="2067"/>
      <c r="L23" s="2199">
        <f>M23</f>
        <v>15000000</v>
      </c>
      <c r="M23" s="2075">
        <f>F23-J23</f>
        <v>15000000</v>
      </c>
      <c r="N23" s="2075"/>
      <c r="O23" s="2075">
        <f>P23+Q23</f>
        <v>500000</v>
      </c>
      <c r="P23" s="2075"/>
      <c r="Q23" s="2075">
        <f>G23-K23</f>
        <v>500000</v>
      </c>
      <c r="R23" s="2080" t="s">
        <v>3218</v>
      </c>
    </row>
    <row r="24" spans="1:18" s="2076" customFormat="1" ht="33.75" customHeight="1" x14ac:dyDescent="0.2">
      <c r="A24" s="2072"/>
      <c r="B24" s="2087" t="s">
        <v>3241</v>
      </c>
      <c r="C24" s="2073"/>
      <c r="D24" s="2072"/>
      <c r="E24" s="2067">
        <f t="shared" si="2"/>
        <v>95000000</v>
      </c>
      <c r="F24" s="2067">
        <v>92000000</v>
      </c>
      <c r="G24" s="2067">
        <v>3000000</v>
      </c>
      <c r="H24" s="2201"/>
      <c r="I24" s="2793">
        <f>J24+K24</f>
        <v>91352000</v>
      </c>
      <c r="J24" s="2082">
        <f>88352000</f>
        <v>88352000</v>
      </c>
      <c r="K24" s="2082">
        <v>3000000</v>
      </c>
      <c r="L24" s="2199">
        <f>M24</f>
        <v>3648000</v>
      </c>
      <c r="M24" s="2075">
        <f>F24-J24</f>
        <v>3648000</v>
      </c>
      <c r="N24" s="2075"/>
      <c r="O24" s="2075">
        <f>P24+Q24</f>
        <v>0</v>
      </c>
      <c r="P24" s="2083"/>
      <c r="Q24" s="2075">
        <f>G24-K24</f>
        <v>0</v>
      </c>
      <c r="R24" s="2080" t="s">
        <v>3218</v>
      </c>
    </row>
    <row r="25" spans="1:18" s="2076" customFormat="1" ht="33.75" customHeight="1" x14ac:dyDescent="0.2">
      <c r="A25" s="2072"/>
      <c r="B25" s="2087" t="s">
        <v>3242</v>
      </c>
      <c r="C25" s="2073"/>
      <c r="D25" s="2072"/>
      <c r="E25" s="2067">
        <f t="shared" si="2"/>
        <v>33000000</v>
      </c>
      <c r="F25" s="2067">
        <v>32000000</v>
      </c>
      <c r="G25" s="2067">
        <v>1000000</v>
      </c>
      <c r="H25" s="2201"/>
      <c r="I25" s="2793"/>
      <c r="J25" s="2067"/>
      <c r="K25" s="2067"/>
      <c r="L25" s="2199">
        <f>M25</f>
        <v>32000000</v>
      </c>
      <c r="M25" s="2075">
        <f>F25-J25</f>
        <v>32000000</v>
      </c>
      <c r="N25" s="2075"/>
      <c r="O25" s="2075">
        <f>P25+Q25</f>
        <v>1000000</v>
      </c>
      <c r="P25" s="2083"/>
      <c r="Q25" s="2075">
        <f>G25-K25</f>
        <v>1000000</v>
      </c>
      <c r="R25" s="2080" t="s">
        <v>3218</v>
      </c>
    </row>
    <row r="26" spans="1:18" s="2133" customFormat="1" ht="33.75" customHeight="1" x14ac:dyDescent="0.25">
      <c r="A26" s="2131">
        <v>3</v>
      </c>
      <c r="B26" s="2132" t="s">
        <v>3243</v>
      </c>
      <c r="C26" s="2092"/>
      <c r="D26" s="2131"/>
      <c r="E26" s="2093">
        <f t="shared" si="2"/>
        <v>776590000</v>
      </c>
      <c r="F26" s="2093">
        <f>F27+F28+F29</f>
        <v>753976000</v>
      </c>
      <c r="G26" s="2093">
        <f>G27+G28+G29</f>
        <v>22614000</v>
      </c>
      <c r="H26" s="2200"/>
      <c r="I26" s="2792"/>
      <c r="J26" s="2093"/>
      <c r="K26" s="2093"/>
      <c r="L26" s="2198">
        <f>M26+N26</f>
        <v>776590000</v>
      </c>
      <c r="M26" s="2094">
        <f>M27+M28+M29</f>
        <v>753976000</v>
      </c>
      <c r="N26" s="2094">
        <f>N27+N28+N29</f>
        <v>22614000</v>
      </c>
      <c r="O26" s="2094"/>
      <c r="P26" s="2088"/>
      <c r="Q26" s="2094"/>
      <c r="R26" s="2080" t="s">
        <v>3491</v>
      </c>
    </row>
    <row r="27" spans="1:18" s="2076" customFormat="1" ht="33.75" customHeight="1" x14ac:dyDescent="0.2">
      <c r="A27" s="2072"/>
      <c r="B27" s="2087" t="s">
        <v>3244</v>
      </c>
      <c r="C27" s="2073"/>
      <c r="D27" s="2072"/>
      <c r="E27" s="2067">
        <f t="shared" si="2"/>
        <v>350000000</v>
      </c>
      <c r="F27" s="2067">
        <v>339808000</v>
      </c>
      <c r="G27" s="2067">
        <v>10192000</v>
      </c>
      <c r="H27" s="2201"/>
      <c r="I27" s="2793"/>
      <c r="J27" s="2067"/>
      <c r="K27" s="2067"/>
      <c r="L27" s="2199">
        <f>M27+N27</f>
        <v>350000000</v>
      </c>
      <c r="M27" s="2075">
        <f t="shared" ref="M27:N29" si="3">F27</f>
        <v>339808000</v>
      </c>
      <c r="N27" s="2075">
        <f t="shared" si="3"/>
        <v>10192000</v>
      </c>
      <c r="O27" s="2075"/>
      <c r="P27" s="2083"/>
      <c r="Q27" s="2075"/>
      <c r="R27" s="2086" t="s">
        <v>2399</v>
      </c>
    </row>
    <row r="28" spans="1:18" s="2076" customFormat="1" ht="33.75" customHeight="1" x14ac:dyDescent="0.2">
      <c r="A28" s="2072"/>
      <c r="B28" s="2087" t="s">
        <v>3245</v>
      </c>
      <c r="C28" s="2073"/>
      <c r="D28" s="2072"/>
      <c r="E28" s="2067">
        <f t="shared" si="2"/>
        <v>216000000</v>
      </c>
      <c r="F28" s="2067">
        <v>209710000</v>
      </c>
      <c r="G28" s="2067">
        <v>6290000</v>
      </c>
      <c r="H28" s="2201"/>
      <c r="I28" s="2793"/>
      <c r="J28" s="2067"/>
      <c r="K28" s="2067"/>
      <c r="L28" s="2199">
        <f>M28+N28</f>
        <v>216000000</v>
      </c>
      <c r="M28" s="2075">
        <f t="shared" si="3"/>
        <v>209710000</v>
      </c>
      <c r="N28" s="2075">
        <f t="shared" si="3"/>
        <v>6290000</v>
      </c>
      <c r="O28" s="2075"/>
      <c r="P28" s="2083"/>
      <c r="Q28" s="2075"/>
      <c r="R28" s="2086" t="s">
        <v>2393</v>
      </c>
    </row>
    <row r="29" spans="1:18" s="2076" customFormat="1" ht="33.75" customHeight="1" x14ac:dyDescent="0.2">
      <c r="A29" s="2072"/>
      <c r="B29" s="2087" t="s">
        <v>3246</v>
      </c>
      <c r="C29" s="2073"/>
      <c r="D29" s="2072"/>
      <c r="E29" s="2067">
        <f t="shared" si="2"/>
        <v>210590000</v>
      </c>
      <c r="F29" s="2067">
        <v>204458000</v>
      </c>
      <c r="G29" s="2067">
        <v>6132000</v>
      </c>
      <c r="H29" s="2201"/>
      <c r="I29" s="2793"/>
      <c r="J29" s="2067"/>
      <c r="K29" s="2067"/>
      <c r="L29" s="2199">
        <f>M29+N29</f>
        <v>210590000</v>
      </c>
      <c r="M29" s="2075">
        <f t="shared" si="3"/>
        <v>204458000</v>
      </c>
      <c r="N29" s="2075">
        <f t="shared" si="3"/>
        <v>6132000</v>
      </c>
      <c r="O29" s="2075"/>
      <c r="P29" s="2083"/>
      <c r="Q29" s="2075"/>
      <c r="R29" s="2086" t="s">
        <v>3127</v>
      </c>
    </row>
    <row r="30" spans="1:18" s="2807" customFormat="1" ht="22.5" customHeight="1" x14ac:dyDescent="0.25">
      <c r="A30" s="2804" t="s">
        <v>866</v>
      </c>
      <c r="B30" s="2805" t="s">
        <v>3184</v>
      </c>
      <c r="C30" s="2805"/>
      <c r="D30" s="2804"/>
      <c r="E30" s="2792">
        <f t="shared" si="2"/>
        <v>71000000</v>
      </c>
      <c r="F30" s="2792">
        <f>F31+F33</f>
        <v>69000000</v>
      </c>
      <c r="G30" s="2792">
        <f>G31+G33</f>
        <v>2000000</v>
      </c>
      <c r="H30" s="2792"/>
      <c r="I30" s="2792">
        <f>J30+K30</f>
        <v>66700000</v>
      </c>
      <c r="J30" s="2792">
        <f>J31+J33</f>
        <v>64700000</v>
      </c>
      <c r="K30" s="2792">
        <f>K31+K33</f>
        <v>2000000</v>
      </c>
      <c r="L30" s="2792">
        <f>M30</f>
        <v>4300000</v>
      </c>
      <c r="M30" s="2792">
        <f>M33+M31</f>
        <v>4300000</v>
      </c>
      <c r="N30" s="2792"/>
      <c r="O30" s="2792">
        <f>O31</f>
        <v>0</v>
      </c>
      <c r="P30" s="2792">
        <f>P31</f>
        <v>0</v>
      </c>
      <c r="Q30" s="2792">
        <f>Q31+Q33</f>
        <v>0</v>
      </c>
      <c r="R30" s="2806"/>
    </row>
    <row r="31" spans="1:18" ht="44.25" customHeight="1" x14ac:dyDescent="0.2">
      <c r="A31" s="2063"/>
      <c r="B31" s="2097" t="s">
        <v>3247</v>
      </c>
      <c r="C31" s="2097"/>
      <c r="D31" s="2063"/>
      <c r="E31" s="2060">
        <f>E32</f>
        <v>33000000</v>
      </c>
      <c r="F31" s="2060">
        <f>F32</f>
        <v>32000000</v>
      </c>
      <c r="G31" s="2060">
        <f>G32</f>
        <v>1000000</v>
      </c>
      <c r="H31" s="2096"/>
      <c r="I31" s="2795">
        <f>J31+K31</f>
        <v>33000000</v>
      </c>
      <c r="J31" s="2098">
        <f>J32</f>
        <v>32000000</v>
      </c>
      <c r="K31" s="2098">
        <v>1000000</v>
      </c>
      <c r="L31" s="2112">
        <f>L32</f>
        <v>0</v>
      </c>
      <c r="M31" s="2061">
        <f>M32</f>
        <v>0</v>
      </c>
      <c r="N31" s="2061"/>
      <c r="O31" s="2066"/>
      <c r="P31" s="2066"/>
      <c r="Q31" s="2066"/>
      <c r="R31" s="2099" t="s">
        <v>1797</v>
      </c>
    </row>
    <row r="32" spans="1:18" ht="54" customHeight="1" x14ac:dyDescent="0.2">
      <c r="A32" s="2063"/>
      <c r="B32" s="2102" t="s">
        <v>3248</v>
      </c>
      <c r="C32" s="2102">
        <v>1021337</v>
      </c>
      <c r="D32" s="2063"/>
      <c r="E32" s="2065">
        <f t="shared" ref="E32:E43" si="4">SUM(F32:G32)</f>
        <v>33000000</v>
      </c>
      <c r="F32" s="2065">
        <v>32000000</v>
      </c>
      <c r="G32" s="2065">
        <v>1000000</v>
      </c>
      <c r="H32" s="2201"/>
      <c r="I32" s="2794">
        <f>J32+K32</f>
        <v>33000000</v>
      </c>
      <c r="J32" s="2066">
        <v>32000000</v>
      </c>
      <c r="K32" s="2066">
        <f>K31</f>
        <v>1000000</v>
      </c>
      <c r="L32" s="2199"/>
      <c r="M32" s="2066"/>
      <c r="N32" s="2066"/>
      <c r="O32" s="2066"/>
      <c r="P32" s="2066"/>
      <c r="Q32" s="2066"/>
      <c r="R32" s="2099" t="s">
        <v>1797</v>
      </c>
    </row>
    <row r="33" spans="1:18" ht="38.25" customHeight="1" x14ac:dyDescent="0.2">
      <c r="A33" s="2063"/>
      <c r="B33" s="2097" t="s">
        <v>3249</v>
      </c>
      <c r="C33" s="2097"/>
      <c r="D33" s="2063"/>
      <c r="E33" s="2060">
        <f>F33+G33</f>
        <v>38000000</v>
      </c>
      <c r="F33" s="2060">
        <f>F34+F35</f>
        <v>37000000</v>
      </c>
      <c r="G33" s="2060">
        <f>G34+G35</f>
        <v>1000000</v>
      </c>
      <c r="H33" s="2096"/>
      <c r="I33" s="2795">
        <f>J33+K33</f>
        <v>33700000</v>
      </c>
      <c r="J33" s="2098">
        <f>J34+J35</f>
        <v>32700000</v>
      </c>
      <c r="K33" s="2098">
        <f>K34+K35</f>
        <v>1000000</v>
      </c>
      <c r="L33" s="2112">
        <f>L34</f>
        <v>4300000</v>
      </c>
      <c r="M33" s="2061">
        <f>M34</f>
        <v>4300000</v>
      </c>
      <c r="N33" s="2061"/>
      <c r="O33" s="2066"/>
      <c r="P33" s="2066"/>
      <c r="Q33" s="2066"/>
      <c r="R33" s="2099" t="s">
        <v>3218</v>
      </c>
    </row>
    <row r="34" spans="1:18" ht="45" x14ac:dyDescent="0.2">
      <c r="A34" s="2063"/>
      <c r="B34" s="2134" t="s">
        <v>3250</v>
      </c>
      <c r="C34" s="2102">
        <v>1021091</v>
      </c>
      <c r="D34" s="2063"/>
      <c r="E34" s="2065">
        <f t="shared" si="4"/>
        <v>15500000</v>
      </c>
      <c r="F34" s="2065">
        <v>15000000</v>
      </c>
      <c r="G34" s="2065">
        <v>500000</v>
      </c>
      <c r="H34" s="2201"/>
      <c r="I34" s="2796">
        <f t="shared" ref="I34:I43" si="5">J34+K34</f>
        <v>11200000</v>
      </c>
      <c r="J34" s="2103">
        <v>10700000</v>
      </c>
      <c r="K34" s="2103">
        <v>500000</v>
      </c>
      <c r="L34" s="2199">
        <f>M34</f>
        <v>4300000</v>
      </c>
      <c r="M34" s="2066">
        <f>F34-J34</f>
        <v>4300000</v>
      </c>
      <c r="N34" s="2066"/>
      <c r="O34" s="2066"/>
      <c r="P34" s="2066"/>
      <c r="Q34" s="2066"/>
      <c r="R34" s="2099" t="s">
        <v>3218</v>
      </c>
    </row>
    <row r="35" spans="1:18" ht="50.25" customHeight="1" x14ac:dyDescent="0.2">
      <c r="A35" s="2063"/>
      <c r="B35" s="2134" t="s">
        <v>3251</v>
      </c>
      <c r="C35" s="2104">
        <v>1049155</v>
      </c>
      <c r="D35" s="2063"/>
      <c r="E35" s="2065">
        <f t="shared" si="4"/>
        <v>22500000</v>
      </c>
      <c r="F35" s="2065">
        <v>22000000</v>
      </c>
      <c r="G35" s="2065">
        <v>500000</v>
      </c>
      <c r="H35" s="2201"/>
      <c r="I35" s="2796">
        <f t="shared" si="5"/>
        <v>22500000</v>
      </c>
      <c r="J35" s="2103">
        <v>22000000</v>
      </c>
      <c r="K35" s="2103">
        <v>500000</v>
      </c>
      <c r="L35" s="2199">
        <f>M35</f>
        <v>0</v>
      </c>
      <c r="M35" s="2066">
        <f>F35-J35</f>
        <v>0</v>
      </c>
      <c r="N35" s="2066"/>
      <c r="O35" s="2066"/>
      <c r="P35" s="2066"/>
      <c r="Q35" s="2066"/>
      <c r="R35" s="2099" t="s">
        <v>3218</v>
      </c>
    </row>
    <row r="36" spans="1:18" s="2807" customFormat="1" ht="36.75" customHeight="1" x14ac:dyDescent="0.25">
      <c r="A36" s="2804" t="s">
        <v>872</v>
      </c>
      <c r="B36" s="2808" t="s">
        <v>3252</v>
      </c>
      <c r="C36" s="2809">
        <v>1049155</v>
      </c>
      <c r="D36" s="2804"/>
      <c r="E36" s="2792">
        <f t="shared" si="4"/>
        <v>1303000000</v>
      </c>
      <c r="F36" s="2792">
        <f>F37+F38+F41</f>
        <v>1266000000</v>
      </c>
      <c r="G36" s="2792">
        <f>G37+G38+G41</f>
        <v>37000000</v>
      </c>
      <c r="H36" s="2792"/>
      <c r="I36" s="2798">
        <f t="shared" si="5"/>
        <v>1168597026</v>
      </c>
      <c r="J36" s="2810">
        <f>J37+J38+J41</f>
        <v>1135897026</v>
      </c>
      <c r="K36" s="2810">
        <f>K37+K38+K41</f>
        <v>32700000</v>
      </c>
      <c r="L36" s="2798">
        <f>M36</f>
        <v>130102974</v>
      </c>
      <c r="M36" s="2798">
        <f>M37+M38+M41</f>
        <v>130102974</v>
      </c>
      <c r="N36" s="2798"/>
      <c r="O36" s="2811">
        <f>Q36</f>
        <v>4300000</v>
      </c>
      <c r="P36" s="2811"/>
      <c r="Q36" s="2811">
        <f>Q37+Q38+Q41</f>
        <v>4300000</v>
      </c>
      <c r="R36" s="2806"/>
    </row>
    <row r="37" spans="1:18" s="1383" customFormat="1" ht="52.5" customHeight="1" x14ac:dyDescent="0.2">
      <c r="A37" s="2059"/>
      <c r="B37" s="2097" t="s">
        <v>3253</v>
      </c>
      <c r="C37" s="2108"/>
      <c r="D37" s="2059"/>
      <c r="E37" s="2060">
        <f>SUM(F37:G37)</f>
        <v>867000000</v>
      </c>
      <c r="F37" s="2060">
        <v>842000000</v>
      </c>
      <c r="G37" s="2060">
        <v>25000000</v>
      </c>
      <c r="H37" s="2096"/>
      <c r="I37" s="2795">
        <f t="shared" si="5"/>
        <v>845000000</v>
      </c>
      <c r="J37" s="2098">
        <v>820000000</v>
      </c>
      <c r="K37" s="2098">
        <v>25000000</v>
      </c>
      <c r="L37" s="2205">
        <f>M37</f>
        <v>22000000</v>
      </c>
      <c r="M37" s="2098">
        <f>F37-J37</f>
        <v>22000000</v>
      </c>
      <c r="N37" s="2098"/>
      <c r="O37" s="2061"/>
      <c r="P37" s="2061"/>
      <c r="Q37" s="2061"/>
      <c r="R37" s="2062" t="s">
        <v>3123</v>
      </c>
    </row>
    <row r="38" spans="1:18" ht="57" customHeight="1" x14ac:dyDescent="0.2">
      <c r="A38" s="2063"/>
      <c r="B38" s="2097" t="s">
        <v>3254</v>
      </c>
      <c r="C38" s="2097"/>
      <c r="D38" s="2063"/>
      <c r="E38" s="2060">
        <f>F38+G38</f>
        <v>285000000</v>
      </c>
      <c r="F38" s="2060">
        <f>F39+F40</f>
        <v>277000000</v>
      </c>
      <c r="G38" s="2060">
        <f>G39+G40</f>
        <v>8000000</v>
      </c>
      <c r="H38" s="2096">
        <f>Q38</f>
        <v>4300000</v>
      </c>
      <c r="I38" s="2795">
        <f t="shared" si="5"/>
        <v>215366073</v>
      </c>
      <c r="J38" s="2109">
        <f>J39+J40</f>
        <v>211666073</v>
      </c>
      <c r="K38" s="2109">
        <f>K39+K40</f>
        <v>3700000</v>
      </c>
      <c r="L38" s="2112">
        <f>L39+L40</f>
        <v>65333927</v>
      </c>
      <c r="M38" s="2061">
        <f>M39+M40</f>
        <v>65333927</v>
      </c>
      <c r="N38" s="2061"/>
      <c r="O38" s="2061">
        <f>O39+O40</f>
        <v>4300000</v>
      </c>
      <c r="P38" s="2061">
        <f>P39+P40</f>
        <v>0</v>
      </c>
      <c r="Q38" s="2061">
        <f>Q39+Q40</f>
        <v>4300000</v>
      </c>
      <c r="R38" s="2099" t="s">
        <v>3218</v>
      </c>
    </row>
    <row r="39" spans="1:18" ht="36.75" customHeight="1" x14ac:dyDescent="0.2">
      <c r="A39" s="2063"/>
      <c r="B39" s="2064" t="s">
        <v>3255</v>
      </c>
      <c r="C39" s="2110">
        <v>1129940</v>
      </c>
      <c r="D39" s="2063"/>
      <c r="E39" s="2065">
        <f t="shared" si="4"/>
        <v>130700000</v>
      </c>
      <c r="F39" s="2065">
        <v>127000000</v>
      </c>
      <c r="G39" s="2065">
        <v>3700000</v>
      </c>
      <c r="H39" s="2201"/>
      <c r="I39" s="2794">
        <f t="shared" si="5"/>
        <v>124266073</v>
      </c>
      <c r="J39" s="2111">
        <f>120566073</f>
        <v>120566073</v>
      </c>
      <c r="K39" s="2111">
        <v>3700000</v>
      </c>
      <c r="L39" s="2199">
        <f>F39-J39</f>
        <v>6433927</v>
      </c>
      <c r="M39" s="2066">
        <f>F39-J39</f>
        <v>6433927</v>
      </c>
      <c r="N39" s="2066"/>
      <c r="O39" s="2066"/>
      <c r="P39" s="2066"/>
      <c r="Q39" s="2066"/>
      <c r="R39" s="2099" t="s">
        <v>3218</v>
      </c>
    </row>
    <row r="40" spans="1:18" ht="41.25" customHeight="1" x14ac:dyDescent="0.2">
      <c r="A40" s="2063"/>
      <c r="B40" s="2064" t="s">
        <v>3256</v>
      </c>
      <c r="C40" s="2110">
        <v>1129940</v>
      </c>
      <c r="D40" s="2063"/>
      <c r="E40" s="2065">
        <f t="shared" si="4"/>
        <v>154300000</v>
      </c>
      <c r="F40" s="2065">
        <v>150000000</v>
      </c>
      <c r="G40" s="2065">
        <v>4300000</v>
      </c>
      <c r="H40" s="2201">
        <f>Q40</f>
        <v>4300000</v>
      </c>
      <c r="I40" s="2794">
        <f t="shared" si="5"/>
        <v>91100000</v>
      </c>
      <c r="J40" s="2111">
        <f>91100000</f>
        <v>91100000</v>
      </c>
      <c r="K40" s="2111">
        <v>0</v>
      </c>
      <c r="L40" s="2199">
        <f>F40-J40</f>
        <v>58900000</v>
      </c>
      <c r="M40" s="2066">
        <f>F40-J40</f>
        <v>58900000</v>
      </c>
      <c r="N40" s="2066"/>
      <c r="O40" s="2066">
        <f>P40+Q40</f>
        <v>4300000</v>
      </c>
      <c r="P40" s="2066"/>
      <c r="Q40" s="2066">
        <f>G40-K40</f>
        <v>4300000</v>
      </c>
      <c r="R40" s="2099" t="s">
        <v>3218</v>
      </c>
    </row>
    <row r="41" spans="1:18" ht="40.5" customHeight="1" x14ac:dyDescent="0.2">
      <c r="A41" s="2063"/>
      <c r="B41" s="2097" t="s">
        <v>3257</v>
      </c>
      <c r="C41" s="2113">
        <v>1129940</v>
      </c>
      <c r="D41" s="2063"/>
      <c r="E41" s="2060">
        <f>SUM(F41:G41)</f>
        <v>151000000</v>
      </c>
      <c r="F41" s="2060">
        <f>F42+F43</f>
        <v>147000000</v>
      </c>
      <c r="G41" s="2060">
        <f>G42+G43</f>
        <v>4000000</v>
      </c>
      <c r="H41" s="2096"/>
      <c r="I41" s="2799">
        <f t="shared" si="5"/>
        <v>108230953</v>
      </c>
      <c r="J41" s="2114">
        <f>J42+J43</f>
        <v>104230953</v>
      </c>
      <c r="K41" s="2114">
        <f>K42+K43</f>
        <v>4000000</v>
      </c>
      <c r="L41" s="2112">
        <f>L42+L43</f>
        <v>42769047</v>
      </c>
      <c r="M41" s="2061">
        <f>M42+M43</f>
        <v>42769047</v>
      </c>
      <c r="N41" s="2061"/>
      <c r="O41" s="2066"/>
      <c r="P41" s="2066"/>
      <c r="Q41" s="2066"/>
      <c r="R41" s="2099" t="s">
        <v>3218</v>
      </c>
    </row>
    <row r="42" spans="1:18" ht="32.25" customHeight="1" x14ac:dyDescent="0.2">
      <c r="A42" s="2063"/>
      <c r="B42" s="2134" t="s">
        <v>3258</v>
      </c>
      <c r="C42" s="2113">
        <v>1129940</v>
      </c>
      <c r="D42" s="2063"/>
      <c r="E42" s="2065">
        <f t="shared" si="4"/>
        <v>49000000</v>
      </c>
      <c r="F42" s="2065">
        <v>47000000</v>
      </c>
      <c r="G42" s="2065">
        <v>2000000</v>
      </c>
      <c r="H42" s="2201"/>
      <c r="I42" s="2794">
        <f t="shared" si="5"/>
        <v>43341715</v>
      </c>
      <c r="J42" s="2103">
        <f>41341715</f>
        <v>41341715</v>
      </c>
      <c r="K42" s="2103">
        <v>2000000</v>
      </c>
      <c r="L42" s="2199">
        <f>F42-J42</f>
        <v>5658285</v>
      </c>
      <c r="M42" s="2066">
        <f>F42-J42</f>
        <v>5658285</v>
      </c>
      <c r="N42" s="2066"/>
      <c r="O42" s="2066"/>
      <c r="P42" s="2066"/>
      <c r="Q42" s="2066"/>
      <c r="R42" s="2099" t="s">
        <v>3218</v>
      </c>
    </row>
    <row r="43" spans="1:18" ht="32.25" customHeight="1" x14ac:dyDescent="0.2">
      <c r="A43" s="2063"/>
      <c r="B43" s="2135" t="s">
        <v>3259</v>
      </c>
      <c r="C43" s="2113">
        <v>1129940</v>
      </c>
      <c r="D43" s="2063"/>
      <c r="E43" s="2065">
        <f t="shared" si="4"/>
        <v>102000000</v>
      </c>
      <c r="F43" s="2065">
        <v>100000000</v>
      </c>
      <c r="G43" s="2065">
        <v>2000000</v>
      </c>
      <c r="H43" s="2201"/>
      <c r="I43" s="2794">
        <f t="shared" si="5"/>
        <v>64889238</v>
      </c>
      <c r="J43" s="2103">
        <f>62889238</f>
        <v>62889238</v>
      </c>
      <c r="K43" s="2103">
        <v>2000000</v>
      </c>
      <c r="L43" s="2199">
        <f>F43-J43</f>
        <v>37110762</v>
      </c>
      <c r="M43" s="2066">
        <f>F43-J43</f>
        <v>37110762</v>
      </c>
      <c r="N43" s="2066"/>
      <c r="O43" s="2066"/>
      <c r="P43" s="2066"/>
      <c r="Q43" s="2066"/>
      <c r="R43" s="2099" t="s">
        <v>3218</v>
      </c>
    </row>
    <row r="46" spans="1:18" x14ac:dyDescent="0.2">
      <c r="E46" s="2274"/>
      <c r="F46" s="2119" t="s">
        <v>3487</v>
      </c>
      <c r="G46" s="2119" t="s">
        <v>3488</v>
      </c>
      <c r="H46" s="2380" t="s">
        <v>1725</v>
      </c>
      <c r="J46" s="2120" t="s">
        <v>3487</v>
      </c>
      <c r="K46" s="2120" t="s">
        <v>3488</v>
      </c>
      <c r="L46" s="2213"/>
      <c r="M46" s="1362" t="s">
        <v>3487</v>
      </c>
      <c r="N46" s="1362" t="s">
        <v>3488</v>
      </c>
    </row>
    <row r="47" spans="1:18" ht="32.25" customHeight="1" x14ac:dyDescent="0.2">
      <c r="A47" s="2063"/>
      <c r="B47" s="2134" t="s">
        <v>2726</v>
      </c>
      <c r="C47" s="2113"/>
      <c r="D47" s="2063"/>
      <c r="E47" s="2065">
        <f>E5-E49</f>
        <v>2371590000</v>
      </c>
      <c r="F47" s="2065">
        <f>F5-F49</f>
        <v>2303041527</v>
      </c>
      <c r="G47" s="2065">
        <f>G5-G49</f>
        <v>68614000</v>
      </c>
      <c r="H47" s="2065">
        <f t="shared" ref="H47:Q47" si="6">H5-H49</f>
        <v>8300000</v>
      </c>
      <c r="I47" s="2793">
        <f t="shared" si="6"/>
        <v>1326649026</v>
      </c>
      <c r="J47" s="2065">
        <f t="shared" si="6"/>
        <v>1288949026</v>
      </c>
      <c r="K47" s="2065">
        <f t="shared" si="6"/>
        <v>37700000</v>
      </c>
      <c r="L47" s="2065">
        <f t="shared" si="6"/>
        <v>1036640974</v>
      </c>
      <c r="M47" s="2065">
        <f>M5-M49</f>
        <v>1014026974</v>
      </c>
      <c r="N47" s="2065">
        <f>N5-N49</f>
        <v>22614000</v>
      </c>
      <c r="O47" s="2065">
        <f t="shared" si="6"/>
        <v>8300000</v>
      </c>
      <c r="P47" s="2065">
        <f t="shared" si="6"/>
        <v>0</v>
      </c>
      <c r="Q47" s="2065">
        <f t="shared" si="6"/>
        <v>8300000</v>
      </c>
      <c r="R47" s="2099"/>
    </row>
    <row r="48" spans="1:18" ht="32.25" customHeight="1" x14ac:dyDescent="0.2">
      <c r="A48" s="2063"/>
      <c r="B48" s="2134" t="s">
        <v>1712</v>
      </c>
      <c r="C48" s="2113"/>
      <c r="D48" s="2063"/>
      <c r="E48" s="2065"/>
      <c r="F48" s="2065"/>
      <c r="G48" s="2065"/>
      <c r="H48" s="2201"/>
      <c r="I48" s="2794"/>
      <c r="J48" s="2103"/>
      <c r="K48" s="2103"/>
      <c r="L48" s="2199"/>
      <c r="M48" s="2066"/>
      <c r="N48" s="2066"/>
      <c r="O48" s="2066"/>
      <c r="P48" s="2066"/>
      <c r="Q48" s="2066"/>
      <c r="R48" s="2099"/>
    </row>
    <row r="49" spans="1:18" ht="32.25" customHeight="1" x14ac:dyDescent="0.2">
      <c r="A49" s="2063">
        <v>1</v>
      </c>
      <c r="B49" s="2134" t="s">
        <v>3235</v>
      </c>
      <c r="C49" s="2113"/>
      <c r="D49" s="2063"/>
      <c r="E49" s="2065">
        <v>1404000000</v>
      </c>
      <c r="F49" s="2065">
        <f>1363000000-F19</f>
        <v>1362934473</v>
      </c>
      <c r="G49" s="2065">
        <v>41000000</v>
      </c>
      <c r="H49" s="2201"/>
      <c r="I49" s="2794">
        <v>1402722617</v>
      </c>
      <c r="J49" s="2103">
        <v>1361722617</v>
      </c>
      <c r="K49" s="2103">
        <v>41000000</v>
      </c>
      <c r="L49" s="2199">
        <v>1277383</v>
      </c>
      <c r="M49" s="2066">
        <v>1277383</v>
      </c>
      <c r="N49" s="2066"/>
      <c r="O49" s="2066"/>
      <c r="P49" s="2066"/>
      <c r="Q49" s="2066"/>
      <c r="R49" s="2099"/>
    </row>
    <row r="50" spans="1:18" ht="32.25" customHeight="1" x14ac:dyDescent="0.2">
      <c r="A50" s="2063"/>
      <c r="B50" s="2134"/>
      <c r="C50" s="2113"/>
      <c r="D50" s="2063"/>
      <c r="E50" s="2065"/>
      <c r="F50" s="2749">
        <f>2116.910473-753.976</f>
        <v>1362.9344729999998</v>
      </c>
      <c r="G50" s="2065"/>
      <c r="H50" s="2201"/>
      <c r="I50" s="2794"/>
      <c r="J50" s="2103"/>
      <c r="K50" s="2103"/>
      <c r="L50" s="2199"/>
      <c r="M50" s="2066"/>
      <c r="N50" s="2066"/>
      <c r="O50" s="2066"/>
      <c r="P50" s="2066"/>
      <c r="Q50" s="2066"/>
      <c r="R50" s="2099"/>
    </row>
    <row r="51" spans="1:18" ht="32.25" customHeight="1" x14ac:dyDescent="0.2">
      <c r="A51" s="2063"/>
      <c r="B51" s="2134"/>
      <c r="C51" s="2113"/>
      <c r="D51" s="2063"/>
      <c r="E51" s="2065"/>
      <c r="F51" s="2065">
        <f>F49-F50</f>
        <v>1362933110.065527</v>
      </c>
      <c r="G51" s="2065"/>
      <c r="H51" s="2201"/>
      <c r="I51" s="2794"/>
      <c r="J51" s="2103"/>
      <c r="K51" s="2103"/>
      <c r="L51" s="2199"/>
      <c r="M51" s="2066"/>
      <c r="N51" s="2066"/>
      <c r="O51" s="2066"/>
      <c r="P51" s="2066"/>
      <c r="Q51" s="2066"/>
      <c r="R51" s="2099"/>
    </row>
    <row r="52" spans="1:18" ht="32.25" customHeight="1" x14ac:dyDescent="0.2">
      <c r="A52" s="2063"/>
      <c r="B52" s="2134"/>
      <c r="C52" s="2113"/>
      <c r="D52" s="2063"/>
      <c r="E52" s="2065"/>
      <c r="F52" s="2065"/>
      <c r="G52" s="2065"/>
      <c r="H52" s="2201"/>
      <c r="I52" s="2794"/>
      <c r="J52" s="2103"/>
      <c r="K52" s="2103"/>
      <c r="L52" s="2199"/>
      <c r="M52" s="2066"/>
      <c r="N52" s="2066"/>
      <c r="O52" s="2066"/>
      <c r="P52" s="2066"/>
      <c r="Q52" s="2066"/>
      <c r="R52" s="2099"/>
    </row>
    <row r="53" spans="1:18" ht="32.25" customHeight="1" x14ac:dyDescent="0.2">
      <c r="A53" s="2063"/>
      <c r="B53" s="2134"/>
      <c r="C53" s="2113"/>
      <c r="D53" s="2063"/>
      <c r="E53" s="2065"/>
      <c r="F53" s="2065"/>
      <c r="G53" s="2065"/>
      <c r="H53" s="2201"/>
      <c r="I53" s="2794"/>
      <c r="J53" s="2103"/>
      <c r="K53" s="2103"/>
      <c r="L53" s="2199"/>
      <c r="M53" s="2066"/>
      <c r="N53" s="2066"/>
      <c r="O53" s="2066"/>
      <c r="P53" s="2066"/>
      <c r="Q53" s="2066"/>
      <c r="R53" s="2099"/>
    </row>
    <row r="54" spans="1:18" ht="32.25" customHeight="1" x14ac:dyDescent="0.2">
      <c r="A54" s="2063"/>
      <c r="B54" s="2134"/>
      <c r="C54" s="2113"/>
      <c r="D54" s="2063"/>
      <c r="E54" s="2065"/>
      <c r="F54" s="2065"/>
      <c r="G54" s="2065"/>
      <c r="H54" s="2201"/>
      <c r="I54" s="2794"/>
      <c r="J54" s="2103"/>
      <c r="K54" s="2103"/>
      <c r="L54" s="2199"/>
      <c r="M54" s="2066"/>
      <c r="N54" s="2066"/>
      <c r="O54" s="2066"/>
      <c r="P54" s="2066"/>
      <c r="Q54" s="2066"/>
      <c r="R54" s="2099"/>
    </row>
    <row r="55" spans="1:18" ht="32.25" customHeight="1" x14ac:dyDescent="0.2">
      <c r="A55" s="2063"/>
      <c r="B55" s="2134"/>
      <c r="C55" s="2113"/>
      <c r="D55" s="2063"/>
      <c r="E55" s="2065"/>
      <c r="F55" s="2065"/>
      <c r="G55" s="2065"/>
      <c r="H55" s="2201"/>
      <c r="I55" s="2794"/>
      <c r="J55" s="2103"/>
      <c r="K55" s="2103"/>
      <c r="L55" s="2199"/>
      <c r="M55" s="2066"/>
      <c r="N55" s="2066"/>
      <c r="O55" s="2066"/>
      <c r="P55" s="2066"/>
      <c r="Q55" s="2066"/>
      <c r="R55" s="2099"/>
    </row>
    <row r="56" spans="1:18" ht="32.25" customHeight="1" x14ac:dyDescent="0.2">
      <c r="A56" s="2063"/>
      <c r="B56" s="2134"/>
      <c r="C56" s="2113"/>
      <c r="D56" s="2063"/>
      <c r="E56" s="2065"/>
      <c r="F56" s="2065"/>
      <c r="G56" s="2065"/>
      <c r="H56" s="2201"/>
      <c r="I56" s="2794"/>
      <c r="J56" s="2103"/>
      <c r="K56" s="2103"/>
      <c r="L56" s="2199"/>
      <c r="M56" s="2066"/>
      <c r="N56" s="2066"/>
      <c r="O56" s="2066"/>
      <c r="P56" s="2066"/>
      <c r="Q56" s="2066"/>
      <c r="R56" s="2099"/>
    </row>
    <row r="57" spans="1:18" ht="32.25" customHeight="1" x14ac:dyDescent="0.2">
      <c r="A57" s="2063"/>
      <c r="B57" s="2134"/>
      <c r="C57" s="2113"/>
      <c r="D57" s="2063"/>
      <c r="E57" s="2065"/>
      <c r="F57" s="2065"/>
      <c r="G57" s="2065"/>
      <c r="H57" s="2201"/>
      <c r="I57" s="2794"/>
      <c r="J57" s="2103"/>
      <c r="K57" s="2103"/>
      <c r="L57" s="2199"/>
      <c r="M57" s="2066"/>
      <c r="N57" s="2066"/>
      <c r="O57" s="2066"/>
      <c r="P57" s="2066"/>
      <c r="Q57" s="2066"/>
      <c r="R57" s="2099"/>
    </row>
    <row r="58" spans="1:18" ht="32.25" customHeight="1" x14ac:dyDescent="0.2">
      <c r="A58" s="2063"/>
      <c r="B58" s="2134"/>
      <c r="C58" s="2113"/>
      <c r="D58" s="2063"/>
      <c r="E58" s="2065"/>
      <c r="F58" s="2065"/>
      <c r="G58" s="2065"/>
      <c r="H58" s="2201"/>
      <c r="I58" s="2794"/>
      <c r="J58" s="2103"/>
      <c r="K58" s="2103"/>
      <c r="L58" s="2199"/>
      <c r="M58" s="2066"/>
      <c r="N58" s="2066"/>
      <c r="O58" s="2066"/>
      <c r="P58" s="2066"/>
      <c r="Q58" s="2066"/>
      <c r="R58" s="2099"/>
    </row>
    <row r="70" spans="2:12" s="1365" customFormat="1" x14ac:dyDescent="0.2">
      <c r="B70" s="1365">
        <f>14621-14376</f>
        <v>245</v>
      </c>
      <c r="H70" s="2202"/>
      <c r="I70" s="2797"/>
      <c r="L70" s="2202"/>
    </row>
  </sheetData>
  <mergeCells count="10">
    <mergeCell ref="A1:R1"/>
    <mergeCell ref="I3:K3"/>
    <mergeCell ref="L3:N3"/>
    <mergeCell ref="O3:Q3"/>
    <mergeCell ref="R3:R4"/>
    <mergeCell ref="A3:A4"/>
    <mergeCell ref="B3:B4"/>
    <mergeCell ref="C3:C4"/>
    <mergeCell ref="D3:D4"/>
    <mergeCell ref="E3:G3"/>
  </mergeCell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O27"/>
  <sheetViews>
    <sheetView workbookViewId="0">
      <selection activeCell="H7" sqref="H7"/>
    </sheetView>
  </sheetViews>
  <sheetFormatPr defaultColWidth="9.42578125" defaultRowHeight="12.75" x14ac:dyDescent="0.2"/>
  <cols>
    <col min="1" max="1" width="5.5703125" style="1101" customWidth="1"/>
    <col min="2" max="2" width="52.42578125" style="1101" customWidth="1"/>
    <col min="3" max="3" width="23.5703125" style="1101" customWidth="1"/>
    <col min="4" max="4" width="21.140625" style="1101" customWidth="1"/>
    <col min="5" max="6" width="8.85546875" style="1101" hidden="1" customWidth="1"/>
    <col min="7" max="7" width="36.85546875" style="1101" customWidth="1"/>
    <col min="8" max="8" width="11.42578125" style="1101" customWidth="1"/>
    <col min="9" max="9" width="9.140625" style="1101" customWidth="1"/>
    <col min="10" max="10" width="11" style="1101" customWidth="1"/>
    <col min="11" max="11" width="13.42578125" style="1101" customWidth="1"/>
    <col min="12" max="16384" width="9.42578125" style="1101"/>
  </cols>
  <sheetData>
    <row r="1" spans="1:15" ht="15.75" x14ac:dyDescent="0.2">
      <c r="E1" s="179"/>
      <c r="G1" s="301"/>
    </row>
    <row r="2" spans="1:15" ht="25.15" customHeight="1" x14ac:dyDescent="0.2">
      <c r="A2" s="4052" t="s">
        <v>3262</v>
      </c>
      <c r="B2" s="4052"/>
      <c r="C2" s="4052"/>
      <c r="D2" s="4052"/>
      <c r="E2" s="4052"/>
      <c r="F2" s="4052"/>
      <c r="G2" s="4052"/>
    </row>
    <row r="3" spans="1:15" ht="15.75" x14ac:dyDescent="0.2">
      <c r="D3" s="1103"/>
      <c r="E3" s="1103"/>
      <c r="G3" s="1103" t="s">
        <v>1461</v>
      </c>
    </row>
    <row r="4" spans="1:15" s="1106" customFormat="1" ht="31.15" customHeight="1" x14ac:dyDescent="0.25">
      <c r="A4" s="2136" t="s">
        <v>844</v>
      </c>
      <c r="B4" s="2136" t="s">
        <v>845</v>
      </c>
      <c r="C4" s="2136" t="s">
        <v>3263</v>
      </c>
      <c r="D4" s="2137" t="s">
        <v>2413</v>
      </c>
      <c r="E4" s="2137" t="s">
        <v>2414</v>
      </c>
      <c r="F4" s="2137" t="s">
        <v>1267</v>
      </c>
      <c r="G4" s="2137" t="s">
        <v>915</v>
      </c>
      <c r="H4" s="1126"/>
      <c r="I4" s="1126"/>
      <c r="J4" s="1126"/>
      <c r="K4" s="1126"/>
      <c r="L4" s="1126"/>
      <c r="M4" s="1126"/>
      <c r="N4" s="1126"/>
      <c r="O4" s="1126"/>
    </row>
    <row r="5" spans="1:15" s="2170" customFormat="1" ht="15" x14ac:dyDescent="0.25">
      <c r="A5" s="2165">
        <v>1</v>
      </c>
      <c r="B5" s="2166" t="s">
        <v>3264</v>
      </c>
      <c r="C5" s="2167"/>
      <c r="D5" s="2168">
        <f>SUM(D7:D8)</f>
        <v>473901129</v>
      </c>
      <c r="E5" s="2169">
        <f>SUM(E6:E7)</f>
        <v>473901129</v>
      </c>
      <c r="F5" s="2169">
        <f>SUM(F6:F6)</f>
        <v>0</v>
      </c>
      <c r="G5" s="2169"/>
    </row>
    <row r="6" spans="1:15" s="1106" customFormat="1" ht="18.75" customHeight="1" x14ac:dyDescent="0.25">
      <c r="A6" s="4784"/>
      <c r="B6" s="2139" t="s">
        <v>2415</v>
      </c>
      <c r="C6" s="2151"/>
      <c r="D6" s="2140"/>
      <c r="E6" s="2141">
        <f>D6</f>
        <v>0</v>
      </c>
      <c r="F6" s="2141"/>
      <c r="G6" s="2141"/>
      <c r="H6" s="1155"/>
      <c r="I6" s="1126"/>
      <c r="J6" s="1126"/>
      <c r="K6" s="1126"/>
      <c r="L6" s="1126"/>
      <c r="M6" s="1126"/>
      <c r="N6" s="1126"/>
      <c r="O6" s="1126"/>
    </row>
    <row r="7" spans="1:15" s="1106" customFormat="1" ht="47.25" customHeight="1" x14ac:dyDescent="0.25">
      <c r="A7" s="4784"/>
      <c r="B7" s="2139" t="s">
        <v>3268</v>
      </c>
      <c r="C7" s="2151" t="s">
        <v>3266</v>
      </c>
      <c r="D7" s="2143">
        <v>473901129</v>
      </c>
      <c r="E7" s="2141">
        <f>D7</f>
        <v>473901129</v>
      </c>
      <c r="F7" s="2141"/>
      <c r="G7" s="2141"/>
    </row>
    <row r="8" spans="1:15" s="1106" customFormat="1" ht="15" x14ac:dyDescent="0.25">
      <c r="A8" s="2144"/>
      <c r="B8" s="2139" t="s">
        <v>2418</v>
      </c>
      <c r="C8" s="2145"/>
      <c r="D8" s="2143"/>
      <c r="E8" s="2141"/>
      <c r="F8" s="2141"/>
      <c r="G8" s="2141"/>
    </row>
    <row r="9" spans="1:15" s="1106" customFormat="1" ht="15" hidden="1" x14ac:dyDescent="0.25">
      <c r="A9" s="1122">
        <v>2</v>
      </c>
      <c r="B9" s="2146" t="s">
        <v>3260</v>
      </c>
      <c r="C9" s="2147"/>
      <c r="D9" s="2148">
        <f>SUM(D10:D10)</f>
        <v>0</v>
      </c>
      <c r="E9" s="2148">
        <f>SUM(E10:E10)</f>
        <v>0</v>
      </c>
      <c r="F9" s="2148">
        <f>SUM(F10:F10)</f>
        <v>0</v>
      </c>
      <c r="G9" s="2148"/>
    </row>
    <row r="10" spans="1:15" s="1106" customFormat="1" ht="18.75" hidden="1" customHeight="1" x14ac:dyDescent="0.25">
      <c r="A10" s="1147"/>
      <c r="B10" s="2139" t="s">
        <v>2420</v>
      </c>
      <c r="C10" s="2149" t="s">
        <v>3261</v>
      </c>
      <c r="D10" s="2141"/>
      <c r="E10" s="2141">
        <f>D10</f>
        <v>0</v>
      </c>
      <c r="F10" s="2141">
        <f>E10-D10</f>
        <v>0</v>
      </c>
      <c r="G10" s="2150"/>
      <c r="H10" s="1126"/>
      <c r="I10" s="1126"/>
      <c r="J10" s="1126"/>
      <c r="K10" s="1126"/>
      <c r="L10" s="1126"/>
      <c r="M10" s="1126"/>
      <c r="N10" s="1126"/>
      <c r="O10" s="1126"/>
    </row>
    <row r="11" spans="1:15" s="1106" customFormat="1" ht="15" hidden="1" x14ac:dyDescent="0.25">
      <c r="A11" s="1122">
        <v>3</v>
      </c>
      <c r="B11" s="2146" t="s">
        <v>2425</v>
      </c>
      <c r="C11" s="2147"/>
      <c r="D11" s="2148">
        <f>SUM(D12:D16)</f>
        <v>0</v>
      </c>
      <c r="E11" s="2148">
        <f>SUM(E12:E16)</f>
        <v>0</v>
      </c>
      <c r="F11" s="2148">
        <f ca="1">SUM(F11:F16)</f>
        <v>0</v>
      </c>
      <c r="G11" s="2148"/>
    </row>
    <row r="12" spans="1:15" s="1106" customFormat="1" ht="30" hidden="1" x14ac:dyDescent="0.25">
      <c r="A12" s="2144" t="s">
        <v>174</v>
      </c>
      <c r="B12" s="2139"/>
      <c r="C12" s="2151" t="s">
        <v>3261</v>
      </c>
      <c r="D12" s="2141"/>
      <c r="E12" s="2141">
        <f>D12</f>
        <v>0</v>
      </c>
      <c r="F12" s="2141"/>
      <c r="G12" s="2141"/>
    </row>
    <row r="13" spans="1:15" s="1106" customFormat="1" ht="30" hidden="1" x14ac:dyDescent="0.25">
      <c r="A13" s="2144" t="s">
        <v>796</v>
      </c>
      <c r="B13" s="2139"/>
      <c r="C13" s="2151" t="s">
        <v>2426</v>
      </c>
      <c r="D13" s="2141"/>
      <c r="E13" s="2141">
        <f>D13</f>
        <v>0</v>
      </c>
      <c r="F13" s="2141"/>
      <c r="G13" s="2141"/>
    </row>
    <row r="14" spans="1:15" s="1106" customFormat="1" ht="30" hidden="1" x14ac:dyDescent="0.25">
      <c r="A14" s="2144" t="s">
        <v>1493</v>
      </c>
      <c r="B14" s="2139"/>
      <c r="C14" s="2151" t="s">
        <v>2426</v>
      </c>
      <c r="D14" s="2141"/>
      <c r="E14" s="2141">
        <f>D14</f>
        <v>0</v>
      </c>
      <c r="F14" s="2141"/>
      <c r="G14" s="2141"/>
    </row>
    <row r="15" spans="1:15" s="1106" customFormat="1" ht="30" hidden="1" x14ac:dyDescent="0.25">
      <c r="A15" s="2144" t="s">
        <v>1492</v>
      </c>
      <c r="B15" s="2139"/>
      <c r="C15" s="2151" t="s">
        <v>2426</v>
      </c>
      <c r="D15" s="2141"/>
      <c r="E15" s="2141">
        <f>D15</f>
        <v>0</v>
      </c>
      <c r="F15" s="2141"/>
      <c r="G15" s="2141"/>
      <c r="H15" s="1126"/>
      <c r="I15" s="1126"/>
      <c r="J15" s="1155"/>
      <c r="K15" s="1126"/>
      <c r="L15" s="1126"/>
      <c r="M15" s="1126"/>
      <c r="N15" s="1126"/>
      <c r="O15" s="1126"/>
    </row>
    <row r="16" spans="1:15" s="1106" customFormat="1" ht="30" hidden="1" x14ac:dyDescent="0.25">
      <c r="A16" s="2144" t="s">
        <v>1494</v>
      </c>
      <c r="B16" s="2139"/>
      <c r="C16" s="2151" t="s">
        <v>2426</v>
      </c>
      <c r="D16" s="2141"/>
      <c r="E16" s="2141">
        <f>D16</f>
        <v>0</v>
      </c>
      <c r="F16" s="2141"/>
      <c r="G16" s="2141"/>
      <c r="H16" s="1126"/>
      <c r="I16" s="1126"/>
      <c r="J16" s="1126"/>
      <c r="K16" s="1126"/>
      <c r="L16" s="1126"/>
      <c r="M16" s="1126"/>
      <c r="N16" s="1126"/>
      <c r="O16" s="1126"/>
    </row>
    <row r="17" spans="1:10" s="1106" customFormat="1" ht="22.5" customHeight="1" x14ac:dyDescent="0.25">
      <c r="A17" s="1122">
        <v>2</v>
      </c>
      <c r="B17" s="1123" t="s">
        <v>3270</v>
      </c>
      <c r="C17" s="1123"/>
      <c r="D17" s="2148">
        <f>D18</f>
        <v>200000000</v>
      </c>
      <c r="E17" s="2148">
        <f>SUM(E18:E19)</f>
        <v>200000000</v>
      </c>
      <c r="F17" s="2148">
        <f>SUM(F18:F19)</f>
        <v>0</v>
      </c>
      <c r="G17" s="2148"/>
      <c r="H17" s="1125"/>
    </row>
    <row r="18" spans="1:10" s="1106" customFormat="1" ht="15" x14ac:dyDescent="0.25">
      <c r="A18" s="2144"/>
      <c r="B18" s="2139" t="s">
        <v>3269</v>
      </c>
      <c r="C18" s="2151"/>
      <c r="D18" s="2152">
        <v>200000000</v>
      </c>
      <c r="E18" s="2152">
        <f>D18</f>
        <v>200000000</v>
      </c>
      <c r="F18" s="2152">
        <f>E18-D18</f>
        <v>0</v>
      </c>
      <c r="G18" s="2152"/>
    </row>
    <row r="19" spans="1:10" s="1126" customFormat="1" ht="15" x14ac:dyDescent="0.2">
      <c r="A19" s="2153"/>
      <c r="B19" s="2139"/>
      <c r="C19" s="2151"/>
      <c r="D19" s="2154"/>
      <c r="E19" s="2152"/>
      <c r="F19" s="2152"/>
      <c r="G19" s="2155"/>
    </row>
    <row r="20" spans="1:10" s="2175" customFormat="1" ht="15" x14ac:dyDescent="0.25">
      <c r="A20" s="2171">
        <v>3</v>
      </c>
      <c r="B20" s="2172" t="s">
        <v>3271</v>
      </c>
      <c r="C20" s="2172"/>
      <c r="D20" s="2173">
        <f>D21</f>
        <v>330235718.39999998</v>
      </c>
      <c r="E20" s="2174">
        <f>E5+E9+E11</f>
        <v>473901129</v>
      </c>
      <c r="F20" s="2174">
        <f>E20-D20</f>
        <v>143665410.60000002</v>
      </c>
      <c r="G20" s="2174"/>
      <c r="J20" s="2176"/>
    </row>
    <row r="21" spans="1:10" s="1156" customFormat="1" ht="15" x14ac:dyDescent="0.25">
      <c r="A21" s="1122"/>
      <c r="B21" s="1123" t="s">
        <v>3265</v>
      </c>
      <c r="C21" s="1123"/>
      <c r="D21" s="2164">
        <v>330235718.39999998</v>
      </c>
      <c r="E21" s="2148"/>
      <c r="F21" s="2148"/>
      <c r="G21" s="2148"/>
      <c r="J21" s="1157"/>
    </row>
    <row r="22" spans="1:10" ht="15" customHeight="1" x14ac:dyDescent="0.2">
      <c r="A22" s="1144">
        <v>4</v>
      </c>
      <c r="B22" s="1145" t="s">
        <v>3272</v>
      </c>
      <c r="C22" s="1145"/>
      <c r="D22" s="2138">
        <f>D5-D17+D20</f>
        <v>604136847.39999998</v>
      </c>
      <c r="E22" s="2138">
        <f>E20-E17</f>
        <v>273901129</v>
      </c>
      <c r="F22" s="2138">
        <f>E22-D22</f>
        <v>-330235718.39999998</v>
      </c>
      <c r="G22" s="2156"/>
      <c r="H22" s="1154"/>
    </row>
    <row r="23" spans="1:10" ht="21" hidden="1" customHeight="1" x14ac:dyDescent="0.2">
      <c r="A23" s="2157"/>
      <c r="B23" s="2157" t="s">
        <v>2436</v>
      </c>
      <c r="D23" s="2141"/>
      <c r="E23" s="2141">
        <f>D23</f>
        <v>0</v>
      </c>
      <c r="F23" s="2141"/>
      <c r="G23" s="2158"/>
      <c r="H23" s="1154"/>
    </row>
    <row r="24" spans="1:10" ht="30" x14ac:dyDescent="0.2">
      <c r="A24" s="2157"/>
      <c r="B24" s="2157" t="s">
        <v>3267</v>
      </c>
      <c r="C24" s="2151" t="s">
        <v>3266</v>
      </c>
      <c r="D24" s="2141">
        <f>D22</f>
        <v>604136847.39999998</v>
      </c>
      <c r="E24" s="2141">
        <f>D24</f>
        <v>604136847.39999998</v>
      </c>
      <c r="F24" s="2141"/>
      <c r="G24" s="2158"/>
    </row>
    <row r="25" spans="1:10" ht="15" x14ac:dyDescent="0.2">
      <c r="A25" s="1151"/>
      <c r="B25" s="2157" t="s">
        <v>3273</v>
      </c>
      <c r="C25" s="2145"/>
      <c r="D25" s="2141"/>
      <c r="E25" s="2141">
        <f>E22-E23-E24-E27-E26</f>
        <v>-330235718.39999998</v>
      </c>
      <c r="F25" s="2141">
        <f>E25-D25</f>
        <v>-330235718.39999998</v>
      </c>
      <c r="G25" s="2158"/>
      <c r="H25" s="1154"/>
    </row>
    <row r="26" spans="1:10" ht="0.75" customHeight="1" x14ac:dyDescent="0.2">
      <c r="A26" s="1151"/>
      <c r="B26" s="1151" t="s">
        <v>2440</v>
      </c>
      <c r="C26" s="2149"/>
      <c r="D26" s="2159"/>
      <c r="E26" s="2159">
        <f>D26</f>
        <v>0</v>
      </c>
      <c r="F26" s="2159"/>
      <c r="G26" s="2160"/>
    </row>
    <row r="27" spans="1:10" ht="0.75" customHeight="1" x14ac:dyDescent="0.2">
      <c r="A27" s="2157"/>
      <c r="B27" s="1151" t="s">
        <v>2441</v>
      </c>
      <c r="C27" s="2161"/>
      <c r="D27" s="2162"/>
      <c r="E27" s="2162">
        <f>D27</f>
        <v>0</v>
      </c>
      <c r="F27" s="2162"/>
      <c r="G27" s="2163"/>
    </row>
  </sheetData>
  <mergeCells count="2">
    <mergeCell ref="A2:G2"/>
    <mergeCell ref="A6:A7"/>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O17"/>
  <sheetViews>
    <sheetView topLeftCell="A4" workbookViewId="0">
      <selection activeCell="G18" sqref="G18"/>
    </sheetView>
  </sheetViews>
  <sheetFormatPr defaultColWidth="9.42578125" defaultRowHeight="12.75" x14ac:dyDescent="0.2"/>
  <cols>
    <col min="1" max="1" width="5.5703125" style="1101" customWidth="1"/>
    <col min="2" max="2" width="52.42578125" style="1101" customWidth="1"/>
    <col min="3" max="3" width="23.5703125" style="1101" customWidth="1"/>
    <col min="4" max="4" width="21.140625" style="1101" customWidth="1"/>
    <col min="5" max="6" width="8.85546875" style="1101" hidden="1" customWidth="1"/>
    <col min="7" max="7" width="36.85546875" style="1101" customWidth="1"/>
    <col min="8" max="8" width="11.42578125" style="1101" customWidth="1"/>
    <col min="9" max="9" width="9.140625" style="1101" customWidth="1"/>
    <col min="10" max="10" width="11" style="1101" customWidth="1"/>
    <col min="11" max="11" width="13.42578125" style="1101" customWidth="1"/>
    <col min="12" max="16384" width="9.42578125" style="1101"/>
  </cols>
  <sheetData>
    <row r="1" spans="1:15" ht="15.75" x14ac:dyDescent="0.2">
      <c r="E1" s="179"/>
      <c r="G1" s="301"/>
    </row>
    <row r="2" spans="1:15" ht="15.75" x14ac:dyDescent="0.2">
      <c r="A2" s="4052" t="s">
        <v>3262</v>
      </c>
      <c r="B2" s="4052"/>
      <c r="C2" s="4052"/>
      <c r="D2" s="4052"/>
      <c r="E2" s="4052"/>
      <c r="F2" s="4052"/>
      <c r="G2" s="4052"/>
    </row>
    <row r="3" spans="1:15" ht="15.75" x14ac:dyDescent="0.2">
      <c r="D3" s="1103"/>
      <c r="E3" s="1103"/>
      <c r="G3" s="1103" t="s">
        <v>1461</v>
      </c>
    </row>
    <row r="4" spans="1:15" s="1106" customFormat="1" ht="42.75" x14ac:dyDescent="0.25">
      <c r="A4" s="2136" t="s">
        <v>844</v>
      </c>
      <c r="B4" s="2136" t="s">
        <v>845</v>
      </c>
      <c r="C4" s="2136" t="s">
        <v>3263</v>
      </c>
      <c r="D4" s="2137" t="s">
        <v>2413</v>
      </c>
      <c r="E4" s="2137" t="s">
        <v>2414</v>
      </c>
      <c r="F4" s="2137" t="s">
        <v>1267</v>
      </c>
      <c r="G4" s="2137" t="s">
        <v>915</v>
      </c>
      <c r="H4" s="1126"/>
      <c r="I4" s="1126"/>
      <c r="J4" s="1126"/>
      <c r="K4" s="1126"/>
      <c r="L4" s="1126"/>
      <c r="M4" s="1126"/>
      <c r="N4" s="1126"/>
      <c r="O4" s="1126"/>
    </row>
    <row r="5" spans="1:15" s="2170" customFormat="1" ht="15" x14ac:dyDescent="0.25">
      <c r="A5" s="2177">
        <v>1</v>
      </c>
      <c r="B5" s="2178" t="s">
        <v>3264</v>
      </c>
      <c r="C5" s="2179"/>
      <c r="D5" s="2180">
        <f>SUM(D6:D7)</f>
        <v>473901129</v>
      </c>
      <c r="E5" s="2181">
        <f>SUM(E6:E6)</f>
        <v>473901129</v>
      </c>
      <c r="F5" s="2181" t="e">
        <f>SUM(#REF!)</f>
        <v>#REF!</v>
      </c>
      <c r="G5" s="2181"/>
    </row>
    <row r="6" spans="1:15" s="1106" customFormat="1" ht="45" x14ac:dyDescent="0.25">
      <c r="A6" s="2182"/>
      <c r="B6" s="2139" t="s">
        <v>3268</v>
      </c>
      <c r="C6" s="2151" t="s">
        <v>3266</v>
      </c>
      <c r="D6" s="2143">
        <v>473901129</v>
      </c>
      <c r="E6" s="2141">
        <f>D6</f>
        <v>473901129</v>
      </c>
      <c r="F6" s="2141"/>
      <c r="G6" s="2141"/>
    </row>
    <row r="7" spans="1:15" s="1106" customFormat="1" ht="15" x14ac:dyDescent="0.25">
      <c r="A7" s="1147"/>
      <c r="B7" s="2183" t="s">
        <v>2418</v>
      </c>
      <c r="C7" s="2149"/>
      <c r="D7" s="2184"/>
      <c r="E7" s="2159"/>
      <c r="F7" s="2159"/>
      <c r="G7" s="2159"/>
    </row>
    <row r="8" spans="1:15" s="2170" customFormat="1" ht="15" x14ac:dyDescent="0.25">
      <c r="A8" s="2177">
        <v>2</v>
      </c>
      <c r="B8" s="2185" t="s">
        <v>3270</v>
      </c>
      <c r="C8" s="2185"/>
      <c r="D8" s="2181">
        <f>D9</f>
        <v>200000000</v>
      </c>
      <c r="E8" s="2181">
        <f>SUM(E9:E9)</f>
        <v>200000000</v>
      </c>
      <c r="F8" s="2181">
        <f>SUM(F9:F9)</f>
        <v>0</v>
      </c>
      <c r="G8" s="2181"/>
      <c r="H8" s="2186"/>
    </row>
    <row r="9" spans="1:15" s="1106" customFormat="1" ht="15" x14ac:dyDescent="0.25">
      <c r="A9" s="2182"/>
      <c r="B9" s="2187" t="s">
        <v>3269</v>
      </c>
      <c r="C9" s="2142"/>
      <c r="D9" s="2188">
        <v>200000000</v>
      </c>
      <c r="E9" s="2188">
        <f>D9</f>
        <v>200000000</v>
      </c>
      <c r="F9" s="2188">
        <f>E9-D9</f>
        <v>0</v>
      </c>
      <c r="G9" s="2188"/>
    </row>
    <row r="10" spans="1:15" s="2175" customFormat="1" ht="15" x14ac:dyDescent="0.25">
      <c r="A10" s="2171">
        <v>3</v>
      </c>
      <c r="B10" s="2172" t="s">
        <v>3271</v>
      </c>
      <c r="C10" s="2172"/>
      <c r="D10" s="2173">
        <f>D11</f>
        <v>330235718.39999998</v>
      </c>
      <c r="E10" s="2174" t="e">
        <f>E5+#REF!+#REF!</f>
        <v>#REF!</v>
      </c>
      <c r="F10" s="2174" t="e">
        <f>E10-D10</f>
        <v>#REF!</v>
      </c>
      <c r="G10" s="2174"/>
      <c r="J10" s="2176"/>
    </row>
    <row r="11" spans="1:15" s="2190" customFormat="1" ht="15" x14ac:dyDescent="0.25">
      <c r="A11" s="1119"/>
      <c r="B11" s="1127" t="s">
        <v>3265</v>
      </c>
      <c r="C11" s="1127"/>
      <c r="D11" s="2164">
        <v>330235718.39999998</v>
      </c>
      <c r="E11" s="2189"/>
      <c r="F11" s="2189"/>
      <c r="G11" s="2189"/>
      <c r="J11" s="2191"/>
    </row>
    <row r="12" spans="1:15" s="2195" customFormat="1" ht="14.25" x14ac:dyDescent="0.2">
      <c r="A12" s="2165">
        <v>4</v>
      </c>
      <c r="B12" s="2192" t="s">
        <v>3274</v>
      </c>
      <c r="C12" s="2192"/>
      <c r="D12" s="2169">
        <f>D5-D8+D10</f>
        <v>604136847.39999998</v>
      </c>
      <c r="E12" s="2169" t="e">
        <f>E10-E8</f>
        <v>#REF!</v>
      </c>
      <c r="F12" s="2169" t="e">
        <f>E12-D12</f>
        <v>#REF!</v>
      </c>
      <c r="G12" s="2193"/>
      <c r="H12" s="2194"/>
    </row>
    <row r="13" spans="1:15" ht="15" x14ac:dyDescent="0.2">
      <c r="A13" s="2157"/>
      <c r="B13" s="2157" t="s">
        <v>2436</v>
      </c>
      <c r="D13" s="2141"/>
      <c r="E13" s="2141">
        <f>D13</f>
        <v>0</v>
      </c>
      <c r="F13" s="2141"/>
      <c r="G13" s="2158"/>
      <c r="H13" s="1154"/>
    </row>
    <row r="14" spans="1:15" ht="30" x14ac:dyDescent="0.2">
      <c r="A14" s="2157"/>
      <c r="B14" s="2157" t="s">
        <v>3267</v>
      </c>
      <c r="C14" s="2151" t="s">
        <v>3266</v>
      </c>
      <c r="D14" s="2141">
        <f>D12</f>
        <v>604136847.39999998</v>
      </c>
      <c r="E14" s="2141">
        <f>D14</f>
        <v>604136847.39999998</v>
      </c>
      <c r="F14" s="2141"/>
      <c r="G14" s="2158"/>
    </row>
    <row r="15" spans="1:15" ht="15" x14ac:dyDescent="0.2">
      <c r="A15" s="1151"/>
      <c r="B15" s="2157" t="s">
        <v>3273</v>
      </c>
      <c r="C15" s="2145"/>
      <c r="D15" s="2141"/>
      <c r="E15" s="2141" t="e">
        <f>E12-E13-E14-E17-E16</f>
        <v>#REF!</v>
      </c>
      <c r="F15" s="2141" t="e">
        <f>E15-D15</f>
        <v>#REF!</v>
      </c>
      <c r="G15" s="2158"/>
      <c r="H15" s="1154"/>
    </row>
    <row r="16" spans="1:15" ht="15" x14ac:dyDescent="0.2">
      <c r="A16" s="1151"/>
      <c r="B16" s="1151"/>
      <c r="C16" s="2149"/>
      <c r="D16" s="2159"/>
      <c r="E16" s="2159"/>
      <c r="F16" s="2159"/>
      <c r="G16" s="2160"/>
    </row>
    <row r="17" spans="1:7" ht="15" x14ac:dyDescent="0.2">
      <c r="A17" s="2157"/>
      <c r="B17" s="1151"/>
      <c r="C17" s="2161"/>
      <c r="D17" s="2162"/>
      <c r="E17" s="2162"/>
      <c r="F17" s="2162"/>
      <c r="G17" s="2163"/>
    </row>
  </sheetData>
  <mergeCells count="1">
    <mergeCell ref="A2:G2"/>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91</vt:i4>
      </vt:variant>
      <vt:variant>
        <vt:lpstr>Named Ranges</vt:lpstr>
      </vt:variant>
      <vt:variant>
        <vt:i4>74</vt:i4>
      </vt:variant>
    </vt:vector>
  </HeadingPairs>
  <TitlesOfParts>
    <vt:vector size="165" baseType="lpstr">
      <vt:lpstr>PL tong hop</vt:lpstr>
      <vt:lpstr>shee fdjt1</vt:lpstr>
      <vt:lpstr>Sheet2</vt:lpstr>
      <vt:lpstr>shête 3</vt:lpstr>
      <vt:lpstr>dhhh4</vt:lpstr>
      <vt:lpstr>5.1x (2)</vt:lpstr>
      <vt:lpstr>shêt 5</vt:lpstr>
      <vt:lpstr>Tiền đất2020</vt:lpstr>
      <vt:lpstr>Biểu 01 năm 2021 bo</vt:lpstr>
      <vt:lpstr>Dự phòng cấp huyện 2020</vt:lpstr>
      <vt:lpstr>108</vt:lpstr>
      <vt:lpstr>Sheet3</vt:lpstr>
      <vt:lpstr>CCTL 2021chuẩn</vt:lpstr>
      <vt:lpstr>tăng thu so với 2017 (2)</vt:lpstr>
      <vt:lpstr>tăng thu so với 2017</vt:lpstr>
      <vt:lpstr>Sheet6</vt:lpstr>
      <vt:lpstr>CCTL 2021</vt:lpstr>
      <vt:lpstr>Qtoán nông thôn mới năm 2021</vt:lpstr>
      <vt:lpstr>135 2021</vt:lpstr>
      <vt:lpstr>tính tăng thu</vt:lpstr>
      <vt:lpstr>QT theo cơ cấu</vt:lpstr>
      <vt:lpstr>QT BỔ SUNG CÓ MT</vt:lpstr>
      <vt:lpstr>Nông thôn mới 2021</vt:lpstr>
      <vt:lpstr>ct1352020</vt:lpstr>
      <vt:lpstr>Biêu so 01 2020</vt:lpstr>
      <vt:lpstr>SGV</vt:lpstr>
      <vt:lpstr>B48</vt:lpstr>
      <vt:lpstr>B49</vt:lpstr>
      <vt:lpstr>B50</vt:lpstr>
      <vt:lpstr>B51</vt:lpstr>
      <vt:lpstr>B52</vt:lpstr>
      <vt:lpstr>B53</vt:lpstr>
      <vt:lpstr>B54</vt:lpstr>
      <vt:lpstr>B55</vt:lpstr>
      <vt:lpstr>B56</vt:lpstr>
      <vt:lpstr>B57</vt:lpstr>
      <vt:lpstr>chi BS cho xã</vt:lpstr>
      <vt:lpstr>B58</vt:lpstr>
      <vt:lpstr>B61</vt:lpstr>
      <vt:lpstr>5.7</vt:lpstr>
      <vt:lpstr>lệnh chi</vt:lpstr>
      <vt:lpstr>dự toán (2)</vt:lpstr>
      <vt:lpstr>dự toán</vt:lpstr>
      <vt:lpstr>5.9</vt:lpstr>
      <vt:lpstr>5.15 bỏ</vt:lpstr>
      <vt:lpstr>5.18</vt:lpstr>
      <vt:lpstr>5.19</vt:lpstr>
      <vt:lpstr>B62</vt:lpstr>
      <vt:lpstr>B60-342</vt:lpstr>
      <vt:lpstr>B61-342</vt:lpstr>
      <vt:lpstr>B62-342</vt:lpstr>
      <vt:lpstr>B63-342</vt:lpstr>
      <vt:lpstr>B64-342</vt:lpstr>
      <vt:lpstr>5.23.2022</vt:lpstr>
      <vt:lpstr>5.23</vt:lpstr>
      <vt:lpstr>5.24 2022</vt:lpstr>
      <vt:lpstr>5.24</vt:lpstr>
      <vt:lpstr>B65-342</vt:lpstr>
      <vt:lpstr>5,25a</vt:lpstr>
      <vt:lpstr>5.30 .2022</vt:lpstr>
      <vt:lpstr>5.30</vt:lpstr>
      <vt:lpstr>Bổ sung MT tỉnh21</vt:lpstr>
      <vt:lpstr>CTnông thôn mới 2020</vt:lpstr>
      <vt:lpstr>Biêu so 01 2022</vt:lpstr>
      <vt:lpstr>Biểu chi nhiệm vụ</vt:lpstr>
      <vt:lpstr>Biểu QT các nhiẹm vụ 2018</vt:lpstr>
      <vt:lpstr>Biểu BSMT tinh huyen</vt:lpstr>
      <vt:lpstr>5.31 (2)</vt:lpstr>
      <vt:lpstr>5.6 (2)</vt:lpstr>
      <vt:lpstr>Biểu tách theo STC (2)</vt:lpstr>
      <vt:lpstr>Biểu tách theo STC</vt:lpstr>
      <vt:lpstr>5.25</vt:lpstr>
      <vt:lpstr>5.32</vt:lpstr>
      <vt:lpstr>5.33</vt:lpstr>
      <vt:lpstr>5.34</vt:lpstr>
      <vt:lpstr>5.35</vt:lpstr>
      <vt:lpstr>5.36</vt:lpstr>
      <vt:lpstr>5.37</vt:lpstr>
      <vt:lpstr>5.38</vt:lpstr>
      <vt:lpstr>5.39</vt:lpstr>
      <vt:lpstr>5.40</vt:lpstr>
      <vt:lpstr>5.41</vt:lpstr>
      <vt:lpstr>5.42</vt:lpstr>
      <vt:lpstr>5.43</vt:lpstr>
      <vt:lpstr>5.44</vt:lpstr>
      <vt:lpstr>Sheet1</vt:lpstr>
      <vt:lpstr>kết dư</vt:lpstr>
      <vt:lpstr>DTTS</vt:lpstr>
      <vt:lpstr>GN</vt:lpstr>
      <vt:lpstr>cải cách</vt:lpstr>
      <vt:lpstr>CCTL</vt:lpstr>
      <vt:lpstr>'B62-342'!aaaa</vt:lpstr>
      <vt:lpstr>'B57'!abcd</vt:lpstr>
      <vt:lpstr>'B58'!abcd</vt:lpstr>
      <vt:lpstr>'B60-342'!abcd</vt:lpstr>
      <vt:lpstr>'B61-342'!abcd</vt:lpstr>
      <vt:lpstr>'5.34'!chuong_phuluc_10_name</vt:lpstr>
      <vt:lpstr>'5.35'!chuong_phuluc_11_name</vt:lpstr>
      <vt:lpstr>'5.36'!chuong_phuluc_12_name</vt:lpstr>
      <vt:lpstr>'5.37'!chuong_phuluc_13_name</vt:lpstr>
      <vt:lpstr>'5.32'!chuong_phuluc_8_name</vt:lpstr>
      <vt:lpstr>'5.33'!chuong_phuluc_9_name</vt:lpstr>
      <vt:lpstr>'B65-342'!fg</vt:lpstr>
      <vt:lpstr>'B62-342'!fgg</vt:lpstr>
      <vt:lpstr>'B63-342'!fgg</vt:lpstr>
      <vt:lpstr>'B62-342'!ggu</vt:lpstr>
      <vt:lpstr>'B61'!gjghj</vt:lpstr>
      <vt:lpstr>'5.30 .2022'!gugu</vt:lpstr>
      <vt:lpstr>'B56'!hhidfdf</vt:lpstr>
      <vt:lpstr>'5.18'!Print_Area</vt:lpstr>
      <vt:lpstr>'5.19'!Print_Area</vt:lpstr>
      <vt:lpstr>'5.30'!Print_Area</vt:lpstr>
      <vt:lpstr>'5.30 .2022'!Print_Area</vt:lpstr>
      <vt:lpstr>'B48'!Print_Area</vt:lpstr>
      <vt:lpstr>'B49'!Print_Area</vt:lpstr>
      <vt:lpstr>'B54'!Print_Area</vt:lpstr>
      <vt:lpstr>'B56'!Print_Area</vt:lpstr>
      <vt:lpstr>'B57'!Print_Area</vt:lpstr>
      <vt:lpstr>'B61'!Print_Area</vt:lpstr>
      <vt:lpstr>'B61-342'!Print_Area</vt:lpstr>
      <vt:lpstr>'B62'!Print_Area</vt:lpstr>
      <vt:lpstr>'B62-342'!Print_Area</vt:lpstr>
      <vt:lpstr>DTTS!Print_Area</vt:lpstr>
      <vt:lpstr>'dự toán'!Print_Area</vt:lpstr>
      <vt:lpstr>'dự toán (2)'!Print_Area</vt:lpstr>
      <vt:lpstr>'lệnh chi'!Print_Area</vt:lpstr>
      <vt:lpstr>'5.15 bỏ'!Print_Titles</vt:lpstr>
      <vt:lpstr>'5.1x (2)'!Print_Titles</vt:lpstr>
      <vt:lpstr>'5.23'!Print_Titles</vt:lpstr>
      <vt:lpstr>'5.23.2022'!Print_Titles</vt:lpstr>
      <vt:lpstr>'5.24'!Print_Titles</vt:lpstr>
      <vt:lpstr>'5.24 2022'!Print_Titles</vt:lpstr>
      <vt:lpstr>'5.30'!Print_Titles</vt:lpstr>
      <vt:lpstr>'5.30 .2022'!Print_Titles</vt:lpstr>
      <vt:lpstr>'5.34'!Print_Titles</vt:lpstr>
      <vt:lpstr>'5.39'!Print_Titles</vt:lpstr>
      <vt:lpstr>'5.41'!Print_Titles</vt:lpstr>
      <vt:lpstr>'5.42'!Print_Titles</vt:lpstr>
      <vt:lpstr>'5.9'!Print_Titles</vt:lpstr>
      <vt:lpstr>'B48'!Print_Titles</vt:lpstr>
      <vt:lpstr>'B51'!Print_Titles</vt:lpstr>
      <vt:lpstr>'B52'!Print_Titles</vt:lpstr>
      <vt:lpstr>'B53'!Print_Titles</vt:lpstr>
      <vt:lpstr>'B54'!Print_Titles</vt:lpstr>
      <vt:lpstr>'B55'!Print_Titles</vt:lpstr>
      <vt:lpstr>'B56'!Print_Titles</vt:lpstr>
      <vt:lpstr>'B57'!Print_Titles</vt:lpstr>
      <vt:lpstr>'B58'!Print_Titles</vt:lpstr>
      <vt:lpstr>'B61'!Print_Titles</vt:lpstr>
      <vt:lpstr>'B61-342'!Print_Titles</vt:lpstr>
      <vt:lpstr>'B62'!Print_Titles</vt:lpstr>
      <vt:lpstr>'B62-342'!Print_Titles</vt:lpstr>
      <vt:lpstr>'B63-342'!Print_Titles</vt:lpstr>
      <vt:lpstr>'B64-342'!Print_Titles</vt:lpstr>
      <vt:lpstr>'B65-342'!Print_Titles</vt:lpstr>
      <vt:lpstr>'Biểu 01 năm 2021 bo'!Print_Titles</vt:lpstr>
      <vt:lpstr>'Biêu so 01 2020'!Print_Titles</vt:lpstr>
      <vt:lpstr>'Biêu so 01 2022'!Print_Titles</vt:lpstr>
      <vt:lpstr>'Biểu tách theo STC'!Print_Titles</vt:lpstr>
      <vt:lpstr>'Biểu tách theo STC (2)'!Print_Titles</vt:lpstr>
      <vt:lpstr>'dự toán'!Print_Titles</vt:lpstr>
      <vt:lpstr>'dự toán (2)'!Print_Titles</vt:lpstr>
      <vt:lpstr>'lệnh chi'!Print_Titles</vt:lpstr>
      <vt:lpstr>'PL tong hop'!Print_Titles</vt:lpstr>
      <vt:lpstr>'QT theo cơ cấu'!Print_Titles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dc:creator>
  <cp:lastModifiedBy>FPT</cp:lastModifiedBy>
  <cp:lastPrinted>2026-04-22T06:50:47Z</cp:lastPrinted>
  <dcterms:created xsi:type="dcterms:W3CDTF">2017-05-03T08:35:13Z</dcterms:created>
  <dcterms:modified xsi:type="dcterms:W3CDTF">2026-04-22T06:51:33Z</dcterms:modified>
</cp:coreProperties>
</file>